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iorepn\OneDrive - Millennium Challenge Corporation\ERRS\Mongolia\Property\"/>
    </mc:Choice>
  </mc:AlternateContent>
  <bookViews>
    <workbookView xWindow="2820" yWindow="345" windowWidth="12480" windowHeight="8130" tabRatio="917" activeTab="1"/>
  </bookViews>
  <sheets>
    <sheet name="User's Guide" sheetId="8" r:id="rId1"/>
    <sheet name="Project Description" sheetId="9" r:id="rId2"/>
    <sheet name="ERR &amp; Sensitivity Analysis" sheetId="6" r:id="rId3"/>
    <sheet name="Cost-Benefit Summary" sheetId="15" r:id="rId4"/>
    <sheet name="Data &amp; Assumptions" sheetId="1" r:id="rId5"/>
    <sheet name="Registry Upgrade, Khashaa Reg." sheetId="2" r:id="rId6"/>
    <sheet name="Data tables" sheetId="5" r:id="rId7"/>
    <sheet name="Suppl Tables 1" sheetId="11" r:id="rId8"/>
    <sheet name="Suppl Tab 2.1" sheetId="12" r:id="rId9"/>
    <sheet name="Land market value as of 2010" sheetId="14" r:id="rId10"/>
    <sheet name="Land market value as of 2011" sheetId="13" r:id="rId11"/>
  </sheets>
  <externalReferences>
    <externalReference r:id="rId12"/>
  </externalReferences>
  <definedNames>
    <definedName name="_Toc154479390" localSheetId="6">'Data tables'!$C$15</definedName>
    <definedName name="Class1_wo_expt">#REF!</definedName>
    <definedName name="Class2_wo_expt">#REF!</definedName>
    <definedName name="Class3_wo_expt">#REF!</definedName>
    <definedName name="death_rate_stage_III_T">[1]Diabetes!$C$26</definedName>
    <definedName name="death_rate_stage_III_UT">[1]Diabetes!$C$25</definedName>
    <definedName name="death_rate_stage_IV_T">[1]Hypertension!$C$28</definedName>
    <definedName name="death_rate_stage_IV_UT">[1]Hypertension!$C$27</definedName>
    <definedName name="I_to_II_T_W">[1]Hypertension!$J$82</definedName>
    <definedName name="I_to_II_T_WO">[1]Hypertension!$J$32</definedName>
    <definedName name="I_to_II_UT">[1]Hypertension!$E$32</definedName>
    <definedName name="II_t0_III_T_WO">[1]Hypertension!$J$33</definedName>
    <definedName name="II_t0_III_UT">[1]Hypertension!$E$33</definedName>
    <definedName name="II_to_III_T_W">[1]Hypertension!$J$83</definedName>
    <definedName name="II_to_III_UT">[1]Diabetes!$E$31</definedName>
    <definedName name="III_to_IV_T_W">[1]Hypertension!$J$84</definedName>
    <definedName name="III_to_IV_T_WO">[1]Hypertension!$J$34</definedName>
    <definedName name="III_to_IV_UT">[1]Hypertension!$E$34</definedName>
    <definedName name="income_p">[1]Hypertension!$E$6</definedName>
    <definedName name="pop_growth">[1]Hypertension!$C$5</definedName>
    <definedName name="_xlnm.Print_Area" localSheetId="4">'Data &amp; Assumptions'!$A$1:$M$199</definedName>
  </definedNames>
  <calcPr calcId="152511"/>
</workbook>
</file>

<file path=xl/calcChain.xml><?xml version="1.0" encoding="utf-8"?>
<calcChain xmlns="http://schemas.openxmlformats.org/spreadsheetml/2006/main">
  <c r="B14" i="15" l="1"/>
  <c r="B12" i="15"/>
  <c r="C7" i="15"/>
  <c r="D7" i="15"/>
  <c r="E7" i="15"/>
  <c r="B15" i="15" s="1"/>
  <c r="F7" i="15"/>
  <c r="F10" i="15" s="1"/>
  <c r="G7" i="15"/>
  <c r="H7" i="15"/>
  <c r="I7" i="15"/>
  <c r="J7" i="15"/>
  <c r="J10" i="15" s="1"/>
  <c r="K7" i="15"/>
  <c r="L7" i="15"/>
  <c r="M7" i="15"/>
  <c r="N7" i="15"/>
  <c r="N10" i="15" s="1"/>
  <c r="O7" i="15"/>
  <c r="P7" i="15"/>
  <c r="Q7" i="15"/>
  <c r="R7" i="15"/>
  <c r="R10" i="15" s="1"/>
  <c r="S7" i="15"/>
  <c r="T7" i="15"/>
  <c r="U7" i="15"/>
  <c r="B7" i="15"/>
  <c r="B10" i="15" s="1"/>
  <c r="B16" i="15"/>
  <c r="BR322" i="2"/>
  <c r="D323" i="2"/>
  <c r="C8" i="15"/>
  <c r="D8" i="15"/>
  <c r="E8" i="15"/>
  <c r="F8" i="15"/>
  <c r="G8" i="15"/>
  <c r="H8" i="15"/>
  <c r="I8" i="15"/>
  <c r="J8" i="15"/>
  <c r="K8" i="15"/>
  <c r="L8" i="15"/>
  <c r="M8" i="15"/>
  <c r="N8" i="15"/>
  <c r="O8" i="15"/>
  <c r="P8" i="15"/>
  <c r="Q8" i="15"/>
  <c r="R8" i="15"/>
  <c r="S8" i="15"/>
  <c r="T8" i="15"/>
  <c r="U8" i="15"/>
  <c r="B8" i="15"/>
  <c r="C10" i="15"/>
  <c r="D10" i="15"/>
  <c r="E10" i="15"/>
  <c r="G10" i="15"/>
  <c r="H10" i="15"/>
  <c r="I10" i="15"/>
  <c r="K10" i="15"/>
  <c r="L10" i="15"/>
  <c r="M10" i="15"/>
  <c r="O10" i="15"/>
  <c r="P10" i="15"/>
  <c r="Q10" i="15"/>
  <c r="S10" i="15"/>
  <c r="T10" i="15"/>
  <c r="U10" i="15"/>
  <c r="C6" i="15"/>
  <c r="D6" i="15" s="1"/>
  <c r="E6" i="15" s="1"/>
  <c r="F6" i="15" s="1"/>
  <c r="G6" i="15" s="1"/>
  <c r="H6" i="15" s="1"/>
  <c r="I6" i="15" s="1"/>
  <c r="J6" i="15" s="1"/>
  <c r="K6" i="15" s="1"/>
  <c r="L6" i="15" s="1"/>
  <c r="M6" i="15" s="1"/>
  <c r="N6" i="15" s="1"/>
  <c r="O6" i="15" s="1"/>
  <c r="P6" i="15" s="1"/>
  <c r="Q6" i="15" s="1"/>
  <c r="R6" i="15" s="1"/>
  <c r="S6" i="15" s="1"/>
  <c r="T6" i="15" s="1"/>
  <c r="U6" i="15" s="1"/>
  <c r="K26" i="1" l="1"/>
  <c r="H14" i="14"/>
  <c r="F14" i="14"/>
  <c r="E14" i="14"/>
  <c r="E13" i="14"/>
  <c r="K13" i="14" s="1"/>
  <c r="K12" i="14"/>
  <c r="H11" i="14"/>
  <c r="F11" i="14"/>
  <c r="E11" i="14"/>
  <c r="K10" i="14"/>
  <c r="H9" i="14"/>
  <c r="H15" i="14" s="1"/>
  <c r="F9" i="14"/>
  <c r="F15" i="14" s="1"/>
  <c r="E9" i="14"/>
  <c r="E15" i="14" s="1"/>
  <c r="K8" i="14"/>
  <c r="K14" i="14" s="1"/>
  <c r="J14" i="13"/>
  <c r="I14" i="13"/>
  <c r="H14" i="13"/>
  <c r="G14" i="13"/>
  <c r="F14" i="13"/>
  <c r="E14" i="13"/>
  <c r="H13" i="13"/>
  <c r="E13" i="13"/>
  <c r="K13" i="13" s="1"/>
  <c r="K12" i="13"/>
  <c r="I11" i="13"/>
  <c r="H11" i="13"/>
  <c r="F11" i="13"/>
  <c r="E11" i="13"/>
  <c r="K11" i="13" s="1"/>
  <c r="K10" i="13"/>
  <c r="J9" i="13"/>
  <c r="J15" i="13" s="1"/>
  <c r="I9" i="13"/>
  <c r="I15" i="13" s="1"/>
  <c r="H9" i="13"/>
  <c r="H15" i="13" s="1"/>
  <c r="G9" i="13"/>
  <c r="G15" i="13" s="1"/>
  <c r="F9" i="13"/>
  <c r="E9" i="13"/>
  <c r="K8" i="13"/>
  <c r="K14" i="13" s="1"/>
  <c r="J9" i="12"/>
  <c r="H29" i="11"/>
  <c r="E29" i="11"/>
  <c r="G28" i="11"/>
  <c r="D28" i="11"/>
  <c r="G27" i="11"/>
  <c r="D27" i="11"/>
  <c r="G26" i="11"/>
  <c r="D26" i="11"/>
  <c r="G25" i="11"/>
  <c r="F25" i="11"/>
  <c r="G24" i="11"/>
  <c r="F24" i="11"/>
  <c r="G23" i="11"/>
  <c r="D23" i="11"/>
  <c r="D29" i="11" s="1"/>
  <c r="G22" i="11"/>
  <c r="F22" i="11"/>
  <c r="G21" i="11"/>
  <c r="F21" i="11"/>
  <c r="L25" i="1" s="1"/>
  <c r="L16" i="11"/>
  <c r="K16" i="11"/>
  <c r="H16" i="11"/>
  <c r="G16" i="11"/>
  <c r="M15" i="11"/>
  <c r="I15" i="11"/>
  <c r="F15" i="11"/>
  <c r="E15" i="11"/>
  <c r="D15" i="11"/>
  <c r="J15" i="11" s="1"/>
  <c r="M14" i="11"/>
  <c r="I14" i="11"/>
  <c r="F14" i="11"/>
  <c r="E14" i="11"/>
  <c r="D14" i="11"/>
  <c r="J14" i="11" s="1"/>
  <c r="M13" i="11"/>
  <c r="I13" i="11"/>
  <c r="F13" i="11"/>
  <c r="E13" i="11"/>
  <c r="D13" i="11"/>
  <c r="J13" i="11" s="1"/>
  <c r="M12" i="11"/>
  <c r="I12" i="11"/>
  <c r="F12" i="11"/>
  <c r="E12" i="11"/>
  <c r="D12" i="11"/>
  <c r="J12" i="11" s="1"/>
  <c r="M11" i="11"/>
  <c r="I11" i="11"/>
  <c r="F11" i="11"/>
  <c r="E11" i="11"/>
  <c r="D11" i="11"/>
  <c r="D16" i="11" s="1"/>
  <c r="M10" i="11"/>
  <c r="J10" i="11"/>
  <c r="I10" i="11"/>
  <c r="F10" i="11"/>
  <c r="F16" i="11" s="1"/>
  <c r="E10" i="11"/>
  <c r="I16" i="11" l="1"/>
  <c r="E15" i="13"/>
  <c r="E16" i="11"/>
  <c r="M16" i="11"/>
  <c r="G29" i="11"/>
  <c r="F15" i="13"/>
  <c r="K11" i="14"/>
  <c r="L24" i="1"/>
  <c r="D21" i="1" s="1"/>
  <c r="K42" i="1" s="1"/>
  <c r="K9" i="14"/>
  <c r="K9" i="13"/>
  <c r="K15" i="13" s="1"/>
  <c r="J11" i="11"/>
  <c r="J16" i="11" s="1"/>
  <c r="K15" i="14" l="1"/>
  <c r="M61" i="2"/>
  <c r="M62" i="2"/>
  <c r="M63" i="2"/>
  <c r="M64" i="2"/>
  <c r="M65" i="2"/>
  <c r="M66" i="2"/>
  <c r="M67" i="2"/>
  <c r="M68" i="2"/>
  <c r="M69" i="2"/>
  <c r="P23" i="2"/>
  <c r="P31" i="2" s="1"/>
  <c r="P19" i="2"/>
  <c r="AQ19" i="2" s="1"/>
  <c r="Z78" i="5"/>
  <c r="AA72" i="5"/>
  <c r="AA73" i="5"/>
  <c r="AA74" i="5"/>
  <c r="AA75" i="5"/>
  <c r="AA76" i="5"/>
  <c r="AA77" i="5"/>
  <c r="Z77" i="5"/>
  <c r="Z83" i="5"/>
  <c r="AA81" i="5"/>
  <c r="AA84" i="5"/>
  <c r="AA85" i="5"/>
  <c r="Z90" i="5"/>
  <c r="AA90" i="5"/>
  <c r="Z85" i="5"/>
  <c r="Z93" i="5"/>
  <c r="Z94" i="5"/>
  <c r="Z95" i="5"/>
  <c r="Z96" i="5"/>
  <c r="Z97" i="5"/>
  <c r="AA93" i="5"/>
  <c r="AA94" i="5"/>
  <c r="AA95" i="5"/>
  <c r="AA96" i="5"/>
  <c r="AA97" i="5"/>
  <c r="Z71" i="5"/>
  <c r="Z88" i="5"/>
  <c r="Z91" i="5" s="1"/>
  <c r="AA88" i="5"/>
  <c r="Q99" i="2"/>
  <c r="R99" i="2" s="1"/>
  <c r="I11" i="6"/>
  <c r="G15" i="6" s="1"/>
  <c r="D155" i="1" s="1"/>
  <c r="I12" i="6"/>
  <c r="G12" i="6"/>
  <c r="K332" i="2" s="1"/>
  <c r="D114" i="1"/>
  <c r="D115" i="1"/>
  <c r="D15" i="1"/>
  <c r="AR114" i="5" s="1"/>
  <c r="O38" i="2" s="1"/>
  <c r="AP38" i="2" s="1"/>
  <c r="D121" i="1"/>
  <c r="M174" i="2" s="1"/>
  <c r="AN174" i="2" s="1"/>
  <c r="D18" i="1"/>
  <c r="Q200" i="2" s="1"/>
  <c r="P17" i="2"/>
  <c r="Q17" i="2" s="1"/>
  <c r="AR17" i="2" s="1"/>
  <c r="O201" i="2"/>
  <c r="P201" i="2" s="1"/>
  <c r="Q201" i="2" s="1"/>
  <c r="D148" i="1"/>
  <c r="M239" i="2"/>
  <c r="AN239" i="2" s="1"/>
  <c r="AP201" i="2"/>
  <c r="AQ201" i="2" s="1"/>
  <c r="AR201" i="2" s="1"/>
  <c r="AS201" i="2" s="1"/>
  <c r="AT201" i="2" s="1"/>
  <c r="AU201" i="2" s="1"/>
  <c r="AV201" i="2" s="1"/>
  <c r="AW201" i="2" s="1"/>
  <c r="AX201" i="2" s="1"/>
  <c r="AY201" i="2" s="1"/>
  <c r="AZ201" i="2" s="1"/>
  <c r="BA201" i="2" s="1"/>
  <c r="BB201" i="2" s="1"/>
  <c r="BC201" i="2" s="1"/>
  <c r="BD201" i="2" s="1"/>
  <c r="BE201" i="2" s="1"/>
  <c r="BF201" i="2" s="1"/>
  <c r="BG201" i="2" s="1"/>
  <c r="BH201" i="2" s="1"/>
  <c r="BI201" i="2" s="1"/>
  <c r="BJ201" i="2" s="1"/>
  <c r="BK201" i="2" s="1"/>
  <c r="BL201" i="2" s="1"/>
  <c r="D79" i="1"/>
  <c r="M49" i="2" s="1"/>
  <c r="D68" i="1"/>
  <c r="M149" i="2"/>
  <c r="M244" i="2"/>
  <c r="AN244" i="2" s="1"/>
  <c r="D158" i="1"/>
  <c r="M247" i="2" s="1"/>
  <c r="AN247" i="2" s="1"/>
  <c r="M250" i="2"/>
  <c r="AN250" i="2" s="1"/>
  <c r="D78" i="1"/>
  <c r="M289" i="2" s="1"/>
  <c r="AN289" i="2" s="1"/>
  <c r="D86" i="1"/>
  <c r="V16" i="2"/>
  <c r="W16" i="2"/>
  <c r="X16" i="2" s="1"/>
  <c r="G11" i="6"/>
  <c r="K329" i="2" s="1"/>
  <c r="BR317" i="2"/>
  <c r="BR318" i="2"/>
  <c r="BX317" i="2"/>
  <c r="BX318" i="2"/>
  <c r="BY317" i="2"/>
  <c r="BY318" i="2"/>
  <c r="BZ317" i="2"/>
  <c r="BZ318" i="2"/>
  <c r="CA317" i="2"/>
  <c r="CA318" i="2"/>
  <c r="CB317" i="2"/>
  <c r="CB318" i="2"/>
  <c r="CC317" i="2"/>
  <c r="CC318" i="2"/>
  <c r="CD317" i="2"/>
  <c r="CD318" i="2"/>
  <c r="CE317" i="2"/>
  <c r="CE318" i="2"/>
  <c r="CF317" i="2"/>
  <c r="CF318" i="2"/>
  <c r="CG317" i="2"/>
  <c r="CG318" i="2"/>
  <c r="CH317" i="2"/>
  <c r="CH318" i="2"/>
  <c r="CI317" i="2"/>
  <c r="CI318" i="2"/>
  <c r="CJ317" i="2"/>
  <c r="CJ318" i="2"/>
  <c r="CK317" i="2"/>
  <c r="CK318" i="2"/>
  <c r="BS317" i="2"/>
  <c r="BS318" i="2"/>
  <c r="BT317" i="2"/>
  <c r="BT318" i="2"/>
  <c r="BU317" i="2"/>
  <c r="BU318" i="2"/>
  <c r="BV317" i="2"/>
  <c r="BV318" i="2"/>
  <c r="BW317" i="2"/>
  <c r="BW318" i="2"/>
  <c r="D134" i="1"/>
  <c r="D136" i="1" s="1"/>
  <c r="D14" i="1"/>
  <c r="D13" i="1" s="1"/>
  <c r="Z81" i="5"/>
  <c r="Z84" i="5"/>
  <c r="T316" i="2"/>
  <c r="U316" i="2" s="1"/>
  <c r="V316" i="2" s="1"/>
  <c r="W316" i="2" s="1"/>
  <c r="D147" i="1"/>
  <c r="D149" i="1" s="1"/>
  <c r="D151" i="1" s="1"/>
  <c r="D152" i="1" s="1"/>
  <c r="D153" i="1" s="1"/>
  <c r="Y72" i="5"/>
  <c r="Y73" i="5"/>
  <c r="Y75" i="5"/>
  <c r="Y76" i="5"/>
  <c r="Y83" i="5"/>
  <c r="Y90" i="5"/>
  <c r="Y91" i="5" s="1"/>
  <c r="Y85" i="5"/>
  <c r="Y93" i="5"/>
  <c r="Y94" i="5"/>
  <c r="Y95" i="5"/>
  <c r="Y97" i="5"/>
  <c r="CL31" i="2"/>
  <c r="BQ150" i="2"/>
  <c r="BQ151" i="2"/>
  <c r="BQ152" i="2"/>
  <c r="BQ153" i="2"/>
  <c r="BQ154" i="2"/>
  <c r="BQ155" i="2"/>
  <c r="BQ156" i="2"/>
  <c r="BQ157" i="2"/>
  <c r="BQ158" i="2"/>
  <c r="D84" i="1"/>
  <c r="R319" i="2"/>
  <c r="AK319" i="2"/>
  <c r="AJ319" i="2"/>
  <c r="AI319" i="2"/>
  <c r="AH319" i="2"/>
  <c r="AG319" i="2"/>
  <c r="AF319" i="2"/>
  <c r="AE319" i="2"/>
  <c r="AD319" i="2"/>
  <c r="AC319" i="2"/>
  <c r="AB319" i="2"/>
  <c r="AA319" i="2"/>
  <c r="Z319" i="2"/>
  <c r="Y319" i="2"/>
  <c r="X319" i="2"/>
  <c r="W319" i="2"/>
  <c r="V319" i="2"/>
  <c r="U319" i="2"/>
  <c r="T319" i="2"/>
  <c r="S319" i="2"/>
  <c r="D88" i="1"/>
  <c r="BQ159" i="2"/>
  <c r="P27" i="2"/>
  <c r="AQ27" i="2" s="1"/>
  <c r="AQ26" i="2"/>
  <c r="D63" i="1"/>
  <c r="P25" i="2" s="1"/>
  <c r="AQ25" i="2" s="1"/>
  <c r="D16" i="1"/>
  <c r="P16" i="2" s="1"/>
  <c r="P18" i="2" s="1"/>
  <c r="AQ18" i="2" s="1"/>
  <c r="AX16" i="2"/>
  <c r="AW16" i="2"/>
  <c r="AV16" i="2"/>
  <c r="AU16" i="2"/>
  <c r="AT16" i="2"/>
  <c r="AS16" i="2"/>
  <c r="AR16" i="2"/>
  <c r="Z72" i="5"/>
  <c r="Z73" i="5"/>
  <c r="Z74" i="5"/>
  <c r="Z75" i="5"/>
  <c r="AB75" i="5" s="1"/>
  <c r="Z76" i="5"/>
  <c r="D50" i="1"/>
  <c r="D138" i="1"/>
  <c r="D143" i="1"/>
  <c r="AR126" i="5"/>
  <c r="D75" i="1"/>
  <c r="D77" i="1" s="1"/>
  <c r="D108" i="1"/>
  <c r="X76" i="5"/>
  <c r="D120" i="1"/>
  <c r="D119" i="1"/>
  <c r="D111" i="1"/>
  <c r="D110" i="1"/>
  <c r="AK102" i="5"/>
  <c r="AK104" i="5" s="1"/>
  <c r="AH102" i="5"/>
  <c r="AH104" i="5" s="1"/>
  <c r="AH106" i="5" s="1"/>
  <c r="AF102" i="5"/>
  <c r="AF104" i="5" s="1"/>
  <c r="AF106" i="5" s="1"/>
  <c r="AJ102" i="5"/>
  <c r="AJ104" i="5" s="1"/>
  <c r="AJ106" i="5" s="1"/>
  <c r="AI102" i="5"/>
  <c r="AI104" i="5" s="1"/>
  <c r="AI106" i="5" s="1"/>
  <c r="AG102" i="5"/>
  <c r="AG104" i="5" s="1"/>
  <c r="AG106" i="5" s="1"/>
  <c r="D107" i="1"/>
  <c r="D105" i="1"/>
  <c r="P33" i="2"/>
  <c r="X97" i="5"/>
  <c r="X96" i="5"/>
  <c r="X94" i="5"/>
  <c r="X93" i="5"/>
  <c r="X90" i="5"/>
  <c r="X88" i="5"/>
  <c r="Y84" i="5"/>
  <c r="X84" i="5"/>
  <c r="X83" i="5"/>
  <c r="X81" i="5"/>
  <c r="X71" i="5"/>
  <c r="X72" i="5"/>
  <c r="X74" i="5"/>
  <c r="X75" i="5"/>
  <c r="X77" i="5"/>
  <c r="D72" i="1"/>
  <c r="D73" i="1"/>
  <c r="D74" i="1" s="1"/>
  <c r="D103" i="1"/>
  <c r="D101" i="1"/>
  <c r="D62" i="1"/>
  <c r="D60" i="1"/>
  <c r="D56" i="1"/>
  <c r="D33" i="1"/>
  <c r="C6" i="2"/>
  <c r="AQ115" i="5" l="1"/>
  <c r="AR127" i="5"/>
  <c r="AQ126" i="5"/>
  <c r="D154" i="1"/>
  <c r="D156" i="1" s="1"/>
  <c r="M241" i="2" s="1"/>
  <c r="AN241" i="2" s="1"/>
  <c r="AB81" i="5"/>
  <c r="AB97" i="5"/>
  <c r="AB93" i="5"/>
  <c r="AB85" i="5"/>
  <c r="O43" i="2" s="1"/>
  <c r="AB76" i="5"/>
  <c r="AB74" i="5"/>
  <c r="AB96" i="5"/>
  <c r="AB84" i="5"/>
  <c r="AB88" i="5"/>
  <c r="AQ17" i="2"/>
  <c r="Y86" i="5"/>
  <c r="O50" i="2"/>
  <c r="AB95" i="5"/>
  <c r="AB94" i="5"/>
  <c r="G18" i="6"/>
  <c r="D83" i="1" s="1"/>
  <c r="AQ114" i="5"/>
  <c r="G16" i="6"/>
  <c r="D67" i="1" s="1"/>
  <c r="Q24" i="2" s="1"/>
  <c r="A3" i="5"/>
  <c r="AB77" i="5"/>
  <c r="O40" i="2" s="1"/>
  <c r="AB73" i="5"/>
  <c r="G14" i="6"/>
  <c r="D137" i="1" s="1"/>
  <c r="AQ127" i="5"/>
  <c r="AB72" i="5"/>
  <c r="AQ23" i="2"/>
  <c r="Z86" i="5"/>
  <c r="AR115" i="5"/>
  <c r="BV319" i="2"/>
  <c r="BT319" i="2"/>
  <c r="CK319" i="2"/>
  <c r="CI319" i="2"/>
  <c r="CG319" i="2"/>
  <c r="CE319" i="2"/>
  <c r="CC319" i="2"/>
  <c r="CA319" i="2"/>
  <c r="BY319" i="2"/>
  <c r="B20" i="6"/>
  <c r="AA91" i="5"/>
  <c r="AB91" i="5" s="1"/>
  <c r="AB89" i="5" s="1"/>
  <c r="O46" i="2" s="1"/>
  <c r="Y16" i="2"/>
  <c r="AY16" i="2"/>
  <c r="AN49" i="2"/>
  <c r="AP50" i="2" s="1"/>
  <c r="A3" i="2"/>
  <c r="X98" i="5"/>
  <c r="Z79" i="5"/>
  <c r="R201" i="2"/>
  <c r="S201" i="2" s="1"/>
  <c r="T201" i="2" s="1"/>
  <c r="U201" i="2" s="1"/>
  <c r="V201" i="2" s="1"/>
  <c r="W201" i="2" s="1"/>
  <c r="X201" i="2" s="1"/>
  <c r="Y201" i="2" s="1"/>
  <c r="Z201" i="2" s="1"/>
  <c r="AA201" i="2" s="1"/>
  <c r="AB201" i="2" s="1"/>
  <c r="AC201" i="2" s="1"/>
  <c r="AD201" i="2" s="1"/>
  <c r="AE201" i="2" s="1"/>
  <c r="AF201" i="2" s="1"/>
  <c r="AG201" i="2" s="1"/>
  <c r="AH201" i="2" s="1"/>
  <c r="AI201" i="2" s="1"/>
  <c r="AJ201" i="2" s="1"/>
  <c r="AK201" i="2" s="1"/>
  <c r="Q202" i="2"/>
  <c r="Q203" i="2" s="1"/>
  <c r="Q204" i="2" s="1"/>
  <c r="Q205" i="2" s="1"/>
  <c r="Q207" i="2" s="1"/>
  <c r="AA86" i="5"/>
  <c r="AQ16" i="2"/>
  <c r="AQ31" i="2"/>
  <c r="AR206" i="2" s="1"/>
  <c r="AR208" i="2" s="1"/>
  <c r="Q206" i="2"/>
  <c r="Q208" i="2" s="1"/>
  <c r="X86" i="5"/>
  <c r="X79" i="5"/>
  <c r="X91" i="5"/>
  <c r="Y79" i="5"/>
  <c r="Z98" i="5"/>
  <c r="M70" i="2"/>
  <c r="N61" i="2" s="1"/>
  <c r="Y98" i="5"/>
  <c r="AR99" i="2"/>
  <c r="AA98" i="5"/>
  <c r="AB90" i="5"/>
  <c r="O42" i="2" s="1"/>
  <c r="AA79" i="5"/>
  <c r="AB78" i="5" s="1"/>
  <c r="AL104" i="5"/>
  <c r="AK106" i="5"/>
  <c r="AM104" i="5"/>
  <c r="BR319" i="2"/>
  <c r="BX319" i="2"/>
  <c r="BZ319" i="2"/>
  <c r="CB319" i="2"/>
  <c r="CD319" i="2"/>
  <c r="CF319" i="2"/>
  <c r="CH319" i="2"/>
  <c r="CJ319" i="2"/>
  <c r="BS319" i="2"/>
  <c r="BU319" i="2"/>
  <c r="BW319" i="2"/>
  <c r="AP115" i="5"/>
  <c r="AS115" i="5" s="1"/>
  <c r="AP114" i="5"/>
  <c r="AS114" i="5" s="1"/>
  <c r="AP127" i="5"/>
  <c r="AP126" i="5"/>
  <c r="AL102" i="5"/>
  <c r="AM102" i="5"/>
  <c r="Q18" i="2"/>
  <c r="AR18" i="2" s="1"/>
  <c r="R17" i="2"/>
  <c r="S99" i="2"/>
  <c r="T99" i="2" s="1"/>
  <c r="U99" i="2" s="1"/>
  <c r="V99" i="2" s="1"/>
  <c r="W99" i="2" s="1"/>
  <c r="X99" i="2" s="1"/>
  <c r="Y99" i="2" s="1"/>
  <c r="Z99" i="2" s="1"/>
  <c r="AA99" i="2" s="1"/>
  <c r="AB99" i="2" s="1"/>
  <c r="AC99" i="2" s="1"/>
  <c r="AD99" i="2" s="1"/>
  <c r="AE99" i="2" s="1"/>
  <c r="AF99" i="2" s="1"/>
  <c r="AG99" i="2" s="1"/>
  <c r="AH99" i="2" s="1"/>
  <c r="AI99" i="2" s="1"/>
  <c r="AJ99" i="2" s="1"/>
  <c r="AK99" i="2" s="1"/>
  <c r="AL99" i="2"/>
  <c r="AR200" i="2"/>
  <c r="A1" i="1"/>
  <c r="AS99" i="2"/>
  <c r="AT99" i="2" s="1"/>
  <c r="AU99" i="2" s="1"/>
  <c r="AV99" i="2" s="1"/>
  <c r="AW99" i="2" s="1"/>
  <c r="AX99" i="2" s="1"/>
  <c r="AY99" i="2" s="1"/>
  <c r="AZ99" i="2" s="1"/>
  <c r="BA99" i="2" s="1"/>
  <c r="BB99" i="2" s="1"/>
  <c r="BC99" i="2" s="1"/>
  <c r="BD99" i="2" s="1"/>
  <c r="BE99" i="2" s="1"/>
  <c r="BF99" i="2" s="1"/>
  <c r="BG99" i="2" s="1"/>
  <c r="BH99" i="2" s="1"/>
  <c r="BI99" i="2" s="1"/>
  <c r="BJ99" i="2" s="1"/>
  <c r="BK99" i="2" s="1"/>
  <c r="BL99" i="2" s="1"/>
  <c r="O39" i="2"/>
  <c r="AB86" i="5" l="1"/>
  <c r="N63" i="2"/>
  <c r="AQ63" i="2" s="1"/>
  <c r="Q209" i="2"/>
  <c r="Q210" i="2" s="1"/>
  <c r="D81" i="1"/>
  <c r="D87" i="1"/>
  <c r="Z16" i="2"/>
  <c r="AZ16" i="2"/>
  <c r="AB98" i="5"/>
  <c r="O44" i="2" s="1"/>
  <c r="O56" i="2" s="1"/>
  <c r="R200" i="2"/>
  <c r="R202" i="2" s="1"/>
  <c r="R203" i="2" s="1"/>
  <c r="R204" i="2" s="1"/>
  <c r="R205" i="2" s="1"/>
  <c r="R207" i="2" s="1"/>
  <c r="AB83" i="5"/>
  <c r="O41" i="2" s="1"/>
  <c r="O53" i="2" s="1"/>
  <c r="AB71" i="5"/>
  <c r="O45" i="2" s="1"/>
  <c r="AP45" i="2" s="1"/>
  <c r="AP57" i="2" s="1"/>
  <c r="BP31" i="2"/>
  <c r="N64" i="2"/>
  <c r="N66" i="2"/>
  <c r="N69" i="2"/>
  <c r="N65" i="2"/>
  <c r="N67" i="2"/>
  <c r="N68" i="2"/>
  <c r="N70" i="2"/>
  <c r="O58" i="2"/>
  <c r="AP46" i="2"/>
  <c r="AP58" i="2" s="1"/>
  <c r="N62" i="2"/>
  <c r="AQ62" i="2" s="1"/>
  <c r="AB79" i="5"/>
  <c r="AP39" i="2"/>
  <c r="AP51" i="2" s="1"/>
  <c r="O51" i="2"/>
  <c r="P62" i="2"/>
  <c r="AP40" i="2"/>
  <c r="AP52" i="2" s="1"/>
  <c r="O52" i="2"/>
  <c r="AQ61" i="2"/>
  <c r="P61" i="2"/>
  <c r="AS200" i="2"/>
  <c r="AR202" i="2"/>
  <c r="AR203" i="2" s="1"/>
  <c r="AR204" i="2" s="1"/>
  <c r="AR205" i="2" s="1"/>
  <c r="S17" i="2"/>
  <c r="R18" i="2"/>
  <c r="AS18" i="2" s="1"/>
  <c r="AS17" i="2"/>
  <c r="O54" i="2"/>
  <c r="AP42" i="2"/>
  <c r="AP54" i="2" s="1"/>
  <c r="AP43" i="2"/>
  <c r="AP55" i="2" s="1"/>
  <c r="O55" i="2"/>
  <c r="Q23" i="2"/>
  <c r="R32" i="2"/>
  <c r="AR24" i="2"/>
  <c r="AL106" i="5"/>
  <c r="AM106" i="5"/>
  <c r="D109" i="1" s="1"/>
  <c r="P63" i="2" l="1"/>
  <c r="AP41" i="2"/>
  <c r="AP53" i="2" s="1"/>
  <c r="AP44" i="2"/>
  <c r="AP56" i="2" s="1"/>
  <c r="O57" i="2"/>
  <c r="D85" i="1"/>
  <c r="P38" i="2"/>
  <c r="AA16" i="2"/>
  <c r="BA16" i="2"/>
  <c r="P68" i="2"/>
  <c r="AQ68" i="2"/>
  <c r="P65" i="2"/>
  <c r="AQ65" i="2"/>
  <c r="AQ66" i="2"/>
  <c r="P66" i="2"/>
  <c r="P67" i="2"/>
  <c r="AQ67" i="2"/>
  <c r="AQ69" i="2"/>
  <c r="P69" i="2"/>
  <c r="P64" i="2"/>
  <c r="AQ64" i="2"/>
  <c r="AS32" i="2"/>
  <c r="AR23" i="2"/>
  <c r="AR207" i="2"/>
  <c r="AR209" i="2" s="1"/>
  <c r="AR210" i="2" s="1"/>
  <c r="R24" i="2"/>
  <c r="R23" i="2" s="1"/>
  <c r="S18" i="2"/>
  <c r="AT18" i="2" s="1"/>
  <c r="T17" i="2"/>
  <c r="AT17" i="2"/>
  <c r="AT200" i="2"/>
  <c r="AS202" i="2"/>
  <c r="AS203" i="2" s="1"/>
  <c r="AS204" i="2" s="1"/>
  <c r="AS205" i="2" s="1"/>
  <c r="AS207" i="2" s="1"/>
  <c r="S200" i="2"/>
  <c r="P46" i="2" l="1"/>
  <c r="P39" i="2"/>
  <c r="P41" i="2"/>
  <c r="P42" i="2"/>
  <c r="P40" i="2"/>
  <c r="P44" i="2"/>
  <c r="P43" i="2"/>
  <c r="P45" i="2"/>
  <c r="Q97" i="2"/>
  <c r="Q89" i="2"/>
  <c r="Q38" i="2"/>
  <c r="P50" i="2"/>
  <c r="P73" i="2" s="1"/>
  <c r="AQ38" i="2"/>
  <c r="AB16" i="2"/>
  <c r="BB16" i="2"/>
  <c r="Q96" i="2"/>
  <c r="S202" i="2"/>
  <c r="S203" i="2" s="1"/>
  <c r="S204" i="2" s="1"/>
  <c r="S205" i="2" s="1"/>
  <c r="S207" i="2" s="1"/>
  <c r="T200" i="2"/>
  <c r="AT202" i="2"/>
  <c r="AT203" i="2" s="1"/>
  <c r="AT204" i="2" s="1"/>
  <c r="AT205" i="2" s="1"/>
  <c r="AT207" i="2" s="1"/>
  <c r="AU200" i="2"/>
  <c r="U17" i="2"/>
  <c r="T18" i="2"/>
  <c r="AU18" i="2" s="1"/>
  <c r="AU17" i="2"/>
  <c r="S24" i="2"/>
  <c r="S23" i="2" s="1"/>
  <c r="BQ210" i="2"/>
  <c r="S32" i="2"/>
  <c r="AS24" i="2"/>
  <c r="AT32" i="2" s="1"/>
  <c r="P24" i="2"/>
  <c r="P51" i="2" l="1"/>
  <c r="P74" i="2" s="1"/>
  <c r="AQ39" i="2"/>
  <c r="Q39" i="2"/>
  <c r="Q90" i="2"/>
  <c r="Q40" i="2"/>
  <c r="AQ40" i="2"/>
  <c r="P52" i="2"/>
  <c r="P75" i="2" s="1"/>
  <c r="Q91" i="2"/>
  <c r="P57" i="2"/>
  <c r="P80" i="2" s="1"/>
  <c r="AQ45" i="2"/>
  <c r="Q45" i="2"/>
  <c r="Q93" i="2"/>
  <c r="Q42" i="2"/>
  <c r="P54" i="2"/>
  <c r="P77" i="2" s="1"/>
  <c r="AQ42" i="2"/>
  <c r="Q44" i="2"/>
  <c r="P56" i="2"/>
  <c r="P79" i="2" s="1"/>
  <c r="Q95" i="2"/>
  <c r="AQ44" i="2"/>
  <c r="AQ50" i="2"/>
  <c r="AQ73" i="2" s="1"/>
  <c r="AR89" i="2"/>
  <c r="Q46" i="2"/>
  <c r="P58" i="2"/>
  <c r="P81" i="2" s="1"/>
  <c r="AQ46" i="2"/>
  <c r="AR38" i="2"/>
  <c r="AR50" i="2" s="1"/>
  <c r="Q50" i="2"/>
  <c r="R38" i="2"/>
  <c r="Q94" i="2"/>
  <c r="P55" i="2"/>
  <c r="P78" i="2" s="1"/>
  <c r="Q43" i="2"/>
  <c r="AQ43" i="2"/>
  <c r="P53" i="2"/>
  <c r="P76" i="2" s="1"/>
  <c r="Q41" i="2"/>
  <c r="Q92" i="2"/>
  <c r="AQ41" i="2"/>
  <c r="AC16" i="2"/>
  <c r="BC16" i="2"/>
  <c r="AS23" i="2"/>
  <c r="T24" i="2"/>
  <c r="T23" i="2" s="1"/>
  <c r="V17" i="2"/>
  <c r="U18" i="2"/>
  <c r="AV18" i="2" s="1"/>
  <c r="AV17" i="2"/>
  <c r="T32" i="2"/>
  <c r="AT24" i="2"/>
  <c r="AU32" i="2" s="1"/>
  <c r="AV200" i="2"/>
  <c r="AU202" i="2"/>
  <c r="AU203" i="2" s="1"/>
  <c r="AU204" i="2" s="1"/>
  <c r="AU205" i="2" s="1"/>
  <c r="AU207" i="2" s="1"/>
  <c r="T202" i="2"/>
  <c r="T203" i="2" s="1"/>
  <c r="T204" i="2" s="1"/>
  <c r="T205" i="2" s="1"/>
  <c r="T207" i="2" s="1"/>
  <c r="U200" i="2"/>
  <c r="Q32" i="2"/>
  <c r="Q31" i="2" s="1"/>
  <c r="AQ24" i="2"/>
  <c r="AR32" i="2" s="1"/>
  <c r="AR31" i="2" s="1"/>
  <c r="AT23" i="2" l="1"/>
  <c r="R40" i="2"/>
  <c r="Q52" i="2"/>
  <c r="AR40" i="2"/>
  <c r="AR52" i="2" s="1"/>
  <c r="AQ58" i="2"/>
  <c r="AQ81" i="2" s="1"/>
  <c r="BP81" i="2" s="1"/>
  <c r="AR97" i="2"/>
  <c r="BP73" i="2"/>
  <c r="AR44" i="2"/>
  <c r="AR56" i="2" s="1"/>
  <c r="R44" i="2"/>
  <c r="Q56" i="2"/>
  <c r="R43" i="2"/>
  <c r="AR43" i="2"/>
  <c r="AR55" i="2" s="1"/>
  <c r="Q55" i="2"/>
  <c r="Q58" i="2"/>
  <c r="R46" i="2"/>
  <c r="AR46" i="2"/>
  <c r="AR58" i="2" s="1"/>
  <c r="AR96" i="2"/>
  <c r="AQ57" i="2"/>
  <c r="AQ80" i="2" s="1"/>
  <c r="BP80" i="2" s="1"/>
  <c r="AR91" i="2"/>
  <c r="AQ52" i="2"/>
  <c r="AQ75" i="2" s="1"/>
  <c r="BP75" i="2" s="1"/>
  <c r="AQ51" i="2"/>
  <c r="AQ74" i="2" s="1"/>
  <c r="BP74" i="2" s="1"/>
  <c r="AR90" i="2"/>
  <c r="R41" i="2"/>
  <c r="Q53" i="2"/>
  <c r="AR41" i="2"/>
  <c r="AR53" i="2" s="1"/>
  <c r="Q54" i="2"/>
  <c r="R42" i="2"/>
  <c r="AR42" i="2"/>
  <c r="AR54" i="2" s="1"/>
  <c r="P82" i="2"/>
  <c r="AR92" i="2"/>
  <c r="AQ53" i="2"/>
  <c r="AQ76" i="2" s="1"/>
  <c r="BP76" i="2" s="1"/>
  <c r="AQ55" i="2"/>
  <c r="AQ78" i="2" s="1"/>
  <c r="BP78" i="2" s="1"/>
  <c r="AR94" i="2"/>
  <c r="R50" i="2"/>
  <c r="AS38" i="2"/>
  <c r="S38" i="2"/>
  <c r="AQ56" i="2"/>
  <c r="AQ79" i="2" s="1"/>
  <c r="BP79" i="2" s="1"/>
  <c r="AR95" i="2"/>
  <c r="AR93" i="2"/>
  <c r="AQ54" i="2"/>
  <c r="AQ77" i="2" s="1"/>
  <c r="BP77" i="2" s="1"/>
  <c r="R45" i="2"/>
  <c r="Q57" i="2"/>
  <c r="AR45" i="2"/>
  <c r="AR57" i="2" s="1"/>
  <c r="Q51" i="2"/>
  <c r="R39" i="2"/>
  <c r="AR39" i="2"/>
  <c r="AR51" i="2" s="1"/>
  <c r="AD16" i="2"/>
  <c r="BD16" i="2"/>
  <c r="R31" i="2"/>
  <c r="Q64" i="2"/>
  <c r="Q65" i="2"/>
  <c r="Q66" i="2"/>
  <c r="Q67" i="2"/>
  <c r="Q68" i="2"/>
  <c r="Q69" i="2"/>
  <c r="BQ31" i="2"/>
  <c r="R206" i="2"/>
  <c r="Q62" i="2"/>
  <c r="Q63" i="2"/>
  <c r="Q61" i="2"/>
  <c r="AV202" i="2"/>
  <c r="AV203" i="2" s="1"/>
  <c r="AV204" i="2" s="1"/>
  <c r="AV205" i="2" s="1"/>
  <c r="AV207" i="2" s="1"/>
  <c r="AW200" i="2"/>
  <c r="W17" i="2"/>
  <c r="AW17" i="2"/>
  <c r="V18" i="2"/>
  <c r="AW18" i="2" s="1"/>
  <c r="U24" i="2"/>
  <c r="U23" i="2" s="1"/>
  <c r="AS31" i="2"/>
  <c r="AR64" i="2"/>
  <c r="AR65" i="2"/>
  <c r="AR66" i="2"/>
  <c r="AR67" i="2"/>
  <c r="AR68" i="2"/>
  <c r="AR69" i="2"/>
  <c r="AS206" i="2"/>
  <c r="AR62" i="2"/>
  <c r="AR61" i="2"/>
  <c r="AR63" i="2"/>
  <c r="U202" i="2"/>
  <c r="U203" i="2" s="1"/>
  <c r="U204" i="2" s="1"/>
  <c r="U205" i="2" s="1"/>
  <c r="U207" i="2" s="1"/>
  <c r="V200" i="2"/>
  <c r="U32" i="2"/>
  <c r="AU24" i="2"/>
  <c r="AV32" i="2" s="1"/>
  <c r="AR75" i="2" l="1"/>
  <c r="AR74" i="2"/>
  <c r="AR78" i="2"/>
  <c r="AR79" i="2"/>
  <c r="AR77" i="2"/>
  <c r="AR76" i="2"/>
  <c r="AS45" i="2"/>
  <c r="S45" i="2"/>
  <c r="R57" i="2"/>
  <c r="S50" i="2"/>
  <c r="T38" i="2"/>
  <c r="AS50" i="2"/>
  <c r="AT38" i="2"/>
  <c r="AS42" i="2"/>
  <c r="S42" i="2"/>
  <c r="R54" i="2"/>
  <c r="AS41" i="2"/>
  <c r="R53" i="2"/>
  <c r="S41" i="2"/>
  <c r="AS46" i="2"/>
  <c r="S46" i="2"/>
  <c r="R58" i="2"/>
  <c r="AS43" i="2"/>
  <c r="S43" i="2"/>
  <c r="R55" i="2"/>
  <c r="AQ82" i="2"/>
  <c r="BP82" i="2" s="1"/>
  <c r="AU23" i="2"/>
  <c r="S39" i="2"/>
  <c r="R51" i="2"/>
  <c r="AS39" i="2"/>
  <c r="R56" i="2"/>
  <c r="S44" i="2"/>
  <c r="AS44" i="2"/>
  <c r="S40" i="2"/>
  <c r="AS40" i="2"/>
  <c r="R52" i="2"/>
  <c r="AE16" i="2"/>
  <c r="BE16" i="2"/>
  <c r="AR101" i="2"/>
  <c r="AS89" i="2"/>
  <c r="AR73" i="2"/>
  <c r="AS208" i="2"/>
  <c r="AS209" i="2" s="1"/>
  <c r="AS210" i="2" s="1"/>
  <c r="AR136" i="2"/>
  <c r="AS96" i="2"/>
  <c r="AR80" i="2"/>
  <c r="AR126" i="2"/>
  <c r="AS94" i="2"/>
  <c r="AR116" i="2"/>
  <c r="AS92" i="2"/>
  <c r="V32" i="2"/>
  <c r="AV24" i="2"/>
  <c r="AW32" i="2" s="1"/>
  <c r="W18" i="2"/>
  <c r="AX18" i="2" s="1"/>
  <c r="X17" i="2"/>
  <c r="AX17" i="2"/>
  <c r="Q111" i="2"/>
  <c r="R91" i="2"/>
  <c r="Q75" i="2"/>
  <c r="R208" i="2"/>
  <c r="R209" i="2" s="1"/>
  <c r="R210" i="2" s="1"/>
  <c r="Q141" i="2"/>
  <c r="R97" i="2"/>
  <c r="Q81" i="2"/>
  <c r="Q131" i="2"/>
  <c r="R95" i="2"/>
  <c r="Q79" i="2"/>
  <c r="Q121" i="2"/>
  <c r="R93" i="2"/>
  <c r="Q77" i="2"/>
  <c r="S31" i="2"/>
  <c r="R66" i="2"/>
  <c r="R67" i="2"/>
  <c r="R69" i="2"/>
  <c r="S206" i="2"/>
  <c r="BR31" i="2"/>
  <c r="R68" i="2"/>
  <c r="R64" i="2"/>
  <c r="R65" i="2"/>
  <c r="R62" i="2"/>
  <c r="R63" i="2"/>
  <c r="R61" i="2"/>
  <c r="V202" i="2"/>
  <c r="V203" i="2" s="1"/>
  <c r="V204" i="2" s="1"/>
  <c r="V205" i="2" s="1"/>
  <c r="V207" i="2" s="1"/>
  <c r="W200" i="2"/>
  <c r="AR111" i="2"/>
  <c r="AS91" i="2"/>
  <c r="AR106" i="2"/>
  <c r="AS90" i="2"/>
  <c r="AR141" i="2"/>
  <c r="AS97" i="2"/>
  <c r="AR81" i="2"/>
  <c r="AR131" i="2"/>
  <c r="AS95" i="2"/>
  <c r="AR121" i="2"/>
  <c r="AS93" i="2"/>
  <c r="AT31" i="2"/>
  <c r="AS66" i="2"/>
  <c r="AS67" i="2"/>
  <c r="AS69" i="2"/>
  <c r="AT206" i="2"/>
  <c r="AS68" i="2"/>
  <c r="AS65" i="2"/>
  <c r="AS64" i="2"/>
  <c r="AS63" i="2"/>
  <c r="AS62" i="2"/>
  <c r="AS61" i="2"/>
  <c r="V24" i="2"/>
  <c r="V23" i="2" s="1"/>
  <c r="AW202" i="2"/>
  <c r="AW203" i="2" s="1"/>
  <c r="AW204" i="2" s="1"/>
  <c r="AW205" i="2" s="1"/>
  <c r="AW207" i="2" s="1"/>
  <c r="AX200" i="2"/>
  <c r="Q101" i="2"/>
  <c r="R89" i="2"/>
  <c r="Q73" i="2"/>
  <c r="Q106" i="2"/>
  <c r="R90" i="2"/>
  <c r="Q74" i="2"/>
  <c r="Q136" i="2"/>
  <c r="R96" i="2"/>
  <c r="Q80" i="2"/>
  <c r="Q126" i="2"/>
  <c r="R94" i="2"/>
  <c r="Q78" i="2"/>
  <c r="Q116" i="2"/>
  <c r="R92" i="2"/>
  <c r="Q76" i="2"/>
  <c r="AV23" i="2" l="1"/>
  <c r="AT40" i="2"/>
  <c r="AS52" i="2"/>
  <c r="AS75" i="2" s="1"/>
  <c r="T39" i="2"/>
  <c r="S51" i="2"/>
  <c r="AT46" i="2"/>
  <c r="AS58" i="2"/>
  <c r="AS81" i="2" s="1"/>
  <c r="T45" i="2"/>
  <c r="S57" i="2"/>
  <c r="AT43" i="2"/>
  <c r="AS55" i="2"/>
  <c r="AS78" i="2" s="1"/>
  <c r="S54" i="2"/>
  <c r="T42" i="2"/>
  <c r="AT45" i="2"/>
  <c r="AS57" i="2"/>
  <c r="AS80" i="2" s="1"/>
  <c r="AT44" i="2"/>
  <c r="AS56" i="2"/>
  <c r="AS79" i="2" s="1"/>
  <c r="AT39" i="2"/>
  <c r="AS51" i="2"/>
  <c r="AS74" i="2" s="1"/>
  <c r="AS54" i="2"/>
  <c r="AS77" i="2" s="1"/>
  <c r="AT42" i="2"/>
  <c r="S55" i="2"/>
  <c r="T43" i="2"/>
  <c r="T40" i="2"/>
  <c r="S52" i="2"/>
  <c r="T41" i="2"/>
  <c r="S53" i="2"/>
  <c r="T50" i="2"/>
  <c r="U38" i="2"/>
  <c r="S56" i="2"/>
  <c r="T44" i="2"/>
  <c r="T46" i="2"/>
  <c r="S58" i="2"/>
  <c r="AS53" i="2"/>
  <c r="AS76" i="2" s="1"/>
  <c r="AT41" i="2"/>
  <c r="AU38" i="2"/>
  <c r="AT50" i="2"/>
  <c r="AF16" i="2"/>
  <c r="BF16" i="2"/>
  <c r="W24" i="2"/>
  <c r="W23" i="2" s="1"/>
  <c r="BQ78" i="2"/>
  <c r="BQ76" i="2"/>
  <c r="Q117" i="2"/>
  <c r="R118" i="2" s="1"/>
  <c r="S119" i="2" s="1"/>
  <c r="Q118" i="2"/>
  <c r="R119" i="2" s="1"/>
  <c r="S120" i="2" s="1"/>
  <c r="AT120" i="2" s="1"/>
  <c r="Q119" i="2"/>
  <c r="R120" i="2" s="1"/>
  <c r="Q120" i="2"/>
  <c r="Q165" i="2"/>
  <c r="BQ80" i="2"/>
  <c r="Q137" i="2"/>
  <c r="R138" i="2" s="1"/>
  <c r="S139" i="2" s="1"/>
  <c r="Q138" i="2"/>
  <c r="R139" i="2" s="1"/>
  <c r="S140" i="2" s="1"/>
  <c r="AT140" i="2" s="1"/>
  <c r="Q139" i="2"/>
  <c r="R140" i="2" s="1"/>
  <c r="Q140" i="2"/>
  <c r="Q169" i="2"/>
  <c r="BQ73" i="2"/>
  <c r="Q82" i="2"/>
  <c r="Q102" i="2"/>
  <c r="R103" i="2" s="1"/>
  <c r="S104" i="2" s="1"/>
  <c r="Q103" i="2"/>
  <c r="R104" i="2" s="1"/>
  <c r="S105" i="2" s="1"/>
  <c r="AT105" i="2" s="1"/>
  <c r="Q104" i="2"/>
  <c r="R105" i="2" s="1"/>
  <c r="Q147" i="2"/>
  <c r="Q105" i="2"/>
  <c r="Q162" i="2"/>
  <c r="AS106" i="2"/>
  <c r="AT90" i="2"/>
  <c r="AS116" i="2"/>
  <c r="AT92" i="2"/>
  <c r="AS136" i="2"/>
  <c r="AT96" i="2"/>
  <c r="AS141" i="2"/>
  <c r="AT97" i="2"/>
  <c r="AS126" i="2"/>
  <c r="AT94" i="2"/>
  <c r="AR145" i="2"/>
  <c r="AR144" i="2"/>
  <c r="AS145" i="2" s="1"/>
  <c r="AR143" i="2"/>
  <c r="AS144" i="2" s="1"/>
  <c r="AR142" i="2"/>
  <c r="AS143" i="2" s="1"/>
  <c r="AR170" i="2"/>
  <c r="AR109" i="2"/>
  <c r="AS110" i="2" s="1"/>
  <c r="AR108" i="2"/>
  <c r="AS109" i="2" s="1"/>
  <c r="AR107" i="2"/>
  <c r="AS108" i="2" s="1"/>
  <c r="AR110" i="2"/>
  <c r="AR163" i="2"/>
  <c r="AR115" i="2"/>
  <c r="AR114" i="2"/>
  <c r="AS115" i="2" s="1"/>
  <c r="AR113" i="2"/>
  <c r="AS114" i="2" s="1"/>
  <c r="AR112" i="2"/>
  <c r="AS113" i="2" s="1"/>
  <c r="AR164" i="2"/>
  <c r="R101" i="2"/>
  <c r="S89" i="2"/>
  <c r="R73" i="2"/>
  <c r="R106" i="2"/>
  <c r="S90" i="2"/>
  <c r="R74" i="2"/>
  <c r="R116" i="2"/>
  <c r="S92" i="2"/>
  <c r="R76" i="2"/>
  <c r="R141" i="2"/>
  <c r="S97" i="2"/>
  <c r="R81" i="2"/>
  <c r="R126" i="2"/>
  <c r="S94" i="2"/>
  <c r="R78" i="2"/>
  <c r="BQ77" i="2"/>
  <c r="Q122" i="2"/>
  <c r="R123" i="2" s="1"/>
  <c r="S124" i="2" s="1"/>
  <c r="Q123" i="2"/>
  <c r="R124" i="2" s="1"/>
  <c r="S125" i="2" s="1"/>
  <c r="AT125" i="2" s="1"/>
  <c r="Q124" i="2"/>
  <c r="R125" i="2" s="1"/>
  <c r="Q125" i="2"/>
  <c r="Q166" i="2"/>
  <c r="BQ81" i="2"/>
  <c r="Q142" i="2"/>
  <c r="R143" i="2" s="1"/>
  <c r="S144" i="2" s="1"/>
  <c r="Q143" i="2"/>
  <c r="R144" i="2" s="1"/>
  <c r="S145" i="2" s="1"/>
  <c r="AT145" i="2" s="1"/>
  <c r="Q144" i="2"/>
  <c r="R145" i="2" s="1"/>
  <c r="Q145" i="2"/>
  <c r="Q170" i="2"/>
  <c r="AR119" i="2"/>
  <c r="AS120" i="2" s="1"/>
  <c r="AR118" i="2"/>
  <c r="AS119" i="2" s="1"/>
  <c r="AR117" i="2"/>
  <c r="AS118" i="2" s="1"/>
  <c r="AR120" i="2"/>
  <c r="AR165" i="2"/>
  <c r="AR129" i="2"/>
  <c r="AS130" i="2" s="1"/>
  <c r="AR128" i="2"/>
  <c r="AS129" i="2" s="1"/>
  <c r="AR127" i="2"/>
  <c r="AS128" i="2" s="1"/>
  <c r="AR130" i="2"/>
  <c r="AR167" i="2"/>
  <c r="AR82" i="2"/>
  <c r="AR105" i="2"/>
  <c r="AR104" i="2"/>
  <c r="AS105" i="2" s="1"/>
  <c r="AR103" i="2"/>
  <c r="AS104" i="2" s="1"/>
  <c r="AR102" i="2"/>
  <c r="AS103" i="2" s="1"/>
  <c r="AR162" i="2"/>
  <c r="Q127" i="2"/>
  <c r="R128" i="2" s="1"/>
  <c r="S129" i="2" s="1"/>
  <c r="Q128" i="2"/>
  <c r="R129" i="2" s="1"/>
  <c r="S130" i="2" s="1"/>
  <c r="AT130" i="2" s="1"/>
  <c r="Q129" i="2"/>
  <c r="R130" i="2" s="1"/>
  <c r="Q130" i="2"/>
  <c r="Q167" i="2"/>
  <c r="BQ74" i="2"/>
  <c r="Q107" i="2"/>
  <c r="R108" i="2" s="1"/>
  <c r="S109" i="2" s="1"/>
  <c r="Q108" i="2"/>
  <c r="R109" i="2" s="1"/>
  <c r="S110" i="2" s="1"/>
  <c r="AT110" i="2" s="1"/>
  <c r="Q109" i="2"/>
  <c r="R110" i="2" s="1"/>
  <c r="Q110" i="2"/>
  <c r="Q163" i="2"/>
  <c r="AX202" i="2"/>
  <c r="AX203" i="2" s="1"/>
  <c r="AX204" i="2" s="1"/>
  <c r="AX205" i="2" s="1"/>
  <c r="AX207" i="2" s="1"/>
  <c r="AY200" i="2"/>
  <c r="W32" i="2"/>
  <c r="AW24" i="2"/>
  <c r="AX32" i="2" s="1"/>
  <c r="AS101" i="2"/>
  <c r="AT89" i="2"/>
  <c r="AS73" i="2"/>
  <c r="AS111" i="2"/>
  <c r="AT91" i="2"/>
  <c r="AS121" i="2"/>
  <c r="AT93" i="2"/>
  <c r="AT208" i="2"/>
  <c r="AT209" i="2" s="1"/>
  <c r="AT210" i="2" s="1"/>
  <c r="AS131" i="2"/>
  <c r="AT95" i="2"/>
  <c r="AU31" i="2"/>
  <c r="AT64" i="2"/>
  <c r="AT65" i="2"/>
  <c r="AU93" i="2" s="1"/>
  <c r="AT66" i="2"/>
  <c r="AT67" i="2"/>
  <c r="AT68" i="2"/>
  <c r="AT69" i="2"/>
  <c r="AU206" i="2"/>
  <c r="AT62" i="2"/>
  <c r="AT63" i="2"/>
  <c r="AT61" i="2"/>
  <c r="AR125" i="2"/>
  <c r="AR124" i="2"/>
  <c r="AS125" i="2" s="1"/>
  <c r="AR123" i="2"/>
  <c r="AS124" i="2" s="1"/>
  <c r="AR122" i="2"/>
  <c r="AS123" i="2" s="1"/>
  <c r="AR166" i="2"/>
  <c r="AR135" i="2"/>
  <c r="AR134" i="2"/>
  <c r="AS135" i="2" s="1"/>
  <c r="AR133" i="2"/>
  <c r="AS134" i="2" s="1"/>
  <c r="AR132" i="2"/>
  <c r="AS133" i="2" s="1"/>
  <c r="AR168" i="2"/>
  <c r="W202" i="2"/>
  <c r="W203" i="2" s="1"/>
  <c r="W204" i="2" s="1"/>
  <c r="W205" i="2" s="1"/>
  <c r="W207" i="2" s="1"/>
  <c r="X200" i="2"/>
  <c r="R111" i="2"/>
  <c r="S91" i="2"/>
  <c r="R75" i="2"/>
  <c r="R121" i="2"/>
  <c r="S93" i="2"/>
  <c r="R77" i="2"/>
  <c r="R136" i="2"/>
  <c r="S96" i="2"/>
  <c r="R80" i="2"/>
  <c r="S208" i="2"/>
  <c r="S209" i="2" s="1"/>
  <c r="S210" i="2" s="1"/>
  <c r="R131" i="2"/>
  <c r="S95" i="2"/>
  <c r="R79" i="2"/>
  <c r="T31" i="2"/>
  <c r="S64" i="2"/>
  <c r="S65" i="2"/>
  <c r="S66" i="2"/>
  <c r="S67" i="2"/>
  <c r="T206" i="2"/>
  <c r="S69" i="2"/>
  <c r="BS31" i="2"/>
  <c r="S68" i="2"/>
  <c r="S62" i="2"/>
  <c r="S63" i="2"/>
  <c r="S61" i="2"/>
  <c r="BQ79" i="2"/>
  <c r="Q132" i="2"/>
  <c r="R133" i="2" s="1"/>
  <c r="S134" i="2" s="1"/>
  <c r="Q133" i="2"/>
  <c r="R134" i="2" s="1"/>
  <c r="S135" i="2" s="1"/>
  <c r="AT135" i="2" s="1"/>
  <c r="Q134" i="2"/>
  <c r="R135" i="2" s="1"/>
  <c r="Q135" i="2"/>
  <c r="Q168" i="2"/>
  <c r="BR210" i="2"/>
  <c r="BQ75" i="2"/>
  <c r="Q112" i="2"/>
  <c r="R113" i="2" s="1"/>
  <c r="S114" i="2" s="1"/>
  <c r="Q113" i="2"/>
  <c r="R114" i="2" s="1"/>
  <c r="S115" i="2" s="1"/>
  <c r="AT115" i="2" s="1"/>
  <c r="Q114" i="2"/>
  <c r="R115" i="2" s="1"/>
  <c r="Q115" i="2"/>
  <c r="Q164" i="2"/>
  <c r="Y17" i="2"/>
  <c r="AY17" i="2"/>
  <c r="X18" i="2"/>
  <c r="AY18" i="2" s="1"/>
  <c r="AR139" i="2"/>
  <c r="AS140" i="2" s="1"/>
  <c r="AR138" i="2"/>
  <c r="AS139" i="2" s="1"/>
  <c r="AR137" i="2"/>
  <c r="AS138" i="2" s="1"/>
  <c r="AR140" i="2"/>
  <c r="AR169" i="2"/>
  <c r="AU92" i="2" l="1"/>
  <c r="AU91" i="2"/>
  <c r="AU90" i="2"/>
  <c r="AU95" i="2"/>
  <c r="AU41" i="2"/>
  <c r="AT53" i="2"/>
  <c r="AT76" i="2" s="1"/>
  <c r="AT57" i="2"/>
  <c r="AU45" i="2"/>
  <c r="AT55" i="2"/>
  <c r="AT78" i="2" s="1"/>
  <c r="AU43" i="2"/>
  <c r="AU46" i="2"/>
  <c r="AT58" i="2"/>
  <c r="AU94" i="2"/>
  <c r="U50" i="2"/>
  <c r="V38" i="2"/>
  <c r="AU42" i="2"/>
  <c r="AT54" i="2"/>
  <c r="AT77" i="2" s="1"/>
  <c r="T54" i="2"/>
  <c r="U42" i="2"/>
  <c r="T56" i="2"/>
  <c r="U44" i="2"/>
  <c r="U43" i="2"/>
  <c r="T55" i="2"/>
  <c r="AW23" i="2"/>
  <c r="T53" i="2"/>
  <c r="U41" i="2"/>
  <c r="AT51" i="2"/>
  <c r="AT74" i="2" s="1"/>
  <c r="AU39" i="2"/>
  <c r="AU40" i="2"/>
  <c r="AT52" i="2"/>
  <c r="AT75" i="2" s="1"/>
  <c r="AV38" i="2"/>
  <c r="AU50" i="2"/>
  <c r="T58" i="2"/>
  <c r="U46" i="2"/>
  <c r="T52" i="2"/>
  <c r="U40" i="2"/>
  <c r="AT56" i="2"/>
  <c r="AT79" i="2" s="1"/>
  <c r="AU44" i="2"/>
  <c r="U45" i="2"/>
  <c r="T57" i="2"/>
  <c r="T51" i="2"/>
  <c r="U39" i="2"/>
  <c r="AG16" i="2"/>
  <c r="BG16" i="2"/>
  <c r="BQ82" i="2"/>
  <c r="BS210" i="2"/>
  <c r="X24" i="2"/>
  <c r="X23" i="2" s="1"/>
  <c r="S136" i="2"/>
  <c r="T96" i="2"/>
  <c r="S80" i="2"/>
  <c r="S131" i="2"/>
  <c r="T95" i="2"/>
  <c r="S79" i="2"/>
  <c r="U31" i="2"/>
  <c r="T66" i="2"/>
  <c r="T67" i="2"/>
  <c r="T69" i="2"/>
  <c r="U206" i="2"/>
  <c r="BT31" i="2"/>
  <c r="T68" i="2"/>
  <c r="T65" i="2"/>
  <c r="T64" i="2"/>
  <c r="T62" i="2"/>
  <c r="T63" i="2"/>
  <c r="T61" i="2"/>
  <c r="BR80" i="2"/>
  <c r="BR75" i="2"/>
  <c r="AU208" i="2"/>
  <c r="AU209" i="2" s="1"/>
  <c r="AU210" i="2" s="1"/>
  <c r="AS102" i="2"/>
  <c r="AS162" i="2"/>
  <c r="AR183" i="2"/>
  <c r="AR194" i="2" s="1"/>
  <c r="Q178" i="2"/>
  <c r="Q189" i="2" s="1"/>
  <c r="T115" i="2"/>
  <c r="AU115" i="2" s="1"/>
  <c r="AT114" i="2"/>
  <c r="S101" i="2"/>
  <c r="T89" i="2"/>
  <c r="S73" i="2"/>
  <c r="S106" i="2"/>
  <c r="T90" i="2"/>
  <c r="S74" i="2"/>
  <c r="T208" i="2"/>
  <c r="T209" i="2" s="1"/>
  <c r="T210" i="2" s="1"/>
  <c r="S126" i="2"/>
  <c r="T94" i="2"/>
  <c r="S78" i="2"/>
  <c r="S116" i="2"/>
  <c r="T92" i="2"/>
  <c r="S76" i="2"/>
  <c r="BR79" i="2"/>
  <c r="R132" i="2"/>
  <c r="R168" i="2"/>
  <c r="BR77" i="2"/>
  <c r="R122" i="2"/>
  <c r="R166" i="2"/>
  <c r="Y200" i="2"/>
  <c r="X202" i="2"/>
  <c r="X203" i="2" s="1"/>
  <c r="X204" i="2" s="1"/>
  <c r="X205" i="2" s="1"/>
  <c r="X207" i="2" s="1"/>
  <c r="AR182" i="2"/>
  <c r="AR193" i="2" s="1"/>
  <c r="AU89" i="2"/>
  <c r="AT73" i="2"/>
  <c r="AU97" i="2"/>
  <c r="AT81" i="2"/>
  <c r="AV31" i="2"/>
  <c r="AU66" i="2"/>
  <c r="AV94" i="2" s="1"/>
  <c r="AU69" i="2"/>
  <c r="AU67" i="2"/>
  <c r="AV206" i="2"/>
  <c r="AU68" i="2"/>
  <c r="AU64" i="2"/>
  <c r="AU65" i="2"/>
  <c r="AV93" i="2" s="1"/>
  <c r="AU61" i="2"/>
  <c r="AU63" i="2"/>
  <c r="AU62" i="2"/>
  <c r="AS132" i="2"/>
  <c r="AS168" i="2"/>
  <c r="AS122" i="2"/>
  <c r="AS166" i="2"/>
  <c r="AS112" i="2"/>
  <c r="AS164" i="2"/>
  <c r="AZ200" i="2"/>
  <c r="AY202" i="2"/>
  <c r="AY203" i="2" s="1"/>
  <c r="AY204" i="2" s="1"/>
  <c r="AY205" i="2" s="1"/>
  <c r="AY207" i="2" s="1"/>
  <c r="Q177" i="2"/>
  <c r="Q188" i="2" s="1"/>
  <c r="T110" i="2"/>
  <c r="AU110" i="2" s="1"/>
  <c r="AT109" i="2"/>
  <c r="AR176" i="2"/>
  <c r="AR187" i="2" s="1"/>
  <c r="AR171" i="2"/>
  <c r="AR179" i="2"/>
  <c r="AR190" i="2" s="1"/>
  <c r="Q180" i="2"/>
  <c r="Q191" i="2" s="1"/>
  <c r="T125" i="2"/>
  <c r="AU125" i="2" s="1"/>
  <c r="AT124" i="2"/>
  <c r="BR81" i="2"/>
  <c r="R142" i="2"/>
  <c r="R170" i="2"/>
  <c r="BR74" i="2"/>
  <c r="R107" i="2"/>
  <c r="R163" i="2"/>
  <c r="AR178" i="2"/>
  <c r="AR189" i="2" s="1"/>
  <c r="AR184" i="2"/>
  <c r="AR195" i="2" s="1"/>
  <c r="AS127" i="2"/>
  <c r="AS167" i="2"/>
  <c r="AS137" i="2"/>
  <c r="AS169" i="2"/>
  <c r="AS117" i="2"/>
  <c r="AS165" i="2"/>
  <c r="AS107" i="2"/>
  <c r="AS163" i="2"/>
  <c r="T105" i="2"/>
  <c r="AU105" i="2" s="1"/>
  <c r="AT104" i="2"/>
  <c r="Q183" i="2"/>
  <c r="Q194" i="2" s="1"/>
  <c r="T140" i="2"/>
  <c r="AU140" i="2" s="1"/>
  <c r="AT139" i="2"/>
  <c r="Y18" i="2"/>
  <c r="AZ18" i="2" s="1"/>
  <c r="Z17" i="2"/>
  <c r="AZ17" i="2"/>
  <c r="Q182" i="2"/>
  <c r="Q193" i="2" s="1"/>
  <c r="T135" i="2"/>
  <c r="AU135" i="2" s="1"/>
  <c r="AT134" i="2"/>
  <c r="S111" i="2"/>
  <c r="T91" i="2"/>
  <c r="S75" i="2"/>
  <c r="S141" i="2"/>
  <c r="T97" i="2"/>
  <c r="S81" i="2"/>
  <c r="S121" i="2"/>
  <c r="T93" i="2"/>
  <c r="S77" i="2"/>
  <c r="R137" i="2"/>
  <c r="R169" i="2"/>
  <c r="R112" i="2"/>
  <c r="R164" i="2"/>
  <c r="AR180" i="2"/>
  <c r="AR191" i="2" s="1"/>
  <c r="AU96" i="2"/>
  <c r="AT80" i="2"/>
  <c r="AS82" i="2"/>
  <c r="Q181" i="2"/>
  <c r="Q192" i="2" s="1"/>
  <c r="T130" i="2"/>
  <c r="AU130" i="2" s="1"/>
  <c r="AT129" i="2"/>
  <c r="AR181" i="2"/>
  <c r="AR192" i="2" s="1"/>
  <c r="Q184" i="2"/>
  <c r="Q195" i="2" s="1"/>
  <c r="T145" i="2"/>
  <c r="AU145" i="2" s="1"/>
  <c r="AT144" i="2"/>
  <c r="BR78" i="2"/>
  <c r="R127" i="2"/>
  <c r="R167" i="2"/>
  <c r="BR76" i="2"/>
  <c r="R117" i="2"/>
  <c r="R165" i="2"/>
  <c r="R82" i="2"/>
  <c r="BR73" i="2"/>
  <c r="R102" i="2"/>
  <c r="R147" i="2"/>
  <c r="R162" i="2"/>
  <c r="AR177" i="2"/>
  <c r="AR188" i="2" s="1"/>
  <c r="AS142" i="2"/>
  <c r="AS170" i="2"/>
  <c r="Q176" i="2"/>
  <c r="Q187" i="2" s="1"/>
  <c r="Q171" i="2"/>
  <c r="Q179" i="2"/>
  <c r="Q190" i="2" s="1"/>
  <c r="T120" i="2"/>
  <c r="AU120" i="2" s="1"/>
  <c r="AT119" i="2"/>
  <c r="X32" i="2"/>
  <c r="AX24" i="2"/>
  <c r="AY32" i="2" s="1"/>
  <c r="BR82" i="2" l="1"/>
  <c r="AV95" i="2"/>
  <c r="AV91" i="2"/>
  <c r="AV92" i="2"/>
  <c r="V40" i="2"/>
  <c r="U52" i="2"/>
  <c r="AU51" i="2"/>
  <c r="AU74" i="2" s="1"/>
  <c r="AV39" i="2"/>
  <c r="AV42" i="2"/>
  <c r="AU54" i="2"/>
  <c r="AU77" i="2" s="1"/>
  <c r="AV45" i="2"/>
  <c r="AU57" i="2"/>
  <c r="AU80" i="2" s="1"/>
  <c r="U57" i="2"/>
  <c r="V45" i="2"/>
  <c r="AW38" i="2"/>
  <c r="AV50" i="2"/>
  <c r="V42" i="2"/>
  <c r="U54" i="2"/>
  <c r="V50" i="2"/>
  <c r="W38" i="2"/>
  <c r="AV46" i="2"/>
  <c r="AU58" i="2"/>
  <c r="AU81" i="2" s="1"/>
  <c r="U51" i="2"/>
  <c r="V39" i="2"/>
  <c r="AU56" i="2"/>
  <c r="AU79" i="2" s="1"/>
  <c r="AV44" i="2"/>
  <c r="V46" i="2"/>
  <c r="U58" i="2"/>
  <c r="U53" i="2"/>
  <c r="V41" i="2"/>
  <c r="V43" i="2"/>
  <c r="U55" i="2"/>
  <c r="AV43" i="2"/>
  <c r="AU55" i="2"/>
  <c r="AU78" i="2" s="1"/>
  <c r="AV90" i="2"/>
  <c r="AU52" i="2"/>
  <c r="AU75" i="2" s="1"/>
  <c r="AV40" i="2"/>
  <c r="V44" i="2"/>
  <c r="U56" i="2"/>
  <c r="AV41" i="2"/>
  <c r="AU53" i="2"/>
  <c r="AU76" i="2" s="1"/>
  <c r="AH16" i="2"/>
  <c r="BH16" i="2"/>
  <c r="AR196" i="2"/>
  <c r="Y24" i="2"/>
  <c r="Y23" i="2" s="1"/>
  <c r="BT210" i="2"/>
  <c r="Q196" i="2"/>
  <c r="AR220" i="2" s="1"/>
  <c r="AR233" i="2" s="1"/>
  <c r="S118" i="2"/>
  <c r="S117" i="2" s="1"/>
  <c r="R153" i="2"/>
  <c r="S113" i="2"/>
  <c r="S112" i="2" s="1"/>
  <c r="R152" i="2"/>
  <c r="AT141" i="2"/>
  <c r="AT170" i="2" s="1"/>
  <c r="S170" i="2"/>
  <c r="S108" i="2"/>
  <c r="S107" i="2" s="1"/>
  <c r="R151" i="2"/>
  <c r="S143" i="2"/>
  <c r="S142" i="2" s="1"/>
  <c r="R158" i="2"/>
  <c r="AS180" i="2"/>
  <c r="AS191" i="2" s="1"/>
  <c r="AV97" i="2"/>
  <c r="AW31" i="2"/>
  <c r="AV64" i="2"/>
  <c r="AV65" i="2"/>
  <c r="AV66" i="2"/>
  <c r="AV67" i="2"/>
  <c r="AV68" i="2"/>
  <c r="AV69" i="2"/>
  <c r="AW206" i="2"/>
  <c r="AV63" i="2"/>
  <c r="AV62" i="2"/>
  <c r="AV61" i="2"/>
  <c r="S123" i="2"/>
  <c r="S122" i="2" s="1"/>
  <c r="R154" i="2"/>
  <c r="AT126" i="2"/>
  <c r="AT167" i="2" s="1"/>
  <c r="S167" i="2"/>
  <c r="BS73" i="2"/>
  <c r="S82" i="2"/>
  <c r="T106" i="2"/>
  <c r="U90" i="2"/>
  <c r="T74" i="2"/>
  <c r="T126" i="2"/>
  <c r="U94" i="2"/>
  <c r="T78" i="2"/>
  <c r="AT131" i="2"/>
  <c r="AT168" i="2" s="1"/>
  <c r="S168" i="2"/>
  <c r="AS184" i="2"/>
  <c r="AS195" i="2" s="1"/>
  <c r="R171" i="2"/>
  <c r="P171" i="2" s="1"/>
  <c r="R176" i="2"/>
  <c r="R187" i="2" s="1"/>
  <c r="S103" i="2"/>
  <c r="S102" i="2" s="1"/>
  <c r="R150" i="2"/>
  <c r="R179" i="2"/>
  <c r="R190" i="2" s="1"/>
  <c r="R181" i="2"/>
  <c r="R192" i="2" s="1"/>
  <c r="R178" i="2"/>
  <c r="R189" i="2" s="1"/>
  <c r="R183" i="2"/>
  <c r="R194" i="2" s="1"/>
  <c r="BS77" i="2"/>
  <c r="AT121" i="2"/>
  <c r="AT166" i="2" s="1"/>
  <c r="S166" i="2"/>
  <c r="BS75" i="2"/>
  <c r="AT111" i="2"/>
  <c r="AT164" i="2" s="1"/>
  <c r="S164" i="2"/>
  <c r="AA17" i="2"/>
  <c r="BA17" i="2"/>
  <c r="Z18" i="2"/>
  <c r="BA18" i="2" s="1"/>
  <c r="AS177" i="2"/>
  <c r="AS188" i="2" s="1"/>
  <c r="AS179" i="2"/>
  <c r="AS190" i="2" s="1"/>
  <c r="AS183" i="2"/>
  <c r="AS194" i="2" s="1"/>
  <c r="AS181" i="2"/>
  <c r="AS192" i="2" s="1"/>
  <c r="R177" i="2"/>
  <c r="R188" i="2" s="1"/>
  <c r="R184" i="2"/>
  <c r="R195" i="2" s="1"/>
  <c r="AZ202" i="2"/>
  <c r="AZ203" i="2" s="1"/>
  <c r="AZ204" i="2" s="1"/>
  <c r="AZ205" i="2" s="1"/>
  <c r="AZ207" i="2" s="1"/>
  <c r="BA200" i="2"/>
  <c r="AV96" i="2"/>
  <c r="AT82" i="2"/>
  <c r="R180" i="2"/>
  <c r="R191" i="2" s="1"/>
  <c r="R182" i="2"/>
  <c r="R193" i="2" s="1"/>
  <c r="BS76" i="2"/>
  <c r="AT116" i="2"/>
  <c r="AT165" i="2" s="1"/>
  <c r="S165" i="2"/>
  <c r="BS74" i="2"/>
  <c r="AT106" i="2"/>
  <c r="AT163" i="2" s="1"/>
  <c r="S163" i="2"/>
  <c r="AS176" i="2"/>
  <c r="AS187" i="2" s="1"/>
  <c r="AS171" i="2"/>
  <c r="AQ171" i="2" s="1"/>
  <c r="T111" i="2"/>
  <c r="U91" i="2"/>
  <c r="T75" i="2"/>
  <c r="T116" i="2"/>
  <c r="U92" i="2"/>
  <c r="T76" i="2"/>
  <c r="T136" i="2"/>
  <c r="U96" i="2"/>
  <c r="T80" i="2"/>
  <c r="U208" i="2"/>
  <c r="U209" i="2" s="1"/>
  <c r="U210" i="2" s="1"/>
  <c r="T131" i="2"/>
  <c r="U95" i="2"/>
  <c r="T79" i="2"/>
  <c r="V31" i="2"/>
  <c r="U64" i="2"/>
  <c r="U65" i="2"/>
  <c r="U66" i="2"/>
  <c r="U67" i="2"/>
  <c r="U68" i="2"/>
  <c r="U69" i="2"/>
  <c r="V206" i="2"/>
  <c r="BU31" i="2"/>
  <c r="U62" i="2"/>
  <c r="U61" i="2"/>
  <c r="U63" i="2"/>
  <c r="BS80" i="2"/>
  <c r="AT136" i="2"/>
  <c r="AT169" i="2" s="1"/>
  <c r="S169" i="2"/>
  <c r="S128" i="2"/>
  <c r="R155" i="2"/>
  <c r="S138" i="2"/>
  <c r="R157" i="2"/>
  <c r="BS81" i="2"/>
  <c r="AS178" i="2"/>
  <c r="AS189" i="2" s="1"/>
  <c r="AS182" i="2"/>
  <c r="AS193" i="2" s="1"/>
  <c r="AV89" i="2"/>
  <c r="AU73" i="2"/>
  <c r="AV208" i="2"/>
  <c r="AV209" i="2" s="1"/>
  <c r="AV210" i="2" s="1"/>
  <c r="Y202" i="2"/>
  <c r="Y203" i="2" s="1"/>
  <c r="Y204" i="2" s="1"/>
  <c r="Y205" i="2" s="1"/>
  <c r="Y207" i="2" s="1"/>
  <c r="Z200" i="2"/>
  <c r="S133" i="2"/>
  <c r="R156" i="2"/>
  <c r="BS78" i="2"/>
  <c r="AT101" i="2"/>
  <c r="AT162" i="2" s="1"/>
  <c r="S147" i="2"/>
  <c r="S162" i="2"/>
  <c r="T101" i="2"/>
  <c r="U89" i="2"/>
  <c r="T73" i="2"/>
  <c r="T121" i="2"/>
  <c r="U93" i="2"/>
  <c r="T77" i="2"/>
  <c r="T141" i="2"/>
  <c r="U97" i="2"/>
  <c r="T81" i="2"/>
  <c r="BS79" i="2"/>
  <c r="Y32" i="2"/>
  <c r="AY24" i="2"/>
  <c r="AZ32" i="2" s="1"/>
  <c r="AX23" i="2"/>
  <c r="AW91" i="2" l="1"/>
  <c r="Q218" i="2"/>
  <c r="Q231" i="2" s="1"/>
  <c r="Q272" i="2" s="1"/>
  <c r="AR217" i="2"/>
  <c r="AR230" i="2" s="1"/>
  <c r="AR258" i="2" s="1"/>
  <c r="AR297" i="2" s="1"/>
  <c r="Q217" i="2"/>
  <c r="Q230" i="2" s="1"/>
  <c r="Q282" i="2" s="1"/>
  <c r="AW94" i="2"/>
  <c r="AR218" i="2"/>
  <c r="AR231" i="2" s="1"/>
  <c r="AR272" i="2" s="1"/>
  <c r="P164" i="2"/>
  <c r="AR219" i="2"/>
  <c r="AR232" i="2" s="1"/>
  <c r="AR273" i="2" s="1"/>
  <c r="P168" i="2"/>
  <c r="P170" i="2"/>
  <c r="AW90" i="2"/>
  <c r="AW92" i="2"/>
  <c r="AQ168" i="2"/>
  <c r="P169" i="2"/>
  <c r="P167" i="2"/>
  <c r="Q219" i="2"/>
  <c r="Q232" i="2" s="1"/>
  <c r="Q284" i="2" s="1"/>
  <c r="P163" i="2"/>
  <c r="AW41" i="2"/>
  <c r="AV53" i="2"/>
  <c r="AV76" i="2" s="1"/>
  <c r="V51" i="2"/>
  <c r="W39" i="2"/>
  <c r="X38" i="2"/>
  <c r="W50" i="2"/>
  <c r="AW39" i="2"/>
  <c r="AV51" i="2"/>
  <c r="AV74" i="2" s="1"/>
  <c r="AW93" i="2"/>
  <c r="W43" i="2"/>
  <c r="V55" i="2"/>
  <c r="W46" i="2"/>
  <c r="V58" i="2"/>
  <c r="AW50" i="2"/>
  <c r="AX38" i="2"/>
  <c r="AW45" i="2"/>
  <c r="AV57" i="2"/>
  <c r="AV80" i="2" s="1"/>
  <c r="W44" i="2"/>
  <c r="V56" i="2"/>
  <c r="V53" i="2"/>
  <c r="W41" i="2"/>
  <c r="AW44" i="2"/>
  <c r="AV56" i="2"/>
  <c r="AV79" i="2" s="1"/>
  <c r="W45" i="2"/>
  <c r="V57" i="2"/>
  <c r="AW95" i="2"/>
  <c r="AW40" i="2"/>
  <c r="AV52" i="2"/>
  <c r="AV75" i="2" s="1"/>
  <c r="AV55" i="2"/>
  <c r="AV78" i="2" s="1"/>
  <c r="AW43" i="2"/>
  <c r="AW46" i="2"/>
  <c r="AV58" i="2"/>
  <c r="AV81" i="2" s="1"/>
  <c r="W42" i="2"/>
  <c r="V54" i="2"/>
  <c r="AV54" i="2"/>
  <c r="AV77" i="2" s="1"/>
  <c r="AW42" i="2"/>
  <c r="W40" i="2"/>
  <c r="V52" i="2"/>
  <c r="AI16" i="2"/>
  <c r="BI16" i="2"/>
  <c r="Q212" i="2"/>
  <c r="Q225" i="2" s="1"/>
  <c r="Q253" i="2" s="1"/>
  <c r="Q292" i="2" s="1"/>
  <c r="AY23" i="2"/>
  <c r="AR212" i="2"/>
  <c r="AR225" i="2" s="1"/>
  <c r="AR215" i="2"/>
  <c r="AR228" i="2" s="1"/>
  <c r="AR280" i="2" s="1"/>
  <c r="Q220" i="2"/>
  <c r="Q233" i="2" s="1"/>
  <c r="Q274" i="2" s="1"/>
  <c r="Q213" i="2"/>
  <c r="Q226" i="2" s="1"/>
  <c r="Q254" i="2" s="1"/>
  <c r="Q293" i="2" s="1"/>
  <c r="Q214" i="2"/>
  <c r="Q227" i="2" s="1"/>
  <c r="Q268" i="2" s="1"/>
  <c r="AR216" i="2"/>
  <c r="AR229" i="2" s="1"/>
  <c r="AR270" i="2" s="1"/>
  <c r="AR274" i="2"/>
  <c r="AR285" i="2"/>
  <c r="AR261" i="2"/>
  <c r="AR300" i="2" s="1"/>
  <c r="AS196" i="2"/>
  <c r="R196" i="2"/>
  <c r="AS215" i="2" s="1"/>
  <c r="AS228" i="2" s="1"/>
  <c r="AU121" i="2"/>
  <c r="AU166" i="2" s="1"/>
  <c r="T166" i="2"/>
  <c r="S176" i="2"/>
  <c r="S187" i="2" s="1"/>
  <c r="S171" i="2"/>
  <c r="T139" i="2"/>
  <c r="AT138" i="2"/>
  <c r="AT183" i="2"/>
  <c r="AT194" i="2" s="1"/>
  <c r="U101" i="2"/>
  <c r="V89" i="2"/>
  <c r="U73" i="2"/>
  <c r="U141" i="2"/>
  <c r="V97" i="2"/>
  <c r="U81" i="2"/>
  <c r="U121" i="2"/>
  <c r="V93" i="2"/>
  <c r="U77" i="2"/>
  <c r="BT80" i="2"/>
  <c r="BT81" i="2"/>
  <c r="AU141" i="2"/>
  <c r="AU170" i="2" s="1"/>
  <c r="T170" i="2"/>
  <c r="BT73" i="2"/>
  <c r="T82" i="2"/>
  <c r="AU101" i="2"/>
  <c r="AU162" i="2" s="1"/>
  <c r="T147" i="2"/>
  <c r="T162" i="2"/>
  <c r="AT176" i="2"/>
  <c r="AT187" i="2" s="1"/>
  <c r="AT171" i="2"/>
  <c r="T134" i="2"/>
  <c r="AT133" i="2"/>
  <c r="BR157" i="2"/>
  <c r="T129" i="2"/>
  <c r="AT128" i="2"/>
  <c r="U111" i="2"/>
  <c r="V91" i="2"/>
  <c r="U75" i="2"/>
  <c r="U106" i="2"/>
  <c r="V90" i="2"/>
  <c r="U74" i="2"/>
  <c r="V208" i="2"/>
  <c r="V209" i="2" s="1"/>
  <c r="V210" i="2" s="1"/>
  <c r="U136" i="2"/>
  <c r="V96" i="2"/>
  <c r="U80" i="2"/>
  <c r="U126" i="2"/>
  <c r="V94" i="2"/>
  <c r="U78" i="2"/>
  <c r="U116" i="2"/>
  <c r="V92" i="2"/>
  <c r="U76" i="2"/>
  <c r="BT79" i="2"/>
  <c r="AU131" i="2"/>
  <c r="AU168" i="2" s="1"/>
  <c r="T168" i="2"/>
  <c r="BT76" i="2"/>
  <c r="AU116" i="2"/>
  <c r="AU165" i="2" s="1"/>
  <c r="T165" i="2"/>
  <c r="S177" i="2"/>
  <c r="S188" i="2" s="1"/>
  <c r="AT177" i="2"/>
  <c r="AT188" i="2" s="1"/>
  <c r="S153" i="2"/>
  <c r="T118" i="2"/>
  <c r="AT117" i="2"/>
  <c r="BB200" i="2"/>
  <c r="BA202" i="2"/>
  <c r="BA203" i="2" s="1"/>
  <c r="BA204" i="2" s="1"/>
  <c r="BA205" i="2" s="1"/>
  <c r="BA207" i="2" s="1"/>
  <c r="AA18" i="2"/>
  <c r="BB18" i="2" s="1"/>
  <c r="AB17" i="2"/>
  <c r="BB17" i="2"/>
  <c r="S152" i="2"/>
  <c r="T113" i="2"/>
  <c r="AT112" i="2"/>
  <c r="S180" i="2"/>
  <c r="S191" i="2" s="1"/>
  <c r="AT180" i="2"/>
  <c r="AT191" i="2" s="1"/>
  <c r="T104" i="2"/>
  <c r="AT103" i="2"/>
  <c r="S182" i="2"/>
  <c r="S193" i="2" s="1"/>
  <c r="AT182" i="2"/>
  <c r="AT193" i="2" s="1"/>
  <c r="BT74" i="2"/>
  <c r="AU106" i="2"/>
  <c r="AU163" i="2" s="1"/>
  <c r="T163" i="2"/>
  <c r="S181" i="2"/>
  <c r="S192" i="2" s="1"/>
  <c r="AT181" i="2"/>
  <c r="AT192" i="2" s="1"/>
  <c r="T124" i="2"/>
  <c r="AT123" i="2"/>
  <c r="AW208" i="2"/>
  <c r="AW209" i="2" s="1"/>
  <c r="AW210" i="2" s="1"/>
  <c r="AW96" i="2"/>
  <c r="T144" i="2"/>
  <c r="AT143" i="2"/>
  <c r="T109" i="2"/>
  <c r="AT108" i="2"/>
  <c r="S184" i="2"/>
  <c r="S195" i="2" s="1"/>
  <c r="AT184" i="2"/>
  <c r="AT195" i="2" s="1"/>
  <c r="T114" i="2"/>
  <c r="AT113" i="2"/>
  <c r="T119" i="2"/>
  <c r="AT118" i="2"/>
  <c r="Z32" i="2"/>
  <c r="AZ24" i="2"/>
  <c r="BA32" i="2" s="1"/>
  <c r="AQ164" i="2"/>
  <c r="S137" i="2"/>
  <c r="AQ162" i="2"/>
  <c r="P166" i="2"/>
  <c r="AQ169" i="2"/>
  <c r="AQ163" i="2"/>
  <c r="P165" i="2"/>
  <c r="P162" i="2"/>
  <c r="AQ166" i="2"/>
  <c r="AR213" i="2"/>
  <c r="AR226" i="2" s="1"/>
  <c r="Q215" i="2"/>
  <c r="Q228" i="2" s="1"/>
  <c r="AR214" i="2"/>
  <c r="AR227" i="2" s="1"/>
  <c r="Q216" i="2"/>
  <c r="Q229" i="2" s="1"/>
  <c r="BT77" i="2"/>
  <c r="S150" i="2"/>
  <c r="T103" i="2"/>
  <c r="AT102" i="2"/>
  <c r="BR156" i="2"/>
  <c r="AA200" i="2"/>
  <c r="Z202" i="2"/>
  <c r="Z203" i="2" s="1"/>
  <c r="Z204" i="2" s="1"/>
  <c r="Z205" i="2" s="1"/>
  <c r="Z207" i="2" s="1"/>
  <c r="AU82" i="2"/>
  <c r="BR155" i="2"/>
  <c r="S183" i="2"/>
  <c r="S194" i="2" s="1"/>
  <c r="U131" i="2"/>
  <c r="V95" i="2"/>
  <c r="U79" i="2"/>
  <c r="W31" i="2"/>
  <c r="V66" i="2"/>
  <c r="V67" i="2"/>
  <c r="V69" i="2"/>
  <c r="W206" i="2"/>
  <c r="BV31" i="2"/>
  <c r="V65" i="2"/>
  <c r="V68" i="2"/>
  <c r="V64" i="2"/>
  <c r="V62" i="2"/>
  <c r="V61" i="2"/>
  <c r="V63" i="2"/>
  <c r="BU210" i="2"/>
  <c r="AU136" i="2"/>
  <c r="AU169" i="2" s="1"/>
  <c r="T169" i="2"/>
  <c r="BT75" i="2"/>
  <c r="AU111" i="2"/>
  <c r="AU164" i="2" s="1"/>
  <c r="T164" i="2"/>
  <c r="S151" i="2"/>
  <c r="T108" i="2"/>
  <c r="AT107" i="2"/>
  <c r="S179" i="2"/>
  <c r="S190" i="2" s="1"/>
  <c r="AT179" i="2"/>
  <c r="AT190" i="2" s="1"/>
  <c r="AS216" i="2"/>
  <c r="AS229" i="2" s="1"/>
  <c r="S178" i="2"/>
  <c r="S189" i="2" s="1"/>
  <c r="AT178" i="2"/>
  <c r="AT189" i="2" s="1"/>
  <c r="S154" i="2"/>
  <c r="T123" i="2"/>
  <c r="AT122" i="2"/>
  <c r="BR150" i="2"/>
  <c r="R159" i="2"/>
  <c r="BR159" i="2" s="1"/>
  <c r="BT78" i="2"/>
  <c r="AU126" i="2"/>
  <c r="AU167" i="2" s="1"/>
  <c r="T167" i="2"/>
  <c r="BR154" i="2"/>
  <c r="AW89" i="2"/>
  <c r="AV73" i="2"/>
  <c r="AW97" i="2"/>
  <c r="AX31" i="2"/>
  <c r="AW66" i="2"/>
  <c r="AW67" i="2"/>
  <c r="AW69" i="2"/>
  <c r="AX206" i="2"/>
  <c r="AW68" i="2"/>
  <c r="AW64" i="2"/>
  <c r="AW65" i="2"/>
  <c r="AW62" i="2"/>
  <c r="AW63" i="2"/>
  <c r="AW61" i="2"/>
  <c r="BR158" i="2"/>
  <c r="BR151" i="2"/>
  <c r="S158" i="2"/>
  <c r="T143" i="2"/>
  <c r="AT142" i="2"/>
  <c r="BR152" i="2"/>
  <c r="BR153" i="2"/>
  <c r="Z24" i="2"/>
  <c r="Z23" i="2" s="1"/>
  <c r="AQ167" i="2"/>
  <c r="AQ165" i="2"/>
  <c r="AQ170" i="2"/>
  <c r="S132" i="2"/>
  <c r="BS82" i="2"/>
  <c r="S127" i="2"/>
  <c r="Q283" i="2" l="1"/>
  <c r="R220" i="2"/>
  <c r="R233" i="2" s="1"/>
  <c r="R285" i="2" s="1"/>
  <c r="AX95" i="2"/>
  <c r="AS219" i="2"/>
  <c r="AS232" i="2" s="1"/>
  <c r="AS260" i="2" s="1"/>
  <c r="AS299" i="2" s="1"/>
  <c r="R218" i="2"/>
  <c r="R231" i="2" s="1"/>
  <c r="R272" i="2" s="1"/>
  <c r="Q259" i="2"/>
  <c r="Q298" i="2" s="1"/>
  <c r="AR259" i="2"/>
  <c r="AR298" i="2" s="1"/>
  <c r="R216" i="2"/>
  <c r="R229" i="2" s="1"/>
  <c r="R257" i="2" s="1"/>
  <c r="R296" i="2" s="1"/>
  <c r="AS220" i="2"/>
  <c r="AS233" i="2" s="1"/>
  <c r="AS274" i="2" s="1"/>
  <c r="AS217" i="2"/>
  <c r="AS230" i="2" s="1"/>
  <c r="AS282" i="2" s="1"/>
  <c r="AS213" i="2"/>
  <c r="AS226" i="2" s="1"/>
  <c r="AS254" i="2" s="1"/>
  <c r="AS293" i="2" s="1"/>
  <c r="AR282" i="2"/>
  <c r="BQ282" i="2" s="1"/>
  <c r="R214" i="2"/>
  <c r="R227" i="2" s="1"/>
  <c r="R268" i="2" s="1"/>
  <c r="Q258" i="2"/>
  <c r="Q297" i="2" s="1"/>
  <c r="BQ297" i="2" s="1"/>
  <c r="R217" i="2"/>
  <c r="R230" i="2" s="1"/>
  <c r="R282" i="2" s="1"/>
  <c r="AS218" i="2"/>
  <c r="AS231" i="2" s="1"/>
  <c r="AS272" i="2" s="1"/>
  <c r="R219" i="2"/>
  <c r="R232" i="2" s="1"/>
  <c r="R260" i="2" s="1"/>
  <c r="R299" i="2" s="1"/>
  <c r="R213" i="2"/>
  <c r="R226" i="2" s="1"/>
  <c r="R254" i="2" s="1"/>
  <c r="R293" i="2" s="1"/>
  <c r="AR271" i="2"/>
  <c r="AS214" i="2"/>
  <c r="AS227" i="2" s="1"/>
  <c r="AS279" i="2" s="1"/>
  <c r="AR281" i="2"/>
  <c r="Q271" i="2"/>
  <c r="AR283" i="2"/>
  <c r="AR310" i="2" s="1"/>
  <c r="AR269" i="2"/>
  <c r="Q285" i="2"/>
  <c r="BQ285" i="2" s="1"/>
  <c r="Q266" i="2"/>
  <c r="AR256" i="2"/>
  <c r="AR295" i="2" s="1"/>
  <c r="AR260" i="2"/>
  <c r="AR299" i="2" s="1"/>
  <c r="AR311" i="2" s="1"/>
  <c r="Q261" i="2"/>
  <c r="Q300" i="2" s="1"/>
  <c r="BQ300" i="2" s="1"/>
  <c r="Q234" i="2"/>
  <c r="AR284" i="2"/>
  <c r="BQ284" i="2" s="1"/>
  <c r="Q279" i="2"/>
  <c r="Q277" i="2"/>
  <c r="AX92" i="2"/>
  <c r="T112" i="2"/>
  <c r="AU112" i="2" s="1"/>
  <c r="AX90" i="2"/>
  <c r="T102" i="2"/>
  <c r="T150" i="2" s="1"/>
  <c r="Q260" i="2"/>
  <c r="Q299" i="2" s="1"/>
  <c r="Q273" i="2"/>
  <c r="Q255" i="2"/>
  <c r="Q294" i="2" s="1"/>
  <c r="AX91" i="2"/>
  <c r="Q267" i="2"/>
  <c r="AW54" i="2"/>
  <c r="AW77" i="2" s="1"/>
  <c r="AX42" i="2"/>
  <c r="X45" i="2"/>
  <c r="W57" i="2"/>
  <c r="AW57" i="2"/>
  <c r="AW80" i="2" s="1"/>
  <c r="AX45" i="2"/>
  <c r="X46" i="2"/>
  <c r="W58" i="2"/>
  <c r="W51" i="2"/>
  <c r="X39" i="2"/>
  <c r="AR221" i="2"/>
  <c r="AX94" i="2"/>
  <c r="T107" i="2"/>
  <c r="U108" i="2" s="1"/>
  <c r="AR257" i="2"/>
  <c r="AR296" i="2" s="1"/>
  <c r="Q278" i="2"/>
  <c r="AW58" i="2"/>
  <c r="AW81" i="2" s="1"/>
  <c r="AX46" i="2"/>
  <c r="AX40" i="2"/>
  <c r="AW52" i="2"/>
  <c r="AW75" i="2" s="1"/>
  <c r="AX50" i="2"/>
  <c r="AY38" i="2"/>
  <c r="AW51" i="2"/>
  <c r="AW74" i="2" s="1"/>
  <c r="AX39" i="2"/>
  <c r="AX43" i="2"/>
  <c r="AW55" i="2"/>
  <c r="AW78" i="2" s="1"/>
  <c r="AX44" i="2"/>
  <c r="AW56" i="2"/>
  <c r="AW79" i="2" s="1"/>
  <c r="X44" i="2"/>
  <c r="W56" i="2"/>
  <c r="X43" i="2"/>
  <c r="W55" i="2"/>
  <c r="AX93" i="2"/>
  <c r="X40" i="2"/>
  <c r="W52" i="2"/>
  <c r="X42" i="2"/>
  <c r="W54" i="2"/>
  <c r="W53" i="2"/>
  <c r="X41" i="2"/>
  <c r="Y38" i="2"/>
  <c r="X50" i="2"/>
  <c r="AW53" i="2"/>
  <c r="AW76" i="2" s="1"/>
  <c r="AX41" i="2"/>
  <c r="AJ16" i="2"/>
  <c r="BJ16" i="2"/>
  <c r="R212" i="2"/>
  <c r="R225" i="2" s="1"/>
  <c r="T117" i="2"/>
  <c r="U118" i="2" s="1"/>
  <c r="AS212" i="2"/>
  <c r="AS225" i="2" s="1"/>
  <c r="R215" i="2"/>
  <c r="R228" i="2" s="1"/>
  <c r="R269" i="2" s="1"/>
  <c r="AS270" i="2"/>
  <c r="AS281" i="2"/>
  <c r="AS257" i="2"/>
  <c r="AS296" i="2" s="1"/>
  <c r="R274" i="2"/>
  <c r="AS269" i="2"/>
  <c r="AS280" i="2"/>
  <c r="AS256" i="2"/>
  <c r="AS295" i="2" s="1"/>
  <c r="U144" i="2"/>
  <c r="AU143" i="2"/>
  <c r="AX96" i="2"/>
  <c r="T181" i="2"/>
  <c r="T192" i="2" s="1"/>
  <c r="T178" i="2"/>
  <c r="T189" i="2" s="1"/>
  <c r="BU79" i="2"/>
  <c r="AR266" i="2"/>
  <c r="AR277" i="2"/>
  <c r="AR253" i="2"/>
  <c r="AR292" i="2" s="1"/>
  <c r="BQ292" i="2" s="1"/>
  <c r="AR234" i="2"/>
  <c r="S155" i="2"/>
  <c r="T128" i="2"/>
  <c r="AT127" i="2"/>
  <c r="AA32" i="2"/>
  <c r="BA24" i="2"/>
  <c r="BB32" i="2" s="1"/>
  <c r="BS158" i="2"/>
  <c r="AX89" i="2"/>
  <c r="AW73" i="2"/>
  <c r="AX208" i="2"/>
  <c r="AX209" i="2" s="1"/>
  <c r="AX210" i="2" s="1"/>
  <c r="AY31" i="2"/>
  <c r="AX64" i="2"/>
  <c r="AX65" i="2"/>
  <c r="AX66" i="2"/>
  <c r="AX67" i="2"/>
  <c r="AX68" i="2"/>
  <c r="AX69" i="2"/>
  <c r="AY206" i="2"/>
  <c r="AX62" i="2"/>
  <c r="AX63" i="2"/>
  <c r="AX61" i="2"/>
  <c r="U124" i="2"/>
  <c r="AU123" i="2"/>
  <c r="BS151" i="2"/>
  <c r="T183" i="2"/>
  <c r="T194" i="2" s="1"/>
  <c r="AU183" i="2"/>
  <c r="AU194" i="2" s="1"/>
  <c r="V101" i="2"/>
  <c r="W89" i="2"/>
  <c r="V73" i="2"/>
  <c r="V116" i="2"/>
  <c r="W92" i="2"/>
  <c r="V76" i="2"/>
  <c r="V121" i="2"/>
  <c r="W93" i="2"/>
  <c r="V77" i="2"/>
  <c r="W208" i="2"/>
  <c r="W209" i="2" s="1"/>
  <c r="W210" i="2" s="1"/>
  <c r="V131" i="2"/>
  <c r="W95" i="2"/>
  <c r="V79" i="2"/>
  <c r="X31" i="2"/>
  <c r="W64" i="2"/>
  <c r="W65" i="2"/>
  <c r="W66" i="2"/>
  <c r="W67" i="2"/>
  <c r="W69" i="2"/>
  <c r="X206" i="2"/>
  <c r="BW31" i="2"/>
  <c r="W68" i="2"/>
  <c r="W63" i="2"/>
  <c r="W62" i="2"/>
  <c r="W61" i="2"/>
  <c r="BS150" i="2"/>
  <c r="Q281" i="2"/>
  <c r="Q270" i="2"/>
  <c r="Q257" i="2"/>
  <c r="Q296" i="2" s="1"/>
  <c r="Q280" i="2"/>
  <c r="BQ280" i="2" s="1"/>
  <c r="Q269" i="2"/>
  <c r="Q256" i="2"/>
  <c r="Q295" i="2" s="1"/>
  <c r="S157" i="2"/>
  <c r="T138" i="2"/>
  <c r="AT137" i="2"/>
  <c r="U120" i="2"/>
  <c r="AV120" i="2" s="1"/>
  <c r="AU119" i="2"/>
  <c r="U115" i="2"/>
  <c r="AV115" i="2" s="1"/>
  <c r="AU114" i="2"/>
  <c r="U110" i="2"/>
  <c r="AV110" i="2" s="1"/>
  <c r="AU109" i="2"/>
  <c r="U145" i="2"/>
  <c r="AV145" i="2" s="1"/>
  <c r="AU144" i="2"/>
  <c r="U125" i="2"/>
  <c r="AV125" i="2" s="1"/>
  <c r="AU124" i="2"/>
  <c r="U114" i="2"/>
  <c r="AU113" i="2"/>
  <c r="U119" i="2"/>
  <c r="AU118" i="2"/>
  <c r="T179" i="2"/>
  <c r="T190" i="2" s="1"/>
  <c r="AU179" i="2"/>
  <c r="AU190" i="2" s="1"/>
  <c r="BU76" i="2"/>
  <c r="AV116" i="2"/>
  <c r="AV165" i="2" s="1"/>
  <c r="U165" i="2"/>
  <c r="BU80" i="2"/>
  <c r="AV136" i="2"/>
  <c r="AV169" i="2" s="1"/>
  <c r="U169" i="2"/>
  <c r="BU75" i="2"/>
  <c r="AV111" i="2"/>
  <c r="AV164" i="2" s="1"/>
  <c r="U164" i="2"/>
  <c r="U130" i="2"/>
  <c r="AV130" i="2" s="1"/>
  <c r="AU129" i="2"/>
  <c r="U135" i="2"/>
  <c r="AV135" i="2" s="1"/>
  <c r="AU134" i="2"/>
  <c r="T176" i="2"/>
  <c r="T187" i="2" s="1"/>
  <c r="T171" i="2"/>
  <c r="BU81" i="2"/>
  <c r="AV141" i="2"/>
  <c r="AV170" i="2" s="1"/>
  <c r="U170" i="2"/>
  <c r="Q221" i="2"/>
  <c r="AZ23" i="2"/>
  <c r="BT82" i="2"/>
  <c r="T142" i="2"/>
  <c r="T122" i="2"/>
  <c r="AR312" i="2"/>
  <c r="S156" i="2"/>
  <c r="T133" i="2"/>
  <c r="AT132" i="2"/>
  <c r="AA24" i="2"/>
  <c r="AA23" i="2" s="1"/>
  <c r="AX97" i="2"/>
  <c r="AV82" i="2"/>
  <c r="AU181" i="2"/>
  <c r="AU192" i="2" s="1"/>
  <c r="BS154" i="2"/>
  <c r="U109" i="2"/>
  <c r="AU108" i="2"/>
  <c r="AU178" i="2"/>
  <c r="AU189" i="2" s="1"/>
  <c r="V111" i="2"/>
  <c r="W91" i="2"/>
  <c r="V75" i="2"/>
  <c r="V106" i="2"/>
  <c r="W90" i="2"/>
  <c r="V74" i="2"/>
  <c r="V136" i="2"/>
  <c r="W96" i="2"/>
  <c r="V80" i="2"/>
  <c r="V141" i="2"/>
  <c r="W97" i="2"/>
  <c r="V81" i="2"/>
  <c r="V126" i="2"/>
  <c r="W94" i="2"/>
  <c r="V78" i="2"/>
  <c r="AV131" i="2"/>
  <c r="AV168" i="2" s="1"/>
  <c r="U168" i="2"/>
  <c r="AA202" i="2"/>
  <c r="AA203" i="2" s="1"/>
  <c r="AA204" i="2" s="1"/>
  <c r="AA205" i="2" s="1"/>
  <c r="AA207" i="2" s="1"/>
  <c r="AB200" i="2"/>
  <c r="U104" i="2"/>
  <c r="AU103" i="2"/>
  <c r="AR268" i="2"/>
  <c r="BQ268" i="2" s="1"/>
  <c r="AR279" i="2"/>
  <c r="AR255" i="2"/>
  <c r="AR294" i="2" s="1"/>
  <c r="AR267" i="2"/>
  <c r="AR278" i="2"/>
  <c r="AR254" i="2"/>
  <c r="AR293" i="2" s="1"/>
  <c r="BQ293" i="2" s="1"/>
  <c r="T177" i="2"/>
  <c r="T188" i="2" s="1"/>
  <c r="AU177" i="2"/>
  <c r="AU188" i="2" s="1"/>
  <c r="U105" i="2"/>
  <c r="AV105" i="2" s="1"/>
  <c r="AU104" i="2"/>
  <c r="BS152" i="2"/>
  <c r="AC17" i="2"/>
  <c r="BC17" i="2"/>
  <c r="AB18" i="2"/>
  <c r="BC18" i="2" s="1"/>
  <c r="BB202" i="2"/>
  <c r="BB203" i="2" s="1"/>
  <c r="BB204" i="2" s="1"/>
  <c r="BB205" i="2" s="1"/>
  <c r="BB207" i="2" s="1"/>
  <c r="BC200" i="2"/>
  <c r="BS153" i="2"/>
  <c r="T182" i="2"/>
  <c r="T193" i="2" s="1"/>
  <c r="AU182" i="2"/>
  <c r="AU193" i="2" s="1"/>
  <c r="BU78" i="2"/>
  <c r="AV126" i="2"/>
  <c r="AV167" i="2" s="1"/>
  <c r="U167" i="2"/>
  <c r="BV210" i="2"/>
  <c r="BU74" i="2"/>
  <c r="AV106" i="2"/>
  <c r="AV163" i="2" s="1"/>
  <c r="U163" i="2"/>
  <c r="AT196" i="2"/>
  <c r="AU176" i="2"/>
  <c r="AU187" i="2" s="1"/>
  <c r="AU171" i="2"/>
  <c r="T184" i="2"/>
  <c r="T195" i="2" s="1"/>
  <c r="AU184" i="2"/>
  <c r="AU195" i="2" s="1"/>
  <c r="BU77" i="2"/>
  <c r="AV121" i="2"/>
  <c r="AV166" i="2" s="1"/>
  <c r="U166" i="2"/>
  <c r="BU73" i="2"/>
  <c r="U82" i="2"/>
  <c r="AV101" i="2"/>
  <c r="AV162" i="2" s="1"/>
  <c r="U147" i="2"/>
  <c r="U162" i="2"/>
  <c r="U140" i="2"/>
  <c r="AV140" i="2" s="1"/>
  <c r="AU139" i="2"/>
  <c r="BQ272" i="2"/>
  <c r="S196" i="2"/>
  <c r="AT213" i="2" s="1"/>
  <c r="AT226" i="2" s="1"/>
  <c r="T180" i="2"/>
  <c r="T191" i="2" s="1"/>
  <c r="AU180" i="2"/>
  <c r="AU191" i="2" s="1"/>
  <c r="BQ274" i="2"/>
  <c r="R261" i="2" l="1"/>
  <c r="R300" i="2" s="1"/>
  <c r="R312" i="2" s="1"/>
  <c r="R271" i="2"/>
  <c r="BQ283" i="2"/>
  <c r="Q310" i="2"/>
  <c r="AS268" i="2"/>
  <c r="BR268" i="2" s="1"/>
  <c r="R255" i="2"/>
  <c r="R294" i="2" s="1"/>
  <c r="Q306" i="2"/>
  <c r="R259" i="2"/>
  <c r="R298" i="2" s="1"/>
  <c r="R283" i="2"/>
  <c r="AS261" i="2"/>
  <c r="AS300" i="2" s="1"/>
  <c r="R284" i="2"/>
  <c r="AS284" i="2"/>
  <c r="AS278" i="2"/>
  <c r="BQ295" i="2"/>
  <c r="R281" i="2"/>
  <c r="BR281" i="2" s="1"/>
  <c r="AS283" i="2"/>
  <c r="BQ271" i="2"/>
  <c r="BQ309" i="2" s="1"/>
  <c r="AS255" i="2"/>
  <c r="AS294" i="2" s="1"/>
  <c r="BQ266" i="2"/>
  <c r="AS273" i="2"/>
  <c r="BQ298" i="2"/>
  <c r="R270" i="2"/>
  <c r="BR270" i="2" s="1"/>
  <c r="AS259" i="2"/>
  <c r="AS298" i="2" s="1"/>
  <c r="BQ294" i="2"/>
  <c r="AR309" i="2"/>
  <c r="R273" i="2"/>
  <c r="AS271" i="2"/>
  <c r="AS285" i="2"/>
  <c r="R278" i="2"/>
  <c r="BR278" i="2" s="1"/>
  <c r="R279" i="2"/>
  <c r="AR308" i="2"/>
  <c r="R267" i="2"/>
  <c r="Q311" i="2"/>
  <c r="R258" i="2"/>
  <c r="R297" i="2" s="1"/>
  <c r="R309" i="2" s="1"/>
  <c r="Q309" i="2"/>
  <c r="AS258" i="2"/>
  <c r="AS297" i="2" s="1"/>
  <c r="Q304" i="2"/>
  <c r="AS267" i="2"/>
  <c r="AR307" i="2"/>
  <c r="Q312" i="2"/>
  <c r="BQ281" i="2"/>
  <c r="AY91" i="2"/>
  <c r="AU102" i="2"/>
  <c r="AS221" i="2"/>
  <c r="U103" i="2"/>
  <c r="U102" i="2" s="1"/>
  <c r="R221" i="2"/>
  <c r="BQ299" i="2"/>
  <c r="BQ279" i="2"/>
  <c r="AY94" i="2"/>
  <c r="BQ277" i="2"/>
  <c r="BR296" i="2"/>
  <c r="R280" i="2"/>
  <c r="BR280" i="2" s="1"/>
  <c r="T152" i="2"/>
  <c r="BT152" i="2" s="1"/>
  <c r="Q305" i="2"/>
  <c r="BQ312" i="2"/>
  <c r="BQ296" i="2"/>
  <c r="U113" i="2"/>
  <c r="U112" i="2" s="1"/>
  <c r="AV112" i="2" s="1"/>
  <c r="BQ273" i="2"/>
  <c r="R256" i="2"/>
  <c r="R295" i="2" s="1"/>
  <c r="BR295" i="2" s="1"/>
  <c r="T153" i="2"/>
  <c r="BT153" i="2" s="1"/>
  <c r="AY95" i="2"/>
  <c r="AU107" i="2"/>
  <c r="U107" i="2"/>
  <c r="U151" i="2" s="1"/>
  <c r="BU82" i="2"/>
  <c r="T151" i="2"/>
  <c r="BT151" i="2" s="1"/>
  <c r="BQ278" i="2"/>
  <c r="AY41" i="2"/>
  <c r="AX53" i="2"/>
  <c r="AX76" i="2" s="1"/>
  <c r="Y41" i="2"/>
  <c r="X53" i="2"/>
  <c r="AU117" i="2"/>
  <c r="BA23" i="2"/>
  <c r="AY92" i="2"/>
  <c r="AY50" i="2"/>
  <c r="AZ38" i="2"/>
  <c r="AX58" i="2"/>
  <c r="AX81" i="2" s="1"/>
  <c r="AY46" i="2"/>
  <c r="Y39" i="2"/>
  <c r="X51" i="2"/>
  <c r="AY45" i="2"/>
  <c r="AX57" i="2"/>
  <c r="AX80" i="2" s="1"/>
  <c r="AX54" i="2"/>
  <c r="AX77" i="2" s="1"/>
  <c r="AY42" i="2"/>
  <c r="AY90" i="2"/>
  <c r="Z38" i="2"/>
  <c r="Y50" i="2"/>
  <c r="X54" i="2"/>
  <c r="Y42" i="2"/>
  <c r="Y44" i="2"/>
  <c r="X56" i="2"/>
  <c r="AY43" i="2"/>
  <c r="AX55" i="2"/>
  <c r="AX78" i="2" s="1"/>
  <c r="AY39" i="2"/>
  <c r="AX51" i="2"/>
  <c r="AX74" i="2" s="1"/>
  <c r="AY93" i="2"/>
  <c r="Y40" i="2"/>
  <c r="X52" i="2"/>
  <c r="Y43" i="2"/>
  <c r="X55" i="2"/>
  <c r="AY44" i="2"/>
  <c r="AX56" i="2"/>
  <c r="AX79" i="2" s="1"/>
  <c r="AY40" i="2"/>
  <c r="AX52" i="2"/>
  <c r="AX75" i="2" s="1"/>
  <c r="Y46" i="2"/>
  <c r="X58" i="2"/>
  <c r="Y45" i="2"/>
  <c r="X57" i="2"/>
  <c r="BK16" i="2"/>
  <c r="AK16" i="2"/>
  <c r="BL16" i="2" s="1"/>
  <c r="AT212" i="2"/>
  <c r="AT225" i="2" s="1"/>
  <c r="S212" i="2"/>
  <c r="S225" i="2" s="1"/>
  <c r="S266" i="2" s="1"/>
  <c r="AT216" i="2"/>
  <c r="AT229" i="2" s="1"/>
  <c r="AT257" i="2" s="1"/>
  <c r="AT296" i="2" s="1"/>
  <c r="S220" i="2"/>
  <c r="S233" i="2" s="1"/>
  <c r="S285" i="2" s="1"/>
  <c r="AT217" i="2"/>
  <c r="AT230" i="2" s="1"/>
  <c r="AT271" i="2" s="1"/>
  <c r="AT267" i="2"/>
  <c r="AT278" i="2"/>
  <c r="AT254" i="2"/>
  <c r="AT293" i="2" s="1"/>
  <c r="AU196" i="2"/>
  <c r="AB24" i="2"/>
  <c r="AB23" i="2" s="1"/>
  <c r="T196" i="2"/>
  <c r="AU218" i="2" s="1"/>
  <c r="AU231" i="2" s="1"/>
  <c r="U176" i="2"/>
  <c r="U187" i="2" s="1"/>
  <c r="U171" i="2"/>
  <c r="U181" i="2"/>
  <c r="U192" i="2" s="1"/>
  <c r="R277" i="2"/>
  <c r="R234" i="2"/>
  <c r="R266" i="2"/>
  <c r="R253" i="2"/>
  <c r="R292" i="2" s="1"/>
  <c r="AV176" i="2"/>
  <c r="AV187" i="2" s="1"/>
  <c r="AV171" i="2"/>
  <c r="U180" i="2"/>
  <c r="U191" i="2" s="1"/>
  <c r="AV180" i="2"/>
  <c r="AV191" i="2" s="1"/>
  <c r="U177" i="2"/>
  <c r="U188" i="2" s="1"/>
  <c r="AV177" i="2"/>
  <c r="AV188" i="2" s="1"/>
  <c r="V105" i="2"/>
  <c r="AW105" i="2" s="1"/>
  <c r="AV104" i="2"/>
  <c r="BV78" i="2"/>
  <c r="AW126" i="2"/>
  <c r="AW167" i="2" s="1"/>
  <c r="V167" i="2"/>
  <c r="BV80" i="2"/>
  <c r="AW136" i="2"/>
  <c r="AW169" i="2" s="1"/>
  <c r="V169" i="2"/>
  <c r="BV75" i="2"/>
  <c r="AW111" i="2"/>
  <c r="AW164" i="2" s="1"/>
  <c r="V164" i="2"/>
  <c r="V110" i="2"/>
  <c r="AW110" i="2" s="1"/>
  <c r="AV109" i="2"/>
  <c r="U134" i="2"/>
  <c r="AU133" i="2"/>
  <c r="T132" i="2"/>
  <c r="U184" i="2"/>
  <c r="U195" i="2" s="1"/>
  <c r="AV184" i="2"/>
  <c r="AV195" i="2" s="1"/>
  <c r="U178" i="2"/>
  <c r="U189" i="2" s="1"/>
  <c r="AV178" i="2"/>
  <c r="AV189" i="2" s="1"/>
  <c r="U179" i="2"/>
  <c r="U190" i="2" s="1"/>
  <c r="AV179" i="2"/>
  <c r="AV190" i="2" s="1"/>
  <c r="V120" i="2"/>
  <c r="AW120" i="2" s="1"/>
  <c r="AV119" i="2"/>
  <c r="V115" i="2"/>
  <c r="AW115" i="2" s="1"/>
  <c r="AV114" i="2"/>
  <c r="U139" i="2"/>
  <c r="AU138" i="2"/>
  <c r="T137" i="2"/>
  <c r="BQ270" i="2"/>
  <c r="Q308" i="2"/>
  <c r="W106" i="2"/>
  <c r="X90" i="2"/>
  <c r="W74" i="2"/>
  <c r="W136" i="2"/>
  <c r="X96" i="2"/>
  <c r="W80" i="2"/>
  <c r="X208" i="2"/>
  <c r="X209" i="2" s="1"/>
  <c r="X210" i="2" s="1"/>
  <c r="W131" i="2"/>
  <c r="X95" i="2"/>
  <c r="W79" i="2"/>
  <c r="W121" i="2"/>
  <c r="X93" i="2"/>
  <c r="W77" i="2"/>
  <c r="Y31" i="2"/>
  <c r="X66" i="2"/>
  <c r="X67" i="2"/>
  <c r="X69" i="2"/>
  <c r="Y206" i="2"/>
  <c r="BX31" i="2"/>
  <c r="X68" i="2"/>
  <c r="X64" i="2"/>
  <c r="X65" i="2"/>
  <c r="X62" i="2"/>
  <c r="X63" i="2"/>
  <c r="X61" i="2"/>
  <c r="BV77" i="2"/>
  <c r="AW121" i="2"/>
  <c r="AW166" i="2" s="1"/>
  <c r="V166" i="2"/>
  <c r="BV73" i="2"/>
  <c r="V82" i="2"/>
  <c r="AW101" i="2"/>
  <c r="AW162" i="2" s="1"/>
  <c r="V147" i="2"/>
  <c r="V162" i="2"/>
  <c r="AY89" i="2"/>
  <c r="AX73" i="2"/>
  <c r="AY97" i="2"/>
  <c r="AZ31" i="2"/>
  <c r="AY66" i="2"/>
  <c r="AY69" i="2"/>
  <c r="AY67" i="2"/>
  <c r="AZ206" i="2"/>
  <c r="AY65" i="2"/>
  <c r="AY68" i="2"/>
  <c r="AY64" i="2"/>
  <c r="AY62" i="2"/>
  <c r="AY63" i="2"/>
  <c r="AY61" i="2"/>
  <c r="BS155" i="2"/>
  <c r="BR274" i="2"/>
  <c r="BT150" i="2"/>
  <c r="BR272" i="2"/>
  <c r="S216" i="2"/>
  <c r="S229" i="2" s="1"/>
  <c r="S217" i="2"/>
  <c r="S230" i="2" s="1"/>
  <c r="AT220" i="2"/>
  <c r="AT233" i="2" s="1"/>
  <c r="AR306" i="2"/>
  <c r="AR304" i="2"/>
  <c r="BR293" i="2"/>
  <c r="S214" i="2"/>
  <c r="S227" i="2" s="1"/>
  <c r="BR282" i="2"/>
  <c r="AT218" i="2"/>
  <c r="AT231" i="2" s="1"/>
  <c r="S219" i="2"/>
  <c r="S232" i="2" s="1"/>
  <c r="AT215" i="2"/>
  <c r="AT228" i="2" s="1"/>
  <c r="AS308" i="2"/>
  <c r="S213" i="2"/>
  <c r="S226" i="2" s="1"/>
  <c r="BR299" i="2"/>
  <c r="AV181" i="2"/>
  <c r="AV192" i="2" s="1"/>
  <c r="V119" i="2"/>
  <c r="AV118" i="2"/>
  <c r="BC202" i="2"/>
  <c r="BC203" i="2" s="1"/>
  <c r="BC204" i="2" s="1"/>
  <c r="BC205" i="2" s="1"/>
  <c r="BC207" i="2" s="1"/>
  <c r="BD200" i="2"/>
  <c r="AC18" i="2"/>
  <c r="BD18" i="2" s="1"/>
  <c r="AD17" i="2"/>
  <c r="BD17" i="2"/>
  <c r="AB202" i="2"/>
  <c r="AB203" i="2" s="1"/>
  <c r="AB204" i="2" s="1"/>
  <c r="AB205" i="2" s="1"/>
  <c r="AB207" i="2" s="1"/>
  <c r="AC200" i="2"/>
  <c r="U182" i="2"/>
  <c r="U193" i="2" s="1"/>
  <c r="AV182" i="2"/>
  <c r="AV193" i="2" s="1"/>
  <c r="BV81" i="2"/>
  <c r="AW141" i="2"/>
  <c r="AW170" i="2" s="1"/>
  <c r="V170" i="2"/>
  <c r="BV74" i="2"/>
  <c r="AW106" i="2"/>
  <c r="AW163" i="2" s="1"/>
  <c r="V163" i="2"/>
  <c r="AB32" i="2"/>
  <c r="BB24" i="2"/>
  <c r="BC32" i="2" s="1"/>
  <c r="BS156" i="2"/>
  <c r="AS266" i="2"/>
  <c r="AS277" i="2"/>
  <c r="AS253" i="2"/>
  <c r="AS292" i="2" s="1"/>
  <c r="AS234" i="2"/>
  <c r="U123" i="2"/>
  <c r="T154" i="2"/>
  <c r="AU122" i="2"/>
  <c r="T158" i="2"/>
  <c r="U143" i="2"/>
  <c r="AU142" i="2"/>
  <c r="U183" i="2"/>
  <c r="U194" i="2" s="1"/>
  <c r="AV183" i="2"/>
  <c r="AV194" i="2" s="1"/>
  <c r="BS157" i="2"/>
  <c r="BQ269" i="2"/>
  <c r="Q307" i="2"/>
  <c r="W101" i="2"/>
  <c r="X89" i="2"/>
  <c r="W73" i="2"/>
  <c r="W111" i="2"/>
  <c r="X91" i="2"/>
  <c r="W75" i="2"/>
  <c r="W141" i="2"/>
  <c r="X97" i="2"/>
  <c r="W81" i="2"/>
  <c r="W126" i="2"/>
  <c r="X94" i="2"/>
  <c r="W78" i="2"/>
  <c r="W116" i="2"/>
  <c r="X92" i="2"/>
  <c r="W76" i="2"/>
  <c r="BV79" i="2"/>
  <c r="AW131" i="2"/>
  <c r="AW168" i="2" s="1"/>
  <c r="V168" i="2"/>
  <c r="BW210" i="2"/>
  <c r="BV76" i="2"/>
  <c r="AW116" i="2"/>
  <c r="AW165" i="2" s="1"/>
  <c r="V165" i="2"/>
  <c r="V125" i="2"/>
  <c r="AW125" i="2" s="1"/>
  <c r="AV124" i="2"/>
  <c r="AY208" i="2"/>
  <c r="AY209" i="2" s="1"/>
  <c r="AY210" i="2" s="1"/>
  <c r="AY96" i="2"/>
  <c r="AW82" i="2"/>
  <c r="U129" i="2"/>
  <c r="AU128" i="2"/>
  <c r="T127" i="2"/>
  <c r="V145" i="2"/>
  <c r="AW145" i="2" s="1"/>
  <c r="AV144" i="2"/>
  <c r="BR269" i="2"/>
  <c r="V109" i="2"/>
  <c r="AV108" i="2"/>
  <c r="AR305" i="2"/>
  <c r="BQ267" i="2"/>
  <c r="U117" i="2"/>
  <c r="S159" i="2"/>
  <c r="BS159" i="2" s="1"/>
  <c r="AS307" i="2"/>
  <c r="AT214" i="2"/>
  <c r="AT227" i="2" s="1"/>
  <c r="S218" i="2"/>
  <c r="S231" i="2" s="1"/>
  <c r="AT219" i="2"/>
  <c r="AT232" i="2" s="1"/>
  <c r="S215" i="2"/>
  <c r="S228" i="2" s="1"/>
  <c r="BQ310" i="2" l="1"/>
  <c r="BR300" i="2"/>
  <c r="BR271" i="2"/>
  <c r="BQ304" i="2"/>
  <c r="AS306" i="2"/>
  <c r="AS311" i="2"/>
  <c r="R306" i="2"/>
  <c r="R310" i="2"/>
  <c r="BR298" i="2"/>
  <c r="BR283" i="2"/>
  <c r="AS305" i="2"/>
  <c r="BR273" i="2"/>
  <c r="BR279" i="2"/>
  <c r="AS312" i="2"/>
  <c r="AS310" i="2"/>
  <c r="BR284" i="2"/>
  <c r="BR294" i="2"/>
  <c r="R311" i="2"/>
  <c r="R305" i="2"/>
  <c r="V104" i="2"/>
  <c r="AW104" i="2" s="1"/>
  <c r="R308" i="2"/>
  <c r="BQ307" i="2"/>
  <c r="BR285" i="2"/>
  <c r="BQ306" i="2"/>
  <c r="BQ311" i="2"/>
  <c r="BR267" i="2"/>
  <c r="BR305" i="2" s="1"/>
  <c r="V113" i="2"/>
  <c r="W114" i="2" s="1"/>
  <c r="BR297" i="2"/>
  <c r="AV103" i="2"/>
  <c r="U150" i="2"/>
  <c r="BU150" i="2" s="1"/>
  <c r="AV102" i="2"/>
  <c r="V103" i="2"/>
  <c r="W104" i="2" s="1"/>
  <c r="AS309" i="2"/>
  <c r="V108" i="2"/>
  <c r="AW108" i="2" s="1"/>
  <c r="BQ308" i="2"/>
  <c r="S253" i="2"/>
  <c r="S292" i="2" s="1"/>
  <c r="AV107" i="2"/>
  <c r="AT258" i="2"/>
  <c r="AT297" i="2" s="1"/>
  <c r="BQ305" i="2"/>
  <c r="R307" i="2"/>
  <c r="T219" i="2"/>
  <c r="T232" i="2" s="1"/>
  <c r="T260" i="2" s="1"/>
  <c r="T299" i="2" s="1"/>
  <c r="Q313" i="2"/>
  <c r="U152" i="2"/>
  <c r="BU152" i="2" s="1"/>
  <c r="AV113" i="2"/>
  <c r="AZ94" i="2"/>
  <c r="BR307" i="2"/>
  <c r="V114" i="2"/>
  <c r="AW114" i="2" s="1"/>
  <c r="S277" i="2"/>
  <c r="BR308" i="2"/>
  <c r="AT281" i="2"/>
  <c r="AT270" i="2"/>
  <c r="Y57" i="2"/>
  <c r="Z45" i="2"/>
  <c r="AY52" i="2"/>
  <c r="AY75" i="2" s="1"/>
  <c r="AZ40" i="2"/>
  <c r="Y55" i="2"/>
  <c r="Z43" i="2"/>
  <c r="AZ42" i="2"/>
  <c r="AY54" i="2"/>
  <c r="AY77" i="2" s="1"/>
  <c r="BA38" i="2"/>
  <c r="AZ50" i="2"/>
  <c r="AZ41" i="2"/>
  <c r="AY53" i="2"/>
  <c r="AY76" i="2" s="1"/>
  <c r="AU217" i="2"/>
  <c r="AU230" i="2" s="1"/>
  <c r="AU282" i="2" s="1"/>
  <c r="AZ91" i="2"/>
  <c r="AZ93" i="2"/>
  <c r="AT282" i="2"/>
  <c r="AZ39" i="2"/>
  <c r="AY51" i="2"/>
  <c r="AY74" i="2" s="1"/>
  <c r="Y56" i="2"/>
  <c r="Z44" i="2"/>
  <c r="Z50" i="2"/>
  <c r="AA38" i="2"/>
  <c r="Z39" i="2"/>
  <c r="Y51" i="2"/>
  <c r="T217" i="2"/>
  <c r="T230" i="2" s="1"/>
  <c r="T271" i="2" s="1"/>
  <c r="T220" i="2"/>
  <c r="T233" i="2" s="1"/>
  <c r="T285" i="2" s="1"/>
  <c r="AZ90" i="2"/>
  <c r="S274" i="2"/>
  <c r="Y58" i="2"/>
  <c r="Z46" i="2"/>
  <c r="AY56" i="2"/>
  <c r="AY79" i="2" s="1"/>
  <c r="AZ44" i="2"/>
  <c r="Z40" i="2"/>
  <c r="Y52" i="2"/>
  <c r="Z42" i="2"/>
  <c r="Y54" i="2"/>
  <c r="AY58" i="2"/>
  <c r="AY81" i="2" s="1"/>
  <c r="AZ46" i="2"/>
  <c r="Y53" i="2"/>
  <c r="Z41" i="2"/>
  <c r="BB23" i="2"/>
  <c r="AU219" i="2"/>
  <c r="AU232" i="2" s="1"/>
  <c r="AU273" i="2" s="1"/>
  <c r="AU220" i="2"/>
  <c r="AU233" i="2" s="1"/>
  <c r="AU285" i="2" s="1"/>
  <c r="AZ92" i="2"/>
  <c r="AZ95" i="2"/>
  <c r="AY55" i="2"/>
  <c r="AY78" i="2" s="1"/>
  <c r="AZ43" i="2"/>
  <c r="AY57" i="2"/>
  <c r="AY80" i="2" s="1"/>
  <c r="AZ45" i="2"/>
  <c r="S261" i="2"/>
  <c r="S300" i="2" s="1"/>
  <c r="T212" i="2"/>
  <c r="T225" i="2" s="1"/>
  <c r="T253" i="2" s="1"/>
  <c r="T292" i="2" s="1"/>
  <c r="S234" i="2"/>
  <c r="T214" i="2"/>
  <c r="T227" i="2" s="1"/>
  <c r="T268" i="2" s="1"/>
  <c r="AU216" i="2"/>
  <c r="AU229" i="2" s="1"/>
  <c r="AU281" i="2" s="1"/>
  <c r="T218" i="2"/>
  <c r="T231" i="2" s="1"/>
  <c r="T283" i="2" s="1"/>
  <c r="AU212" i="2"/>
  <c r="AU225" i="2" s="1"/>
  <c r="AU253" i="2" s="1"/>
  <c r="AU292" i="2" s="1"/>
  <c r="T213" i="2"/>
  <c r="T226" i="2" s="1"/>
  <c r="T254" i="2" s="1"/>
  <c r="T293" i="2" s="1"/>
  <c r="AU215" i="2"/>
  <c r="AU228" i="2" s="1"/>
  <c r="AU280" i="2" s="1"/>
  <c r="AU272" i="2"/>
  <c r="AU283" i="2"/>
  <c r="AU259" i="2"/>
  <c r="AU298" i="2" s="1"/>
  <c r="BX210" i="2"/>
  <c r="AV196" i="2"/>
  <c r="U196" i="2"/>
  <c r="U218" i="2" s="1"/>
  <c r="U231" i="2" s="1"/>
  <c r="AC24" i="2"/>
  <c r="AC23" i="2" s="1"/>
  <c r="S280" i="2"/>
  <c r="S269" i="2"/>
  <c r="S256" i="2"/>
  <c r="S295" i="2" s="1"/>
  <c r="AT268" i="2"/>
  <c r="AT279" i="2"/>
  <c r="AT255" i="2"/>
  <c r="AT294" i="2" s="1"/>
  <c r="V179" i="2"/>
  <c r="V190" i="2" s="1"/>
  <c r="BW76" i="2"/>
  <c r="AX141" i="2"/>
  <c r="AX170" i="2" s="1"/>
  <c r="W170" i="2"/>
  <c r="AX101" i="2"/>
  <c r="AX162" i="2" s="1"/>
  <c r="W147" i="2"/>
  <c r="W162" i="2"/>
  <c r="AT273" i="2"/>
  <c r="AT284" i="2"/>
  <c r="AT260" i="2"/>
  <c r="AT299" i="2" s="1"/>
  <c r="U153" i="2"/>
  <c r="V118" i="2"/>
  <c r="AV117" i="2"/>
  <c r="V182" i="2"/>
  <c r="V193" i="2" s="1"/>
  <c r="AW182" i="2"/>
  <c r="AW193" i="2" s="1"/>
  <c r="BW78" i="2"/>
  <c r="AX126" i="2"/>
  <c r="AX167" i="2" s="1"/>
  <c r="W167" i="2"/>
  <c r="BW75" i="2"/>
  <c r="AX111" i="2"/>
  <c r="AX164" i="2" s="1"/>
  <c r="W164" i="2"/>
  <c r="V144" i="2"/>
  <c r="AV143" i="2"/>
  <c r="U142" i="2"/>
  <c r="V124" i="2"/>
  <c r="AV123" i="2"/>
  <c r="U122" i="2"/>
  <c r="V184" i="2"/>
  <c r="V195" i="2" s="1"/>
  <c r="AW184" i="2"/>
  <c r="AW195" i="2" s="1"/>
  <c r="AE17" i="2"/>
  <c r="BE17" i="2"/>
  <c r="AD18" i="2"/>
  <c r="BE18" i="2" s="1"/>
  <c r="BD202" i="2"/>
  <c r="BD203" i="2" s="1"/>
  <c r="BD204" i="2" s="1"/>
  <c r="BD205" i="2" s="1"/>
  <c r="BD207" i="2" s="1"/>
  <c r="BE200" i="2"/>
  <c r="S284" i="2"/>
  <c r="S273" i="2"/>
  <c r="S260" i="2"/>
  <c r="S299" i="2" s="1"/>
  <c r="AT274" i="2"/>
  <c r="AT285" i="2"/>
  <c r="BS285" i="2" s="1"/>
  <c r="AT261" i="2"/>
  <c r="AT300" i="2" s="1"/>
  <c r="S281" i="2"/>
  <c r="S270" i="2"/>
  <c r="S257" i="2"/>
  <c r="S296" i="2" s="1"/>
  <c r="BS296" i="2" s="1"/>
  <c r="AZ89" i="2"/>
  <c r="AY73" i="2"/>
  <c r="AZ96" i="2"/>
  <c r="AZ208" i="2"/>
  <c r="AZ209" i="2" s="1"/>
  <c r="AZ210" i="2" s="1"/>
  <c r="AZ97" i="2"/>
  <c r="BA31" i="2"/>
  <c r="AZ64" i="2"/>
  <c r="AZ65" i="2"/>
  <c r="AZ66" i="2"/>
  <c r="AZ67" i="2"/>
  <c r="AZ68" i="2"/>
  <c r="AZ69" i="2"/>
  <c r="BA206" i="2"/>
  <c r="AZ62" i="2"/>
  <c r="AZ61" i="2"/>
  <c r="AZ63" i="2"/>
  <c r="AW176" i="2"/>
  <c r="AW187" i="2" s="1"/>
  <c r="AW171" i="2"/>
  <c r="V180" i="2"/>
  <c r="V191" i="2" s="1"/>
  <c r="AW180" i="2"/>
  <c r="AW191" i="2" s="1"/>
  <c r="X111" i="2"/>
  <c r="Y91" i="2"/>
  <c r="X75" i="2"/>
  <c r="X121" i="2"/>
  <c r="Y93" i="2"/>
  <c r="X77" i="2"/>
  <c r="X136" i="2"/>
  <c r="Y96" i="2"/>
  <c r="X80" i="2"/>
  <c r="Y208" i="2"/>
  <c r="Y209" i="2" s="1"/>
  <c r="Y210" i="2" s="1"/>
  <c r="X131" i="2"/>
  <c r="Y95" i="2"/>
  <c r="X79" i="2"/>
  <c r="Z31" i="2"/>
  <c r="Y64" i="2"/>
  <c r="Y65" i="2"/>
  <c r="Y66" i="2"/>
  <c r="Y67" i="2"/>
  <c r="Y68" i="2"/>
  <c r="Y69" i="2"/>
  <c r="Z206" i="2"/>
  <c r="BY31" i="2"/>
  <c r="Y62" i="2"/>
  <c r="Y63" i="2"/>
  <c r="Y61" i="2"/>
  <c r="BW79" i="2"/>
  <c r="AX131" i="2"/>
  <c r="AX168" i="2" s="1"/>
  <c r="W168" i="2"/>
  <c r="BW74" i="2"/>
  <c r="AX106" i="2"/>
  <c r="AX163" i="2" s="1"/>
  <c r="W163" i="2"/>
  <c r="T156" i="2"/>
  <c r="U133" i="2"/>
  <c r="AU132" i="2"/>
  <c r="V135" i="2"/>
  <c r="AW135" i="2" s="1"/>
  <c r="AV134" i="2"/>
  <c r="V183" i="2"/>
  <c r="V194" i="2" s="1"/>
  <c r="AW183" i="2"/>
  <c r="AW194" i="2" s="1"/>
  <c r="BU151" i="2"/>
  <c r="AS304" i="2"/>
  <c r="AR313" i="2"/>
  <c r="S221" i="2"/>
  <c r="BR292" i="2"/>
  <c r="AU214" i="2"/>
  <c r="AU227" i="2" s="1"/>
  <c r="AU213" i="2"/>
  <c r="AU226" i="2" s="1"/>
  <c r="T216" i="2"/>
  <c r="T229" i="2" s="1"/>
  <c r="T215" i="2"/>
  <c r="T228" i="2" s="1"/>
  <c r="S283" i="2"/>
  <c r="S272" i="2"/>
  <c r="S259" i="2"/>
  <c r="S298" i="2" s="1"/>
  <c r="AT266" i="2"/>
  <c r="BS266" i="2" s="1"/>
  <c r="AT277" i="2"/>
  <c r="AT234" i="2"/>
  <c r="AT253" i="2"/>
  <c r="AT292" i="2" s="1"/>
  <c r="W110" i="2"/>
  <c r="AX110" i="2" s="1"/>
  <c r="AW109" i="2"/>
  <c r="T155" i="2"/>
  <c r="U128" i="2"/>
  <c r="AU127" i="2"/>
  <c r="V130" i="2"/>
  <c r="AW130" i="2" s="1"/>
  <c r="AV129" i="2"/>
  <c r="AW179" i="2"/>
  <c r="AW190" i="2" s="1"/>
  <c r="AX116" i="2"/>
  <c r="AX165" i="2" s="1"/>
  <c r="W165" i="2"/>
  <c r="BW81" i="2"/>
  <c r="BW73" i="2"/>
  <c r="W82" i="2"/>
  <c r="BT158" i="2"/>
  <c r="BT154" i="2"/>
  <c r="V177" i="2"/>
  <c r="V188" i="2" s="1"/>
  <c r="AW177" i="2"/>
  <c r="AW188" i="2" s="1"/>
  <c r="AC202" i="2"/>
  <c r="AC203" i="2" s="1"/>
  <c r="AC204" i="2" s="1"/>
  <c r="AC205" i="2" s="1"/>
  <c r="AC207" i="2" s="1"/>
  <c r="AD200" i="2"/>
  <c r="W120" i="2"/>
  <c r="AX120" i="2" s="1"/>
  <c r="AW119" i="2"/>
  <c r="S267" i="2"/>
  <c r="S278" i="2"/>
  <c r="BS278" i="2" s="1"/>
  <c r="S254" i="2"/>
  <c r="S293" i="2" s="1"/>
  <c r="BS293" i="2" s="1"/>
  <c r="AT269" i="2"/>
  <c r="AT280" i="2"/>
  <c r="AT256" i="2"/>
  <c r="AT295" i="2" s="1"/>
  <c r="AT272" i="2"/>
  <c r="AT283" i="2"/>
  <c r="AT259" i="2"/>
  <c r="AT298" i="2" s="1"/>
  <c r="S279" i="2"/>
  <c r="S268" i="2"/>
  <c r="S255" i="2"/>
  <c r="S294" i="2" s="1"/>
  <c r="S282" i="2"/>
  <c r="S271" i="2"/>
  <c r="S258" i="2"/>
  <c r="S297" i="2" s="1"/>
  <c r="AX82" i="2"/>
  <c r="V176" i="2"/>
  <c r="V187" i="2" s="1"/>
  <c r="V171" i="2"/>
  <c r="X101" i="2"/>
  <c r="Y89" i="2"/>
  <c r="X73" i="2"/>
  <c r="X106" i="2"/>
  <c r="Y90" i="2"/>
  <c r="X74" i="2"/>
  <c r="X116" i="2"/>
  <c r="Y92" i="2"/>
  <c r="X76" i="2"/>
  <c r="X141" i="2"/>
  <c r="Y97" i="2"/>
  <c r="X81" i="2"/>
  <c r="X126" i="2"/>
  <c r="Y94" i="2"/>
  <c r="X78" i="2"/>
  <c r="BW77" i="2"/>
  <c r="AX121" i="2"/>
  <c r="AX166" i="2" s="1"/>
  <c r="W166" i="2"/>
  <c r="BW80" i="2"/>
  <c r="AX136" i="2"/>
  <c r="AX169" i="2" s="1"/>
  <c r="W169" i="2"/>
  <c r="T157" i="2"/>
  <c r="U138" i="2"/>
  <c r="AU137" i="2"/>
  <c r="V140" i="2"/>
  <c r="AW140" i="2" s="1"/>
  <c r="AV139" i="2"/>
  <c r="V178" i="2"/>
  <c r="V189" i="2" s="1"/>
  <c r="AW178" i="2"/>
  <c r="AW189" i="2" s="1"/>
  <c r="V181" i="2"/>
  <c r="V192" i="2" s="1"/>
  <c r="AW181" i="2"/>
  <c r="AW192" i="2" s="1"/>
  <c r="BR266" i="2"/>
  <c r="R304" i="2"/>
  <c r="AC32" i="2"/>
  <c r="BC24" i="2"/>
  <c r="BD32" i="2" s="1"/>
  <c r="AT221" i="2"/>
  <c r="BV82" i="2"/>
  <c r="BR277" i="2"/>
  <c r="AT305" i="2"/>
  <c r="W105" i="2" l="1"/>
  <c r="AX105" i="2" s="1"/>
  <c r="BR312" i="2"/>
  <c r="BR309" i="2"/>
  <c r="BR310" i="2"/>
  <c r="BR311" i="2"/>
  <c r="BR306" i="2"/>
  <c r="AV215" i="2"/>
  <c r="AV228" i="2" s="1"/>
  <c r="AV256" i="2" s="1"/>
  <c r="AV295" i="2" s="1"/>
  <c r="U219" i="2"/>
  <c r="U232" i="2" s="1"/>
  <c r="U273" i="2" s="1"/>
  <c r="V107" i="2"/>
  <c r="AW107" i="2" s="1"/>
  <c r="BQ313" i="2"/>
  <c r="S304" i="2"/>
  <c r="AW113" i="2"/>
  <c r="T258" i="2"/>
  <c r="T297" i="2" s="1"/>
  <c r="AW103" i="2"/>
  <c r="AV216" i="2"/>
  <c r="AV229" i="2" s="1"/>
  <c r="AV281" i="2" s="1"/>
  <c r="AV219" i="2"/>
  <c r="AV232" i="2" s="1"/>
  <c r="AV273" i="2" s="1"/>
  <c r="W109" i="2"/>
  <c r="X110" i="2" s="1"/>
  <c r="AY110" i="2" s="1"/>
  <c r="U220" i="2"/>
  <c r="U233" i="2" s="1"/>
  <c r="U274" i="2" s="1"/>
  <c r="BA94" i="2"/>
  <c r="AU269" i="2"/>
  <c r="AV220" i="2"/>
  <c r="AV233" i="2" s="1"/>
  <c r="AV274" i="2" s="1"/>
  <c r="T273" i="2"/>
  <c r="BT273" i="2" s="1"/>
  <c r="V102" i="2"/>
  <c r="W103" i="2" s="1"/>
  <c r="AS313" i="2"/>
  <c r="BS281" i="2"/>
  <c r="BS277" i="2"/>
  <c r="T279" i="2"/>
  <c r="BS292" i="2"/>
  <c r="W115" i="2"/>
  <c r="AX115" i="2" s="1"/>
  <c r="AT309" i="2"/>
  <c r="AU256" i="2"/>
  <c r="AU295" i="2" s="1"/>
  <c r="BS297" i="2"/>
  <c r="V151" i="2"/>
  <c r="BV151" i="2" s="1"/>
  <c r="BA93" i="2"/>
  <c r="V112" i="2"/>
  <c r="AW112" i="2" s="1"/>
  <c r="T266" i="2"/>
  <c r="AV217" i="2"/>
  <c r="AV230" i="2" s="1"/>
  <c r="AV271" i="2" s="1"/>
  <c r="U213" i="2"/>
  <c r="U226" i="2" s="1"/>
  <c r="U278" i="2" s="1"/>
  <c r="AV214" i="2"/>
  <c r="AV227" i="2" s="1"/>
  <c r="AV279" i="2" s="1"/>
  <c r="BA92" i="2"/>
  <c r="AU261" i="2"/>
  <c r="AU300" i="2" s="1"/>
  <c r="S312" i="2"/>
  <c r="R313" i="2"/>
  <c r="AV213" i="2"/>
  <c r="AV226" i="2" s="1"/>
  <c r="AV254" i="2" s="1"/>
  <c r="AV293" i="2" s="1"/>
  <c r="U215" i="2"/>
  <c r="U228" i="2" s="1"/>
  <c r="U256" i="2" s="1"/>
  <c r="U295" i="2" s="1"/>
  <c r="BA95" i="2"/>
  <c r="BS282" i="2"/>
  <c r="AU271" i="2"/>
  <c r="BT271" i="2" s="1"/>
  <c r="T284" i="2"/>
  <c r="AU260" i="2"/>
  <c r="AU299" i="2" s="1"/>
  <c r="BT299" i="2" s="1"/>
  <c r="AU270" i="2"/>
  <c r="T255" i="2"/>
  <c r="T294" i="2" s="1"/>
  <c r="T274" i="2"/>
  <c r="AU274" i="2"/>
  <c r="AT308" i="2"/>
  <c r="AU277" i="2"/>
  <c r="T277" i="2"/>
  <c r="BA90" i="2"/>
  <c r="AU266" i="2"/>
  <c r="BA91" i="2"/>
  <c r="T278" i="2"/>
  <c r="BS294" i="2"/>
  <c r="BS284" i="2"/>
  <c r="AZ58" i="2"/>
  <c r="AZ81" i="2" s="1"/>
  <c r="BA46" i="2"/>
  <c r="Z58" i="2"/>
  <c r="AA46" i="2"/>
  <c r="AA44" i="2"/>
  <c r="Z56" i="2"/>
  <c r="BA50" i="2"/>
  <c r="BB38" i="2"/>
  <c r="BS300" i="2"/>
  <c r="AU284" i="2"/>
  <c r="T267" i="2"/>
  <c r="T259" i="2"/>
  <c r="T298" i="2" s="1"/>
  <c r="BT298" i="2" s="1"/>
  <c r="AU258" i="2"/>
  <c r="AU297" i="2" s="1"/>
  <c r="AZ57" i="2"/>
  <c r="AZ80" i="2" s="1"/>
  <c r="BA45" i="2"/>
  <c r="AA40" i="2"/>
  <c r="Z52" i="2"/>
  <c r="Z51" i="2"/>
  <c r="AA39" i="2"/>
  <c r="AZ52" i="2"/>
  <c r="AZ75" i="2" s="1"/>
  <c r="BA40" i="2"/>
  <c r="AU221" i="2"/>
  <c r="BT292" i="2"/>
  <c r="AU257" i="2"/>
  <c r="AU296" i="2" s="1"/>
  <c r="T272" i="2"/>
  <c r="BT272" i="2" s="1"/>
  <c r="T261" i="2"/>
  <c r="T300" i="2" s="1"/>
  <c r="T282" i="2"/>
  <c r="BT282" i="2" s="1"/>
  <c r="AA41" i="2"/>
  <c r="Z53" i="2"/>
  <c r="AZ56" i="2"/>
  <c r="AZ79" i="2" s="1"/>
  <c r="BA44" i="2"/>
  <c r="AB38" i="2"/>
  <c r="AA50" i="2"/>
  <c r="AZ53" i="2"/>
  <c r="AZ76" i="2" s="1"/>
  <c r="BA41" i="2"/>
  <c r="BA42" i="2"/>
  <c r="AZ54" i="2"/>
  <c r="AZ77" i="2" s="1"/>
  <c r="T234" i="2"/>
  <c r="U217" i="2"/>
  <c r="U230" i="2" s="1"/>
  <c r="U258" i="2" s="1"/>
  <c r="U297" i="2" s="1"/>
  <c r="U216" i="2"/>
  <c r="U229" i="2" s="1"/>
  <c r="U281" i="2" s="1"/>
  <c r="U214" i="2"/>
  <c r="U227" i="2" s="1"/>
  <c r="U279" i="2" s="1"/>
  <c r="BS279" i="2"/>
  <c r="BS274" i="2"/>
  <c r="BA43" i="2"/>
  <c r="AZ55" i="2"/>
  <c r="AZ78" i="2" s="1"/>
  <c r="AA42" i="2"/>
  <c r="Z54" i="2"/>
  <c r="BA39" i="2"/>
  <c r="AZ51" i="2"/>
  <c r="AZ74" i="2" s="1"/>
  <c r="AA43" i="2"/>
  <c r="Z55" i="2"/>
  <c r="AA45" i="2"/>
  <c r="Z57" i="2"/>
  <c r="U212" i="2"/>
  <c r="U225" i="2" s="1"/>
  <c r="AV212" i="2"/>
  <c r="AV225" i="2" s="1"/>
  <c r="AT304" i="2"/>
  <c r="BR304" i="2"/>
  <c r="BS298" i="2"/>
  <c r="BC23" i="2"/>
  <c r="AV218" i="2"/>
  <c r="AV231" i="2" s="1"/>
  <c r="AV259" i="2" s="1"/>
  <c r="AV298" i="2" s="1"/>
  <c r="V196" i="2"/>
  <c r="V212" i="2" s="1"/>
  <c r="AD24" i="2"/>
  <c r="AD23" i="2" s="1"/>
  <c r="U272" i="2"/>
  <c r="U283" i="2"/>
  <c r="U259" i="2"/>
  <c r="U298" i="2" s="1"/>
  <c r="AW196" i="2"/>
  <c r="AX180" i="2"/>
  <c r="AX191" i="2" s="1"/>
  <c r="AY141" i="2"/>
  <c r="AY170" i="2" s="1"/>
  <c r="X170" i="2"/>
  <c r="AY106" i="2"/>
  <c r="AY163" i="2" s="1"/>
  <c r="X163" i="2"/>
  <c r="BS271" i="2"/>
  <c r="S309" i="2"/>
  <c r="V139" i="2"/>
  <c r="AV138" i="2"/>
  <c r="U137" i="2"/>
  <c r="W183" i="2"/>
  <c r="W194" i="2" s="1"/>
  <c r="AX183" i="2"/>
  <c r="AX194" i="2" s="1"/>
  <c r="BX78" i="2"/>
  <c r="AY126" i="2"/>
  <c r="AY167" i="2" s="1"/>
  <c r="X167" i="2"/>
  <c r="BX76" i="2"/>
  <c r="AY116" i="2"/>
  <c r="AY165" i="2" s="1"/>
  <c r="X165" i="2"/>
  <c r="BX73" i="2"/>
  <c r="X82" i="2"/>
  <c r="AY101" i="2"/>
  <c r="AY162" i="2" s="1"/>
  <c r="X147" i="2"/>
  <c r="X162" i="2"/>
  <c r="BS268" i="2"/>
  <c r="S306" i="2"/>
  <c r="BS267" i="2"/>
  <c r="BS305" i="2" s="1"/>
  <c r="S305" i="2"/>
  <c r="AE200" i="2"/>
  <c r="AD202" i="2"/>
  <c r="AD203" i="2" s="1"/>
  <c r="AD204" i="2" s="1"/>
  <c r="AD205" i="2" s="1"/>
  <c r="AD207" i="2" s="1"/>
  <c r="W179" i="2"/>
  <c r="W190" i="2" s="1"/>
  <c r="AX179" i="2"/>
  <c r="AX190" i="2" s="1"/>
  <c r="V129" i="2"/>
  <c r="AV128" i="2"/>
  <c r="U127" i="2"/>
  <c r="BS272" i="2"/>
  <c r="S310" i="2"/>
  <c r="T269" i="2"/>
  <c r="T280" i="2"/>
  <c r="BT280" i="2" s="1"/>
  <c r="T256" i="2"/>
  <c r="T295" i="2" s="1"/>
  <c r="AU278" i="2"/>
  <c r="AU254" i="2"/>
  <c r="AU293" i="2" s="1"/>
  <c r="BT293" i="2" s="1"/>
  <c r="AU267" i="2"/>
  <c r="V134" i="2"/>
  <c r="AV133" i="2"/>
  <c r="U132" i="2"/>
  <c r="W177" i="2"/>
  <c r="W188" i="2" s="1"/>
  <c r="AX177" i="2"/>
  <c r="AX188" i="2" s="1"/>
  <c r="Y101" i="2"/>
  <c r="Z89" i="2"/>
  <c r="Y73" i="2"/>
  <c r="Y106" i="2"/>
  <c r="Z90" i="2"/>
  <c r="Y74" i="2"/>
  <c r="Z208" i="2"/>
  <c r="Z209" i="2" s="1"/>
  <c r="Z210" i="2" s="1"/>
  <c r="Y136" i="2"/>
  <c r="Z96" i="2"/>
  <c r="Y80" i="2"/>
  <c r="Y126" i="2"/>
  <c r="Z94" i="2"/>
  <c r="Y78" i="2"/>
  <c r="Y116" i="2"/>
  <c r="Z92" i="2"/>
  <c r="Y76" i="2"/>
  <c r="BX79" i="2"/>
  <c r="AY131" i="2"/>
  <c r="AY168" i="2" s="1"/>
  <c r="X168" i="2"/>
  <c r="BX77" i="2"/>
  <c r="AY121" i="2"/>
  <c r="AY166" i="2" s="1"/>
  <c r="X166" i="2"/>
  <c r="BA89" i="2"/>
  <c r="AZ73" i="2"/>
  <c r="BA208" i="2"/>
  <c r="BA209" i="2" s="1"/>
  <c r="BA210" i="2" s="1"/>
  <c r="BA96" i="2"/>
  <c r="AY82" i="2"/>
  <c r="X105" i="2"/>
  <c r="AY105" i="2" s="1"/>
  <c r="AX104" i="2"/>
  <c r="U154" i="2"/>
  <c r="V123" i="2"/>
  <c r="AV122" i="2"/>
  <c r="W125" i="2"/>
  <c r="AX125" i="2" s="1"/>
  <c r="AW124" i="2"/>
  <c r="W178" i="2"/>
  <c r="W189" i="2" s="1"/>
  <c r="AX178" i="2"/>
  <c r="AX189" i="2" s="1"/>
  <c r="BU153" i="2"/>
  <c r="W176" i="2"/>
  <c r="W187" i="2" s="1"/>
  <c r="W171" i="2"/>
  <c r="W184" i="2"/>
  <c r="W195" i="2" s="1"/>
  <c r="AX184" i="2"/>
  <c r="AX195" i="2" s="1"/>
  <c r="AT310" i="2"/>
  <c r="T221" i="2"/>
  <c r="BS299" i="2"/>
  <c r="BS295" i="2"/>
  <c r="BS280" i="2"/>
  <c r="BT283" i="2"/>
  <c r="AU310" i="2"/>
  <c r="BT285" i="2"/>
  <c r="BT157" i="2"/>
  <c r="W180" i="2"/>
  <c r="W191" i="2" s="1"/>
  <c r="BX81" i="2"/>
  <c r="BX74" i="2"/>
  <c r="X115" i="2"/>
  <c r="AY115" i="2" s="1"/>
  <c r="AX114" i="2"/>
  <c r="BT155" i="2"/>
  <c r="T257" i="2"/>
  <c r="T296" i="2" s="1"/>
  <c r="T270" i="2"/>
  <c r="T281" i="2"/>
  <c r="BT281" i="2" s="1"/>
  <c r="AU268" i="2"/>
  <c r="AU279" i="2"/>
  <c r="AU255" i="2"/>
  <c r="AU294" i="2" s="1"/>
  <c r="BT156" i="2"/>
  <c r="W182" i="2"/>
  <c r="W193" i="2" s="1"/>
  <c r="AX182" i="2"/>
  <c r="AX193" i="2" s="1"/>
  <c r="Y111" i="2"/>
  <c r="Z91" i="2"/>
  <c r="Y75" i="2"/>
  <c r="Y141" i="2"/>
  <c r="Z97" i="2"/>
  <c r="Y81" i="2"/>
  <c r="Y131" i="2"/>
  <c r="Z95" i="2"/>
  <c r="Y79" i="2"/>
  <c r="Y121" i="2"/>
  <c r="Z93" i="2"/>
  <c r="Y77" i="2"/>
  <c r="AA31" i="2"/>
  <c r="Z66" i="2"/>
  <c r="Z67" i="2"/>
  <c r="Z69" i="2"/>
  <c r="AA206" i="2"/>
  <c r="BZ31" i="2"/>
  <c r="Z68" i="2"/>
  <c r="Z64" i="2"/>
  <c r="Z65" i="2"/>
  <c r="Z63" i="2"/>
  <c r="Z61" i="2"/>
  <c r="Z62" i="2"/>
  <c r="BY210" i="2"/>
  <c r="BX80" i="2"/>
  <c r="AY136" i="2"/>
  <c r="AY169" i="2" s="1"/>
  <c r="X169" i="2"/>
  <c r="BX75" i="2"/>
  <c r="AY111" i="2"/>
  <c r="AY164" i="2" s="1"/>
  <c r="X164" i="2"/>
  <c r="BA97" i="2"/>
  <c r="BB31" i="2"/>
  <c r="BA66" i="2"/>
  <c r="BA67" i="2"/>
  <c r="BA69" i="2"/>
  <c r="BB206" i="2"/>
  <c r="BA68" i="2"/>
  <c r="BA65" i="2"/>
  <c r="BA64" i="2"/>
  <c r="BA62" i="2"/>
  <c r="BA63" i="2"/>
  <c r="BA61" i="2"/>
  <c r="BS270" i="2"/>
  <c r="S308" i="2"/>
  <c r="BS273" i="2"/>
  <c r="S311" i="2"/>
  <c r="BF200" i="2"/>
  <c r="BE202" i="2"/>
  <c r="BE203" i="2" s="1"/>
  <c r="BE204" i="2" s="1"/>
  <c r="BE205" i="2" s="1"/>
  <c r="BE207" i="2" s="1"/>
  <c r="AE18" i="2"/>
  <c r="BF18" i="2" s="1"/>
  <c r="AF17" i="2"/>
  <c r="BF17" i="2"/>
  <c r="U158" i="2"/>
  <c r="V143" i="2"/>
  <c r="AV142" i="2"/>
  <c r="W145" i="2"/>
  <c r="AX145" i="2" s="1"/>
  <c r="AW144" i="2"/>
  <c r="W181" i="2"/>
  <c r="W192" i="2" s="1"/>
  <c r="AX181" i="2"/>
  <c r="AX192" i="2" s="1"/>
  <c r="W119" i="2"/>
  <c r="AW118" i="2"/>
  <c r="V117" i="2"/>
  <c r="AX176" i="2"/>
  <c r="AX187" i="2" s="1"/>
  <c r="AX171" i="2"/>
  <c r="BS269" i="2"/>
  <c r="S307" i="2"/>
  <c r="AD32" i="2"/>
  <c r="BD24" i="2"/>
  <c r="BE32" i="2" s="1"/>
  <c r="AT307" i="2"/>
  <c r="BW82" i="2"/>
  <c r="BS283" i="2"/>
  <c r="AT312" i="2"/>
  <c r="AT311" i="2"/>
  <c r="AT306" i="2"/>
  <c r="T159" i="2"/>
  <c r="BT159" i="2" s="1"/>
  <c r="AU234" i="2"/>
  <c r="BR313" i="2" l="1"/>
  <c r="V150" i="2"/>
  <c r="BV150" i="2" s="1"/>
  <c r="AV280" i="2"/>
  <c r="AV269" i="2"/>
  <c r="AV307" i="2" s="1"/>
  <c r="U260" i="2"/>
  <c r="U299" i="2" s="1"/>
  <c r="AV260" i="2"/>
  <c r="AV299" i="2" s="1"/>
  <c r="AV270" i="2"/>
  <c r="AV284" i="2"/>
  <c r="BS304" i="2"/>
  <c r="BS309" i="2"/>
  <c r="U284" i="2"/>
  <c r="BT297" i="2"/>
  <c r="BT309" i="2" s="1"/>
  <c r="AV285" i="2"/>
  <c r="AX109" i="2"/>
  <c r="AV261" i="2"/>
  <c r="AV300" i="2" s="1"/>
  <c r="AV267" i="2"/>
  <c r="W108" i="2"/>
  <c r="AU307" i="2"/>
  <c r="BT267" i="2"/>
  <c r="AV255" i="2"/>
  <c r="AV294" i="2" s="1"/>
  <c r="BT279" i="2"/>
  <c r="AV268" i="2"/>
  <c r="AW102" i="2"/>
  <c r="AV257" i="2"/>
  <c r="AV296" i="2" s="1"/>
  <c r="AU308" i="2"/>
  <c r="BT295" i="2"/>
  <c r="T306" i="2"/>
  <c r="U261" i="2"/>
  <c r="U300" i="2" s="1"/>
  <c r="T311" i="2"/>
  <c r="U285" i="2"/>
  <c r="U267" i="2"/>
  <c r="BS308" i="2"/>
  <c r="BB91" i="2"/>
  <c r="U254" i="2"/>
  <c r="U293" i="2" s="1"/>
  <c r="BT274" i="2"/>
  <c r="AU312" i="2"/>
  <c r="AW219" i="2"/>
  <c r="AW232" i="2" s="1"/>
  <c r="AW273" i="2" s="1"/>
  <c r="U280" i="2"/>
  <c r="AU304" i="2"/>
  <c r="T304" i="2"/>
  <c r="V217" i="2"/>
  <c r="V230" i="2" s="1"/>
  <c r="V258" i="2" s="1"/>
  <c r="V297" i="2" s="1"/>
  <c r="U268" i="2"/>
  <c r="AV278" i="2"/>
  <c r="V216" i="2"/>
  <c r="V229" i="2" s="1"/>
  <c r="V281" i="2" s="1"/>
  <c r="AW215" i="2"/>
  <c r="AW228" i="2" s="1"/>
  <c r="AW269" i="2" s="1"/>
  <c r="U269" i="2"/>
  <c r="U307" i="2" s="1"/>
  <c r="AV258" i="2"/>
  <c r="AV297" i="2" s="1"/>
  <c r="BU297" i="2" s="1"/>
  <c r="U282" i="2"/>
  <c r="BT300" i="2"/>
  <c r="BT284" i="2"/>
  <c r="BT311" i="2" s="1"/>
  <c r="AV282" i="2"/>
  <c r="U271" i="2"/>
  <c r="BU271" i="2" s="1"/>
  <c r="BS312" i="2"/>
  <c r="V152" i="2"/>
  <c r="BV152" i="2" s="1"/>
  <c r="W113" i="2"/>
  <c r="V213" i="2"/>
  <c r="V226" i="2" s="1"/>
  <c r="V267" i="2" s="1"/>
  <c r="V218" i="2"/>
  <c r="V231" i="2" s="1"/>
  <c r="V259" i="2" s="1"/>
  <c r="V298" i="2" s="1"/>
  <c r="AW220" i="2"/>
  <c r="AW233" i="2" s="1"/>
  <c r="AW274" i="2" s="1"/>
  <c r="V214" i="2"/>
  <c r="V227" i="2" s="1"/>
  <c r="V268" i="2" s="1"/>
  <c r="BT266" i="2"/>
  <c r="AV283" i="2"/>
  <c r="BU283" i="2" s="1"/>
  <c r="BT294" i="2"/>
  <c r="AV221" i="2"/>
  <c r="U255" i="2"/>
  <c r="U294" i="2" s="1"/>
  <c r="BT277" i="2"/>
  <c r="AV272" i="2"/>
  <c r="BU272" i="2" s="1"/>
  <c r="AU309" i="2"/>
  <c r="T305" i="2"/>
  <c r="AW217" i="2"/>
  <c r="AW230" i="2" s="1"/>
  <c r="AW258" i="2" s="1"/>
  <c r="AW297" i="2" s="1"/>
  <c r="U270" i="2"/>
  <c r="AW218" i="2"/>
  <c r="AW231" i="2" s="1"/>
  <c r="AW283" i="2" s="1"/>
  <c r="V220" i="2"/>
  <c r="V233" i="2" s="1"/>
  <c r="V274" i="2" s="1"/>
  <c r="BS311" i="2"/>
  <c r="BB94" i="2"/>
  <c r="AW216" i="2"/>
  <c r="AW229" i="2" s="1"/>
  <c r="AW281" i="2" s="1"/>
  <c r="AW213" i="2"/>
  <c r="AW226" i="2" s="1"/>
  <c r="AW278" i="2" s="1"/>
  <c r="AW214" i="2"/>
  <c r="AW227" i="2" s="1"/>
  <c r="AW279" i="2" s="1"/>
  <c r="S313" i="2"/>
  <c r="AU311" i="2"/>
  <c r="BU281" i="2"/>
  <c r="BT278" i="2"/>
  <c r="BS306" i="2"/>
  <c r="AB45" i="2"/>
  <c r="AA57" i="2"/>
  <c r="BB39" i="2"/>
  <c r="BA51" i="2"/>
  <c r="BA74" i="2" s="1"/>
  <c r="BA55" i="2"/>
  <c r="BA78" i="2" s="1"/>
  <c r="BB43" i="2"/>
  <c r="BB42" i="2"/>
  <c r="BA54" i="2"/>
  <c r="BA77" i="2" s="1"/>
  <c r="AC38" i="2"/>
  <c r="AB50" i="2"/>
  <c r="AA53" i="2"/>
  <c r="AB41" i="2"/>
  <c r="AB40" i="2"/>
  <c r="AA52" i="2"/>
  <c r="AB44" i="2"/>
  <c r="AA56" i="2"/>
  <c r="U221" i="2"/>
  <c r="BS307" i="2"/>
  <c r="BB90" i="2"/>
  <c r="BB41" i="2"/>
  <c r="BA53" i="2"/>
  <c r="BA76" i="2" s="1"/>
  <c r="BA56" i="2"/>
  <c r="BA79" i="2" s="1"/>
  <c r="BB44" i="2"/>
  <c r="AA51" i="2"/>
  <c r="AB39" i="2"/>
  <c r="BA57" i="2"/>
  <c r="BA80" i="2" s="1"/>
  <c r="BB45" i="2"/>
  <c r="BB50" i="2"/>
  <c r="BC38" i="2"/>
  <c r="AB46" i="2"/>
  <c r="AA58" i="2"/>
  <c r="BB92" i="2"/>
  <c r="BT296" i="2"/>
  <c r="BU273" i="2"/>
  <c r="U257" i="2"/>
  <c r="U296" i="2" s="1"/>
  <c r="AB43" i="2"/>
  <c r="AA55" i="2"/>
  <c r="AB42" i="2"/>
  <c r="AA54" i="2"/>
  <c r="BB93" i="2"/>
  <c r="BB95" i="2"/>
  <c r="T310" i="2"/>
  <c r="T309" i="2"/>
  <c r="BB40" i="2"/>
  <c r="BA52" i="2"/>
  <c r="BA75" i="2" s="1"/>
  <c r="T312" i="2"/>
  <c r="BB46" i="2"/>
  <c r="BA58" i="2"/>
  <c r="BA81" i="2" s="1"/>
  <c r="V215" i="2"/>
  <c r="V228" i="2" s="1"/>
  <c r="V256" i="2" s="1"/>
  <c r="V295" i="2" s="1"/>
  <c r="V219" i="2"/>
  <c r="V232" i="2" s="1"/>
  <c r="V284" i="2" s="1"/>
  <c r="BT310" i="2"/>
  <c r="AT313" i="2"/>
  <c r="AU305" i="2"/>
  <c r="AW212" i="2"/>
  <c r="AW225" i="2" s="1"/>
  <c r="W196" i="2"/>
  <c r="W218" i="2" s="1"/>
  <c r="W231" i="2" s="1"/>
  <c r="V225" i="2"/>
  <c r="U266" i="2"/>
  <c r="U277" i="2"/>
  <c r="U253" i="2"/>
  <c r="U292" i="2" s="1"/>
  <c r="U234" i="2"/>
  <c r="W144" i="2"/>
  <c r="AW143" i="2"/>
  <c r="V142" i="2"/>
  <c r="AG17" i="2"/>
  <c r="BG17" i="2"/>
  <c r="AF18" i="2"/>
  <c r="BG18" i="2" s="1"/>
  <c r="BB89" i="2"/>
  <c r="BA73" i="2"/>
  <c r="BB208" i="2"/>
  <c r="BB209" i="2" s="1"/>
  <c r="BB210" i="2" s="1"/>
  <c r="BC31" i="2"/>
  <c r="BB64" i="2"/>
  <c r="BB65" i="2"/>
  <c r="BB66" i="2"/>
  <c r="BB67" i="2"/>
  <c r="BB68" i="2"/>
  <c r="BB69" i="2"/>
  <c r="BC206" i="2"/>
  <c r="BB62" i="2"/>
  <c r="BB63" i="2"/>
  <c r="BB61" i="2"/>
  <c r="X178" i="2"/>
  <c r="X189" i="2" s="1"/>
  <c r="AY178" i="2"/>
  <c r="AY189" i="2" s="1"/>
  <c r="Z106" i="2"/>
  <c r="AA90" i="2"/>
  <c r="Z74" i="2"/>
  <c r="Z111" i="2"/>
  <c r="AA91" i="2"/>
  <c r="Z75" i="2"/>
  <c r="Z116" i="2"/>
  <c r="AA92" i="2"/>
  <c r="Z76" i="2"/>
  <c r="Z141" i="2"/>
  <c r="AA97" i="2"/>
  <c r="Z81" i="2"/>
  <c r="Z126" i="2"/>
  <c r="AA94" i="2"/>
  <c r="Z78" i="2"/>
  <c r="BY77" i="2"/>
  <c r="AZ121" i="2"/>
  <c r="AZ166" i="2" s="1"/>
  <c r="Y166" i="2"/>
  <c r="BY81" i="2"/>
  <c r="AZ141" i="2"/>
  <c r="AZ170" i="2" s="1"/>
  <c r="Y170" i="2"/>
  <c r="BT270" i="2"/>
  <c r="T308" i="2"/>
  <c r="AV266" i="2"/>
  <c r="AV277" i="2"/>
  <c r="AV253" i="2"/>
  <c r="AV292" i="2" s="1"/>
  <c r="AV234" i="2"/>
  <c r="BU154" i="2"/>
  <c r="X182" i="2"/>
  <c r="X193" i="2" s="1"/>
  <c r="AY182" i="2"/>
  <c r="AY193" i="2" s="1"/>
  <c r="BY78" i="2"/>
  <c r="AZ126" i="2"/>
  <c r="AZ167" i="2" s="1"/>
  <c r="Y167" i="2"/>
  <c r="BY74" i="2"/>
  <c r="AZ106" i="2"/>
  <c r="AZ163" i="2" s="1"/>
  <c r="Y163" i="2"/>
  <c r="U156" i="2"/>
  <c r="V133" i="2"/>
  <c r="AV132" i="2"/>
  <c r="W135" i="2"/>
  <c r="AX135" i="2" s="1"/>
  <c r="AW134" i="2"/>
  <c r="BT269" i="2"/>
  <c r="T307" i="2"/>
  <c r="X176" i="2"/>
  <c r="X187" i="2" s="1"/>
  <c r="X171" i="2"/>
  <c r="X181" i="2"/>
  <c r="X192" i="2" s="1"/>
  <c r="AY181" i="2"/>
  <c r="AY192" i="2" s="1"/>
  <c r="X184" i="2"/>
  <c r="X195" i="2" s="1"/>
  <c r="AY184" i="2"/>
  <c r="AY195" i="2" s="1"/>
  <c r="X104" i="2"/>
  <c r="AX103" i="2"/>
  <c r="W102" i="2"/>
  <c r="AE32" i="2"/>
  <c r="BE24" i="2"/>
  <c r="BF32" i="2" s="1"/>
  <c r="AU306" i="2"/>
  <c r="BD23" i="2"/>
  <c r="BT268" i="2"/>
  <c r="BS310" i="2"/>
  <c r="BX82" i="2"/>
  <c r="BU295" i="2"/>
  <c r="BU279" i="2"/>
  <c r="BU274" i="2"/>
  <c r="AX196" i="2"/>
  <c r="V153" i="2"/>
  <c r="W118" i="2"/>
  <c r="AW117" i="2"/>
  <c r="X120" i="2"/>
  <c r="AY120" i="2" s="1"/>
  <c r="AX119" i="2"/>
  <c r="BU158" i="2"/>
  <c r="BF202" i="2"/>
  <c r="BF203" i="2" s="1"/>
  <c r="BF204" i="2" s="1"/>
  <c r="BF205" i="2" s="1"/>
  <c r="BF207" i="2" s="1"/>
  <c r="BG200" i="2"/>
  <c r="BB96" i="2"/>
  <c r="BB97" i="2"/>
  <c r="X183" i="2"/>
  <c r="X194" i="2" s="1"/>
  <c r="AY183" i="2"/>
  <c r="AY194" i="2" s="1"/>
  <c r="Z101" i="2"/>
  <c r="AA89" i="2"/>
  <c r="Z73" i="2"/>
  <c r="Z121" i="2"/>
  <c r="AA93" i="2"/>
  <c r="Z77" i="2"/>
  <c r="Z136" i="2"/>
  <c r="AA96" i="2"/>
  <c r="Z80" i="2"/>
  <c r="AA208" i="2"/>
  <c r="AA209" i="2" s="1"/>
  <c r="AA210" i="2" s="1"/>
  <c r="Z131" i="2"/>
  <c r="AA95" i="2"/>
  <c r="Z79" i="2"/>
  <c r="AB31" i="2"/>
  <c r="AA64" i="2"/>
  <c r="AA65" i="2"/>
  <c r="AA66" i="2"/>
  <c r="AA67" i="2"/>
  <c r="AA69" i="2"/>
  <c r="AB206" i="2"/>
  <c r="CA31" i="2"/>
  <c r="AA68" i="2"/>
  <c r="AA61" i="2"/>
  <c r="AA62" i="2"/>
  <c r="AA63" i="2"/>
  <c r="BY79" i="2"/>
  <c r="AZ131" i="2"/>
  <c r="AZ168" i="2" s="1"/>
  <c r="Y168" i="2"/>
  <c r="BY75" i="2"/>
  <c r="AZ111" i="2"/>
  <c r="AZ164" i="2" s="1"/>
  <c r="Y164" i="2"/>
  <c r="W124" i="2"/>
  <c r="AW123" i="2"/>
  <c r="V122" i="2"/>
  <c r="AZ82" i="2"/>
  <c r="X180" i="2"/>
  <c r="X191" i="2" s="1"/>
  <c r="AY180" i="2"/>
  <c r="AY191" i="2" s="1"/>
  <c r="BY76" i="2"/>
  <c r="AZ116" i="2"/>
  <c r="AZ165" i="2" s="1"/>
  <c r="Y165" i="2"/>
  <c r="BY80" i="2"/>
  <c r="AZ136" i="2"/>
  <c r="AZ169" i="2" s="1"/>
  <c r="Y169" i="2"/>
  <c r="BZ210" i="2"/>
  <c r="BY73" i="2"/>
  <c r="Y82" i="2"/>
  <c r="AZ101" i="2"/>
  <c r="AZ162" i="2" s="1"/>
  <c r="Y147" i="2"/>
  <c r="Y162" i="2"/>
  <c r="U155" i="2"/>
  <c r="V128" i="2"/>
  <c r="AV127" i="2"/>
  <c r="W130" i="2"/>
  <c r="AX130" i="2" s="1"/>
  <c r="AW129" i="2"/>
  <c r="AE202" i="2"/>
  <c r="AE203" i="2" s="1"/>
  <c r="AE204" i="2" s="1"/>
  <c r="AE205" i="2" s="1"/>
  <c r="AE207" i="2" s="1"/>
  <c r="AF200" i="2"/>
  <c r="AY176" i="2"/>
  <c r="AY187" i="2" s="1"/>
  <c r="AY171" i="2"/>
  <c r="X179" i="2"/>
  <c r="X190" i="2" s="1"/>
  <c r="AY179" i="2"/>
  <c r="AY190" i="2" s="1"/>
  <c r="U157" i="2"/>
  <c r="V138" i="2"/>
  <c r="AV137" i="2"/>
  <c r="W140" i="2"/>
  <c r="AX140" i="2" s="1"/>
  <c r="AW139" i="2"/>
  <c r="X177" i="2"/>
  <c r="X188" i="2" s="1"/>
  <c r="AY177" i="2"/>
  <c r="AY188" i="2" s="1"/>
  <c r="AE24" i="2"/>
  <c r="AE23" i="2" s="1"/>
  <c r="BU298" i="2"/>
  <c r="BR326" i="2" l="1"/>
  <c r="BU270" i="2"/>
  <c r="BU280" i="2"/>
  <c r="BU299" i="2"/>
  <c r="AV311" i="2"/>
  <c r="AV308" i="2"/>
  <c r="AV305" i="2"/>
  <c r="BU267" i="2"/>
  <c r="BU284" i="2"/>
  <c r="BT305" i="2"/>
  <c r="U305" i="2"/>
  <c r="BU285" i="2"/>
  <c r="BT307" i="2"/>
  <c r="AV312" i="2"/>
  <c r="U312" i="2"/>
  <c r="AW271" i="2"/>
  <c r="BU300" i="2"/>
  <c r="AX108" i="2"/>
  <c r="X109" i="2"/>
  <c r="W107" i="2"/>
  <c r="AX107" i="2" s="1"/>
  <c r="AV306" i="2"/>
  <c r="BE23" i="2"/>
  <c r="V254" i="2"/>
  <c r="V293" i="2" s="1"/>
  <c r="BU268" i="2"/>
  <c r="BT304" i="2"/>
  <c r="AW268" i="2"/>
  <c r="BV268" i="2" s="1"/>
  <c r="BU293" i="2"/>
  <c r="AW254" i="2"/>
  <c r="AW293" i="2" s="1"/>
  <c r="BU296" i="2"/>
  <c r="AW282" i="2"/>
  <c r="V261" i="2"/>
  <c r="V300" i="2" s="1"/>
  <c r="U306" i="2"/>
  <c r="AW256" i="2"/>
  <c r="AW295" i="2" s="1"/>
  <c r="BV295" i="2" s="1"/>
  <c r="AW260" i="2"/>
  <c r="AW299" i="2" s="1"/>
  <c r="BU294" i="2"/>
  <c r="AW280" i="2"/>
  <c r="AW284" i="2"/>
  <c r="BV284" i="2" s="1"/>
  <c r="V271" i="2"/>
  <c r="AW267" i="2"/>
  <c r="V278" i="2"/>
  <c r="V272" i="2"/>
  <c r="AW234" i="2"/>
  <c r="BU282" i="2"/>
  <c r="V282" i="2"/>
  <c r="V283" i="2"/>
  <c r="BV283" i="2" s="1"/>
  <c r="V285" i="2"/>
  <c r="V270" i="2"/>
  <c r="V255" i="2"/>
  <c r="V294" i="2" s="1"/>
  <c r="AV309" i="2"/>
  <c r="BU269" i="2"/>
  <c r="V279" i="2"/>
  <c r="BV279" i="2" s="1"/>
  <c r="AW255" i="2"/>
  <c r="AW294" i="2" s="1"/>
  <c r="V257" i="2"/>
  <c r="V296" i="2" s="1"/>
  <c r="AV310" i="2"/>
  <c r="BT312" i="2"/>
  <c r="BU278" i="2"/>
  <c r="AW261" i="2"/>
  <c r="AW300" i="2" s="1"/>
  <c r="AW285" i="2"/>
  <c r="BS313" i="2"/>
  <c r="BS322" i="2" s="1"/>
  <c r="BS326" i="2" s="1"/>
  <c r="X114" i="2"/>
  <c r="AX113" i="2"/>
  <c r="W112" i="2"/>
  <c r="BT306" i="2"/>
  <c r="BC90" i="2"/>
  <c r="AW277" i="2"/>
  <c r="AW270" i="2"/>
  <c r="BC93" i="2"/>
  <c r="AW272" i="2"/>
  <c r="V260" i="2"/>
  <c r="V299" i="2" s="1"/>
  <c r="AW221" i="2"/>
  <c r="AW257" i="2"/>
  <c r="AW296" i="2" s="1"/>
  <c r="BC95" i="2"/>
  <c r="AW259" i="2"/>
  <c r="AW298" i="2" s="1"/>
  <c r="BV298" i="2" s="1"/>
  <c r="AU313" i="2"/>
  <c r="T313" i="2"/>
  <c r="BC94" i="2"/>
  <c r="BD38" i="2"/>
  <c r="BC50" i="2"/>
  <c r="AC39" i="2"/>
  <c r="AB51" i="2"/>
  <c r="AC40" i="2"/>
  <c r="AB52" i="2"/>
  <c r="AC50" i="2"/>
  <c r="AD38" i="2"/>
  <c r="AC45" i="2"/>
  <c r="AB57" i="2"/>
  <c r="V280" i="2"/>
  <c r="BB52" i="2"/>
  <c r="BB75" i="2" s="1"/>
  <c r="BC40" i="2"/>
  <c r="AC43" i="2"/>
  <c r="AB55" i="2"/>
  <c r="BC41" i="2"/>
  <c r="BB53" i="2"/>
  <c r="BB76" i="2" s="1"/>
  <c r="AC41" i="2"/>
  <c r="AB53" i="2"/>
  <c r="BT308" i="2"/>
  <c r="BV297" i="2"/>
  <c r="V269" i="2"/>
  <c r="BB58" i="2"/>
  <c r="BB81" i="2" s="1"/>
  <c r="BC46" i="2"/>
  <c r="BC45" i="2"/>
  <c r="BB57" i="2"/>
  <c r="BB80" i="2" s="1"/>
  <c r="BB56" i="2"/>
  <c r="BB79" i="2" s="1"/>
  <c r="BC44" i="2"/>
  <c r="AC44" i="2"/>
  <c r="AB56" i="2"/>
  <c r="BB54" i="2"/>
  <c r="BB77" i="2" s="1"/>
  <c r="BC42" i="2"/>
  <c r="BB51" i="2"/>
  <c r="BB74" i="2" s="1"/>
  <c r="BC39" i="2"/>
  <c r="U308" i="2"/>
  <c r="BC91" i="2"/>
  <c r="BC92" i="2"/>
  <c r="AB54" i="2"/>
  <c r="AC42" i="2"/>
  <c r="AC46" i="2"/>
  <c r="AB58" i="2"/>
  <c r="BC43" i="2"/>
  <c r="BB55" i="2"/>
  <c r="BB78" i="2" s="1"/>
  <c r="W220" i="2"/>
  <c r="W233" i="2" s="1"/>
  <c r="W261" i="2" s="1"/>
  <c r="W300" i="2" s="1"/>
  <c r="AX217" i="2"/>
  <c r="AX230" i="2" s="1"/>
  <c r="AX282" i="2" s="1"/>
  <c r="AW253" i="2"/>
  <c r="AW292" i="2" s="1"/>
  <c r="V273" i="2"/>
  <c r="BV273" i="2" s="1"/>
  <c r="AW266" i="2"/>
  <c r="V221" i="2"/>
  <c r="W216" i="2"/>
  <c r="W229" i="2" s="1"/>
  <c r="W270" i="2" s="1"/>
  <c r="AX219" i="2"/>
  <c r="AX232" i="2" s="1"/>
  <c r="AX260" i="2" s="1"/>
  <c r="AX299" i="2" s="1"/>
  <c r="W217" i="2"/>
  <c r="W230" i="2" s="1"/>
  <c r="W258" i="2" s="1"/>
  <c r="W297" i="2" s="1"/>
  <c r="W219" i="2"/>
  <c r="W232" i="2" s="1"/>
  <c r="W273" i="2" s="1"/>
  <c r="AX220" i="2"/>
  <c r="AX233" i="2" s="1"/>
  <c r="AX274" i="2" s="1"/>
  <c r="AX216" i="2"/>
  <c r="AX229" i="2" s="1"/>
  <c r="AX257" i="2" s="1"/>
  <c r="AX296" i="2" s="1"/>
  <c r="W214" i="2"/>
  <c r="W227" i="2" s="1"/>
  <c r="W255" i="2" s="1"/>
  <c r="W294" i="2" s="1"/>
  <c r="W212" i="2"/>
  <c r="W225" i="2" s="1"/>
  <c r="AX214" i="2"/>
  <c r="AX227" i="2" s="1"/>
  <c r="AX268" i="2" s="1"/>
  <c r="AX212" i="2"/>
  <c r="AX225" i="2" s="1"/>
  <c r="AX266" i="2" s="1"/>
  <c r="W215" i="2"/>
  <c r="W228" i="2" s="1"/>
  <c r="W256" i="2" s="1"/>
  <c r="W295" i="2" s="1"/>
  <c r="BY82" i="2"/>
  <c r="AY196" i="2"/>
  <c r="X196" i="2"/>
  <c r="AY212" i="2" s="1"/>
  <c r="AY225" i="2" s="1"/>
  <c r="CA210" i="2"/>
  <c r="W272" i="2"/>
  <c r="W283" i="2"/>
  <c r="W259" i="2"/>
  <c r="W298" i="2" s="1"/>
  <c r="AF24" i="2"/>
  <c r="AF23" i="2" s="1"/>
  <c r="AF32" i="2"/>
  <c r="BF24" i="2"/>
  <c r="BG32" i="2" s="1"/>
  <c r="W139" i="2"/>
  <c r="AW138" i="2"/>
  <c r="V137" i="2"/>
  <c r="AG200" i="2"/>
  <c r="AF202" i="2"/>
  <c r="AF203" i="2" s="1"/>
  <c r="AF204" i="2" s="1"/>
  <c r="AF205" i="2" s="1"/>
  <c r="AF207" i="2" s="1"/>
  <c r="BU155" i="2"/>
  <c r="U309" i="2"/>
  <c r="AZ176" i="2"/>
  <c r="AZ187" i="2" s="1"/>
  <c r="AZ171" i="2"/>
  <c r="Y183" i="2"/>
  <c r="Y194" i="2" s="1"/>
  <c r="AZ183" i="2"/>
  <c r="AZ194" i="2" s="1"/>
  <c r="V154" i="2"/>
  <c r="W123" i="2"/>
  <c r="AW122" i="2"/>
  <c r="X125" i="2"/>
  <c r="AY125" i="2" s="1"/>
  <c r="AX124" i="2"/>
  <c r="Y182" i="2"/>
  <c r="Y193" i="2" s="1"/>
  <c r="AZ182" i="2"/>
  <c r="AZ193" i="2" s="1"/>
  <c r="AA106" i="2"/>
  <c r="AB90" i="2"/>
  <c r="AA74" i="2"/>
  <c r="AA136" i="2"/>
  <c r="AB96" i="2"/>
  <c r="AA80" i="2"/>
  <c r="AB208" i="2"/>
  <c r="AB209" i="2" s="1"/>
  <c r="AB210" i="2" s="1"/>
  <c r="AA131" i="2"/>
  <c r="AB95" i="2"/>
  <c r="AA79" i="2"/>
  <c r="AA121" i="2"/>
  <c r="AB93" i="2"/>
  <c r="AA77" i="2"/>
  <c r="AC31" i="2"/>
  <c r="AB66" i="2"/>
  <c r="AB67" i="2"/>
  <c r="AB69" i="2"/>
  <c r="AC206" i="2"/>
  <c r="CB31" i="2"/>
  <c r="AB68" i="2"/>
  <c r="AB65" i="2"/>
  <c r="AB64" i="2"/>
  <c r="AB62" i="2"/>
  <c r="AB63" i="2"/>
  <c r="AB61" i="2"/>
  <c r="BZ80" i="2"/>
  <c r="BA136" i="2"/>
  <c r="BA169" i="2" s="1"/>
  <c r="Z169" i="2"/>
  <c r="BZ73" i="2"/>
  <c r="Z82" i="2"/>
  <c r="BA101" i="2"/>
  <c r="BA162" i="2" s="1"/>
  <c r="Z147" i="2"/>
  <c r="Z162" i="2"/>
  <c r="BV153" i="2"/>
  <c r="W150" i="2"/>
  <c r="X103" i="2"/>
  <c r="AX102" i="2"/>
  <c r="Y105" i="2"/>
  <c r="AZ105" i="2" s="1"/>
  <c r="AY104" i="2"/>
  <c r="BU156" i="2"/>
  <c r="BU310" i="2" s="1"/>
  <c r="U310" i="2"/>
  <c r="Y181" i="2"/>
  <c r="Y192" i="2" s="1"/>
  <c r="AZ181" i="2"/>
  <c r="AZ192" i="2" s="1"/>
  <c r="Y184" i="2"/>
  <c r="Y195" i="2" s="1"/>
  <c r="AZ184" i="2"/>
  <c r="AZ195" i="2" s="1"/>
  <c r="BZ78" i="2"/>
  <c r="BA126" i="2"/>
  <c r="BA167" i="2" s="1"/>
  <c r="Z167" i="2"/>
  <c r="BZ76" i="2"/>
  <c r="BA116" i="2"/>
  <c r="BA165" i="2" s="1"/>
  <c r="Z165" i="2"/>
  <c r="BZ74" i="2"/>
  <c r="BA106" i="2"/>
  <c r="BA163" i="2" s="1"/>
  <c r="Z163" i="2"/>
  <c r="BC208" i="2"/>
  <c r="BC209" i="2" s="1"/>
  <c r="BC210" i="2" s="1"/>
  <c r="BC96" i="2"/>
  <c r="BA82" i="2"/>
  <c r="AG18" i="2"/>
  <c r="BH18" i="2" s="1"/>
  <c r="AH17" i="2"/>
  <c r="BH17" i="2"/>
  <c r="BU266" i="2"/>
  <c r="U304" i="2"/>
  <c r="BU292" i="2"/>
  <c r="AX215" i="2"/>
  <c r="AX228" i="2" s="1"/>
  <c r="AX213" i="2"/>
  <c r="AX226" i="2" s="1"/>
  <c r="AX218" i="2"/>
  <c r="AX231" i="2" s="1"/>
  <c r="BV281" i="2"/>
  <c r="BV274" i="2"/>
  <c r="BU157" i="2"/>
  <c r="U311" i="2"/>
  <c r="W129" i="2"/>
  <c r="AW128" i="2"/>
  <c r="V127" i="2"/>
  <c r="Y176" i="2"/>
  <c r="Y187" i="2" s="1"/>
  <c r="Y171" i="2"/>
  <c r="Y179" i="2"/>
  <c r="Y190" i="2" s="1"/>
  <c r="AZ179" i="2"/>
  <c r="AZ190" i="2" s="1"/>
  <c r="Y178" i="2"/>
  <c r="Y189" i="2" s="1"/>
  <c r="AZ178" i="2"/>
  <c r="AZ189" i="2" s="1"/>
  <c r="AA111" i="2"/>
  <c r="AB91" i="2"/>
  <c r="AA75" i="2"/>
  <c r="AA101" i="2"/>
  <c r="AB89" i="2"/>
  <c r="AA73" i="2"/>
  <c r="AA141" i="2"/>
  <c r="AB97" i="2"/>
  <c r="AA81" i="2"/>
  <c r="AA126" i="2"/>
  <c r="AB94" i="2"/>
  <c r="AA78" i="2"/>
  <c r="AA116" i="2"/>
  <c r="AB92" i="2"/>
  <c r="AA76" i="2"/>
  <c r="BZ79" i="2"/>
  <c r="BA131" i="2"/>
  <c r="BA168" i="2" s="1"/>
  <c r="Z168" i="2"/>
  <c r="BZ77" i="2"/>
  <c r="BA121" i="2"/>
  <c r="BA166" i="2" s="1"/>
  <c r="Z166" i="2"/>
  <c r="BH200" i="2"/>
  <c r="BG202" i="2"/>
  <c r="BG203" i="2" s="1"/>
  <c r="BG204" i="2" s="1"/>
  <c r="BG205" i="2" s="1"/>
  <c r="BG207" i="2" s="1"/>
  <c r="X119" i="2"/>
  <c r="AX118" i="2"/>
  <c r="W117" i="2"/>
  <c r="W134" i="2"/>
  <c r="AW133" i="2"/>
  <c r="V132" i="2"/>
  <c r="Y177" i="2"/>
  <c r="Y188" i="2" s="1"/>
  <c r="AZ177" i="2"/>
  <c r="AZ188" i="2" s="1"/>
  <c r="Y180" i="2"/>
  <c r="Y191" i="2" s="1"/>
  <c r="AZ180" i="2"/>
  <c r="AZ191" i="2" s="1"/>
  <c r="BZ81" i="2"/>
  <c r="BA141" i="2"/>
  <c r="BA170" i="2" s="1"/>
  <c r="Z170" i="2"/>
  <c r="BZ75" i="2"/>
  <c r="BA111" i="2"/>
  <c r="BA164" i="2" s="1"/>
  <c r="Z164" i="2"/>
  <c r="BC89" i="2"/>
  <c r="BB73" i="2"/>
  <c r="BC97" i="2"/>
  <c r="BD31" i="2"/>
  <c r="BC66" i="2"/>
  <c r="BC69" i="2"/>
  <c r="BC67" i="2"/>
  <c r="BD206" i="2"/>
  <c r="BC68" i="2"/>
  <c r="BC64" i="2"/>
  <c r="BC65" i="2"/>
  <c r="BC61" i="2"/>
  <c r="BC62" i="2"/>
  <c r="BC63" i="2"/>
  <c r="V158" i="2"/>
  <c r="W143" i="2"/>
  <c r="AW142" i="2"/>
  <c r="X145" i="2"/>
  <c r="AY145" i="2" s="1"/>
  <c r="AX144" i="2"/>
  <c r="V266" i="2"/>
  <c r="V277" i="2"/>
  <c r="V253" i="2"/>
  <c r="V292" i="2" s="1"/>
  <c r="V234" i="2"/>
  <c r="U159" i="2"/>
  <c r="BU159" i="2" s="1"/>
  <c r="AV304" i="2"/>
  <c r="BU277" i="2"/>
  <c r="W213" i="2"/>
  <c r="W226" i="2" s="1"/>
  <c r="BU311" i="2" l="1"/>
  <c r="BU307" i="2"/>
  <c r="BU308" i="2"/>
  <c r="BV292" i="2"/>
  <c r="BD93" i="2"/>
  <c r="BD95" i="2"/>
  <c r="BV272" i="2"/>
  <c r="BV277" i="2"/>
  <c r="AW312" i="2"/>
  <c r="AW311" i="2"/>
  <c r="BU312" i="2"/>
  <c r="AW305" i="2"/>
  <c r="BV285" i="2"/>
  <c r="BV271" i="2"/>
  <c r="BV282" i="2"/>
  <c r="BU306" i="2"/>
  <c r="BV299" i="2"/>
  <c r="BV293" i="2"/>
  <c r="BV300" i="2"/>
  <c r="AV313" i="2"/>
  <c r="AW309" i="2"/>
  <c r="W151" i="2"/>
  <c r="BW151" i="2" s="1"/>
  <c r="X108" i="2"/>
  <c r="Y110" i="2"/>
  <c r="AZ110" i="2" s="1"/>
  <c r="AY109" i="2"/>
  <c r="BV296" i="2"/>
  <c r="BU305" i="2"/>
  <c r="AW306" i="2"/>
  <c r="V305" i="2"/>
  <c r="AW307" i="2"/>
  <c r="BV278" i="2"/>
  <c r="BV270" i="2"/>
  <c r="W260" i="2"/>
  <c r="W299" i="2" s="1"/>
  <c r="BW299" i="2" s="1"/>
  <c r="BU309" i="2"/>
  <c r="BT313" i="2"/>
  <c r="BT322" i="2" s="1"/>
  <c r="BV267" i="2"/>
  <c r="V306" i="2"/>
  <c r="BV280" i="2"/>
  <c r="AW310" i="2"/>
  <c r="AX261" i="2"/>
  <c r="AX300" i="2" s="1"/>
  <c r="BW300" i="2" s="1"/>
  <c r="W257" i="2"/>
  <c r="W296" i="2" s="1"/>
  <c r="BW296" i="2" s="1"/>
  <c r="V307" i="2"/>
  <c r="BF23" i="2"/>
  <c r="AX285" i="2"/>
  <c r="AX312" i="2" s="1"/>
  <c r="W281" i="2"/>
  <c r="AW304" i="2"/>
  <c r="BV294" i="2"/>
  <c r="BV306" i="2" s="1"/>
  <c r="W285" i="2"/>
  <c r="BW285" i="2" s="1"/>
  <c r="AW308" i="2"/>
  <c r="Y115" i="2"/>
  <c r="AZ115" i="2" s="1"/>
  <c r="AY114" i="2"/>
  <c r="X113" i="2"/>
  <c r="AX112" i="2"/>
  <c r="W152" i="2"/>
  <c r="BW152" i="2" s="1"/>
  <c r="AX277" i="2"/>
  <c r="BV269" i="2"/>
  <c r="BD90" i="2"/>
  <c r="AX271" i="2"/>
  <c r="AD46" i="2"/>
  <c r="AC58" i="2"/>
  <c r="AD44" i="2"/>
  <c r="AC56" i="2"/>
  <c r="BD45" i="2"/>
  <c r="BC57" i="2"/>
  <c r="BC52" i="2"/>
  <c r="BC75" i="2" s="1"/>
  <c r="BD40" i="2"/>
  <c r="AD45" i="2"/>
  <c r="AC57" i="2"/>
  <c r="AC52" i="2"/>
  <c r="AD40" i="2"/>
  <c r="BE38" i="2"/>
  <c r="BD50" i="2"/>
  <c r="W274" i="2"/>
  <c r="BW274" i="2" s="1"/>
  <c r="AD42" i="2"/>
  <c r="AC54" i="2"/>
  <c r="BD42" i="2"/>
  <c r="BC54" i="2"/>
  <c r="BC77" i="2" s="1"/>
  <c r="BD44" i="2"/>
  <c r="BC56" i="2"/>
  <c r="BC79" i="2" s="1"/>
  <c r="BD46" i="2"/>
  <c r="BC58" i="2"/>
  <c r="BC81" i="2" s="1"/>
  <c r="BD41" i="2"/>
  <c r="BC53" i="2"/>
  <c r="BC76" i="2" s="1"/>
  <c r="AD50" i="2"/>
  <c r="AE38" i="2"/>
  <c r="BD91" i="2"/>
  <c r="BD92" i="2"/>
  <c r="BD43" i="2"/>
  <c r="BC55" i="2"/>
  <c r="BC78" i="2" s="1"/>
  <c r="AC51" i="2"/>
  <c r="AD39" i="2"/>
  <c r="BD94" i="2"/>
  <c r="BD39" i="2"/>
  <c r="BC51" i="2"/>
  <c r="BC74" i="2" s="1"/>
  <c r="AD41" i="2"/>
  <c r="AC53" i="2"/>
  <c r="AC55" i="2"/>
  <c r="AD43" i="2"/>
  <c r="AX258" i="2"/>
  <c r="AX297" i="2" s="1"/>
  <c r="BW297" i="2" s="1"/>
  <c r="AY218" i="2"/>
  <c r="AY231" i="2" s="1"/>
  <c r="AY259" i="2" s="1"/>
  <c r="AY298" i="2" s="1"/>
  <c r="AY219" i="2"/>
  <c r="AY232" i="2" s="1"/>
  <c r="AY284" i="2" s="1"/>
  <c r="AX253" i="2"/>
  <c r="AX292" i="2" s="1"/>
  <c r="X217" i="2"/>
  <c r="X230" i="2" s="1"/>
  <c r="X258" i="2" s="1"/>
  <c r="X297" i="2" s="1"/>
  <c r="W269" i="2"/>
  <c r="AX273" i="2"/>
  <c r="BW273" i="2" s="1"/>
  <c r="AX270" i="2"/>
  <c r="BW270" i="2" s="1"/>
  <c r="W280" i="2"/>
  <c r="AX284" i="2"/>
  <c r="W284" i="2"/>
  <c r="X220" i="2"/>
  <c r="X233" i="2" s="1"/>
  <c r="X261" i="2" s="1"/>
  <c r="X300" i="2" s="1"/>
  <c r="X214" i="2"/>
  <c r="X227" i="2" s="1"/>
  <c r="X279" i="2" s="1"/>
  <c r="AY217" i="2"/>
  <c r="AY230" i="2" s="1"/>
  <c r="AY258" i="2" s="1"/>
  <c r="AY297" i="2" s="1"/>
  <c r="X215" i="2"/>
  <c r="X228" i="2" s="1"/>
  <c r="X280" i="2" s="1"/>
  <c r="X213" i="2"/>
  <c r="X226" i="2" s="1"/>
  <c r="X254" i="2" s="1"/>
  <c r="X293" i="2" s="1"/>
  <c r="AX281" i="2"/>
  <c r="AX279" i="2"/>
  <c r="X218" i="2"/>
  <c r="X231" i="2" s="1"/>
  <c r="X283" i="2" s="1"/>
  <c r="X219" i="2"/>
  <c r="X232" i="2" s="1"/>
  <c r="X284" i="2" s="1"/>
  <c r="W271" i="2"/>
  <c r="AY214" i="2"/>
  <c r="AY227" i="2" s="1"/>
  <c r="AY279" i="2" s="1"/>
  <c r="AY220" i="2"/>
  <c r="AY233" i="2" s="1"/>
  <c r="AY285" i="2" s="1"/>
  <c r="AY215" i="2"/>
  <c r="AY228" i="2" s="1"/>
  <c r="AY280" i="2" s="1"/>
  <c r="AY213" i="2"/>
  <c r="AY226" i="2" s="1"/>
  <c r="AY254" i="2" s="1"/>
  <c r="AY293" i="2" s="1"/>
  <c r="W279" i="2"/>
  <c r="W268" i="2"/>
  <c r="AY216" i="2"/>
  <c r="AY229" i="2" s="1"/>
  <c r="AY281" i="2" s="1"/>
  <c r="AX255" i="2"/>
  <c r="AX294" i="2" s="1"/>
  <c r="BW294" i="2" s="1"/>
  <c r="W282" i="2"/>
  <c r="BW282" i="2" s="1"/>
  <c r="X212" i="2"/>
  <c r="X225" i="2" s="1"/>
  <c r="X216" i="2"/>
  <c r="X229" i="2" s="1"/>
  <c r="X257" i="2" s="1"/>
  <c r="X296" i="2" s="1"/>
  <c r="X255" i="2"/>
  <c r="X294" i="2" s="1"/>
  <c r="Y196" i="2"/>
  <c r="AZ216" i="2" s="1"/>
  <c r="AZ229" i="2" s="1"/>
  <c r="AG24" i="2"/>
  <c r="AG23" i="2" s="1"/>
  <c r="W267" i="2"/>
  <c r="W278" i="2"/>
  <c r="W254" i="2"/>
  <c r="W293" i="2" s="1"/>
  <c r="BV158" i="2"/>
  <c r="V312" i="2"/>
  <c r="BD96" i="2"/>
  <c r="BC80" i="2"/>
  <c r="BB82" i="2"/>
  <c r="Z184" i="2"/>
  <c r="Z195" i="2" s="1"/>
  <c r="BA184" i="2"/>
  <c r="BA195" i="2" s="1"/>
  <c r="V156" i="2"/>
  <c r="W133" i="2"/>
  <c r="AW132" i="2"/>
  <c r="X135" i="2"/>
  <c r="AY135" i="2" s="1"/>
  <c r="AX134" i="2"/>
  <c r="Z182" i="2"/>
  <c r="Z193" i="2" s="1"/>
  <c r="BA182" i="2"/>
  <c r="BA193" i="2" s="1"/>
  <c r="CA78" i="2"/>
  <c r="BB126" i="2"/>
  <c r="BB167" i="2" s="1"/>
  <c r="AA167" i="2"/>
  <c r="CA73" i="2"/>
  <c r="AA82" i="2"/>
  <c r="BB101" i="2"/>
  <c r="BB162" i="2" s="1"/>
  <c r="AA147" i="2"/>
  <c r="AA162" i="2"/>
  <c r="AX272" i="2"/>
  <c r="BW272" i="2" s="1"/>
  <c r="AX283" i="2"/>
  <c r="BW283" i="2" s="1"/>
  <c r="AX259" i="2"/>
  <c r="AX298" i="2" s="1"/>
  <c r="BW298" i="2" s="1"/>
  <c r="AX267" i="2"/>
  <c r="AX278" i="2"/>
  <c r="AX254" i="2"/>
  <c r="AX293" i="2" s="1"/>
  <c r="BI17" i="2"/>
  <c r="AI17" i="2"/>
  <c r="AH18" i="2"/>
  <c r="BI18" i="2" s="1"/>
  <c r="Z177" i="2"/>
  <c r="Z188" i="2" s="1"/>
  <c r="BA177" i="2"/>
  <c r="BA188" i="2" s="1"/>
  <c r="Z181" i="2"/>
  <c r="Z192" i="2" s="1"/>
  <c r="BA181" i="2"/>
  <c r="BA192" i="2" s="1"/>
  <c r="Y104" i="2"/>
  <c r="AY103" i="2"/>
  <c r="X102" i="2"/>
  <c r="X150" i="2" s="1"/>
  <c r="Z176" i="2"/>
  <c r="Z187" i="2" s="1"/>
  <c r="Z171" i="2"/>
  <c r="AB101" i="2"/>
  <c r="AC89" i="2"/>
  <c r="AB73" i="2"/>
  <c r="AB106" i="2"/>
  <c r="AC90" i="2"/>
  <c r="AB74" i="2"/>
  <c r="AB121" i="2"/>
  <c r="AC93" i="2"/>
  <c r="AB77" i="2"/>
  <c r="AB141" i="2"/>
  <c r="AC97" i="2"/>
  <c r="AB81" i="2"/>
  <c r="AB126" i="2"/>
  <c r="AC94" i="2"/>
  <c r="AB78" i="2"/>
  <c r="CA77" i="2"/>
  <c r="BB121" i="2"/>
  <c r="BB166" i="2" s="1"/>
  <c r="AA166" i="2"/>
  <c r="CA80" i="2"/>
  <c r="BB136" i="2"/>
  <c r="BB169" i="2" s="1"/>
  <c r="AA169" i="2"/>
  <c r="BV154" i="2"/>
  <c r="V308" i="2"/>
  <c r="V157" i="2"/>
  <c r="W138" i="2"/>
  <c r="AW137" i="2"/>
  <c r="X140" i="2"/>
  <c r="AY140" i="2" s="1"/>
  <c r="AX139" i="2"/>
  <c r="W221" i="2"/>
  <c r="AX221" i="2"/>
  <c r="BU304" i="2"/>
  <c r="AX234" i="2"/>
  <c r="BZ82" i="2"/>
  <c r="W253" i="2"/>
  <c r="W292" i="2" s="1"/>
  <c r="W266" i="2"/>
  <c r="BW266" i="2" s="1"/>
  <c r="W277" i="2"/>
  <c r="W234" i="2"/>
  <c r="BV266" i="2"/>
  <c r="V304" i="2"/>
  <c r="X144" i="2"/>
  <c r="AX143" i="2"/>
  <c r="W142" i="2"/>
  <c r="BD89" i="2"/>
  <c r="BC73" i="2"/>
  <c r="BD208" i="2"/>
  <c r="BD209" i="2" s="1"/>
  <c r="BD210" i="2" s="1"/>
  <c r="BD97" i="2"/>
  <c r="BE31" i="2"/>
  <c r="BD64" i="2"/>
  <c r="BD65" i="2"/>
  <c r="BD66" i="2"/>
  <c r="BD67" i="2"/>
  <c r="BD68" i="2"/>
  <c r="BD69" i="2"/>
  <c r="BE206" i="2"/>
  <c r="BD63" i="2"/>
  <c r="BD62" i="2"/>
  <c r="BD61" i="2"/>
  <c r="Z178" i="2"/>
  <c r="Z189" i="2" s="1"/>
  <c r="BA178" i="2"/>
  <c r="BA189" i="2" s="1"/>
  <c r="X118" i="2"/>
  <c r="W153" i="2"/>
  <c r="AX117" i="2"/>
  <c r="Y120" i="2"/>
  <c r="AZ120" i="2" s="1"/>
  <c r="AY119" i="2"/>
  <c r="BH202" i="2"/>
  <c r="BH203" i="2" s="1"/>
  <c r="BH204" i="2" s="1"/>
  <c r="BH205" i="2" s="1"/>
  <c r="BH207" i="2" s="1"/>
  <c r="BI200" i="2"/>
  <c r="Z180" i="2"/>
  <c r="Z191" i="2" s="1"/>
  <c r="BA180" i="2"/>
  <c r="BA191" i="2" s="1"/>
  <c r="CA76" i="2"/>
  <c r="BB116" i="2"/>
  <c r="BB165" i="2" s="1"/>
  <c r="AA165" i="2"/>
  <c r="CA81" i="2"/>
  <c r="BB141" i="2"/>
  <c r="BB170" i="2" s="1"/>
  <c r="AA170" i="2"/>
  <c r="CA75" i="2"/>
  <c r="BB111" i="2"/>
  <c r="BB164" i="2" s="1"/>
  <c r="AA164" i="2"/>
  <c r="V155" i="2"/>
  <c r="W128" i="2"/>
  <c r="AW127" i="2"/>
  <c r="X130" i="2"/>
  <c r="AY130" i="2" s="1"/>
  <c r="AX129" i="2"/>
  <c r="AX269" i="2"/>
  <c r="AX280" i="2"/>
  <c r="AX256" i="2"/>
  <c r="AX295" i="2" s="1"/>
  <c r="BW295" i="2" s="1"/>
  <c r="Z179" i="2"/>
  <c r="Z190" i="2" s="1"/>
  <c r="BA179" i="2"/>
  <c r="BA190" i="2" s="1"/>
  <c r="BW150" i="2"/>
  <c r="BA176" i="2"/>
  <c r="BA187" i="2" s="1"/>
  <c r="BA171" i="2"/>
  <c r="Z183" i="2"/>
  <c r="Z194" i="2" s="1"/>
  <c r="BA183" i="2"/>
  <c r="BA194" i="2" s="1"/>
  <c r="AB111" i="2"/>
  <c r="AC91" i="2"/>
  <c r="AB75" i="2"/>
  <c r="AB116" i="2"/>
  <c r="AC92" i="2"/>
  <c r="AB76" i="2"/>
  <c r="AB136" i="2"/>
  <c r="AC96" i="2"/>
  <c r="AB80" i="2"/>
  <c r="AC208" i="2"/>
  <c r="AC209" i="2" s="1"/>
  <c r="AC210" i="2" s="1"/>
  <c r="AB131" i="2"/>
  <c r="AC95" i="2"/>
  <c r="AB79" i="2"/>
  <c r="AD31" i="2"/>
  <c r="AC64" i="2"/>
  <c r="AC65" i="2"/>
  <c r="AC66" i="2"/>
  <c r="AC67" i="2"/>
  <c r="AC68" i="2"/>
  <c r="AC69" i="2"/>
  <c r="AD206" i="2"/>
  <c r="CC31" i="2"/>
  <c r="AC62" i="2"/>
  <c r="AC63" i="2"/>
  <c r="AC61" i="2"/>
  <c r="CA79" i="2"/>
  <c r="BB131" i="2"/>
  <c r="BB168" i="2" s="1"/>
  <c r="AA168" i="2"/>
  <c r="CB210" i="2"/>
  <c r="CA74" i="2"/>
  <c r="BB106" i="2"/>
  <c r="BB163" i="2" s="1"/>
  <c r="AA163" i="2"/>
  <c r="X124" i="2"/>
  <c r="AX123" i="2"/>
  <c r="W122" i="2"/>
  <c r="AZ196" i="2"/>
  <c r="AG202" i="2"/>
  <c r="AG203" i="2" s="1"/>
  <c r="AG204" i="2" s="1"/>
  <c r="AG205" i="2" s="1"/>
  <c r="AG207" i="2" s="1"/>
  <c r="AH200" i="2"/>
  <c r="AG32" i="2"/>
  <c r="BG24" i="2"/>
  <c r="BH32" i="2" s="1"/>
  <c r="AY266" i="2"/>
  <c r="AY277" i="2"/>
  <c r="AY253" i="2"/>
  <c r="AY292" i="2" s="1"/>
  <c r="U313" i="2"/>
  <c r="BT326" i="2" l="1"/>
  <c r="BV304" i="2"/>
  <c r="BE93" i="2"/>
  <c r="AY271" i="2"/>
  <c r="AY273" i="2"/>
  <c r="X282" i="2"/>
  <c r="X271" i="2"/>
  <c r="X268" i="2"/>
  <c r="BV305" i="2"/>
  <c r="BW280" i="2"/>
  <c r="BV308" i="2"/>
  <c r="AY267" i="2"/>
  <c r="AX304" i="2"/>
  <c r="BW271" i="2"/>
  <c r="BV307" i="2"/>
  <c r="BV312" i="2"/>
  <c r="Y109" i="2"/>
  <c r="AY108" i="2"/>
  <c r="X107" i="2"/>
  <c r="AW313" i="2"/>
  <c r="BU313" i="2"/>
  <c r="BU322" i="2" s="1"/>
  <c r="BU326" i="2" s="1"/>
  <c r="BW281" i="2"/>
  <c r="AZ215" i="2"/>
  <c r="AZ228" i="2" s="1"/>
  <c r="AZ269" i="2" s="1"/>
  <c r="BW279" i="2"/>
  <c r="Y114" i="2"/>
  <c r="X112" i="2"/>
  <c r="AY113" i="2"/>
  <c r="BW277" i="2"/>
  <c r="CA82" i="2"/>
  <c r="BE94" i="2"/>
  <c r="AX309" i="2"/>
  <c r="X256" i="2"/>
  <c r="X295" i="2" s="1"/>
  <c r="AX311" i="2"/>
  <c r="BE90" i="2"/>
  <c r="BE92" i="2"/>
  <c r="BE91" i="2"/>
  <c r="BE95" i="2"/>
  <c r="AY260" i="2"/>
  <c r="AY299" i="2" s="1"/>
  <c r="AD55" i="2"/>
  <c r="AE43" i="2"/>
  <c r="BF38" i="2"/>
  <c r="BE50" i="2"/>
  <c r="AE45" i="2"/>
  <c r="AD57" i="2"/>
  <c r="BE45" i="2"/>
  <c r="BD57" i="2"/>
  <c r="BD80" i="2" s="1"/>
  <c r="AE46" i="2"/>
  <c r="AD58" i="2"/>
  <c r="BW269" i="2"/>
  <c r="BW284" i="2"/>
  <c r="BE39" i="2"/>
  <c r="BD51" i="2"/>
  <c r="BD74" i="2" s="1"/>
  <c r="BD53" i="2"/>
  <c r="BD76" i="2" s="1"/>
  <c r="BE41" i="2"/>
  <c r="BE44" i="2"/>
  <c r="BD56" i="2"/>
  <c r="BD79" i="2" s="1"/>
  <c r="AE42" i="2"/>
  <c r="AD54" i="2"/>
  <c r="AD52" i="2"/>
  <c r="AE40" i="2"/>
  <c r="BE40" i="2"/>
  <c r="BD52" i="2"/>
  <c r="BD75" i="2" s="1"/>
  <c r="BE43" i="2"/>
  <c r="BD55" i="2"/>
  <c r="BD78" i="2" s="1"/>
  <c r="AF38" i="2"/>
  <c r="AE50" i="2"/>
  <c r="AD56" i="2"/>
  <c r="AE44" i="2"/>
  <c r="BW292" i="2"/>
  <c r="AD53" i="2"/>
  <c r="AE41" i="2"/>
  <c r="AD51" i="2"/>
  <c r="AE39" i="2"/>
  <c r="BE46" i="2"/>
  <c r="BD58" i="2"/>
  <c r="BD81" i="2" s="1"/>
  <c r="BE42" i="2"/>
  <c r="BD54" i="2"/>
  <c r="BD77" i="2" s="1"/>
  <c r="AY283" i="2"/>
  <c r="BX283" i="2" s="1"/>
  <c r="AY272" i="2"/>
  <c r="X260" i="2"/>
  <c r="X299" i="2" s="1"/>
  <c r="AZ218" i="2"/>
  <c r="AZ231" i="2" s="1"/>
  <c r="AZ272" i="2" s="1"/>
  <c r="X259" i="2"/>
  <c r="X298" i="2" s="1"/>
  <c r="BX298" i="2" s="1"/>
  <c r="AY261" i="2"/>
  <c r="AY300" i="2" s="1"/>
  <c r="BX300" i="2" s="1"/>
  <c r="X272" i="2"/>
  <c r="X274" i="2"/>
  <c r="AY270" i="2"/>
  <c r="AY274" i="2"/>
  <c r="X269" i="2"/>
  <c r="AX308" i="2"/>
  <c r="AY256" i="2"/>
  <c r="AY295" i="2" s="1"/>
  <c r="AX306" i="2"/>
  <c r="X278" i="2"/>
  <c r="X270" i="2"/>
  <c r="AY269" i="2"/>
  <c r="X273" i="2"/>
  <c r="X221" i="2"/>
  <c r="AY234" i="2"/>
  <c r="AY257" i="2"/>
  <c r="AY296" i="2" s="1"/>
  <c r="BX296" i="2" s="1"/>
  <c r="X267" i="2"/>
  <c r="X285" i="2"/>
  <c r="BX285" i="2" s="1"/>
  <c r="Y215" i="2"/>
  <c r="Y228" i="2" s="1"/>
  <c r="Y256" i="2" s="1"/>
  <c r="Y295" i="2" s="1"/>
  <c r="Y213" i="2"/>
  <c r="Y226" i="2" s="1"/>
  <c r="Y278" i="2" s="1"/>
  <c r="AY255" i="2"/>
  <c r="AY294" i="2" s="1"/>
  <c r="Y218" i="2"/>
  <c r="Y231" i="2" s="1"/>
  <c r="Y272" i="2" s="1"/>
  <c r="AZ214" i="2"/>
  <c r="AZ227" i="2" s="1"/>
  <c r="AZ255" i="2" s="1"/>
  <c r="AZ294" i="2" s="1"/>
  <c r="AY268" i="2"/>
  <c r="Y220" i="2"/>
  <c r="Y233" i="2" s="1"/>
  <c r="Y285" i="2" s="1"/>
  <c r="AY282" i="2"/>
  <c r="AY278" i="2"/>
  <c r="BX293" i="2"/>
  <c r="Y214" i="2"/>
  <c r="Y227" i="2" s="1"/>
  <c r="Y279" i="2" s="1"/>
  <c r="BX297" i="2"/>
  <c r="AZ213" i="2"/>
  <c r="AZ226" i="2" s="1"/>
  <c r="AZ254" i="2" s="1"/>
  <c r="AZ293" i="2" s="1"/>
  <c r="AY221" i="2"/>
  <c r="BW268" i="2"/>
  <c r="W306" i="2"/>
  <c r="AZ220" i="2"/>
  <c r="AZ233" i="2" s="1"/>
  <c r="AZ261" i="2" s="1"/>
  <c r="AZ300" i="2" s="1"/>
  <c r="BX280" i="2"/>
  <c r="Y219" i="2"/>
  <c r="Y232" i="2" s="1"/>
  <c r="Y284" i="2" s="1"/>
  <c r="AZ219" i="2"/>
  <c r="AZ232" i="2" s="1"/>
  <c r="AZ260" i="2" s="1"/>
  <c r="AZ299" i="2" s="1"/>
  <c r="Y217" i="2"/>
  <c r="Y230" i="2" s="1"/>
  <c r="Y282" i="2" s="1"/>
  <c r="AZ217" i="2"/>
  <c r="AZ230" i="2" s="1"/>
  <c r="AZ282" i="2" s="1"/>
  <c r="Y212" i="2"/>
  <c r="Y225" i="2" s="1"/>
  <c r="AZ212" i="2"/>
  <c r="AZ225" i="2" s="1"/>
  <c r="AZ266" i="2" s="1"/>
  <c r="Y216" i="2"/>
  <c r="Y229" i="2" s="1"/>
  <c r="Y270" i="2" s="1"/>
  <c r="BG23" i="2"/>
  <c r="W304" i="2"/>
  <c r="V159" i="2"/>
  <c r="BV159" i="2" s="1"/>
  <c r="X281" i="2"/>
  <c r="BX281" i="2" s="1"/>
  <c r="BA196" i="2"/>
  <c r="AH24" i="2"/>
  <c r="AH23" i="2" s="1"/>
  <c r="AZ270" i="2"/>
  <c r="AZ281" i="2"/>
  <c r="AZ257" i="2"/>
  <c r="AZ296" i="2" s="1"/>
  <c r="AA182" i="2"/>
  <c r="AA193" i="2" s="1"/>
  <c r="BB182" i="2"/>
  <c r="BB193" i="2" s="1"/>
  <c r="AC111" i="2"/>
  <c r="AD91" i="2"/>
  <c r="AC75" i="2"/>
  <c r="AC141" i="2"/>
  <c r="AD97" i="2"/>
  <c r="AC81" i="2"/>
  <c r="AC131" i="2"/>
  <c r="AD95" i="2"/>
  <c r="AC79" i="2"/>
  <c r="AC121" i="2"/>
  <c r="AD93" i="2"/>
  <c r="AC77" i="2"/>
  <c r="AE31" i="2"/>
  <c r="AD66" i="2"/>
  <c r="AD67" i="2"/>
  <c r="AD69" i="2"/>
  <c r="AE206" i="2"/>
  <c r="CD31" i="2"/>
  <c r="AD65" i="2"/>
  <c r="AD68" i="2"/>
  <c r="AD64" i="2"/>
  <c r="AD62" i="2"/>
  <c r="AD63" i="2"/>
  <c r="AD61" i="2"/>
  <c r="CB80" i="2"/>
  <c r="BC136" i="2"/>
  <c r="BC169" i="2" s="1"/>
  <c r="AB169" i="2"/>
  <c r="CB75" i="2"/>
  <c r="BC111" i="2"/>
  <c r="BC164" i="2" s="1"/>
  <c r="AB164" i="2"/>
  <c r="X129" i="2"/>
  <c r="AX128" i="2"/>
  <c r="W127" i="2"/>
  <c r="AA178" i="2"/>
  <c r="AA189" i="2" s="1"/>
  <c r="BB178" i="2"/>
  <c r="BB189" i="2" s="1"/>
  <c r="AA179" i="2"/>
  <c r="AA190" i="2" s="1"/>
  <c r="BB179" i="2"/>
  <c r="BB190" i="2" s="1"/>
  <c r="BW153" i="2"/>
  <c r="W307" i="2"/>
  <c r="BE208" i="2"/>
  <c r="BE209" i="2" s="1"/>
  <c r="BE210" i="2" s="1"/>
  <c r="BE96" i="2"/>
  <c r="BC82" i="2"/>
  <c r="W158" i="2"/>
  <c r="X143" i="2"/>
  <c r="AX142" i="2"/>
  <c r="Y145" i="2"/>
  <c r="AZ145" i="2" s="1"/>
  <c r="AY144" i="2"/>
  <c r="X139" i="2"/>
  <c r="AX138" i="2"/>
  <c r="W137" i="2"/>
  <c r="AA180" i="2"/>
  <c r="AA191" i="2" s="1"/>
  <c r="BB180" i="2"/>
  <c r="BB191" i="2" s="1"/>
  <c r="CB81" i="2"/>
  <c r="BC141" i="2"/>
  <c r="BC170" i="2" s="1"/>
  <c r="AB170" i="2"/>
  <c r="CB74" i="2"/>
  <c r="BC106" i="2"/>
  <c r="BC163" i="2" s="1"/>
  <c r="AB163" i="2"/>
  <c r="AA176" i="2"/>
  <c r="AA187" i="2" s="1"/>
  <c r="AA171" i="2"/>
  <c r="BV156" i="2"/>
  <c r="BV310" i="2" s="1"/>
  <c r="V310" i="2"/>
  <c r="BW267" i="2"/>
  <c r="W305" i="2"/>
  <c r="AX305" i="2"/>
  <c r="BW293" i="2"/>
  <c r="BX284" i="2"/>
  <c r="BX279" i="2"/>
  <c r="X253" i="2"/>
  <c r="X292" i="2" s="1"/>
  <c r="BX292" i="2" s="1"/>
  <c r="X266" i="2"/>
  <c r="BX266" i="2" s="1"/>
  <c r="X277" i="2"/>
  <c r="BX277" i="2" s="1"/>
  <c r="X234" i="2"/>
  <c r="AI200" i="2"/>
  <c r="AH202" i="2"/>
  <c r="AH203" i="2" s="1"/>
  <c r="AH204" i="2" s="1"/>
  <c r="AH205" i="2" s="1"/>
  <c r="AH207" i="2" s="1"/>
  <c r="W154" i="2"/>
  <c r="X123" i="2"/>
  <c r="AX122" i="2"/>
  <c r="Y125" i="2"/>
  <c r="AZ125" i="2" s="1"/>
  <c r="AY124" i="2"/>
  <c r="AA177" i="2"/>
  <c r="AA188" i="2" s="1"/>
  <c r="BB177" i="2"/>
  <c r="BB188" i="2" s="1"/>
  <c r="AC101" i="2"/>
  <c r="AD89" i="2"/>
  <c r="AC73" i="2"/>
  <c r="AC106" i="2"/>
  <c r="AD90" i="2"/>
  <c r="AC74" i="2"/>
  <c r="AD208" i="2"/>
  <c r="AD209" i="2" s="1"/>
  <c r="AD210" i="2" s="1"/>
  <c r="AC136" i="2"/>
  <c r="AD96" i="2"/>
  <c r="AC80" i="2"/>
  <c r="AC126" i="2"/>
  <c r="AD94" i="2"/>
  <c r="AC78" i="2"/>
  <c r="AC116" i="2"/>
  <c r="AD92" i="2"/>
  <c r="AC76" i="2"/>
  <c r="CB79" i="2"/>
  <c r="BC131" i="2"/>
  <c r="BC168" i="2" s="1"/>
  <c r="AB168" i="2"/>
  <c r="CC210" i="2"/>
  <c r="CB76" i="2"/>
  <c r="BC116" i="2"/>
  <c r="BC165" i="2" s="1"/>
  <c r="AB165" i="2"/>
  <c r="BV155" i="2"/>
  <c r="BV309" i="2" s="1"/>
  <c r="V309" i="2"/>
  <c r="AA184" i="2"/>
  <c r="AA195" i="2" s="1"/>
  <c r="BB184" i="2"/>
  <c r="BB195" i="2" s="1"/>
  <c r="BJ200" i="2"/>
  <c r="BI202" i="2"/>
  <c r="BI203" i="2" s="1"/>
  <c r="BI204" i="2" s="1"/>
  <c r="BI205" i="2" s="1"/>
  <c r="BI207" i="2" s="1"/>
  <c r="Y119" i="2"/>
  <c r="AY118" i="2"/>
  <c r="X117" i="2"/>
  <c r="BE89" i="2"/>
  <c r="BD73" i="2"/>
  <c r="BE97" i="2"/>
  <c r="BF31" i="2"/>
  <c r="BE66" i="2"/>
  <c r="BE67" i="2"/>
  <c r="BE69" i="2"/>
  <c r="BE68" i="2"/>
  <c r="BF206" i="2"/>
  <c r="BE64" i="2"/>
  <c r="BE65" i="2"/>
  <c r="BE62" i="2"/>
  <c r="BE63" i="2"/>
  <c r="BE61" i="2"/>
  <c r="BV157" i="2"/>
  <c r="BV311" i="2" s="1"/>
  <c r="V311" i="2"/>
  <c r="AA183" i="2"/>
  <c r="AA194" i="2" s="1"/>
  <c r="BB183" i="2"/>
  <c r="BB194" i="2" s="1"/>
  <c r="CB78" i="2"/>
  <c r="BC126" i="2"/>
  <c r="BC167" i="2" s="1"/>
  <c r="AB167" i="2"/>
  <c r="CB77" i="2"/>
  <c r="BC121" i="2"/>
  <c r="BC166" i="2" s="1"/>
  <c r="AB166" i="2"/>
  <c r="CB73" i="2"/>
  <c r="AB82" i="2"/>
  <c r="BC101" i="2"/>
  <c r="BC162" i="2" s="1"/>
  <c r="AB147" i="2"/>
  <c r="AB162" i="2"/>
  <c r="Z196" i="2"/>
  <c r="Z213" i="2" s="1"/>
  <c r="Z226" i="2" s="1"/>
  <c r="Y103" i="2"/>
  <c r="AY102" i="2"/>
  <c r="Z105" i="2"/>
  <c r="BA105" i="2" s="1"/>
  <c r="AZ104" i="2"/>
  <c r="AJ17" i="2"/>
  <c r="BJ17" i="2"/>
  <c r="AI18" i="2"/>
  <c r="BJ18" i="2" s="1"/>
  <c r="BB176" i="2"/>
  <c r="BB187" i="2" s="1"/>
  <c r="BB171" i="2"/>
  <c r="AA181" i="2"/>
  <c r="AA192" i="2" s="1"/>
  <c r="BB181" i="2"/>
  <c r="BB192" i="2" s="1"/>
  <c r="X134" i="2"/>
  <c r="AX133" i="2"/>
  <c r="W132" i="2"/>
  <c r="AH32" i="2"/>
  <c r="BH24" i="2"/>
  <c r="BI32" i="2" s="1"/>
  <c r="AY304" i="2"/>
  <c r="AX307" i="2"/>
  <c r="AX310" i="2"/>
  <c r="BW278" i="2"/>
  <c r="BW306" i="2" l="1"/>
  <c r="BX267" i="2"/>
  <c r="BX271" i="2"/>
  <c r="BX273" i="2"/>
  <c r="BX282" i="2"/>
  <c r="AY311" i="2"/>
  <c r="BX268" i="2"/>
  <c r="AY312" i="2"/>
  <c r="X151" i="2"/>
  <c r="BX151" i="2" s="1"/>
  <c r="Y108" i="2"/>
  <c r="AY107" i="2"/>
  <c r="BX272" i="2"/>
  <c r="BW304" i="2"/>
  <c r="Z110" i="2"/>
  <c r="BA110" i="2" s="1"/>
  <c r="AZ109" i="2"/>
  <c r="AZ256" i="2"/>
  <c r="AZ295" i="2" s="1"/>
  <c r="BY295" i="2" s="1"/>
  <c r="AZ280" i="2"/>
  <c r="BF95" i="2"/>
  <c r="Y273" i="2"/>
  <c r="BF92" i="2"/>
  <c r="BX299" i="2"/>
  <c r="Z115" i="2"/>
  <c r="BA115" i="2" s="1"/>
  <c r="AZ114" i="2"/>
  <c r="X152" i="2"/>
  <c r="AY112" i="2"/>
  <c r="Y113" i="2"/>
  <c r="AZ267" i="2"/>
  <c r="BX269" i="2"/>
  <c r="BW307" i="2"/>
  <c r="BX278" i="2"/>
  <c r="Y283" i="2"/>
  <c r="AY310" i="2"/>
  <c r="X305" i="2"/>
  <c r="BX295" i="2"/>
  <c r="AY308" i="2"/>
  <c r="CB82" i="2"/>
  <c r="BF93" i="2"/>
  <c r="BX270" i="2"/>
  <c r="Z220" i="2"/>
  <c r="Z233" i="2" s="1"/>
  <c r="Z274" i="2" s="1"/>
  <c r="BF90" i="2"/>
  <c r="AZ285" i="2"/>
  <c r="BY285" i="2" s="1"/>
  <c r="AF41" i="2"/>
  <c r="AE53" i="2"/>
  <c r="BE55" i="2"/>
  <c r="BE78" i="2" s="1"/>
  <c r="BF43" i="2"/>
  <c r="BF44" i="2"/>
  <c r="BE56" i="2"/>
  <c r="BE79" i="2" s="1"/>
  <c r="BF39" i="2"/>
  <c r="BE51" i="2"/>
  <c r="BE74" i="2" s="1"/>
  <c r="AE58" i="2"/>
  <c r="AF46" i="2"/>
  <c r="AE57" i="2"/>
  <c r="AF45" i="2"/>
  <c r="BF91" i="2"/>
  <c r="BF94" i="2"/>
  <c r="BF46" i="2"/>
  <c r="BE58" i="2"/>
  <c r="BE81" i="2" s="1"/>
  <c r="BE53" i="2"/>
  <c r="BE76" i="2" s="1"/>
  <c r="BF41" i="2"/>
  <c r="AZ277" i="2"/>
  <c r="AF39" i="2"/>
  <c r="AE51" i="2"/>
  <c r="AG38" i="2"/>
  <c r="AF50" i="2"/>
  <c r="BE52" i="2"/>
  <c r="BE75" i="2" s="1"/>
  <c r="BF40" i="2"/>
  <c r="AE54" i="2"/>
  <c r="AF42" i="2"/>
  <c r="BF45" i="2"/>
  <c r="BE57" i="2"/>
  <c r="BE80" i="2" s="1"/>
  <c r="BG38" i="2"/>
  <c r="BF50" i="2"/>
  <c r="AZ283" i="2"/>
  <c r="Y261" i="2"/>
  <c r="Y300" i="2" s="1"/>
  <c r="BY300" i="2" s="1"/>
  <c r="BF42" i="2"/>
  <c r="BE54" i="2"/>
  <c r="BE77" i="2" s="1"/>
  <c r="AE56" i="2"/>
  <c r="AF44" i="2"/>
  <c r="AF40" i="2"/>
  <c r="AE52" i="2"/>
  <c r="AF43" i="2"/>
  <c r="AE55" i="2"/>
  <c r="AZ259" i="2"/>
  <c r="AZ298" i="2" s="1"/>
  <c r="AZ268" i="2"/>
  <c r="Y260" i="2"/>
  <c r="Y299" i="2" s="1"/>
  <c r="BY299" i="2" s="1"/>
  <c r="AZ279" i="2"/>
  <c r="BY279" i="2" s="1"/>
  <c r="AZ278" i="2"/>
  <c r="AZ305" i="2" s="1"/>
  <c r="Y269" i="2"/>
  <c r="BY269" i="2" s="1"/>
  <c r="Y280" i="2"/>
  <c r="AY305" i="2"/>
  <c r="Y258" i="2"/>
  <c r="Y297" i="2" s="1"/>
  <c r="Y254" i="2"/>
  <c r="Y293" i="2" s="1"/>
  <c r="BY293" i="2" s="1"/>
  <c r="BX274" i="2"/>
  <c r="AY309" i="2"/>
  <c r="AY307" i="2"/>
  <c r="Y255" i="2"/>
  <c r="Y294" i="2" s="1"/>
  <c r="BY294" i="2" s="1"/>
  <c r="Y271" i="2"/>
  <c r="AZ274" i="2"/>
  <c r="AZ234" i="2"/>
  <c r="AZ284" i="2"/>
  <c r="BY284" i="2" s="1"/>
  <c r="Y274" i="2"/>
  <c r="AZ253" i="2"/>
  <c r="AZ292" i="2" s="1"/>
  <c r="AZ273" i="2"/>
  <c r="Y259" i="2"/>
  <c r="Y298" i="2" s="1"/>
  <c r="V313" i="2"/>
  <c r="AY306" i="2"/>
  <c r="Y221" i="2"/>
  <c r="AZ258" i="2"/>
  <c r="AZ297" i="2" s="1"/>
  <c r="BX294" i="2"/>
  <c r="Y268" i="2"/>
  <c r="Y267" i="2"/>
  <c r="Y281" i="2"/>
  <c r="BY281" i="2" s="1"/>
  <c r="AZ271" i="2"/>
  <c r="AZ221" i="2"/>
  <c r="BA220" i="2"/>
  <c r="BA233" i="2" s="1"/>
  <c r="BA285" i="2" s="1"/>
  <c r="BY270" i="2"/>
  <c r="Y257" i="2"/>
  <c r="Y296" i="2" s="1"/>
  <c r="BY296" i="2" s="1"/>
  <c r="Z212" i="2"/>
  <c r="Z225" i="2" s="1"/>
  <c r="BA212" i="2"/>
  <c r="BA225" i="2" s="1"/>
  <c r="BA214" i="2"/>
  <c r="BA227" i="2" s="1"/>
  <c r="BA279" i="2" s="1"/>
  <c r="BA216" i="2"/>
  <c r="BA229" i="2" s="1"/>
  <c r="BA257" i="2" s="1"/>
  <c r="BA296" i="2" s="1"/>
  <c r="BV313" i="2"/>
  <c r="BV322" i="2" s="1"/>
  <c r="BA215" i="2"/>
  <c r="BA228" i="2" s="1"/>
  <c r="BA280" i="2" s="1"/>
  <c r="AX313" i="2"/>
  <c r="Z219" i="2"/>
  <c r="Z232" i="2" s="1"/>
  <c r="Z284" i="2" s="1"/>
  <c r="Z267" i="2"/>
  <c r="Z278" i="2"/>
  <c r="Z254" i="2"/>
  <c r="Z293" i="2" s="1"/>
  <c r="CD210" i="2"/>
  <c r="AA196" i="2"/>
  <c r="AA214" i="2" s="1"/>
  <c r="AA227" i="2" s="1"/>
  <c r="BX150" i="2"/>
  <c r="BX304" i="2" s="1"/>
  <c r="X304" i="2"/>
  <c r="AB176" i="2"/>
  <c r="AB187" i="2" s="1"/>
  <c r="AB171" i="2"/>
  <c r="AB181" i="2"/>
  <c r="AB192" i="2" s="1"/>
  <c r="W156" i="2"/>
  <c r="X133" i="2"/>
  <c r="AX132" i="2"/>
  <c r="Y135" i="2"/>
  <c r="AZ135" i="2" s="1"/>
  <c r="AY134" i="2"/>
  <c r="Z104" i="2"/>
  <c r="AZ103" i="2"/>
  <c r="Y102" i="2"/>
  <c r="BC176" i="2"/>
  <c r="BC187" i="2" s="1"/>
  <c r="BC171" i="2"/>
  <c r="AB180" i="2"/>
  <c r="AB191" i="2" s="1"/>
  <c r="BC180" i="2"/>
  <c r="BC191" i="2" s="1"/>
  <c r="BF208" i="2"/>
  <c r="BF209" i="2" s="1"/>
  <c r="BF210" i="2" s="1"/>
  <c r="BF97" i="2"/>
  <c r="BD82" i="2"/>
  <c r="AB179" i="2"/>
  <c r="AB190" i="2" s="1"/>
  <c r="BC179" i="2"/>
  <c r="BC190" i="2" s="1"/>
  <c r="CC76" i="2"/>
  <c r="BD116" i="2"/>
  <c r="BD165" i="2" s="1"/>
  <c r="AC165" i="2"/>
  <c r="CC80" i="2"/>
  <c r="BD136" i="2"/>
  <c r="BD169" i="2" s="1"/>
  <c r="AC169" i="2"/>
  <c r="CC73" i="2"/>
  <c r="AC82" i="2"/>
  <c r="BD101" i="2"/>
  <c r="BD162" i="2" s="1"/>
  <c r="AC147" i="2"/>
  <c r="AC162" i="2"/>
  <c r="Y124" i="2"/>
  <c r="AY123" i="2"/>
  <c r="X122" i="2"/>
  <c r="AB184" i="2"/>
  <c r="AB195" i="2" s="1"/>
  <c r="BC184" i="2"/>
  <c r="BC195" i="2" s="1"/>
  <c r="BW158" i="2"/>
  <c r="BW312" i="2" s="1"/>
  <c r="W312" i="2"/>
  <c r="AB178" i="2"/>
  <c r="AB189" i="2" s="1"/>
  <c r="BC178" i="2"/>
  <c r="BC189" i="2" s="1"/>
  <c r="AD101" i="2"/>
  <c r="AE89" i="2"/>
  <c r="AD73" i="2"/>
  <c r="AD106" i="2"/>
  <c r="AE90" i="2"/>
  <c r="AD74" i="2"/>
  <c r="AD136" i="2"/>
  <c r="AE96" i="2"/>
  <c r="AD80" i="2"/>
  <c r="AD141" i="2"/>
  <c r="AE97" i="2"/>
  <c r="AD81" i="2"/>
  <c r="AD126" i="2"/>
  <c r="AE94" i="2"/>
  <c r="AD78" i="2"/>
  <c r="CC77" i="2"/>
  <c r="BD121" i="2"/>
  <c r="BD166" i="2" s="1"/>
  <c r="AC166" i="2"/>
  <c r="CC81" i="2"/>
  <c r="BD141" i="2"/>
  <c r="BD170" i="2" s="1"/>
  <c r="AC170" i="2"/>
  <c r="AI32" i="2"/>
  <c r="BI24" i="2"/>
  <c r="BJ32" i="2" s="1"/>
  <c r="Z214" i="2"/>
  <c r="Z227" i="2" s="1"/>
  <c r="Z216" i="2"/>
  <c r="Z229" i="2" s="1"/>
  <c r="Z215" i="2"/>
  <c r="Z228" i="2" s="1"/>
  <c r="BA219" i="2"/>
  <c r="BA232" i="2" s="1"/>
  <c r="BH23" i="2"/>
  <c r="Z217" i="2"/>
  <c r="Z230" i="2" s="1"/>
  <c r="AZ308" i="2"/>
  <c r="BA218" i="2"/>
  <c r="BA231" i="2" s="1"/>
  <c r="BA213" i="2"/>
  <c r="BA226" i="2" s="1"/>
  <c r="Y266" i="2"/>
  <c r="BY266" i="2" s="1"/>
  <c r="Y277" i="2"/>
  <c r="Y253" i="2"/>
  <c r="Y292" i="2" s="1"/>
  <c r="Y234" i="2"/>
  <c r="BB196" i="2"/>
  <c r="AJ18" i="2"/>
  <c r="BK18" i="2" s="1"/>
  <c r="BK17" i="2"/>
  <c r="AK17" i="2"/>
  <c r="BC181" i="2"/>
  <c r="BC192" i="2" s="1"/>
  <c r="BF89" i="2"/>
  <c r="BE73" i="2"/>
  <c r="BF96" i="2"/>
  <c r="BG31" i="2"/>
  <c r="BF64" i="2"/>
  <c r="BF65" i="2"/>
  <c r="BF66" i="2"/>
  <c r="BF67" i="2"/>
  <c r="BF68" i="2"/>
  <c r="BF69" i="2"/>
  <c r="BG206" i="2"/>
  <c r="BF63" i="2"/>
  <c r="BF61" i="2"/>
  <c r="BF62" i="2"/>
  <c r="X153" i="2"/>
  <c r="Y118" i="2"/>
  <c r="AY117" i="2"/>
  <c r="Z120" i="2"/>
  <c r="BA120" i="2" s="1"/>
  <c r="AZ119" i="2"/>
  <c r="BJ202" i="2"/>
  <c r="BJ203" i="2" s="1"/>
  <c r="BJ204" i="2" s="1"/>
  <c r="BJ205" i="2" s="1"/>
  <c r="BJ207" i="2" s="1"/>
  <c r="BK200" i="2"/>
  <c r="AB182" i="2"/>
  <c r="AB193" i="2" s="1"/>
  <c r="BC182" i="2"/>
  <c r="BC193" i="2" s="1"/>
  <c r="CC78" i="2"/>
  <c r="BD126" i="2"/>
  <c r="BD167" i="2" s="1"/>
  <c r="AC167" i="2"/>
  <c r="CC74" i="2"/>
  <c r="BD106" i="2"/>
  <c r="BD163" i="2" s="1"/>
  <c r="AC163" i="2"/>
  <c r="BW154" i="2"/>
  <c r="BW308" i="2" s="1"/>
  <c r="W308" i="2"/>
  <c r="AI202" i="2"/>
  <c r="AI203" i="2" s="1"/>
  <c r="AI204" i="2" s="1"/>
  <c r="AI205" i="2" s="1"/>
  <c r="AI207" i="2" s="1"/>
  <c r="AJ200" i="2"/>
  <c r="AB177" i="2"/>
  <c r="AB188" i="2" s="1"/>
  <c r="BC177" i="2"/>
  <c r="BC188" i="2" s="1"/>
  <c r="X138" i="2"/>
  <c r="W157" i="2"/>
  <c r="AX137" i="2"/>
  <c r="Y140" i="2"/>
  <c r="AZ140" i="2" s="1"/>
  <c r="AY139" i="2"/>
  <c r="Y144" i="2"/>
  <c r="AY143" i="2"/>
  <c r="X142" i="2"/>
  <c r="X128" i="2"/>
  <c r="W155" i="2"/>
  <c r="AX127" i="2"/>
  <c r="Y130" i="2"/>
  <c r="AZ130" i="2" s="1"/>
  <c r="AY129" i="2"/>
  <c r="AB183" i="2"/>
  <c r="AB194" i="2" s="1"/>
  <c r="BC183" i="2"/>
  <c r="BC194" i="2" s="1"/>
  <c r="AD111" i="2"/>
  <c r="AE91" i="2"/>
  <c r="AD75" i="2"/>
  <c r="AD116" i="2"/>
  <c r="AE92" i="2"/>
  <c r="AD76" i="2"/>
  <c r="AD121" i="2"/>
  <c r="AE93" i="2"/>
  <c r="AD77" i="2"/>
  <c r="AE208" i="2"/>
  <c r="AE209" i="2" s="1"/>
  <c r="AE210" i="2" s="1"/>
  <c r="AD131" i="2"/>
  <c r="AE95" i="2"/>
  <c r="AD79" i="2"/>
  <c r="AF31" i="2"/>
  <c r="AE64" i="2"/>
  <c r="AE65" i="2"/>
  <c r="AE66" i="2"/>
  <c r="AE67" i="2"/>
  <c r="AE69" i="2"/>
  <c r="AF206" i="2"/>
  <c r="CE31" i="2"/>
  <c r="AE68" i="2"/>
  <c r="AE63" i="2"/>
  <c r="AE62" i="2"/>
  <c r="AE61" i="2"/>
  <c r="CC79" i="2"/>
  <c r="BD131" i="2"/>
  <c r="BD168" i="2" s="1"/>
  <c r="AC168" i="2"/>
  <c r="CC75" i="2"/>
  <c r="BD111" i="2"/>
  <c r="BD164" i="2" s="1"/>
  <c r="AC164" i="2"/>
  <c r="AI24" i="2"/>
  <c r="AI23" i="2" s="1"/>
  <c r="BW305" i="2"/>
  <c r="BA217" i="2"/>
  <c r="BA230" i="2" s="1"/>
  <c r="BY282" i="2"/>
  <c r="Z218" i="2"/>
  <c r="Z231" i="2" s="1"/>
  <c r="BY272" i="2"/>
  <c r="BX305" i="2" l="1"/>
  <c r="BV326" i="2"/>
  <c r="Y107" i="2"/>
  <c r="Z109" i="2"/>
  <c r="AZ108" i="2"/>
  <c r="AZ307" i="2"/>
  <c r="BY280" i="2"/>
  <c r="BG92" i="2"/>
  <c r="BY273" i="2"/>
  <c r="BG91" i="2"/>
  <c r="BG95" i="2"/>
  <c r="BY267" i="2"/>
  <c r="Z285" i="2"/>
  <c r="BZ285" i="2" s="1"/>
  <c r="X306" i="2"/>
  <c r="BX152" i="2"/>
  <c r="BX306" i="2" s="1"/>
  <c r="Z114" i="2"/>
  <c r="AZ113" i="2"/>
  <c r="Y112" i="2"/>
  <c r="BY278" i="2"/>
  <c r="Z261" i="2"/>
  <c r="Z300" i="2" s="1"/>
  <c r="BY283" i="2"/>
  <c r="BG93" i="2"/>
  <c r="BY271" i="2"/>
  <c r="AZ306" i="2"/>
  <c r="Z273" i="2"/>
  <c r="BG90" i="2"/>
  <c r="BY274" i="2"/>
  <c r="BY277" i="2"/>
  <c r="CC82" i="2"/>
  <c r="BY298" i="2"/>
  <c r="AZ310" i="2"/>
  <c r="BG94" i="2"/>
  <c r="AZ312" i="2"/>
  <c r="AG44" i="2"/>
  <c r="AF56" i="2"/>
  <c r="BF52" i="2"/>
  <c r="BF75" i="2" s="1"/>
  <c r="BG40" i="2"/>
  <c r="BF56" i="2"/>
  <c r="BF79" i="2" s="1"/>
  <c r="BG44" i="2"/>
  <c r="AG41" i="2"/>
  <c r="AF53" i="2"/>
  <c r="BA281" i="2"/>
  <c r="AZ304" i="2"/>
  <c r="AG43" i="2"/>
  <c r="AF55" i="2"/>
  <c r="BG45" i="2"/>
  <c r="BF57" i="2"/>
  <c r="BF80" i="2" s="1"/>
  <c r="AG39" i="2"/>
  <c r="AF51" i="2"/>
  <c r="AF57" i="2"/>
  <c r="AG45" i="2"/>
  <c r="BF55" i="2"/>
  <c r="BG43" i="2"/>
  <c r="AF54" i="2"/>
  <c r="AG42" i="2"/>
  <c r="BG46" i="2"/>
  <c r="BF58" i="2"/>
  <c r="BF81" i="2" s="1"/>
  <c r="BF51" i="2"/>
  <c r="BF74" i="2" s="1"/>
  <c r="BG39" i="2"/>
  <c r="BI23" i="2"/>
  <c r="AG40" i="2"/>
  <c r="AF52" i="2"/>
  <c r="BG42" i="2"/>
  <c r="BF54" i="2"/>
  <c r="BF77" i="2" s="1"/>
  <c r="BH38" i="2"/>
  <c r="BG50" i="2"/>
  <c r="AH38" i="2"/>
  <c r="AG50" i="2"/>
  <c r="BF53" i="2"/>
  <c r="BF76" i="2" s="1"/>
  <c r="BG41" i="2"/>
  <c r="AF58" i="2"/>
  <c r="AG46" i="2"/>
  <c r="BA261" i="2"/>
  <c r="BA300" i="2" s="1"/>
  <c r="BY268" i="2"/>
  <c r="BA270" i="2"/>
  <c r="AY313" i="2"/>
  <c r="BY292" i="2"/>
  <c r="BA256" i="2"/>
  <c r="BA295" i="2" s="1"/>
  <c r="BY297" i="2"/>
  <c r="BA274" i="2"/>
  <c r="BZ274" i="2" s="1"/>
  <c r="AA218" i="2"/>
  <c r="AA231" i="2" s="1"/>
  <c r="AA283" i="2" s="1"/>
  <c r="AZ311" i="2"/>
  <c r="BB218" i="2"/>
  <c r="BB231" i="2" s="1"/>
  <c r="BB283" i="2" s="1"/>
  <c r="AA219" i="2"/>
  <c r="AA232" i="2" s="1"/>
  <c r="AA273" i="2" s="1"/>
  <c r="AZ309" i="2"/>
  <c r="BA269" i="2"/>
  <c r="BA255" i="2"/>
  <c r="BA294" i="2" s="1"/>
  <c r="BA268" i="2"/>
  <c r="Z260" i="2"/>
  <c r="Z299" i="2" s="1"/>
  <c r="BB215" i="2"/>
  <c r="BB228" i="2" s="1"/>
  <c r="BB269" i="2" s="1"/>
  <c r="AA216" i="2"/>
  <c r="AA229" i="2" s="1"/>
  <c r="AA270" i="2" s="1"/>
  <c r="BF78" i="2"/>
  <c r="Z221" i="2"/>
  <c r="BB213" i="2"/>
  <c r="BB226" i="2" s="1"/>
  <c r="BB267" i="2" s="1"/>
  <c r="BB212" i="2"/>
  <c r="BB225" i="2" s="1"/>
  <c r="BB266" i="2" s="1"/>
  <c r="CE210" i="2"/>
  <c r="BC196" i="2"/>
  <c r="AA268" i="2"/>
  <c r="AA279" i="2"/>
  <c r="AA255" i="2"/>
  <c r="AA294" i="2" s="1"/>
  <c r="AJ24" i="2"/>
  <c r="AJ23" i="2" s="1"/>
  <c r="AC178" i="2"/>
  <c r="AC189" i="2" s="1"/>
  <c r="AE111" i="2"/>
  <c r="AF91" i="2"/>
  <c r="AE75" i="2"/>
  <c r="AE141" i="2"/>
  <c r="AF97" i="2"/>
  <c r="AE81" i="2"/>
  <c r="AE116" i="2"/>
  <c r="AF92" i="2"/>
  <c r="AE76" i="2"/>
  <c r="BE131" i="2"/>
  <c r="BE168" i="2" s="1"/>
  <c r="AD168" i="2"/>
  <c r="CD76" i="2"/>
  <c r="Y129" i="2"/>
  <c r="AY128" i="2"/>
  <c r="X127" i="2"/>
  <c r="AC177" i="2"/>
  <c r="AC188" i="2" s="1"/>
  <c r="Z119" i="2"/>
  <c r="AZ118" i="2"/>
  <c r="Y117" i="2"/>
  <c r="BG97" i="2"/>
  <c r="Z259" i="2"/>
  <c r="Z298" i="2" s="1"/>
  <c r="Z272" i="2"/>
  <c r="Z283" i="2"/>
  <c r="Z253" i="2"/>
  <c r="Z292" i="2" s="1"/>
  <c r="Z266" i="2"/>
  <c r="Z277" i="2"/>
  <c r="Z234" i="2"/>
  <c r="AJ32" i="2"/>
  <c r="BJ24" i="2"/>
  <c r="BK32" i="2" s="1"/>
  <c r="AC182" i="2"/>
  <c r="AC193" i="2" s="1"/>
  <c r="BD182" i="2"/>
  <c r="BD193" i="2" s="1"/>
  <c r="AE106" i="2"/>
  <c r="AF90" i="2"/>
  <c r="AE74" i="2"/>
  <c r="AE136" i="2"/>
  <c r="AF96" i="2"/>
  <c r="AE80" i="2"/>
  <c r="AF208" i="2"/>
  <c r="AF209" i="2" s="1"/>
  <c r="AF210" i="2" s="1"/>
  <c r="AE131" i="2"/>
  <c r="AF95" i="2"/>
  <c r="AE79" i="2"/>
  <c r="AE121" i="2"/>
  <c r="AF93" i="2"/>
  <c r="AE77" i="2"/>
  <c r="AG31" i="2"/>
  <c r="AF66" i="2"/>
  <c r="AF67" i="2"/>
  <c r="AF69" i="2"/>
  <c r="AG206" i="2"/>
  <c r="CF31" i="2"/>
  <c r="AF65" i="2"/>
  <c r="AF68" i="2"/>
  <c r="AF64" i="2"/>
  <c r="AF62" i="2"/>
  <c r="AF63" i="2"/>
  <c r="AF61" i="2"/>
  <c r="CD77" i="2"/>
  <c r="BE121" i="2"/>
  <c r="BE166" i="2" s="1"/>
  <c r="AD166" i="2"/>
  <c r="CD75" i="2"/>
  <c r="BE111" i="2"/>
  <c r="BE164" i="2" s="1"/>
  <c r="AD164" i="2"/>
  <c r="BW155" i="2"/>
  <c r="BW309" i="2" s="1"/>
  <c r="W309" i="2"/>
  <c r="Y143" i="2"/>
  <c r="X158" i="2"/>
  <c r="AY142" i="2"/>
  <c r="Z145" i="2"/>
  <c r="BA145" i="2" s="1"/>
  <c r="AZ144" i="2"/>
  <c r="BW157" i="2"/>
  <c r="BW311" i="2" s="1"/>
  <c r="W311" i="2"/>
  <c r="AJ202" i="2"/>
  <c r="AJ203" i="2" s="1"/>
  <c r="AJ204" i="2" s="1"/>
  <c r="AJ205" i="2" s="1"/>
  <c r="AJ207" i="2" s="1"/>
  <c r="AK200" i="2"/>
  <c r="AK202" i="2" s="1"/>
  <c r="AK203" i="2" s="1"/>
  <c r="AK204" i="2" s="1"/>
  <c r="AK205" i="2" s="1"/>
  <c r="AK207" i="2" s="1"/>
  <c r="AC181" i="2"/>
  <c r="AC192" i="2" s="1"/>
  <c r="BD181" i="2"/>
  <c r="BD192" i="2" s="1"/>
  <c r="BK202" i="2"/>
  <c r="BK203" i="2" s="1"/>
  <c r="BK204" i="2" s="1"/>
  <c r="BK205" i="2" s="1"/>
  <c r="BK207" i="2" s="1"/>
  <c r="BL200" i="2"/>
  <c r="BL202" i="2" s="1"/>
  <c r="BL203" i="2" s="1"/>
  <c r="BL204" i="2" s="1"/>
  <c r="BL205" i="2" s="1"/>
  <c r="BL207" i="2" s="1"/>
  <c r="BX153" i="2"/>
  <c r="BX307" i="2" s="1"/>
  <c r="X307" i="2"/>
  <c r="BG89" i="2"/>
  <c r="BF73" i="2"/>
  <c r="BG208" i="2"/>
  <c r="BG209" i="2" s="1"/>
  <c r="BG210" i="2" s="1"/>
  <c r="BG96" i="2"/>
  <c r="BE82" i="2"/>
  <c r="BL17" i="2"/>
  <c r="AK18" i="2"/>
  <c r="BL18" i="2" s="1"/>
  <c r="BA266" i="2"/>
  <c r="BA277" i="2"/>
  <c r="BA253" i="2"/>
  <c r="BA292" i="2" s="1"/>
  <c r="BA234" i="2"/>
  <c r="BA272" i="2"/>
  <c r="BA283" i="2"/>
  <c r="BA259" i="2"/>
  <c r="BA298" i="2" s="1"/>
  <c r="Z271" i="2"/>
  <c r="Z282" i="2"/>
  <c r="Z258" i="2"/>
  <c r="Z297" i="2" s="1"/>
  <c r="Z269" i="2"/>
  <c r="Z280" i="2"/>
  <c r="BZ280" i="2" s="1"/>
  <c r="Z256" i="2"/>
  <c r="Z295" i="2" s="1"/>
  <c r="Z255" i="2"/>
  <c r="Z294" i="2" s="1"/>
  <c r="Z268" i="2"/>
  <c r="Z279" i="2"/>
  <c r="BZ279" i="2" s="1"/>
  <c r="AC184" i="2"/>
  <c r="AC195" i="2" s="1"/>
  <c r="BD184" i="2"/>
  <c r="BD195" i="2" s="1"/>
  <c r="CD78" i="2"/>
  <c r="BE126" i="2"/>
  <c r="BE167" i="2" s="1"/>
  <c r="AD167" i="2"/>
  <c r="CD80" i="2"/>
  <c r="BE136" i="2"/>
  <c r="BE169" i="2" s="1"/>
  <c r="AD169" i="2"/>
  <c r="CD73" i="2"/>
  <c r="AD82" i="2"/>
  <c r="BE101" i="2"/>
  <c r="BE162" i="2" s="1"/>
  <c r="AD147" i="2"/>
  <c r="AD162" i="2"/>
  <c r="AC176" i="2"/>
  <c r="AC187" i="2" s="1"/>
  <c r="AC171" i="2"/>
  <c r="AC179" i="2"/>
  <c r="AC190" i="2" s="1"/>
  <c r="BD179" i="2"/>
  <c r="BD190" i="2" s="1"/>
  <c r="Y150" i="2"/>
  <c r="Z103" i="2"/>
  <c r="AZ102" i="2"/>
  <c r="AA105" i="2"/>
  <c r="BB105" i="2" s="1"/>
  <c r="BA104" i="2"/>
  <c r="BW156" i="2"/>
  <c r="BW310" i="2" s="1"/>
  <c r="W310" i="2"/>
  <c r="W159" i="2"/>
  <c r="BW159" i="2" s="1"/>
  <c r="BB219" i="2"/>
  <c r="BB232" i="2" s="1"/>
  <c r="AA215" i="2"/>
  <c r="AA228" i="2" s="1"/>
  <c r="AA213" i="2"/>
  <c r="AA226" i="2" s="1"/>
  <c r="BB216" i="2"/>
  <c r="BB229" i="2" s="1"/>
  <c r="AA212" i="2"/>
  <c r="BB220" i="2"/>
  <c r="BB233" i="2" s="1"/>
  <c r="BB217" i="2"/>
  <c r="BB230" i="2" s="1"/>
  <c r="BB214" i="2"/>
  <c r="BB227" i="2" s="1"/>
  <c r="BA271" i="2"/>
  <c r="BA282" i="2"/>
  <c r="BA258" i="2"/>
  <c r="BA297" i="2" s="1"/>
  <c r="BD178" i="2"/>
  <c r="BD189" i="2" s="1"/>
  <c r="AE101" i="2"/>
  <c r="AF89" i="2"/>
  <c r="AE73" i="2"/>
  <c r="AE126" i="2"/>
  <c r="AF94" i="2"/>
  <c r="AE78" i="2"/>
  <c r="CD79" i="2"/>
  <c r="BE116" i="2"/>
  <c r="BE165" i="2" s="1"/>
  <c r="AD165" i="2"/>
  <c r="Y139" i="2"/>
  <c r="AY138" i="2"/>
  <c r="X137" i="2"/>
  <c r="BD177" i="2"/>
  <c r="BD188" i="2" s="1"/>
  <c r="BH31" i="2"/>
  <c r="BG66" i="2"/>
  <c r="BG69" i="2"/>
  <c r="BG67" i="2"/>
  <c r="BH95" i="2" s="1"/>
  <c r="BG68" i="2"/>
  <c r="BH206" i="2"/>
  <c r="BG65" i="2"/>
  <c r="BG64" i="2"/>
  <c r="BG62" i="2"/>
  <c r="BG63" i="2"/>
  <c r="BG61" i="2"/>
  <c r="BA267" i="2"/>
  <c r="BZ267" i="2" s="1"/>
  <c r="BA278" i="2"/>
  <c r="BZ278" i="2" s="1"/>
  <c r="BA254" i="2"/>
  <c r="BA293" i="2" s="1"/>
  <c r="BZ293" i="2" s="1"/>
  <c r="BA273" i="2"/>
  <c r="BA284" i="2"/>
  <c r="BZ284" i="2" s="1"/>
  <c r="BA260" i="2"/>
  <c r="BA299" i="2" s="1"/>
  <c r="Z257" i="2"/>
  <c r="Z296" i="2" s="1"/>
  <c r="BZ296" i="2" s="1"/>
  <c r="Z270" i="2"/>
  <c r="Z281" i="2"/>
  <c r="AC180" i="2"/>
  <c r="AC191" i="2" s="1"/>
  <c r="BD180" i="2"/>
  <c r="BD191" i="2" s="1"/>
  <c r="CD81" i="2"/>
  <c r="BE141" i="2"/>
  <c r="BE170" i="2" s="1"/>
  <c r="AD170" i="2"/>
  <c r="CD74" i="2"/>
  <c r="BE106" i="2"/>
  <c r="BE163" i="2" s="1"/>
  <c r="AD163" i="2"/>
  <c r="Y123" i="2"/>
  <c r="X154" i="2"/>
  <c r="AY122" i="2"/>
  <c r="Z125" i="2"/>
  <c r="BA125" i="2" s="1"/>
  <c r="AZ124" i="2"/>
  <c r="BD176" i="2"/>
  <c r="BD187" i="2" s="1"/>
  <c r="BD171" i="2"/>
  <c r="AC183" i="2"/>
  <c r="AC194" i="2" s="1"/>
  <c r="BD183" i="2"/>
  <c r="BD194" i="2" s="1"/>
  <c r="Y134" i="2"/>
  <c r="AY133" i="2"/>
  <c r="X132" i="2"/>
  <c r="AB196" i="2"/>
  <c r="BC217" i="2" s="1"/>
  <c r="BC230" i="2" s="1"/>
  <c r="BA221" i="2"/>
  <c r="AA220" i="2"/>
  <c r="AA233" i="2" s="1"/>
  <c r="AA217" i="2"/>
  <c r="AA230" i="2" s="1"/>
  <c r="BH93" i="2" l="1"/>
  <c r="BZ270" i="2"/>
  <c r="BB277" i="2"/>
  <c r="BA109" i="2"/>
  <c r="AA110" i="2"/>
  <c r="BB110" i="2" s="1"/>
  <c r="AZ107" i="2"/>
  <c r="Z108" i="2"/>
  <c r="Y151" i="2"/>
  <c r="BH90" i="2"/>
  <c r="BH91" i="2"/>
  <c r="BH94" i="2"/>
  <c r="BZ273" i="2"/>
  <c r="AA272" i="2"/>
  <c r="Z113" i="2"/>
  <c r="AZ112" i="2"/>
  <c r="Y152" i="2"/>
  <c r="BA114" i="2"/>
  <c r="AA115" i="2"/>
  <c r="BB115" i="2" s="1"/>
  <c r="BZ300" i="2"/>
  <c r="BA312" i="2"/>
  <c r="BJ23" i="2"/>
  <c r="AA284" i="2"/>
  <c r="BA308" i="2"/>
  <c r="CD82" i="2"/>
  <c r="BZ281" i="2"/>
  <c r="BH92" i="2"/>
  <c r="AA257" i="2"/>
  <c r="AA296" i="2" s="1"/>
  <c r="BG57" i="2"/>
  <c r="BG80" i="2" s="1"/>
  <c r="BH45" i="2"/>
  <c r="AG56" i="2"/>
  <c r="AH44" i="2"/>
  <c r="BI38" i="2"/>
  <c r="BH50" i="2"/>
  <c r="AH40" i="2"/>
  <c r="AG52" i="2"/>
  <c r="BG55" i="2"/>
  <c r="BG78" i="2" s="1"/>
  <c r="BH43" i="2"/>
  <c r="BH40" i="2"/>
  <c r="BG52" i="2"/>
  <c r="BG75" i="2" s="1"/>
  <c r="BH41" i="2"/>
  <c r="BG53" i="2"/>
  <c r="BG76" i="2" s="1"/>
  <c r="AG58" i="2"/>
  <c r="AH46" i="2"/>
  <c r="BH46" i="2"/>
  <c r="BG58" i="2"/>
  <c r="BG81" i="2" s="1"/>
  <c r="AH39" i="2"/>
  <c r="AG51" i="2"/>
  <c r="AH43" i="2"/>
  <c r="AG55" i="2"/>
  <c r="AH41" i="2"/>
  <c r="AG53" i="2"/>
  <c r="AI38" i="2"/>
  <c r="AH50" i="2"/>
  <c r="BG54" i="2"/>
  <c r="BG77" i="2" s="1"/>
  <c r="BH42" i="2"/>
  <c r="BH39" i="2"/>
  <c r="BG51" i="2"/>
  <c r="BG74" i="2" s="1"/>
  <c r="AH42" i="2"/>
  <c r="AG54" i="2"/>
  <c r="AG57" i="2"/>
  <c r="AH45" i="2"/>
  <c r="BH44" i="2"/>
  <c r="BG56" i="2"/>
  <c r="BG79" i="2" s="1"/>
  <c r="BA307" i="2"/>
  <c r="BB278" i="2"/>
  <c r="BZ268" i="2"/>
  <c r="AA260" i="2"/>
  <c r="AA299" i="2" s="1"/>
  <c r="BA306" i="2"/>
  <c r="W313" i="2"/>
  <c r="BB253" i="2"/>
  <c r="BB292" i="2" s="1"/>
  <c r="BB280" i="2"/>
  <c r="BB272" i="2"/>
  <c r="AA281" i="2"/>
  <c r="BB259" i="2"/>
  <c r="BB298" i="2" s="1"/>
  <c r="BZ295" i="2"/>
  <c r="BB256" i="2"/>
  <c r="BB295" i="2" s="1"/>
  <c r="AZ313" i="2"/>
  <c r="CA283" i="2"/>
  <c r="AA259" i="2"/>
  <c r="AA298" i="2" s="1"/>
  <c r="BW313" i="2"/>
  <c r="BW322" i="2" s="1"/>
  <c r="BZ294" i="2"/>
  <c r="BB254" i="2"/>
  <c r="BB293" i="2" s="1"/>
  <c r="BZ269" i="2"/>
  <c r="BZ299" i="2"/>
  <c r="BB221" i="2"/>
  <c r="BC212" i="2"/>
  <c r="BC225" i="2" s="1"/>
  <c r="BB234" i="2"/>
  <c r="BZ282" i="2"/>
  <c r="BC271" i="2"/>
  <c r="BC282" i="2"/>
  <c r="BC258" i="2"/>
  <c r="BC297" i="2" s="1"/>
  <c r="AK24" i="2"/>
  <c r="BL24" i="2" s="1"/>
  <c r="CF210" i="2"/>
  <c r="BH96" i="2"/>
  <c r="BI31" i="2"/>
  <c r="BH64" i="2"/>
  <c r="BH65" i="2"/>
  <c r="BH66" i="2"/>
  <c r="BH67" i="2"/>
  <c r="BH68" i="2"/>
  <c r="BH69" i="2"/>
  <c r="BI206" i="2"/>
  <c r="BH62" i="2"/>
  <c r="BH61" i="2"/>
  <c r="BH63" i="2"/>
  <c r="CE78" i="2"/>
  <c r="AA274" i="2"/>
  <c r="AA285" i="2"/>
  <c r="AA261" i="2"/>
  <c r="AA300" i="2" s="1"/>
  <c r="Y133" i="2"/>
  <c r="X156" i="2"/>
  <c r="AY132" i="2"/>
  <c r="Z135" i="2"/>
  <c r="BA135" i="2" s="1"/>
  <c r="AZ134" i="2"/>
  <c r="BX154" i="2"/>
  <c r="BX308" i="2" s="1"/>
  <c r="X308" i="2"/>
  <c r="AD177" i="2"/>
  <c r="AD188" i="2" s="1"/>
  <c r="BE177" i="2"/>
  <c r="BE188" i="2" s="1"/>
  <c r="BH208" i="2"/>
  <c r="BH209" i="2" s="1"/>
  <c r="BH210" i="2" s="1"/>
  <c r="X157" i="2"/>
  <c r="Y138" i="2"/>
  <c r="AY137" i="2"/>
  <c r="Z140" i="2"/>
  <c r="BA140" i="2" s="1"/>
  <c r="AZ139" i="2"/>
  <c r="AD179" i="2"/>
  <c r="AD190" i="2" s="1"/>
  <c r="BE179" i="2"/>
  <c r="BE190" i="2" s="1"/>
  <c r="CE73" i="2"/>
  <c r="AE82" i="2"/>
  <c r="BF101" i="2"/>
  <c r="BF162" i="2" s="1"/>
  <c r="AE147" i="2"/>
  <c r="AE162" i="2"/>
  <c r="BB271" i="2"/>
  <c r="BB282" i="2"/>
  <c r="BB258" i="2"/>
  <c r="BB297" i="2" s="1"/>
  <c r="BB270" i="2"/>
  <c r="CA270" i="2" s="1"/>
  <c r="BB281" i="2"/>
  <c r="BB257" i="2"/>
  <c r="BB296" i="2" s="1"/>
  <c r="AA256" i="2"/>
  <c r="AA295" i="2" s="1"/>
  <c r="AA269" i="2"/>
  <c r="CA269" i="2" s="1"/>
  <c r="AA280" i="2"/>
  <c r="AA104" i="2"/>
  <c r="BA103" i="2"/>
  <c r="Z102" i="2"/>
  <c r="BE176" i="2"/>
  <c r="BE187" i="2" s="1"/>
  <c r="BE171" i="2"/>
  <c r="AD183" i="2"/>
  <c r="AD194" i="2" s="1"/>
  <c r="BE183" i="2"/>
  <c r="BE194" i="2" s="1"/>
  <c r="BF82" i="2"/>
  <c r="Z144" i="2"/>
  <c r="AZ143" i="2"/>
  <c r="Y142" i="2"/>
  <c r="AD180" i="2"/>
  <c r="AD191" i="2" s="1"/>
  <c r="BE180" i="2"/>
  <c r="BE191" i="2" s="1"/>
  <c r="AF111" i="2"/>
  <c r="AG91" i="2"/>
  <c r="AF75" i="2"/>
  <c r="AF116" i="2"/>
  <c r="AG92" i="2"/>
  <c r="AF76" i="2"/>
  <c r="AF121" i="2"/>
  <c r="AG93" i="2"/>
  <c r="AF77" i="2"/>
  <c r="AG208" i="2"/>
  <c r="AG209" i="2" s="1"/>
  <c r="AG210" i="2" s="1"/>
  <c r="AF131" i="2"/>
  <c r="AG95" i="2"/>
  <c r="AF79" i="2"/>
  <c r="AH31" i="2"/>
  <c r="AG64" i="2"/>
  <c r="AG65" i="2"/>
  <c r="AG66" i="2"/>
  <c r="AG67" i="2"/>
  <c r="AG68" i="2"/>
  <c r="AG69" i="2"/>
  <c r="AH206" i="2"/>
  <c r="CG31" i="2"/>
  <c r="AG63" i="2"/>
  <c r="AG61" i="2"/>
  <c r="AG62" i="2"/>
  <c r="CE79" i="2"/>
  <c r="BF131" i="2"/>
  <c r="BF168" i="2" s="1"/>
  <c r="AE168" i="2"/>
  <c r="CE74" i="2"/>
  <c r="BF106" i="2"/>
  <c r="BF163" i="2" s="1"/>
  <c r="AE163" i="2"/>
  <c r="X155" i="2"/>
  <c r="Y128" i="2"/>
  <c r="AY127" i="2"/>
  <c r="Z130" i="2"/>
  <c r="BA130" i="2" s="1"/>
  <c r="AZ129" i="2"/>
  <c r="CE76" i="2"/>
  <c r="BF116" i="2"/>
  <c r="BF165" i="2" s="1"/>
  <c r="AE165" i="2"/>
  <c r="CE75" i="2"/>
  <c r="BF111" i="2"/>
  <c r="BF164" i="2" s="1"/>
  <c r="AE164" i="2"/>
  <c r="AB218" i="2"/>
  <c r="AB231" i="2" s="1"/>
  <c r="AB212" i="2"/>
  <c r="BC216" i="2"/>
  <c r="BC229" i="2" s="1"/>
  <c r="BC215" i="2"/>
  <c r="BC228" i="2" s="1"/>
  <c r="AB220" i="2"/>
  <c r="AB233" i="2" s="1"/>
  <c r="BC214" i="2"/>
  <c r="BC227" i="2" s="1"/>
  <c r="BA305" i="2"/>
  <c r="BC218" i="2"/>
  <c r="BC231" i="2" s="1"/>
  <c r="BC219" i="2"/>
  <c r="BC232" i="2" s="1"/>
  <c r="BZ297" i="2"/>
  <c r="BZ271" i="2"/>
  <c r="BZ277" i="2"/>
  <c r="BZ292" i="2"/>
  <c r="BZ283" i="2"/>
  <c r="BZ298" i="2"/>
  <c r="BC213" i="2"/>
  <c r="BC226" i="2" s="1"/>
  <c r="AB217" i="2"/>
  <c r="AB230" i="2" s="1"/>
  <c r="AA258" i="2"/>
  <c r="AA297" i="2" s="1"/>
  <c r="AA271" i="2"/>
  <c r="AA282" i="2"/>
  <c r="BD196" i="2"/>
  <c r="Z124" i="2"/>
  <c r="AZ123" i="2"/>
  <c r="Y122" i="2"/>
  <c r="AD184" i="2"/>
  <c r="AD195" i="2" s="1"/>
  <c r="BE184" i="2"/>
  <c r="BE195" i="2" s="1"/>
  <c r="BH89" i="2"/>
  <c r="BG73" i="2"/>
  <c r="BH97" i="2"/>
  <c r="BF126" i="2"/>
  <c r="BF167" i="2" s="1"/>
  <c r="AE167" i="2"/>
  <c r="BB268" i="2"/>
  <c r="CA268" i="2" s="1"/>
  <c r="BB279" i="2"/>
  <c r="CA279" i="2" s="1"/>
  <c r="BB255" i="2"/>
  <c r="BB294" i="2" s="1"/>
  <c r="CA294" i="2" s="1"/>
  <c r="BB274" i="2"/>
  <c r="BB285" i="2"/>
  <c r="BB261" i="2"/>
  <c r="BB300" i="2" s="1"/>
  <c r="AA221" i="2"/>
  <c r="AA225" i="2"/>
  <c r="AA254" i="2"/>
  <c r="AA293" i="2" s="1"/>
  <c r="AA267" i="2"/>
  <c r="CA267" i="2" s="1"/>
  <c r="AA278" i="2"/>
  <c r="BB273" i="2"/>
  <c r="BB284" i="2"/>
  <c r="BB260" i="2"/>
  <c r="BB299" i="2" s="1"/>
  <c r="BY150" i="2"/>
  <c r="BY304" i="2" s="1"/>
  <c r="Y304" i="2"/>
  <c r="AC196" i="2"/>
  <c r="BD216" i="2" s="1"/>
  <c r="BD229" i="2" s="1"/>
  <c r="AD176" i="2"/>
  <c r="AD187" i="2" s="1"/>
  <c r="AD171" i="2"/>
  <c r="AD181" i="2"/>
  <c r="AD192" i="2" s="1"/>
  <c r="BE181" i="2"/>
  <c r="BE192" i="2" s="1"/>
  <c r="BX158" i="2"/>
  <c r="BX312" i="2" s="1"/>
  <c r="X312" i="2"/>
  <c r="AD178" i="2"/>
  <c r="AD189" i="2" s="1"/>
  <c r="BE178" i="2"/>
  <c r="BE189" i="2" s="1"/>
  <c r="AF101" i="2"/>
  <c r="AG89" i="2"/>
  <c r="AF73" i="2"/>
  <c r="AF106" i="2"/>
  <c r="AG90" i="2"/>
  <c r="AF74" i="2"/>
  <c r="AF136" i="2"/>
  <c r="AG96" i="2"/>
  <c r="AF80" i="2"/>
  <c r="AF141" i="2"/>
  <c r="AG97" i="2"/>
  <c r="AF81" i="2"/>
  <c r="AF126" i="2"/>
  <c r="AG94" i="2"/>
  <c r="AF78" i="2"/>
  <c r="CE77" i="2"/>
  <c r="BF121" i="2"/>
  <c r="BF166" i="2" s="1"/>
  <c r="AE166" i="2"/>
  <c r="CE80" i="2"/>
  <c r="BF136" i="2"/>
  <c r="BF169" i="2" s="1"/>
  <c r="AE169" i="2"/>
  <c r="Z118" i="2"/>
  <c r="Y153" i="2"/>
  <c r="AZ117" i="2"/>
  <c r="AA120" i="2"/>
  <c r="BB120" i="2" s="1"/>
  <c r="BA119" i="2"/>
  <c r="AD182" i="2"/>
  <c r="AD193" i="2" s="1"/>
  <c r="BE182" i="2"/>
  <c r="BE193" i="2" s="1"/>
  <c r="CE81" i="2"/>
  <c r="BF141" i="2"/>
  <c r="BF170" i="2" s="1"/>
  <c r="AE170" i="2"/>
  <c r="AK32" i="2"/>
  <c r="BK24" i="2"/>
  <c r="BL32" i="2" s="1"/>
  <c r="AB216" i="2"/>
  <c r="AB229" i="2" s="1"/>
  <c r="AB215" i="2"/>
  <c r="AB228" i="2" s="1"/>
  <c r="BC220" i="2"/>
  <c r="BC233" i="2" s="1"/>
  <c r="AB214" i="2"/>
  <c r="AB227" i="2" s="1"/>
  <c r="BA311" i="2"/>
  <c r="AB219" i="2"/>
  <c r="AB232" i="2" s="1"/>
  <c r="BA309" i="2"/>
  <c r="BA310" i="2"/>
  <c r="BA304" i="2"/>
  <c r="BZ266" i="2"/>
  <c r="BZ272" i="2"/>
  <c r="AB213" i="2"/>
  <c r="AB226" i="2" s="1"/>
  <c r="BW326" i="2" l="1"/>
  <c r="BB304" i="2"/>
  <c r="AA109" i="2"/>
  <c r="Z107" i="2"/>
  <c r="BA108" i="2"/>
  <c r="Y305" i="2"/>
  <c r="BY151" i="2"/>
  <c r="BY305" i="2" s="1"/>
  <c r="CA297" i="2"/>
  <c r="CA296" i="2"/>
  <c r="CA280" i="2"/>
  <c r="BI93" i="2"/>
  <c r="BI95" i="2"/>
  <c r="CA272" i="2"/>
  <c r="BI94" i="2"/>
  <c r="Y306" i="2"/>
  <c r="BY152" i="2"/>
  <c r="BY306" i="2" s="1"/>
  <c r="BA113" i="2"/>
  <c r="Z112" i="2"/>
  <c r="AA114" i="2"/>
  <c r="CA284" i="2"/>
  <c r="CA281" i="2"/>
  <c r="BI91" i="2"/>
  <c r="X159" i="2"/>
  <c r="BX159" i="2" s="1"/>
  <c r="BB307" i="2"/>
  <c r="CA295" i="2"/>
  <c r="BD218" i="2"/>
  <c r="BD231" i="2" s="1"/>
  <c r="BD272" i="2" s="1"/>
  <c r="BI90" i="2"/>
  <c r="BH51" i="2"/>
  <c r="BH74" i="2" s="1"/>
  <c r="BI39" i="2"/>
  <c r="AI50" i="2"/>
  <c r="AJ38" i="2"/>
  <c r="AI43" i="2"/>
  <c r="AH55" i="2"/>
  <c r="BH58" i="2"/>
  <c r="BH81" i="2" s="1"/>
  <c r="BI46" i="2"/>
  <c r="BI41" i="2"/>
  <c r="BH53" i="2"/>
  <c r="BH76" i="2" s="1"/>
  <c r="BI50" i="2"/>
  <c r="BJ38" i="2"/>
  <c r="BI42" i="2"/>
  <c r="BH54" i="2"/>
  <c r="BH77" i="2" s="1"/>
  <c r="AH58" i="2"/>
  <c r="AI46" i="2"/>
  <c r="AI44" i="2"/>
  <c r="AH56" i="2"/>
  <c r="BH56" i="2"/>
  <c r="BH79" i="2" s="1"/>
  <c r="BI44" i="2"/>
  <c r="AI42" i="2"/>
  <c r="AH54" i="2"/>
  <c r="AH53" i="2"/>
  <c r="AI41" i="2"/>
  <c r="AH51" i="2"/>
  <c r="AI39" i="2"/>
  <c r="BI40" i="2"/>
  <c r="BH52" i="2"/>
  <c r="BH75" i="2" s="1"/>
  <c r="AI40" i="2"/>
  <c r="AH52" i="2"/>
  <c r="CA293" i="2"/>
  <c r="BB310" i="2"/>
  <c r="BI92" i="2"/>
  <c r="CA298" i="2"/>
  <c r="AH57" i="2"/>
  <c r="AI45" i="2"/>
  <c r="BH55" i="2"/>
  <c r="BH78" i="2" s="1"/>
  <c r="BI43" i="2"/>
  <c r="BH57" i="2"/>
  <c r="BH80" i="2" s="1"/>
  <c r="BI45" i="2"/>
  <c r="CA278" i="2"/>
  <c r="BB305" i="2"/>
  <c r="CA299" i="2"/>
  <c r="AC214" i="2"/>
  <c r="AC227" i="2" s="1"/>
  <c r="AC255" i="2" s="1"/>
  <c r="AC294" i="2" s="1"/>
  <c r="CA282" i="2"/>
  <c r="AK23" i="2"/>
  <c r="AC212" i="2"/>
  <c r="AC225" i="2" s="1"/>
  <c r="AC277" i="2" s="1"/>
  <c r="BA313" i="2"/>
  <c r="BD270" i="2"/>
  <c r="BD281" i="2"/>
  <c r="BD257" i="2"/>
  <c r="BD296" i="2" s="1"/>
  <c r="AD196" i="2"/>
  <c r="BE219" i="2" s="1"/>
  <c r="BE232" i="2" s="1"/>
  <c r="CG210" i="2"/>
  <c r="AB257" i="2"/>
  <c r="AB296" i="2" s="1"/>
  <c r="AB270" i="2"/>
  <c r="AB281" i="2"/>
  <c r="AA119" i="2"/>
  <c r="BA118" i="2"/>
  <c r="Z117" i="2"/>
  <c r="AE183" i="2"/>
  <c r="AE194" i="2" s="1"/>
  <c r="BG126" i="2"/>
  <c r="BG167" i="2" s="1"/>
  <c r="AF167" i="2"/>
  <c r="CF80" i="2"/>
  <c r="CF73" i="2"/>
  <c r="AF82" i="2"/>
  <c r="AA266" i="2"/>
  <c r="CA266" i="2" s="1"/>
  <c r="AA277" i="2"/>
  <c r="CA277" i="2" s="1"/>
  <c r="AA253" i="2"/>
  <c r="AA292" i="2" s="1"/>
  <c r="CA292" i="2" s="1"/>
  <c r="AA234" i="2"/>
  <c r="BC266" i="2"/>
  <c r="BC277" i="2"/>
  <c r="BC253" i="2"/>
  <c r="BC292" i="2" s="1"/>
  <c r="BC234" i="2"/>
  <c r="AB267" i="2"/>
  <c r="AB278" i="2"/>
  <c r="AB254" i="2"/>
  <c r="AB293" i="2" s="1"/>
  <c r="BC274" i="2"/>
  <c r="BC285" i="2"/>
  <c r="BC261" i="2"/>
  <c r="BC300" i="2" s="1"/>
  <c r="AB269" i="2"/>
  <c r="AB280" i="2"/>
  <c r="AB256" i="2"/>
  <c r="AB295" i="2" s="1"/>
  <c r="AE184" i="2"/>
  <c r="AE195" i="2" s="1"/>
  <c r="BF184" i="2"/>
  <c r="BF195" i="2" s="1"/>
  <c r="BY153" i="2"/>
  <c r="BY307" i="2" s="1"/>
  <c r="Y307" i="2"/>
  <c r="AE180" i="2"/>
  <c r="AE191" i="2" s="1"/>
  <c r="BF180" i="2"/>
  <c r="BF191" i="2" s="1"/>
  <c r="CF81" i="2"/>
  <c r="BG141" i="2"/>
  <c r="BG170" i="2" s="1"/>
  <c r="AF170" i="2"/>
  <c r="CF74" i="2"/>
  <c r="BG106" i="2"/>
  <c r="BG163" i="2" s="1"/>
  <c r="AF163" i="2"/>
  <c r="BG82" i="2"/>
  <c r="Y154" i="2"/>
  <c r="Z123" i="2"/>
  <c r="AZ122" i="2"/>
  <c r="AA125" i="2"/>
  <c r="BB125" i="2" s="1"/>
  <c r="BA124" i="2"/>
  <c r="AB271" i="2"/>
  <c r="CB271" i="2" s="1"/>
  <c r="AB282" i="2"/>
  <c r="CB282" i="2" s="1"/>
  <c r="AB258" i="2"/>
  <c r="AB297" i="2" s="1"/>
  <c r="CB297" i="2" s="1"/>
  <c r="BC267" i="2"/>
  <c r="BC278" i="2"/>
  <c r="BC254" i="2"/>
  <c r="BC293" i="2" s="1"/>
  <c r="BC272" i="2"/>
  <c r="BC283" i="2"/>
  <c r="BC259" i="2"/>
  <c r="BC298" i="2" s="1"/>
  <c r="AB274" i="2"/>
  <c r="AB285" i="2"/>
  <c r="AB261" i="2"/>
  <c r="AB300" i="2" s="1"/>
  <c r="BC269" i="2"/>
  <c r="BC280" i="2"/>
  <c r="BC256" i="2"/>
  <c r="BC295" i="2" s="1"/>
  <c r="AE178" i="2"/>
  <c r="AE189" i="2" s="1"/>
  <c r="BF178" i="2"/>
  <c r="BF189" i="2" s="1"/>
  <c r="BX155" i="2"/>
  <c r="BX309" i="2" s="1"/>
  <c r="X309" i="2"/>
  <c r="AE182" i="2"/>
  <c r="AE193" i="2" s="1"/>
  <c r="BF182" i="2"/>
  <c r="BF193" i="2" s="1"/>
  <c r="AG101" i="2"/>
  <c r="AH89" i="2"/>
  <c r="AG73" i="2"/>
  <c r="AG141" i="2"/>
  <c r="AH97" i="2"/>
  <c r="AG81" i="2"/>
  <c r="AG131" i="2"/>
  <c r="AH95" i="2"/>
  <c r="AG79" i="2"/>
  <c r="AG121" i="2"/>
  <c r="AH93" i="2"/>
  <c r="AG77" i="2"/>
  <c r="AI31" i="2"/>
  <c r="AH66" i="2"/>
  <c r="AH67" i="2"/>
  <c r="AH69" i="2"/>
  <c r="AI206" i="2"/>
  <c r="CH31" i="2"/>
  <c r="AH68" i="2"/>
  <c r="AH64" i="2"/>
  <c r="AH65" i="2"/>
  <c r="AH63" i="2"/>
  <c r="AH61" i="2"/>
  <c r="AH62" i="2"/>
  <c r="CF77" i="2"/>
  <c r="BG121" i="2"/>
  <c r="BG166" i="2" s="1"/>
  <c r="AF166" i="2"/>
  <c r="CF75" i="2"/>
  <c r="BG111" i="2"/>
  <c r="BG164" i="2" s="1"/>
  <c r="AF164" i="2"/>
  <c r="AE176" i="2"/>
  <c r="AE187" i="2" s="1"/>
  <c r="AE171" i="2"/>
  <c r="Z139" i="2"/>
  <c r="AZ138" i="2"/>
  <c r="Y137" i="2"/>
  <c r="BX156" i="2"/>
  <c r="BX310" i="2" s="1"/>
  <c r="X310" i="2"/>
  <c r="BI89" i="2"/>
  <c r="BH73" i="2"/>
  <c r="BI208" i="2"/>
  <c r="BI209" i="2" s="1"/>
  <c r="BI210" i="2" s="1"/>
  <c r="BI96" i="2"/>
  <c r="BB311" i="2"/>
  <c r="BC221" i="2"/>
  <c r="BD214" i="2"/>
  <c r="BD227" i="2" s="1"/>
  <c r="AC218" i="2"/>
  <c r="AC231" i="2" s="1"/>
  <c r="BD212" i="2"/>
  <c r="BB306" i="2"/>
  <c r="CA271" i="2"/>
  <c r="BK23" i="2"/>
  <c r="BL23" i="2" s="1"/>
  <c r="BB308" i="2"/>
  <c r="CE82" i="2"/>
  <c r="CA300" i="2"/>
  <c r="CA274" i="2"/>
  <c r="BD217" i="2"/>
  <c r="BD230" i="2" s="1"/>
  <c r="AC220" i="2"/>
  <c r="AC233" i="2" s="1"/>
  <c r="AC219" i="2"/>
  <c r="AC232" i="2" s="1"/>
  <c r="AC213" i="2"/>
  <c r="AC226" i="2" s="1"/>
  <c r="AC215" i="2"/>
  <c r="AC228" i="2" s="1"/>
  <c r="AC216" i="2"/>
  <c r="AC229" i="2" s="1"/>
  <c r="BC309" i="2"/>
  <c r="AB273" i="2"/>
  <c r="AB284" i="2"/>
  <c r="AB260" i="2"/>
  <c r="AB299" i="2" s="1"/>
  <c r="AB255" i="2"/>
  <c r="AB294" i="2" s="1"/>
  <c r="AB268" i="2"/>
  <c r="AB279" i="2"/>
  <c r="BF183" i="2"/>
  <c r="BF194" i="2" s="1"/>
  <c r="CF78" i="2"/>
  <c r="BG136" i="2"/>
  <c r="BG169" i="2" s="1"/>
  <c r="AF169" i="2"/>
  <c r="BG101" i="2"/>
  <c r="BG162" i="2" s="1"/>
  <c r="AF147" i="2"/>
  <c r="AF162" i="2"/>
  <c r="AE181" i="2"/>
  <c r="AE192" i="2" s="1"/>
  <c r="BF181" i="2"/>
  <c r="BF192" i="2" s="1"/>
  <c r="BC273" i="2"/>
  <c r="BC284" i="2"/>
  <c r="BC260" i="2"/>
  <c r="BC299" i="2" s="1"/>
  <c r="BC268" i="2"/>
  <c r="BC279" i="2"/>
  <c r="BC255" i="2"/>
  <c r="BC294" i="2" s="1"/>
  <c r="BC270" i="2"/>
  <c r="BC281" i="2"/>
  <c r="BC257" i="2"/>
  <c r="BC296" i="2" s="1"/>
  <c r="AB221" i="2"/>
  <c r="AB225" i="2"/>
  <c r="AB259" i="2"/>
  <c r="AB298" i="2" s="1"/>
  <c r="AB272" i="2"/>
  <c r="AB283" i="2"/>
  <c r="AE179" i="2"/>
  <c r="AE190" i="2" s="1"/>
  <c r="BF179" i="2"/>
  <c r="BF190" i="2" s="1"/>
  <c r="Z129" i="2"/>
  <c r="AZ128" i="2"/>
  <c r="Y127" i="2"/>
  <c r="AE177" i="2"/>
  <c r="AE188" i="2" s="1"/>
  <c r="BF177" i="2"/>
  <c r="BF188" i="2" s="1"/>
  <c r="AG106" i="2"/>
  <c r="AH90" i="2"/>
  <c r="AG74" i="2"/>
  <c r="AG111" i="2"/>
  <c r="AH91" i="2"/>
  <c r="AG75" i="2"/>
  <c r="AH208" i="2"/>
  <c r="AH209" i="2" s="1"/>
  <c r="AH210" i="2" s="1"/>
  <c r="AG136" i="2"/>
  <c r="AH96" i="2"/>
  <c r="AG80" i="2"/>
  <c r="AG126" i="2"/>
  <c r="AH94" i="2"/>
  <c r="AG78" i="2"/>
  <c r="AG116" i="2"/>
  <c r="AH92" i="2"/>
  <c r="AG76" i="2"/>
  <c r="CF79" i="2"/>
  <c r="BG131" i="2"/>
  <c r="BG168" i="2" s="1"/>
  <c r="AF168" i="2"/>
  <c r="CF76" i="2"/>
  <c r="BG116" i="2"/>
  <c r="BG165" i="2" s="1"/>
  <c r="AF165" i="2"/>
  <c r="Y158" i="2"/>
  <c r="Z143" i="2"/>
  <c r="AZ142" i="2"/>
  <c r="AA145" i="2"/>
  <c r="BB145" i="2" s="1"/>
  <c r="BA144" i="2"/>
  <c r="BE196" i="2"/>
  <c r="AA103" i="2"/>
  <c r="Z150" i="2"/>
  <c r="BA102" i="2"/>
  <c r="AB105" i="2"/>
  <c r="BC105" i="2" s="1"/>
  <c r="BB104" i="2"/>
  <c r="BF176" i="2"/>
  <c r="BF187" i="2" s="1"/>
  <c r="BF171" i="2"/>
  <c r="BX157" i="2"/>
  <c r="BX311" i="2" s="1"/>
  <c r="X311" i="2"/>
  <c r="Z134" i="2"/>
  <c r="AZ133" i="2"/>
  <c r="Y132" i="2"/>
  <c r="BI97" i="2"/>
  <c r="BJ31" i="2"/>
  <c r="BI66" i="2"/>
  <c r="BI64" i="2"/>
  <c r="BJ92" i="2" s="1"/>
  <c r="BI67" i="2"/>
  <c r="BI69" i="2"/>
  <c r="BI68" i="2"/>
  <c r="BJ206" i="2"/>
  <c r="BI65" i="2"/>
  <c r="BI62" i="2"/>
  <c r="BI63" i="2"/>
  <c r="BI61" i="2"/>
  <c r="BB312" i="2"/>
  <c r="CA273" i="2"/>
  <c r="BB309" i="2"/>
  <c r="CA285" i="2"/>
  <c r="AC217" i="2"/>
  <c r="AC230" i="2" s="1"/>
  <c r="BD220" i="2"/>
  <c r="BD233" i="2" s="1"/>
  <c r="BD219" i="2"/>
  <c r="BD232" i="2" s="1"/>
  <c r="BD213" i="2"/>
  <c r="BD226" i="2" s="1"/>
  <c r="BD215" i="2"/>
  <c r="BD228" i="2" s="1"/>
  <c r="BA107" i="2" l="1"/>
  <c r="Z151" i="2"/>
  <c r="AA108" i="2"/>
  <c r="AB110" i="2"/>
  <c r="BC110" i="2" s="1"/>
  <c r="BB109" i="2"/>
  <c r="BJ95" i="2"/>
  <c r="X313" i="2"/>
  <c r="BJ90" i="2"/>
  <c r="AB115" i="2"/>
  <c r="BC115" i="2" s="1"/>
  <c r="BB114" i="2"/>
  <c r="BA112" i="2"/>
  <c r="Z152" i="2"/>
  <c r="AA113" i="2"/>
  <c r="BJ91" i="2"/>
  <c r="AC268" i="2"/>
  <c r="AC279" i="2"/>
  <c r="BD259" i="2"/>
  <c r="BD298" i="2" s="1"/>
  <c r="AC266" i="2"/>
  <c r="BD283" i="2"/>
  <c r="AC253" i="2"/>
  <c r="AC292" i="2" s="1"/>
  <c r="AD217" i="2"/>
  <c r="AD230" i="2" s="1"/>
  <c r="AD258" i="2" s="1"/>
  <c r="AD297" i="2" s="1"/>
  <c r="BJ94" i="2"/>
  <c r="CB272" i="2"/>
  <c r="AJ40" i="2"/>
  <c r="AI52" i="2"/>
  <c r="AI54" i="2"/>
  <c r="AJ42" i="2"/>
  <c r="AJ44" i="2"/>
  <c r="AI56" i="2"/>
  <c r="BJ42" i="2"/>
  <c r="BI54" i="2"/>
  <c r="BI77" i="2" s="1"/>
  <c r="BI53" i="2"/>
  <c r="BI76" i="2" s="1"/>
  <c r="BJ41" i="2"/>
  <c r="AJ43" i="2"/>
  <c r="AI55" i="2"/>
  <c r="CB283" i="2"/>
  <c r="BJ45" i="2"/>
  <c r="BI57" i="2"/>
  <c r="BI80" i="2" s="1"/>
  <c r="AJ45" i="2"/>
  <c r="AI57" i="2"/>
  <c r="AJ41" i="2"/>
  <c r="AI53" i="2"/>
  <c r="BJ44" i="2"/>
  <c r="BI56" i="2"/>
  <c r="AJ46" i="2"/>
  <c r="AI58" i="2"/>
  <c r="BJ50" i="2"/>
  <c r="BK38" i="2"/>
  <c r="BI58" i="2"/>
  <c r="BI81" i="2" s="1"/>
  <c r="BJ46" i="2"/>
  <c r="AK38" i="2"/>
  <c r="AK50" i="2" s="1"/>
  <c r="AJ50" i="2"/>
  <c r="BI52" i="2"/>
  <c r="BI75" i="2" s="1"/>
  <c r="BJ40" i="2"/>
  <c r="BJ93" i="2"/>
  <c r="BJ43" i="2"/>
  <c r="BI55" i="2"/>
  <c r="BI78" i="2" s="1"/>
  <c r="AJ39" i="2"/>
  <c r="AI51" i="2"/>
  <c r="BI51" i="2"/>
  <c r="BI74" i="2" s="1"/>
  <c r="BJ39" i="2"/>
  <c r="BE213" i="2"/>
  <c r="BE226" i="2" s="1"/>
  <c r="BE278" i="2" s="1"/>
  <c r="CB285" i="2"/>
  <c r="AD215" i="2"/>
  <c r="AD228" i="2" s="1"/>
  <c r="AD280" i="2" s="1"/>
  <c r="BE216" i="2"/>
  <c r="BE229" i="2" s="1"/>
  <c r="BE281" i="2" s="1"/>
  <c r="AD216" i="2"/>
  <c r="AD229" i="2" s="1"/>
  <c r="AD270" i="2" s="1"/>
  <c r="BE217" i="2"/>
  <c r="BE230" i="2" s="1"/>
  <c r="BE258" i="2" s="1"/>
  <c r="BE297" i="2" s="1"/>
  <c r="AD213" i="2"/>
  <c r="AD226" i="2" s="1"/>
  <c r="AD267" i="2" s="1"/>
  <c r="BE215" i="2"/>
  <c r="BE228" i="2" s="1"/>
  <c r="BE269" i="2" s="1"/>
  <c r="CB298" i="2"/>
  <c r="AD218" i="2"/>
  <c r="AD231" i="2" s="1"/>
  <c r="AD259" i="2" s="1"/>
  <c r="AD298" i="2" s="1"/>
  <c r="BI79" i="2"/>
  <c r="BE212" i="2"/>
  <c r="BE225" i="2" s="1"/>
  <c r="BE277" i="2" s="1"/>
  <c r="BE218" i="2"/>
  <c r="BE231" i="2" s="1"/>
  <c r="BE283" i="2" s="1"/>
  <c r="AD212" i="2"/>
  <c r="AD225" i="2" s="1"/>
  <c r="AD277" i="2" s="1"/>
  <c r="CB279" i="2"/>
  <c r="BB313" i="2"/>
  <c r="BX313" i="2"/>
  <c r="BX322" i="2" s="1"/>
  <c r="CB280" i="2"/>
  <c r="BE220" i="2"/>
  <c r="BE233" i="2" s="1"/>
  <c r="BE274" i="2" s="1"/>
  <c r="BE214" i="2"/>
  <c r="BE227" i="2" s="1"/>
  <c r="BE279" i="2" s="1"/>
  <c r="AD219" i="2"/>
  <c r="AD232" i="2" s="1"/>
  <c r="AD273" i="2" s="1"/>
  <c r="BE273" i="2"/>
  <c r="BE284" i="2"/>
  <c r="BE260" i="2"/>
  <c r="BE299" i="2" s="1"/>
  <c r="BD269" i="2"/>
  <c r="BD280" i="2"/>
  <c r="BD256" i="2"/>
  <c r="BD295" i="2" s="1"/>
  <c r="AF179" i="2"/>
  <c r="AF190" i="2" s="1"/>
  <c r="BH116" i="2"/>
  <c r="BH165" i="2" s="1"/>
  <c r="AG165" i="2"/>
  <c r="CG80" i="2"/>
  <c r="BH136" i="2"/>
  <c r="BH169" i="2" s="1"/>
  <c r="AG169" i="2"/>
  <c r="CG74" i="2"/>
  <c r="BD278" i="2"/>
  <c r="BD254" i="2"/>
  <c r="BD293" i="2" s="1"/>
  <c r="BD267" i="2"/>
  <c r="BD274" i="2"/>
  <c r="BD285" i="2"/>
  <c r="BD261" i="2"/>
  <c r="BD300" i="2" s="1"/>
  <c r="BJ96" i="2"/>
  <c r="Y156" i="2"/>
  <c r="Z133" i="2"/>
  <c r="AZ132" i="2"/>
  <c r="AA135" i="2"/>
  <c r="BB135" i="2" s="1"/>
  <c r="BA134" i="2"/>
  <c r="AB104" i="2"/>
  <c r="BB103" i="2"/>
  <c r="AA102" i="2"/>
  <c r="AA144" i="2"/>
  <c r="BA143" i="2"/>
  <c r="Z142" i="2"/>
  <c r="AF182" i="2"/>
  <c r="AF193" i="2" s="1"/>
  <c r="BG182" i="2"/>
  <c r="BG193" i="2" s="1"/>
  <c r="CG78" i="2"/>
  <c r="BH126" i="2"/>
  <c r="BH167" i="2" s="1"/>
  <c r="AG167" i="2"/>
  <c r="CG75" i="2"/>
  <c r="BH111" i="2"/>
  <c r="BH164" i="2" s="1"/>
  <c r="AG164" i="2"/>
  <c r="Z128" i="2"/>
  <c r="Y155" i="2"/>
  <c r="AZ127" i="2"/>
  <c r="AA130" i="2"/>
  <c r="BB130" i="2" s="1"/>
  <c r="BA129" i="2"/>
  <c r="AB253" i="2"/>
  <c r="AB292" i="2" s="1"/>
  <c r="CB292" i="2" s="1"/>
  <c r="AB266" i="2"/>
  <c r="CB266" i="2" s="1"/>
  <c r="AB277" i="2"/>
  <c r="CB277" i="2" s="1"/>
  <c r="AB234" i="2"/>
  <c r="AF176" i="2"/>
  <c r="AF187" i="2" s="1"/>
  <c r="AF171" i="2"/>
  <c r="AF183" i="2"/>
  <c r="AF194" i="2" s="1"/>
  <c r="BG183" i="2"/>
  <c r="BG194" i="2" s="1"/>
  <c r="AC270" i="2"/>
  <c r="CC270" i="2" s="1"/>
  <c r="AC281" i="2"/>
  <c r="CC281" i="2" s="1"/>
  <c r="AC257" i="2"/>
  <c r="AC296" i="2" s="1"/>
  <c r="CC296" i="2" s="1"/>
  <c r="AC267" i="2"/>
  <c r="CC267" i="2" s="1"/>
  <c r="AC278" i="2"/>
  <c r="AC254" i="2"/>
  <c r="AC293" i="2" s="1"/>
  <c r="AC274" i="2"/>
  <c r="AC285" i="2"/>
  <c r="AC261" i="2"/>
  <c r="AC300" i="2" s="1"/>
  <c r="BD221" i="2"/>
  <c r="BD225" i="2"/>
  <c r="BH82" i="2"/>
  <c r="Z138" i="2"/>
  <c r="Y157" i="2"/>
  <c r="AZ137" i="2"/>
  <c r="AA140" i="2"/>
  <c r="BB140" i="2" s="1"/>
  <c r="BA139" i="2"/>
  <c r="AF180" i="2"/>
  <c r="AF191" i="2" s="1"/>
  <c r="BG180" i="2"/>
  <c r="BG191" i="2" s="1"/>
  <c r="AH101" i="2"/>
  <c r="AI89" i="2"/>
  <c r="AH73" i="2"/>
  <c r="AH121" i="2"/>
  <c r="AI93" i="2"/>
  <c r="AH77" i="2"/>
  <c r="AH136" i="2"/>
  <c r="AI96" i="2"/>
  <c r="AH80" i="2"/>
  <c r="AI208" i="2"/>
  <c r="AI209" i="2" s="1"/>
  <c r="AI210" i="2" s="1"/>
  <c r="AH131" i="2"/>
  <c r="AI95" i="2"/>
  <c r="AH79" i="2"/>
  <c r="AJ31" i="2"/>
  <c r="AI64" i="2"/>
  <c r="AI65" i="2"/>
  <c r="AI66" i="2"/>
  <c r="AI67" i="2"/>
  <c r="AI69" i="2"/>
  <c r="CI31" i="2"/>
  <c r="AJ206" i="2"/>
  <c r="AI68" i="2"/>
  <c r="AI62" i="2"/>
  <c r="AI63" i="2"/>
  <c r="AI61" i="2"/>
  <c r="CG79" i="2"/>
  <c r="BH131" i="2"/>
  <c r="BH168" i="2" s="1"/>
  <c r="AG168" i="2"/>
  <c r="CG73" i="2"/>
  <c r="AG82" i="2"/>
  <c r="BH101" i="2"/>
  <c r="BH162" i="2" s="1"/>
  <c r="AG147" i="2"/>
  <c r="AG162" i="2"/>
  <c r="BY154" i="2"/>
  <c r="BY308" i="2" s="1"/>
  <c r="Y308" i="2"/>
  <c r="AF177" i="2"/>
  <c r="AF188" i="2" s="1"/>
  <c r="BG177" i="2"/>
  <c r="BG188" i="2" s="1"/>
  <c r="AF181" i="2"/>
  <c r="AF192" i="2" s="1"/>
  <c r="BG181" i="2"/>
  <c r="BG192" i="2" s="1"/>
  <c r="AC221" i="2"/>
  <c r="BC308" i="2"/>
  <c r="BC311" i="2"/>
  <c r="CB268" i="2"/>
  <c r="CB299" i="2"/>
  <c r="CB273" i="2"/>
  <c r="CB300" i="2"/>
  <c r="CB274" i="2"/>
  <c r="BC305" i="2"/>
  <c r="CB295" i="2"/>
  <c r="CB269" i="2"/>
  <c r="CB293" i="2"/>
  <c r="CB267" i="2"/>
  <c r="BC304" i="2"/>
  <c r="CB270" i="2"/>
  <c r="AD220" i="2"/>
  <c r="AD233" i="2" s="1"/>
  <c r="AC234" i="2"/>
  <c r="AD214" i="2"/>
  <c r="AD227" i="2" s="1"/>
  <c r="BD273" i="2"/>
  <c r="BD284" i="2"/>
  <c r="BD260" i="2"/>
  <c r="BD299" i="2" s="1"/>
  <c r="AC258" i="2"/>
  <c r="AC297" i="2" s="1"/>
  <c r="AC271" i="2"/>
  <c r="AC282" i="2"/>
  <c r="BJ89" i="2"/>
  <c r="BI73" i="2"/>
  <c r="BJ208" i="2"/>
  <c r="BJ209" i="2" s="1"/>
  <c r="BJ210" i="2" s="1"/>
  <c r="BJ97" i="2"/>
  <c r="BK31" i="2"/>
  <c r="BJ64" i="2"/>
  <c r="BJ65" i="2"/>
  <c r="BJ66" i="2"/>
  <c r="BJ67" i="2"/>
  <c r="BJ68" i="2"/>
  <c r="BJ69" i="2"/>
  <c r="BK206" i="2"/>
  <c r="BJ62" i="2"/>
  <c r="BJ63" i="2"/>
  <c r="BJ61" i="2"/>
  <c r="BF196" i="2"/>
  <c r="BZ150" i="2"/>
  <c r="BZ304" i="2" s="1"/>
  <c r="Z304" i="2"/>
  <c r="BY158" i="2"/>
  <c r="BY312" i="2" s="1"/>
  <c r="Y312" i="2"/>
  <c r="BG179" i="2"/>
  <c r="BG190" i="2" s="1"/>
  <c r="CG76" i="2"/>
  <c r="CH210" i="2"/>
  <c r="BH106" i="2"/>
  <c r="BH163" i="2" s="1"/>
  <c r="AG163" i="2"/>
  <c r="BG176" i="2"/>
  <c r="BG187" i="2" s="1"/>
  <c r="BG171" i="2"/>
  <c r="AC256" i="2"/>
  <c r="AC295" i="2" s="1"/>
  <c r="AC269" i="2"/>
  <c r="AC280" i="2"/>
  <c r="AC260" i="2"/>
  <c r="AC299" i="2" s="1"/>
  <c r="AC273" i="2"/>
  <c r="AC284" i="2"/>
  <c r="BD271" i="2"/>
  <c r="BD282" i="2"/>
  <c r="BD258" i="2"/>
  <c r="BD297" i="2" s="1"/>
  <c r="AC272" i="2"/>
  <c r="CC272" i="2" s="1"/>
  <c r="AC283" i="2"/>
  <c r="AC259" i="2"/>
  <c r="AC298" i="2" s="1"/>
  <c r="BD268" i="2"/>
  <c r="BD279" i="2"/>
  <c r="BD255" i="2"/>
  <c r="BD294" i="2" s="1"/>
  <c r="CC294" i="2" s="1"/>
  <c r="AE196" i="2"/>
  <c r="BF217" i="2" s="1"/>
  <c r="BF230" i="2" s="1"/>
  <c r="AF178" i="2"/>
  <c r="AF189" i="2" s="1"/>
  <c r="BG178" i="2"/>
  <c r="BG189" i="2" s="1"/>
  <c r="AH106" i="2"/>
  <c r="AI90" i="2"/>
  <c r="AH74" i="2"/>
  <c r="AH111" i="2"/>
  <c r="AI91" i="2"/>
  <c r="AH75" i="2"/>
  <c r="AH116" i="2"/>
  <c r="AI92" i="2"/>
  <c r="AH76" i="2"/>
  <c r="AH141" i="2"/>
  <c r="AI97" i="2"/>
  <c r="AH81" i="2"/>
  <c r="AH126" i="2"/>
  <c r="AI94" i="2"/>
  <c r="AH78" i="2"/>
  <c r="CG77" i="2"/>
  <c r="BH121" i="2"/>
  <c r="BH166" i="2" s="1"/>
  <c r="AG166" i="2"/>
  <c r="CG81" i="2"/>
  <c r="BH141" i="2"/>
  <c r="BH170" i="2" s="1"/>
  <c r="AG170" i="2"/>
  <c r="AA124" i="2"/>
  <c r="BA123" i="2"/>
  <c r="Z122" i="2"/>
  <c r="AF184" i="2"/>
  <c r="AF195" i="2" s="1"/>
  <c r="BG184" i="2"/>
  <c r="BG195" i="2" s="1"/>
  <c r="Z153" i="2"/>
  <c r="AA118" i="2"/>
  <c r="BA117" i="2"/>
  <c r="AB120" i="2"/>
  <c r="BC120" i="2" s="1"/>
  <c r="BB119" i="2"/>
  <c r="BC306" i="2"/>
  <c r="CB294" i="2"/>
  <c r="CB284" i="2"/>
  <c r="BC307" i="2"/>
  <c r="BC310" i="2"/>
  <c r="BC312" i="2"/>
  <c r="CB278" i="2"/>
  <c r="CF82" i="2"/>
  <c r="CB281" i="2"/>
  <c r="CB296" i="2"/>
  <c r="BD308" i="2"/>
  <c r="BX326" i="2" l="1"/>
  <c r="CC283" i="2"/>
  <c r="CC279" i="2"/>
  <c r="BK95" i="2"/>
  <c r="Z305" i="2"/>
  <c r="BZ151" i="2"/>
  <c r="BZ305" i="2" s="1"/>
  <c r="BB108" i="2"/>
  <c r="AB109" i="2"/>
  <c r="AA107" i="2"/>
  <c r="BD310" i="2"/>
  <c r="BK91" i="2"/>
  <c r="AD257" i="2"/>
  <c r="AD296" i="2" s="1"/>
  <c r="AD281" i="2"/>
  <c r="CD281" i="2" s="1"/>
  <c r="BE254" i="2"/>
  <c r="BE293" i="2" s="1"/>
  <c r="CC269" i="2"/>
  <c r="AD282" i="2"/>
  <c r="Z306" i="2"/>
  <c r="BZ152" i="2"/>
  <c r="BZ306" i="2" s="1"/>
  <c r="AA112" i="2"/>
  <c r="AB114" i="2"/>
  <c r="BB113" i="2"/>
  <c r="CC298" i="2"/>
  <c r="BK94" i="2"/>
  <c r="BE267" i="2"/>
  <c r="CD267" i="2" s="1"/>
  <c r="AD271" i="2"/>
  <c r="CG82" i="2"/>
  <c r="BE268" i="2"/>
  <c r="BK92" i="2"/>
  <c r="BK90" i="2"/>
  <c r="BE270" i="2"/>
  <c r="CD270" i="2" s="1"/>
  <c r="BE256" i="2"/>
  <c r="BE295" i="2" s="1"/>
  <c r="BK43" i="2"/>
  <c r="BJ55" i="2"/>
  <c r="BJ78" i="2" s="1"/>
  <c r="BL38" i="2"/>
  <c r="BL50" i="2" s="1"/>
  <c r="BK50" i="2"/>
  <c r="AJ56" i="2"/>
  <c r="AK44" i="2"/>
  <c r="AK56" i="2" s="1"/>
  <c r="AJ52" i="2"/>
  <c r="AK40" i="2"/>
  <c r="AK52" i="2" s="1"/>
  <c r="CC295" i="2"/>
  <c r="BE255" i="2"/>
  <c r="BE294" i="2" s="1"/>
  <c r="BK44" i="2"/>
  <c r="BJ56" i="2"/>
  <c r="BJ79" i="2" s="1"/>
  <c r="AK45" i="2"/>
  <c r="AK57" i="2" s="1"/>
  <c r="AJ57" i="2"/>
  <c r="AJ54" i="2"/>
  <c r="AK42" i="2"/>
  <c r="AK54" i="2" s="1"/>
  <c r="AK39" i="2"/>
  <c r="AK51" i="2" s="1"/>
  <c r="AJ51" i="2"/>
  <c r="BJ52" i="2"/>
  <c r="BJ75" i="2" s="1"/>
  <c r="BK40" i="2"/>
  <c r="BJ58" i="2"/>
  <c r="BJ81" i="2" s="1"/>
  <c r="BK46" i="2"/>
  <c r="AK43" i="2"/>
  <c r="AK55" i="2" s="1"/>
  <c r="AJ55" i="2"/>
  <c r="BJ54" i="2"/>
  <c r="BJ77" i="2" s="1"/>
  <c r="BK42" i="2"/>
  <c r="BK93" i="2"/>
  <c r="BJ51" i="2"/>
  <c r="BJ74" i="2" s="1"/>
  <c r="BK39" i="2"/>
  <c r="AK46" i="2"/>
  <c r="AK58" i="2" s="1"/>
  <c r="AJ58" i="2"/>
  <c r="AK41" i="2"/>
  <c r="AK53" i="2" s="1"/>
  <c r="AJ53" i="2"/>
  <c r="BK45" i="2"/>
  <c r="BJ57" i="2"/>
  <c r="BJ80" i="2" s="1"/>
  <c r="BK41" i="2"/>
  <c r="BJ53" i="2"/>
  <c r="BJ76" i="2" s="1"/>
  <c r="BE280" i="2"/>
  <c r="CD280" i="2" s="1"/>
  <c r="BE253" i="2"/>
  <c r="BE292" i="2" s="1"/>
  <c r="BE257" i="2"/>
  <c r="BE296" i="2" s="1"/>
  <c r="BE285" i="2"/>
  <c r="AE216" i="2"/>
  <c r="AE229" i="2" s="1"/>
  <c r="AE281" i="2" s="1"/>
  <c r="CC300" i="2"/>
  <c r="BE266" i="2"/>
  <c r="CC284" i="2"/>
  <c r="BE282" i="2"/>
  <c r="BE272" i="2"/>
  <c r="AD283" i="2"/>
  <c r="CD283" i="2" s="1"/>
  <c r="AD272" i="2"/>
  <c r="CC273" i="2"/>
  <c r="BE271" i="2"/>
  <c r="CC278" i="2"/>
  <c r="AD278" i="2"/>
  <c r="CD278" i="2" s="1"/>
  <c r="CC274" i="2"/>
  <c r="BE259" i="2"/>
  <c r="BE298" i="2" s="1"/>
  <c r="CD298" i="2" s="1"/>
  <c r="CD297" i="2"/>
  <c r="AD266" i="2"/>
  <c r="CC299" i="2"/>
  <c r="CC285" i="2"/>
  <c r="AD256" i="2"/>
  <c r="AD295" i="2" s="1"/>
  <c r="AD269" i="2"/>
  <c r="CD269" i="2" s="1"/>
  <c r="AD253" i="2"/>
  <c r="AD292" i="2" s="1"/>
  <c r="AD234" i="2"/>
  <c r="AE220" i="2"/>
  <c r="AE233" i="2" s="1"/>
  <c r="AE261" i="2" s="1"/>
  <c r="AE300" i="2" s="1"/>
  <c r="AD254" i="2"/>
  <c r="AD293" i="2" s="1"/>
  <c r="Y159" i="2"/>
  <c r="BY159" i="2" s="1"/>
  <c r="AD284" i="2"/>
  <c r="CD284" i="2" s="1"/>
  <c r="BE221" i="2"/>
  <c r="BE261" i="2"/>
  <c r="BE300" i="2" s="1"/>
  <c r="CD277" i="2"/>
  <c r="BF220" i="2"/>
  <c r="BF233" i="2" s="1"/>
  <c r="BF285" i="2" s="1"/>
  <c r="BF216" i="2"/>
  <c r="BF229" i="2" s="1"/>
  <c r="BF257" i="2" s="1"/>
  <c r="BF296" i="2" s="1"/>
  <c r="CC280" i="2"/>
  <c r="CC293" i="2"/>
  <c r="BE234" i="2"/>
  <c r="AD260" i="2"/>
  <c r="AD299" i="2" s="1"/>
  <c r="CD299" i="2" s="1"/>
  <c r="CD273" i="2"/>
  <c r="AE212" i="2"/>
  <c r="AE225" i="2" s="1"/>
  <c r="AE253" i="2" s="1"/>
  <c r="AE292" i="2" s="1"/>
  <c r="BD305" i="2"/>
  <c r="BF212" i="2"/>
  <c r="BF225" i="2" s="1"/>
  <c r="BF271" i="2"/>
  <c r="BF282" i="2"/>
  <c r="BF258" i="2"/>
  <c r="BF297" i="2" s="1"/>
  <c r="BG196" i="2"/>
  <c r="CI210" i="2"/>
  <c r="AB119" i="2"/>
  <c r="BB118" i="2"/>
  <c r="AA117" i="2"/>
  <c r="AA123" i="2"/>
  <c r="Z154" i="2"/>
  <c r="BA122" i="2"/>
  <c r="AB125" i="2"/>
  <c r="BC125" i="2" s="1"/>
  <c r="BB124" i="2"/>
  <c r="AG184" i="2"/>
  <c r="AG195" i="2" s="1"/>
  <c r="BH184" i="2"/>
  <c r="BH195" i="2" s="1"/>
  <c r="CH78" i="2"/>
  <c r="BI126" i="2"/>
  <c r="BI167" i="2" s="1"/>
  <c r="AH167" i="2"/>
  <c r="CH76" i="2"/>
  <c r="BI116" i="2"/>
  <c r="BI165" i="2" s="1"/>
  <c r="AH165" i="2"/>
  <c r="CH74" i="2"/>
  <c r="BI106" i="2"/>
  <c r="BI163" i="2" s="1"/>
  <c r="AH163" i="2"/>
  <c r="AG177" i="2"/>
  <c r="AG188" i="2" s="1"/>
  <c r="BH177" i="2"/>
  <c r="BH188" i="2" s="1"/>
  <c r="BK208" i="2"/>
  <c r="BK209" i="2" s="1"/>
  <c r="BK210" i="2" s="1"/>
  <c r="BK96" i="2"/>
  <c r="BI82" i="2"/>
  <c r="AD255" i="2"/>
  <c r="AD294" i="2" s="1"/>
  <c r="CD294" i="2" s="1"/>
  <c r="AD268" i="2"/>
  <c r="AD279" i="2"/>
  <c r="CD279" i="2" s="1"/>
  <c r="BH176" i="2"/>
  <c r="BH187" i="2" s="1"/>
  <c r="BH171" i="2"/>
  <c r="AG182" i="2"/>
  <c r="AG193" i="2" s="1"/>
  <c r="BH182" i="2"/>
  <c r="BH193" i="2" s="1"/>
  <c r="AI111" i="2"/>
  <c r="AJ91" i="2"/>
  <c r="AI75" i="2"/>
  <c r="AI136" i="2"/>
  <c r="AJ96" i="2"/>
  <c r="AI80" i="2"/>
  <c r="AI131" i="2"/>
  <c r="AJ95" i="2"/>
  <c r="AI79" i="2"/>
  <c r="AI121" i="2"/>
  <c r="AJ93" i="2"/>
  <c r="AI77" i="2"/>
  <c r="AK31" i="2"/>
  <c r="AJ66" i="2"/>
  <c r="AJ67" i="2"/>
  <c r="AJ69" i="2"/>
  <c r="AK206" i="2"/>
  <c r="CJ31" i="2"/>
  <c r="AJ68" i="2"/>
  <c r="AJ64" i="2"/>
  <c r="AJ65" i="2"/>
  <c r="AJ62" i="2"/>
  <c r="AJ63" i="2"/>
  <c r="AJ61" i="2"/>
  <c r="CH80" i="2"/>
  <c r="BI136" i="2"/>
  <c r="BI169" i="2" s="1"/>
  <c r="AH169" i="2"/>
  <c r="CH73" i="2"/>
  <c r="AH82" i="2"/>
  <c r="CH82" i="2" s="1"/>
  <c r="BI101" i="2"/>
  <c r="BI162" i="2" s="1"/>
  <c r="AH147" i="2"/>
  <c r="AH162" i="2"/>
  <c r="AA139" i="2"/>
  <c r="BA138" i="2"/>
  <c r="Z137" i="2"/>
  <c r="BY155" i="2"/>
  <c r="BY309" i="2" s="1"/>
  <c r="Y309" i="2"/>
  <c r="AG178" i="2"/>
  <c r="AG189" i="2" s="1"/>
  <c r="BH178" i="2"/>
  <c r="BH189" i="2" s="1"/>
  <c r="AA143" i="2"/>
  <c r="Z158" i="2"/>
  <c r="BA142" i="2"/>
  <c r="AB145" i="2"/>
  <c r="BC145" i="2" s="1"/>
  <c r="BB144" i="2"/>
  <c r="BY156" i="2"/>
  <c r="BY310" i="2" s="1"/>
  <c r="Y310" i="2"/>
  <c r="AG183" i="2"/>
  <c r="AG194" i="2" s="1"/>
  <c r="BH183" i="2"/>
  <c r="BH194" i="2" s="1"/>
  <c r="BD306" i="2"/>
  <c r="BD309" i="2"/>
  <c r="AE213" i="2"/>
  <c r="AE226" i="2" s="1"/>
  <c r="CC282" i="2"/>
  <c r="CC297" i="2"/>
  <c r="AD221" i="2"/>
  <c r="BC313" i="2"/>
  <c r="BD312" i="2"/>
  <c r="BD307" i="2"/>
  <c r="BF219" i="2"/>
  <c r="BF232" i="2" s="1"/>
  <c r="BF215" i="2"/>
  <c r="BF228" i="2" s="1"/>
  <c r="BE311" i="2"/>
  <c r="BF214" i="2"/>
  <c r="BF227" i="2" s="1"/>
  <c r="AE218" i="2"/>
  <c r="AE231" i="2" s="1"/>
  <c r="AE217" i="2"/>
  <c r="AE230" i="2" s="1"/>
  <c r="BZ153" i="2"/>
  <c r="BZ307" i="2" s="1"/>
  <c r="Z307" i="2"/>
  <c r="AG180" i="2"/>
  <c r="AG191" i="2" s="1"/>
  <c r="BH180" i="2"/>
  <c r="BH191" i="2" s="1"/>
  <c r="CH81" i="2"/>
  <c r="BI141" i="2"/>
  <c r="BI170" i="2" s="1"/>
  <c r="AH170" i="2"/>
  <c r="CH75" i="2"/>
  <c r="BI111" i="2"/>
  <c r="BI164" i="2" s="1"/>
  <c r="AH164" i="2"/>
  <c r="BK89" i="2"/>
  <c r="BJ73" i="2"/>
  <c r="BK97" i="2"/>
  <c r="BK66" i="2"/>
  <c r="BK64" i="2"/>
  <c r="BK69" i="2"/>
  <c r="BK67" i="2"/>
  <c r="BK68" i="2"/>
  <c r="BL31" i="2"/>
  <c r="BL206" i="2"/>
  <c r="BK65" i="2"/>
  <c r="BK61" i="2"/>
  <c r="BK62" i="2"/>
  <c r="BK63" i="2"/>
  <c r="AD261" i="2"/>
  <c r="AD300" i="2" s="1"/>
  <c r="AD274" i="2"/>
  <c r="CD274" i="2" s="1"/>
  <c r="AD285" i="2"/>
  <c r="AG176" i="2"/>
  <c r="AG187" i="2" s="1"/>
  <c r="AG171" i="2"/>
  <c r="AI101" i="2"/>
  <c r="AJ89" i="2"/>
  <c r="AI73" i="2"/>
  <c r="AI106" i="2"/>
  <c r="AJ90" i="2"/>
  <c r="AI74" i="2"/>
  <c r="AJ208" i="2"/>
  <c r="AJ209" i="2" s="1"/>
  <c r="AJ210" i="2" s="1"/>
  <c r="AI141" i="2"/>
  <c r="AJ97" i="2"/>
  <c r="AI81" i="2"/>
  <c r="AI126" i="2"/>
  <c r="AJ94" i="2"/>
  <c r="AI78" i="2"/>
  <c r="AI116" i="2"/>
  <c r="AJ92" i="2"/>
  <c r="AI76" i="2"/>
  <c r="CH79" i="2"/>
  <c r="BI131" i="2"/>
  <c r="BI168" i="2" s="1"/>
  <c r="AH168" i="2"/>
  <c r="CH77" i="2"/>
  <c r="BI121" i="2"/>
  <c r="BI166" i="2" s="1"/>
  <c r="AH166" i="2"/>
  <c r="BY157" i="2"/>
  <c r="BY311" i="2" s="1"/>
  <c r="Y311" i="2"/>
  <c r="BD266" i="2"/>
  <c r="BD277" i="2"/>
  <c r="CC277" i="2" s="1"/>
  <c r="BD253" i="2"/>
  <c r="BD292" i="2" s="1"/>
  <c r="CC292" i="2" s="1"/>
  <c r="BD234" i="2"/>
  <c r="AF196" i="2"/>
  <c r="AF220" i="2" s="1"/>
  <c r="AF233" i="2" s="1"/>
  <c r="AA129" i="2"/>
  <c r="BA128" i="2"/>
  <c r="Z127" i="2"/>
  <c r="AG181" i="2"/>
  <c r="AG192" i="2" s="1"/>
  <c r="BH181" i="2"/>
  <c r="BH192" i="2" s="1"/>
  <c r="AA150" i="2"/>
  <c r="AB103" i="2"/>
  <c r="BB102" i="2"/>
  <c r="AC105" i="2"/>
  <c r="BD105" i="2" s="1"/>
  <c r="BC104" i="2"/>
  <c r="AA134" i="2"/>
  <c r="BA133" i="2"/>
  <c r="Z132" i="2"/>
  <c r="AG179" i="2"/>
  <c r="AG190" i="2" s="1"/>
  <c r="BH179" i="2"/>
  <c r="BH190" i="2" s="1"/>
  <c r="BF213" i="2"/>
  <c r="BF226" i="2" s="1"/>
  <c r="CC271" i="2"/>
  <c r="BD311" i="2"/>
  <c r="CC268" i="2"/>
  <c r="AE219" i="2"/>
  <c r="AE232" i="2" s="1"/>
  <c r="AE215" i="2"/>
  <c r="AE228" i="2" s="1"/>
  <c r="AE214" i="2"/>
  <c r="AE227" i="2" s="1"/>
  <c r="BF218" i="2"/>
  <c r="BF231" i="2" s="1"/>
  <c r="CD268" i="2" l="1"/>
  <c r="CD296" i="2"/>
  <c r="BE305" i="2"/>
  <c r="AE270" i="2"/>
  <c r="BC109" i="2"/>
  <c r="AC110" i="2"/>
  <c r="BD110" i="2" s="1"/>
  <c r="AB108" i="2"/>
  <c r="BB107" i="2"/>
  <c r="AA151" i="2"/>
  <c r="CD282" i="2"/>
  <c r="AE277" i="2"/>
  <c r="BE306" i="2"/>
  <c r="CD293" i="2"/>
  <c r="CD292" i="2"/>
  <c r="BL95" i="2"/>
  <c r="AB113" i="2"/>
  <c r="BB112" i="2"/>
  <c r="AA152" i="2"/>
  <c r="BC114" i="2"/>
  <c r="AC115" i="2"/>
  <c r="BD115" i="2" s="1"/>
  <c r="BL93" i="2"/>
  <c r="AE257" i="2"/>
  <c r="AE296" i="2" s="1"/>
  <c r="BE307" i="2"/>
  <c r="CD271" i="2"/>
  <c r="BL90" i="2"/>
  <c r="BL91" i="2"/>
  <c r="BE308" i="2"/>
  <c r="BL92" i="2"/>
  <c r="CD295" i="2"/>
  <c r="BK51" i="2"/>
  <c r="BK74" i="2" s="1"/>
  <c r="BL39" i="2"/>
  <c r="BL51" i="2" s="1"/>
  <c r="BK55" i="2"/>
  <c r="BK78" i="2" s="1"/>
  <c r="BL43" i="2"/>
  <c r="BL55" i="2" s="1"/>
  <c r="BL41" i="2"/>
  <c r="BL53" i="2" s="1"/>
  <c r="BK53" i="2"/>
  <c r="BK76" i="2" s="1"/>
  <c r="BL40" i="2"/>
  <c r="BL52" i="2" s="1"/>
  <c r="BK52" i="2"/>
  <c r="BK75" i="2" s="1"/>
  <c r="CD272" i="2"/>
  <c r="BK56" i="2"/>
  <c r="BK79" i="2" s="1"/>
  <c r="BL44" i="2"/>
  <c r="BL56" i="2" s="1"/>
  <c r="BL94" i="2"/>
  <c r="BK57" i="2"/>
  <c r="BK80" i="2" s="1"/>
  <c r="BL45" i="2"/>
  <c r="BL57" i="2" s="1"/>
  <c r="BK54" i="2"/>
  <c r="BK77" i="2" s="1"/>
  <c r="BL42" i="2"/>
  <c r="BL54" i="2" s="1"/>
  <c r="BK58" i="2"/>
  <c r="BK81" i="2" s="1"/>
  <c r="BL46" i="2"/>
  <c r="BL58" i="2" s="1"/>
  <c r="BE304" i="2"/>
  <c r="CD285" i="2"/>
  <c r="AE285" i="2"/>
  <c r="CE285" i="2" s="1"/>
  <c r="BF281" i="2"/>
  <c r="CE281" i="2" s="1"/>
  <c r="BE312" i="2"/>
  <c r="CD266" i="2"/>
  <c r="AE266" i="2"/>
  <c r="BF270" i="2"/>
  <c r="BE309" i="2"/>
  <c r="BE310" i="2"/>
  <c r="CE296" i="2"/>
  <c r="BF261" i="2"/>
  <c r="BF300" i="2" s="1"/>
  <c r="CE300" i="2" s="1"/>
  <c r="CD300" i="2"/>
  <c r="Y313" i="2"/>
  <c r="BY313" i="2"/>
  <c r="BY322" i="2" s="1"/>
  <c r="BY326" i="2" s="1"/>
  <c r="AE274" i="2"/>
  <c r="BF274" i="2"/>
  <c r="AF212" i="2"/>
  <c r="AF225" i="2" s="1"/>
  <c r="AF253" i="2" s="1"/>
  <c r="AF292" i="2" s="1"/>
  <c r="AF261" i="2"/>
  <c r="AF300" i="2" s="1"/>
  <c r="AF274" i="2"/>
  <c r="AF285" i="2"/>
  <c r="CJ210" i="2"/>
  <c r="AG196" i="2"/>
  <c r="BH217" i="2" s="1"/>
  <c r="BH230" i="2" s="1"/>
  <c r="BH196" i="2"/>
  <c r="BF272" i="2"/>
  <c r="BF283" i="2"/>
  <c r="BF259" i="2"/>
  <c r="BF298" i="2" s="1"/>
  <c r="AB135" i="2"/>
  <c r="BC135" i="2" s="1"/>
  <c r="BB134" i="2"/>
  <c r="AE268" i="2"/>
  <c r="AE279" i="2"/>
  <c r="AE255" i="2"/>
  <c r="AE294" i="2" s="1"/>
  <c r="AE256" i="2"/>
  <c r="AE295" i="2" s="1"/>
  <c r="AE269" i="2"/>
  <c r="AE280" i="2"/>
  <c r="AE260" i="2"/>
  <c r="AE299" i="2" s="1"/>
  <c r="AE273" i="2"/>
  <c r="AE284" i="2"/>
  <c r="BF267" i="2"/>
  <c r="BF278" i="2"/>
  <c r="BF254" i="2"/>
  <c r="BF293" i="2" s="1"/>
  <c r="CA150" i="2"/>
  <c r="CA304" i="2" s="1"/>
  <c r="AA304" i="2"/>
  <c r="AH182" i="2"/>
  <c r="AH193" i="2" s="1"/>
  <c r="BI182" i="2"/>
  <c r="BI193" i="2" s="1"/>
  <c r="CI78" i="2"/>
  <c r="BJ126" i="2"/>
  <c r="BJ167" i="2" s="1"/>
  <c r="AI167" i="2"/>
  <c r="CI74" i="2"/>
  <c r="BJ106" i="2"/>
  <c r="BJ163" i="2" s="1"/>
  <c r="AI163" i="2"/>
  <c r="BL89" i="2"/>
  <c r="BK73" i="2"/>
  <c r="BL208" i="2"/>
  <c r="BL209" i="2" s="1"/>
  <c r="BL210" i="2" s="1"/>
  <c r="BL96" i="2"/>
  <c r="BL97" i="2"/>
  <c r="AH178" i="2"/>
  <c r="AH189" i="2" s="1"/>
  <c r="BI178" i="2"/>
  <c r="BI189" i="2" s="1"/>
  <c r="AE258" i="2"/>
  <c r="AE297" i="2" s="1"/>
  <c r="CE297" i="2" s="1"/>
  <c r="AE271" i="2"/>
  <c r="CE271" i="2" s="1"/>
  <c r="AE282" i="2"/>
  <c r="CE282" i="2" s="1"/>
  <c r="BF268" i="2"/>
  <c r="BF279" i="2"/>
  <c r="BF255" i="2"/>
  <c r="BF294" i="2" s="1"/>
  <c r="BF269" i="2"/>
  <c r="BF280" i="2"/>
  <c r="BF256" i="2"/>
  <c r="BF295" i="2" s="1"/>
  <c r="AE254" i="2"/>
  <c r="AE293" i="2" s="1"/>
  <c r="AE267" i="2"/>
  <c r="AE278" i="2"/>
  <c r="BZ158" i="2"/>
  <c r="BZ312" i="2" s="1"/>
  <c r="Z312" i="2"/>
  <c r="Z157" i="2"/>
  <c r="AA138" i="2"/>
  <c r="BA137" i="2"/>
  <c r="AB140" i="2"/>
  <c r="BC140" i="2" s="1"/>
  <c r="BB139" i="2"/>
  <c r="AH176" i="2"/>
  <c r="AH187" i="2" s="1"/>
  <c r="AH171" i="2"/>
  <c r="AJ101" i="2"/>
  <c r="AK89" i="2"/>
  <c r="AJ73" i="2"/>
  <c r="AJ106" i="2"/>
  <c r="AK90" i="2"/>
  <c r="AJ74" i="2"/>
  <c r="AJ116" i="2"/>
  <c r="AK92" i="2"/>
  <c r="AJ76" i="2"/>
  <c r="AJ141" i="2"/>
  <c r="AK97" i="2"/>
  <c r="AJ81" i="2"/>
  <c r="AJ126" i="2"/>
  <c r="AK94" i="2"/>
  <c r="AJ78" i="2"/>
  <c r="CI77" i="2"/>
  <c r="BJ121" i="2"/>
  <c r="BJ166" i="2" s="1"/>
  <c r="AI166" i="2"/>
  <c r="CI80" i="2"/>
  <c r="BJ136" i="2"/>
  <c r="BJ169" i="2" s="1"/>
  <c r="AI169" i="2"/>
  <c r="AH177" i="2"/>
  <c r="AH188" i="2" s="1"/>
  <c r="BI177" i="2"/>
  <c r="BI188" i="2" s="1"/>
  <c r="AH181" i="2"/>
  <c r="AH192" i="2" s="1"/>
  <c r="BI181" i="2"/>
  <c r="BI192" i="2" s="1"/>
  <c r="BZ154" i="2"/>
  <c r="BZ308" i="2" s="1"/>
  <c r="Z308" i="2"/>
  <c r="AB118" i="2"/>
  <c r="AA153" i="2"/>
  <c r="BB117" i="2"/>
  <c r="AC120" i="2"/>
  <c r="BD120" i="2" s="1"/>
  <c r="BC119" i="2"/>
  <c r="BG212" i="2"/>
  <c r="BG216" i="2"/>
  <c r="BG229" i="2" s="1"/>
  <c r="AF213" i="2"/>
  <c r="AF226" i="2" s="1"/>
  <c r="BG217" i="2"/>
  <c r="BG230" i="2" s="1"/>
  <c r="BG214" i="2"/>
  <c r="BG227" i="2" s="1"/>
  <c r="BG218" i="2"/>
  <c r="BG231" i="2" s="1"/>
  <c r="BG219" i="2"/>
  <c r="BG232" i="2" s="1"/>
  <c r="BG215" i="2"/>
  <c r="BG228" i="2" s="1"/>
  <c r="BG220" i="2"/>
  <c r="BG233" i="2" s="1"/>
  <c r="BF266" i="2"/>
  <c r="BF277" i="2"/>
  <c r="BF253" i="2"/>
  <c r="BF292" i="2" s="1"/>
  <c r="CE292" i="2" s="1"/>
  <c r="BF234" i="2"/>
  <c r="AA133" i="2"/>
  <c r="Z156" i="2"/>
  <c r="BA132" i="2"/>
  <c r="AC104" i="2"/>
  <c r="BC103" i="2"/>
  <c r="AB102" i="2"/>
  <c r="Z155" i="2"/>
  <c r="AA128" i="2"/>
  <c r="BA127" i="2"/>
  <c r="AB130" i="2"/>
  <c r="BC130" i="2" s="1"/>
  <c r="BB129" i="2"/>
  <c r="BD304" i="2"/>
  <c r="BD313" i="2" s="1"/>
  <c r="CC266" i="2"/>
  <c r="AH180" i="2"/>
  <c r="AH191" i="2" s="1"/>
  <c r="BI180" i="2"/>
  <c r="BI191" i="2" s="1"/>
  <c r="CI76" i="2"/>
  <c r="BJ116" i="2"/>
  <c r="BJ165" i="2" s="1"/>
  <c r="AI165" i="2"/>
  <c r="CI81" i="2"/>
  <c r="BJ141" i="2"/>
  <c r="BJ170" i="2" s="1"/>
  <c r="AI170" i="2"/>
  <c r="CI73" i="2"/>
  <c r="AI82" i="2"/>
  <c r="BJ101" i="2"/>
  <c r="BJ162" i="2" s="1"/>
  <c r="AI147" i="2"/>
  <c r="AI162" i="2"/>
  <c r="BL64" i="2"/>
  <c r="BL66" i="2"/>
  <c r="BL68" i="2"/>
  <c r="BL65" i="2"/>
  <c r="BL77" i="2" s="1"/>
  <c r="BL67" i="2"/>
  <c r="BL69" i="2"/>
  <c r="BL63" i="2"/>
  <c r="BL62" i="2"/>
  <c r="BL61" i="2"/>
  <c r="BL73" i="2" s="1"/>
  <c r="BJ82" i="2"/>
  <c r="AH184" i="2"/>
  <c r="AH195" i="2" s="1"/>
  <c r="BI184" i="2"/>
  <c r="BI195" i="2" s="1"/>
  <c r="AE272" i="2"/>
  <c r="AE283" i="2"/>
  <c r="AE259" i="2"/>
  <c r="AE298" i="2" s="1"/>
  <c r="BF273" i="2"/>
  <c r="BF284" i="2"/>
  <c r="BF260" i="2"/>
  <c r="BF299" i="2" s="1"/>
  <c r="AB144" i="2"/>
  <c r="BB143" i="2"/>
  <c r="AA142" i="2"/>
  <c r="BI176" i="2"/>
  <c r="BI187" i="2" s="1"/>
  <c r="BI171" i="2"/>
  <c r="AH183" i="2"/>
  <c r="AH194" i="2" s="1"/>
  <c r="BI183" i="2"/>
  <c r="BI194" i="2" s="1"/>
  <c r="AJ111" i="2"/>
  <c r="AK91" i="2"/>
  <c r="AJ75" i="2"/>
  <c r="AJ121" i="2"/>
  <c r="AK93" i="2"/>
  <c r="AJ77" i="2"/>
  <c r="AJ136" i="2"/>
  <c r="AK96" i="2"/>
  <c r="AJ80" i="2"/>
  <c r="AK208" i="2"/>
  <c r="AK209" i="2" s="1"/>
  <c r="AK210" i="2" s="1"/>
  <c r="AJ131" i="2"/>
  <c r="AK95" i="2"/>
  <c r="AJ79" i="2"/>
  <c r="AK64" i="2"/>
  <c r="AK65" i="2"/>
  <c r="AK66" i="2"/>
  <c r="AK67" i="2"/>
  <c r="AK68" i="2"/>
  <c r="AK69" i="2"/>
  <c r="CK31" i="2"/>
  <c r="AK62" i="2"/>
  <c r="AK63" i="2"/>
  <c r="AK61" i="2"/>
  <c r="CI79" i="2"/>
  <c r="BJ131" i="2"/>
  <c r="BJ168" i="2" s="1"/>
  <c r="AI168" i="2"/>
  <c r="CI75" i="2"/>
  <c r="BJ111" i="2"/>
  <c r="BJ164" i="2" s="1"/>
  <c r="AI164" i="2"/>
  <c r="AH179" i="2"/>
  <c r="AH190" i="2" s="1"/>
  <c r="BI179" i="2"/>
  <c r="BI190" i="2" s="1"/>
  <c r="AB124" i="2"/>
  <c r="BB123" i="2"/>
  <c r="AA122" i="2"/>
  <c r="BF221" i="2"/>
  <c r="AF216" i="2"/>
  <c r="AF229" i="2" s="1"/>
  <c r="BG213" i="2"/>
  <c r="BG226" i="2" s="1"/>
  <c r="AF217" i="2"/>
  <c r="AF230" i="2" s="1"/>
  <c r="AE234" i="2"/>
  <c r="AF214" i="2"/>
  <c r="AF227" i="2" s="1"/>
  <c r="AE221" i="2"/>
  <c r="AF218" i="2"/>
  <c r="AF231" i="2" s="1"/>
  <c r="AF219" i="2"/>
  <c r="AF232" i="2" s="1"/>
  <c r="AF215" i="2"/>
  <c r="AF228" i="2" s="1"/>
  <c r="BF309" i="2"/>
  <c r="CE270" i="2" l="1"/>
  <c r="AA305" i="2"/>
  <c r="CA151" i="2"/>
  <c r="CA305" i="2" s="1"/>
  <c r="AC109" i="2"/>
  <c r="BC108" i="2"/>
  <c r="AB107" i="2"/>
  <c r="BL74" i="2"/>
  <c r="CE277" i="2"/>
  <c r="BL78" i="2"/>
  <c r="CE267" i="2"/>
  <c r="CA152" i="2"/>
  <c r="CA306" i="2" s="1"/>
  <c r="AA306" i="2"/>
  <c r="BL81" i="2"/>
  <c r="AC114" i="2"/>
  <c r="BC113" i="2"/>
  <c r="AB112" i="2"/>
  <c r="BL80" i="2"/>
  <c r="CE278" i="2"/>
  <c r="BL76" i="2"/>
  <c r="BL75" i="2"/>
  <c r="CE293" i="2"/>
  <c r="BL79" i="2"/>
  <c r="BE313" i="2"/>
  <c r="BH214" i="2"/>
  <c r="BH227" i="2" s="1"/>
  <c r="BH268" i="2" s="1"/>
  <c r="AG216" i="2"/>
  <c r="AG229" i="2" s="1"/>
  <c r="AG257" i="2" s="1"/>
  <c r="AG296" i="2" s="1"/>
  <c r="Z159" i="2"/>
  <c r="BZ159" i="2" s="1"/>
  <c r="BH218" i="2"/>
  <c r="BH231" i="2" s="1"/>
  <c r="BH259" i="2" s="1"/>
  <c r="BH298" i="2" s="1"/>
  <c r="BF308" i="2"/>
  <c r="AG213" i="2"/>
  <c r="AG226" i="2" s="1"/>
  <c r="AG278" i="2" s="1"/>
  <c r="BH216" i="2"/>
  <c r="BH229" i="2" s="1"/>
  <c r="BH281" i="2" s="1"/>
  <c r="AG218" i="2"/>
  <c r="AG231" i="2" s="1"/>
  <c r="AG272" i="2" s="1"/>
  <c r="AG214" i="2"/>
  <c r="AG227" i="2" s="1"/>
  <c r="AG279" i="2" s="1"/>
  <c r="CE283" i="2"/>
  <c r="BH213" i="2"/>
  <c r="BH226" i="2" s="1"/>
  <c r="BH267" i="2" s="1"/>
  <c r="CE272" i="2"/>
  <c r="BH220" i="2"/>
  <c r="BH233" i="2" s="1"/>
  <c r="BH285" i="2" s="1"/>
  <c r="BF312" i="2"/>
  <c r="CE298" i="2"/>
  <c r="CE274" i="2"/>
  <c r="AF266" i="2"/>
  <c r="AG220" i="2"/>
  <c r="AG233" i="2" s="1"/>
  <c r="AG274" i="2" s="1"/>
  <c r="AG219" i="2"/>
  <c r="AG232" i="2" s="1"/>
  <c r="AG273" i="2" s="1"/>
  <c r="AF277" i="2"/>
  <c r="BH215" i="2"/>
  <c r="BH228" i="2" s="1"/>
  <c r="BH256" i="2" s="1"/>
  <c r="BH295" i="2" s="1"/>
  <c r="AG212" i="2"/>
  <c r="AG225" i="2" s="1"/>
  <c r="AG253" i="2" s="1"/>
  <c r="AG292" i="2" s="1"/>
  <c r="AG215" i="2"/>
  <c r="AG228" i="2" s="1"/>
  <c r="AG256" i="2" s="1"/>
  <c r="AG295" i="2" s="1"/>
  <c r="BH219" i="2"/>
  <c r="BH232" i="2" s="1"/>
  <c r="BH260" i="2" s="1"/>
  <c r="BH299" i="2" s="1"/>
  <c r="BH212" i="2"/>
  <c r="BH225" i="2" s="1"/>
  <c r="BH266" i="2" s="1"/>
  <c r="AG217" i="2"/>
  <c r="AG230" i="2" s="1"/>
  <c r="AG271" i="2" s="1"/>
  <c r="CK210" i="2"/>
  <c r="BH271" i="2"/>
  <c r="BH282" i="2"/>
  <c r="BH258" i="2"/>
  <c r="BH297" i="2" s="1"/>
  <c r="AF273" i="2"/>
  <c r="AF284" i="2"/>
  <c r="AF260" i="2"/>
  <c r="AF299" i="2" s="1"/>
  <c r="AF255" i="2"/>
  <c r="AF294" i="2" s="1"/>
  <c r="AF268" i="2"/>
  <c r="AF279" i="2"/>
  <c r="AA154" i="2"/>
  <c r="AB123" i="2"/>
  <c r="BB122" i="2"/>
  <c r="AC125" i="2"/>
  <c r="BD125" i="2" s="1"/>
  <c r="BC124" i="2"/>
  <c r="AF259" i="2"/>
  <c r="AF298" i="2" s="1"/>
  <c r="AF272" i="2"/>
  <c r="AF283" i="2"/>
  <c r="AF271" i="2"/>
  <c r="AF282" i="2"/>
  <c r="AF258" i="2"/>
  <c r="AF297" i="2" s="1"/>
  <c r="AI178" i="2"/>
  <c r="AI189" i="2" s="1"/>
  <c r="BJ178" i="2"/>
  <c r="BJ189" i="2" s="1"/>
  <c r="AK101" i="2"/>
  <c r="AL89" i="2"/>
  <c r="AK73" i="2"/>
  <c r="AK106" i="2"/>
  <c r="AL90" i="2"/>
  <c r="AK74" i="2"/>
  <c r="AK141" i="2"/>
  <c r="AL97" i="2"/>
  <c r="AK81" i="2"/>
  <c r="AK131" i="2"/>
  <c r="AL95" i="2"/>
  <c r="AK79" i="2"/>
  <c r="AK121" i="2"/>
  <c r="AL93" i="2"/>
  <c r="AK77" i="2"/>
  <c r="CJ79" i="2"/>
  <c r="BK131" i="2"/>
  <c r="BK168" i="2" s="1"/>
  <c r="AJ168" i="2"/>
  <c r="CJ77" i="2"/>
  <c r="BK121" i="2"/>
  <c r="BK166" i="2" s="1"/>
  <c r="AJ166" i="2"/>
  <c r="AI176" i="2"/>
  <c r="AI187" i="2" s="1"/>
  <c r="AI171" i="2"/>
  <c r="AI179" i="2"/>
  <c r="AI190" i="2" s="1"/>
  <c r="BJ179" i="2"/>
  <c r="BJ190" i="2" s="1"/>
  <c r="AB129" i="2"/>
  <c r="BB128" i="2"/>
  <c r="AA127" i="2"/>
  <c r="AB150" i="2"/>
  <c r="AC103" i="2"/>
  <c r="BC102" i="2"/>
  <c r="AD105" i="2"/>
  <c r="BE105" i="2" s="1"/>
  <c r="BD104" i="2"/>
  <c r="BZ156" i="2"/>
  <c r="BZ310" i="2" s="1"/>
  <c r="Z310" i="2"/>
  <c r="BG274" i="2"/>
  <c r="CF274" i="2" s="1"/>
  <c r="BG285" i="2"/>
  <c r="CF285" i="2" s="1"/>
  <c r="BG261" i="2"/>
  <c r="BG300" i="2" s="1"/>
  <c r="CF300" i="2" s="1"/>
  <c r="BG273" i="2"/>
  <c r="BG284" i="2"/>
  <c r="BG260" i="2"/>
  <c r="BG299" i="2" s="1"/>
  <c r="BG268" i="2"/>
  <c r="BG279" i="2"/>
  <c r="BG255" i="2"/>
  <c r="BG294" i="2" s="1"/>
  <c r="AF267" i="2"/>
  <c r="AF278" i="2"/>
  <c r="AF254" i="2"/>
  <c r="AF293" i="2" s="1"/>
  <c r="BG270" i="2"/>
  <c r="BG281" i="2"/>
  <c r="BG257" i="2"/>
  <c r="BG296" i="2" s="1"/>
  <c r="AC119" i="2"/>
  <c r="BC118" i="2"/>
  <c r="AB117" i="2"/>
  <c r="AI180" i="2"/>
  <c r="AI191" i="2" s="1"/>
  <c r="BJ180" i="2"/>
  <c r="BJ191" i="2" s="1"/>
  <c r="CJ81" i="2"/>
  <c r="BK141" i="2"/>
  <c r="BK170" i="2" s="1"/>
  <c r="AJ170" i="2"/>
  <c r="CJ74" i="2"/>
  <c r="BK106" i="2"/>
  <c r="BK163" i="2" s="1"/>
  <c r="AJ163" i="2"/>
  <c r="AB139" i="2"/>
  <c r="BB138" i="2"/>
  <c r="AA137" i="2"/>
  <c r="AI181" i="2"/>
  <c r="AI192" i="2" s="1"/>
  <c r="BJ181" i="2"/>
  <c r="BJ192" i="2" s="1"/>
  <c r="AF221" i="2"/>
  <c r="BF311" i="2"/>
  <c r="CI82" i="2"/>
  <c r="BF307" i="2"/>
  <c r="BF305" i="2"/>
  <c r="CE273" i="2"/>
  <c r="CE280" i="2"/>
  <c r="CE295" i="2"/>
  <c r="CE279" i="2"/>
  <c r="BF310" i="2"/>
  <c r="AF269" i="2"/>
  <c r="AF280" i="2"/>
  <c r="AF256" i="2"/>
  <c r="AF295" i="2" s="1"/>
  <c r="BG267" i="2"/>
  <c r="BG278" i="2"/>
  <c r="BG254" i="2"/>
  <c r="BG293" i="2" s="1"/>
  <c r="AF257" i="2"/>
  <c r="AF296" i="2" s="1"/>
  <c r="AF270" i="2"/>
  <c r="AF281" i="2"/>
  <c r="AI182" i="2"/>
  <c r="AI193" i="2" s="1"/>
  <c r="BJ182" i="2"/>
  <c r="BJ193" i="2" s="1"/>
  <c r="AK111" i="2"/>
  <c r="AL91" i="2"/>
  <c r="AK75" i="2"/>
  <c r="AK136" i="2"/>
  <c r="AL96" i="2"/>
  <c r="AK80" i="2"/>
  <c r="AK126" i="2"/>
  <c r="AL94" i="2"/>
  <c r="AK78" i="2"/>
  <c r="AK116" i="2"/>
  <c r="AL92" i="2"/>
  <c r="AK76" i="2"/>
  <c r="CJ80" i="2"/>
  <c r="BK136" i="2"/>
  <c r="BK169" i="2" s="1"/>
  <c r="AJ169" i="2"/>
  <c r="CJ75" i="2"/>
  <c r="BK111" i="2"/>
  <c r="BK164" i="2" s="1"/>
  <c r="AJ164" i="2"/>
  <c r="BI196" i="2"/>
  <c r="AA158" i="2"/>
  <c r="AB143" i="2"/>
  <c r="BB142" i="2"/>
  <c r="AC145" i="2"/>
  <c r="BD145" i="2" s="1"/>
  <c r="BC144" i="2"/>
  <c r="BJ176" i="2"/>
  <c r="BJ187" i="2" s="1"/>
  <c r="BJ171" i="2"/>
  <c r="AI184" i="2"/>
  <c r="AI195" i="2" s="1"/>
  <c r="BJ184" i="2"/>
  <c r="BJ195" i="2" s="1"/>
  <c r="BZ155" i="2"/>
  <c r="BZ309" i="2" s="1"/>
  <c r="Z309" i="2"/>
  <c r="AB134" i="2"/>
  <c r="BB133" i="2"/>
  <c r="AA132" i="2"/>
  <c r="BG269" i="2"/>
  <c r="BG280" i="2"/>
  <c r="BG256" i="2"/>
  <c r="BG295" i="2" s="1"/>
  <c r="BG272" i="2"/>
  <c r="BG283" i="2"/>
  <c r="BG259" i="2"/>
  <c r="BG298" i="2" s="1"/>
  <c r="BG271" i="2"/>
  <c r="BG282" i="2"/>
  <c r="BG258" i="2"/>
  <c r="BG297" i="2" s="1"/>
  <c r="BG221" i="2"/>
  <c r="BG225" i="2"/>
  <c r="CA153" i="2"/>
  <c r="CA307" i="2" s="1"/>
  <c r="AA307" i="2"/>
  <c r="AI183" i="2"/>
  <c r="AI194" i="2" s="1"/>
  <c r="BJ183" i="2"/>
  <c r="BJ194" i="2" s="1"/>
  <c r="CJ78" i="2"/>
  <c r="BK126" i="2"/>
  <c r="BK167" i="2" s="1"/>
  <c r="AJ167" i="2"/>
  <c r="CJ76" i="2"/>
  <c r="BK116" i="2"/>
  <c r="BK165" i="2" s="1"/>
  <c r="AJ165" i="2"/>
  <c r="AJ82" i="2"/>
  <c r="CJ73" i="2"/>
  <c r="AJ147" i="2"/>
  <c r="BK101" i="2"/>
  <c r="BK162" i="2" s="1"/>
  <c r="AJ162" i="2"/>
  <c r="AH196" i="2"/>
  <c r="AH219" i="2" s="1"/>
  <c r="AH232" i="2" s="1"/>
  <c r="BZ157" i="2"/>
  <c r="BZ311" i="2" s="1"/>
  <c r="Z311" i="2"/>
  <c r="BK82" i="2"/>
  <c r="AI177" i="2"/>
  <c r="AI188" i="2" s="1"/>
  <c r="BJ177" i="2"/>
  <c r="BJ188" i="2" s="1"/>
  <c r="BF304" i="2"/>
  <c r="CE266" i="2"/>
  <c r="BF306" i="2"/>
  <c r="CE284" i="2"/>
  <c r="CE299" i="2"/>
  <c r="CE269" i="2"/>
  <c r="CE294" i="2"/>
  <c r="CE268" i="2"/>
  <c r="AF234" i="2"/>
  <c r="AG283" i="2" l="1"/>
  <c r="BH283" i="2"/>
  <c r="AD110" i="2"/>
  <c r="BE110" i="2" s="1"/>
  <c r="BD109" i="2"/>
  <c r="BC107" i="2"/>
  <c r="AC108" i="2"/>
  <c r="AB151" i="2"/>
  <c r="AG270" i="2"/>
  <c r="BH272" i="2"/>
  <c r="AG259" i="2"/>
  <c r="AG298" i="2" s="1"/>
  <c r="CG298" i="2" s="1"/>
  <c r="AD115" i="2"/>
  <c r="BE115" i="2" s="1"/>
  <c r="BD114" i="2"/>
  <c r="AB152" i="2"/>
  <c r="BC112" i="2"/>
  <c r="AC113" i="2"/>
  <c r="BH279" i="2"/>
  <c r="CG279" i="2" s="1"/>
  <c r="AG268" i="2"/>
  <c r="CG268" i="2" s="1"/>
  <c r="BH284" i="2"/>
  <c r="AG254" i="2"/>
  <c r="AG293" i="2" s="1"/>
  <c r="BL82" i="2"/>
  <c r="BH261" i="2"/>
  <c r="BH300" i="2" s="1"/>
  <c r="BH269" i="2"/>
  <c r="BH253" i="2"/>
  <c r="BH292" i="2" s="1"/>
  <c r="BH274" i="2"/>
  <c r="CG274" i="2" s="1"/>
  <c r="AG255" i="2"/>
  <c r="AG294" i="2" s="1"/>
  <c r="BH280" i="2"/>
  <c r="BH255" i="2"/>
  <c r="BH294" i="2" s="1"/>
  <c r="BH277" i="2"/>
  <c r="AG281" i="2"/>
  <c r="CG281" i="2" s="1"/>
  <c r="BH278" i="2"/>
  <c r="AG260" i="2"/>
  <c r="AG299" i="2" s="1"/>
  <c r="CG299" i="2" s="1"/>
  <c r="BH270" i="2"/>
  <c r="BH254" i="2"/>
  <c r="BH293" i="2" s="1"/>
  <c r="AG267" i="2"/>
  <c r="CG267" i="2" s="1"/>
  <c r="BH257" i="2"/>
  <c r="BH296" i="2" s="1"/>
  <c r="CG296" i="2" s="1"/>
  <c r="AG280" i="2"/>
  <c r="Z313" i="2"/>
  <c r="AG284" i="2"/>
  <c r="AG269" i="2"/>
  <c r="BH273" i="2"/>
  <c r="CF270" i="2"/>
  <c r="AG234" i="2"/>
  <c r="BH221" i="2"/>
  <c r="AG285" i="2"/>
  <c r="CG285" i="2" s="1"/>
  <c r="AG266" i="2"/>
  <c r="CG266" i="2" s="1"/>
  <c r="AH214" i="2"/>
  <c r="AH227" i="2" s="1"/>
  <c r="AH279" i="2" s="1"/>
  <c r="AG282" i="2"/>
  <c r="CG282" i="2" s="1"/>
  <c r="AG277" i="2"/>
  <c r="AH218" i="2"/>
  <c r="AH231" i="2" s="1"/>
  <c r="AH259" i="2" s="1"/>
  <c r="AH298" i="2" s="1"/>
  <c r="AG261" i="2"/>
  <c r="AG300" i="2" s="1"/>
  <c r="CF281" i="2"/>
  <c r="AG221" i="2"/>
  <c r="AG258" i="2"/>
  <c r="AG297" i="2" s="1"/>
  <c r="CG297" i="2" s="1"/>
  <c r="CF296" i="2"/>
  <c r="BZ313" i="2"/>
  <c r="BZ322" i="2" s="1"/>
  <c r="BZ326" i="2" s="1"/>
  <c r="BH234" i="2"/>
  <c r="BI212" i="2"/>
  <c r="BI225" i="2" s="1"/>
  <c r="BI277" i="2" s="1"/>
  <c r="AH273" i="2"/>
  <c r="AH284" i="2"/>
  <c r="AH260" i="2"/>
  <c r="AH299" i="2" s="1"/>
  <c r="BJ196" i="2"/>
  <c r="AJ176" i="2"/>
  <c r="AJ187" i="2" s="1"/>
  <c r="AJ171" i="2"/>
  <c r="BK176" i="2"/>
  <c r="BK187" i="2" s="1"/>
  <c r="BK171" i="2"/>
  <c r="AJ181" i="2"/>
  <c r="AJ192" i="2" s="1"/>
  <c r="BK181" i="2"/>
  <c r="BK192" i="2" s="1"/>
  <c r="AA156" i="2"/>
  <c r="AB133" i="2"/>
  <c r="BB132" i="2"/>
  <c r="AC135" i="2"/>
  <c r="BD135" i="2" s="1"/>
  <c r="BC134" i="2"/>
  <c r="CA158" i="2"/>
  <c r="CA312" i="2" s="1"/>
  <c r="AA312" i="2"/>
  <c r="AJ183" i="2"/>
  <c r="AJ194" i="2" s="1"/>
  <c r="BK183" i="2"/>
  <c r="BK194" i="2" s="1"/>
  <c r="CK78" i="2"/>
  <c r="BL126" i="2"/>
  <c r="BL167" i="2" s="1"/>
  <c r="AK167" i="2"/>
  <c r="CK75" i="2"/>
  <c r="BL111" i="2"/>
  <c r="BL164" i="2" s="1"/>
  <c r="AK164" i="2"/>
  <c r="AB138" i="2"/>
  <c r="AA157" i="2"/>
  <c r="BB137" i="2"/>
  <c r="AC140" i="2"/>
  <c r="BD140" i="2" s="1"/>
  <c r="BC139" i="2"/>
  <c r="AJ184" i="2"/>
  <c r="AJ195" i="2" s="1"/>
  <c r="BK184" i="2"/>
  <c r="BK195" i="2" s="1"/>
  <c r="AD104" i="2"/>
  <c r="BD103" i="2"/>
  <c r="AC102" i="2"/>
  <c r="AB128" i="2"/>
  <c r="AA155" i="2"/>
  <c r="BB127" i="2"/>
  <c r="AC130" i="2"/>
  <c r="BD130" i="2" s="1"/>
  <c r="BC129" i="2"/>
  <c r="AJ182" i="2"/>
  <c r="AJ193" i="2" s="1"/>
  <c r="BK182" i="2"/>
  <c r="BK193" i="2" s="1"/>
  <c r="CK79" i="2"/>
  <c r="BL131" i="2"/>
  <c r="BL168" i="2" s="1"/>
  <c r="AK168" i="2"/>
  <c r="CK74" i="2"/>
  <c r="BL106" i="2"/>
  <c r="BL163" i="2" s="1"/>
  <c r="AK163" i="2"/>
  <c r="AC124" i="2"/>
  <c r="BC123" i="2"/>
  <c r="AB122" i="2"/>
  <c r="BF313" i="2"/>
  <c r="BI218" i="2"/>
  <c r="BI231" i="2" s="1"/>
  <c r="BI214" i="2"/>
  <c r="BI227" i="2" s="1"/>
  <c r="AH212" i="2"/>
  <c r="AH213" i="2"/>
  <c r="AH226" i="2" s="1"/>
  <c r="BI217" i="2"/>
  <c r="BI230" i="2" s="1"/>
  <c r="BG310" i="2"/>
  <c r="BI216" i="2"/>
  <c r="BI229" i="2" s="1"/>
  <c r="BI220" i="2"/>
  <c r="BI233" i="2" s="1"/>
  <c r="BG305" i="2"/>
  <c r="CF280" i="2"/>
  <c r="BG308" i="2"/>
  <c r="CF278" i="2"/>
  <c r="BG306" i="2"/>
  <c r="BG312" i="2"/>
  <c r="CF297" i="2"/>
  <c r="CF271" i="2"/>
  <c r="CF283" i="2"/>
  <c r="CF298" i="2"/>
  <c r="CF279" i="2"/>
  <c r="CF294" i="2"/>
  <c r="CF299" i="2"/>
  <c r="CF273" i="2"/>
  <c r="AH215" i="2"/>
  <c r="AH228" i="2" s="1"/>
  <c r="CG271" i="2"/>
  <c r="CG295" i="2"/>
  <c r="BI219" i="2"/>
  <c r="BI232" i="2" s="1"/>
  <c r="AJ179" i="2"/>
  <c r="AJ190" i="2" s="1"/>
  <c r="BK179" i="2"/>
  <c r="BK190" i="2" s="1"/>
  <c r="BG266" i="2"/>
  <c r="BG277" i="2"/>
  <c r="CF277" i="2" s="1"/>
  <c r="BG253" i="2"/>
  <c r="BG292" i="2" s="1"/>
  <c r="CF292" i="2" s="1"/>
  <c r="BG234" i="2"/>
  <c r="AC144" i="2"/>
  <c r="BC143" i="2"/>
  <c r="AB142" i="2"/>
  <c r="AJ178" i="2"/>
  <c r="AJ189" i="2" s="1"/>
  <c r="BK178" i="2"/>
  <c r="BK189" i="2" s="1"/>
  <c r="CK76" i="2"/>
  <c r="BL116" i="2"/>
  <c r="BL165" i="2" s="1"/>
  <c r="AK165" i="2"/>
  <c r="CK80" i="2"/>
  <c r="BL136" i="2"/>
  <c r="BL169" i="2" s="1"/>
  <c r="AK169" i="2"/>
  <c r="AJ177" i="2"/>
  <c r="AJ188" i="2" s="1"/>
  <c r="BK177" i="2"/>
  <c r="BK188" i="2" s="1"/>
  <c r="AB153" i="2"/>
  <c r="AC118" i="2"/>
  <c r="BC117" i="2"/>
  <c r="AD120" i="2"/>
  <c r="BE120" i="2" s="1"/>
  <c r="BD119" i="2"/>
  <c r="CB150" i="2"/>
  <c r="CB304" i="2" s="1"/>
  <c r="AB304" i="2"/>
  <c r="AI196" i="2"/>
  <c r="AI218" i="2" s="1"/>
  <c r="AI231" i="2" s="1"/>
  <c r="AJ180" i="2"/>
  <c r="AJ191" i="2" s="1"/>
  <c r="BK180" i="2"/>
  <c r="BK191" i="2" s="1"/>
  <c r="CK77" i="2"/>
  <c r="BL121" i="2"/>
  <c r="BL166" i="2" s="1"/>
  <c r="AK166" i="2"/>
  <c r="CK81" i="2"/>
  <c r="BL141" i="2"/>
  <c r="BL170" i="2" s="1"/>
  <c r="AK170" i="2"/>
  <c r="CK73" i="2"/>
  <c r="AK82" i="2"/>
  <c r="BL101" i="2"/>
  <c r="BL162" i="2" s="1"/>
  <c r="AK147" i="2"/>
  <c r="AK162" i="2"/>
  <c r="CA154" i="2"/>
  <c r="CA308" i="2" s="1"/>
  <c r="AA308" i="2"/>
  <c r="CJ82" i="2"/>
  <c r="BI213" i="2"/>
  <c r="BI226" i="2" s="1"/>
  <c r="AH217" i="2"/>
  <c r="AH230" i="2" s="1"/>
  <c r="BG309" i="2"/>
  <c r="BG307" i="2"/>
  <c r="AH216" i="2"/>
  <c r="AH229" i="2" s="1"/>
  <c r="AH220" i="2"/>
  <c r="AH233" i="2" s="1"/>
  <c r="CF295" i="2"/>
  <c r="CF269" i="2"/>
  <c r="CF293" i="2"/>
  <c r="CF267" i="2"/>
  <c r="BG311" i="2"/>
  <c r="CF282" i="2"/>
  <c r="CF272" i="2"/>
  <c r="CF268" i="2"/>
  <c r="CF284" i="2"/>
  <c r="BH309" i="2"/>
  <c r="BI215" i="2"/>
  <c r="BI228" i="2" s="1"/>
  <c r="CG283" i="2" l="1"/>
  <c r="CK82" i="2"/>
  <c r="CG270" i="2"/>
  <c r="BH312" i="2"/>
  <c r="BH310" i="2"/>
  <c r="AD109" i="2"/>
  <c r="AC107" i="2"/>
  <c r="BD108" i="2"/>
  <c r="CB151" i="2"/>
  <c r="CB305" i="2" s="1"/>
  <c r="AB305" i="2"/>
  <c r="BH306" i="2"/>
  <c r="CG277" i="2"/>
  <c r="CG272" i="2"/>
  <c r="BH304" i="2"/>
  <c r="CG293" i="2"/>
  <c r="AB306" i="2"/>
  <c r="CB152" i="2"/>
  <c r="CB306" i="2" s="1"/>
  <c r="AC112" i="2"/>
  <c r="BD113" i="2"/>
  <c r="AD114" i="2"/>
  <c r="CG284" i="2"/>
  <c r="CG294" i="2"/>
  <c r="BH305" i="2"/>
  <c r="BH307" i="2"/>
  <c r="CG278" i="2"/>
  <c r="BH311" i="2"/>
  <c r="CG273" i="2"/>
  <c r="CG280" i="2"/>
  <c r="CG269" i="2"/>
  <c r="CG292" i="2"/>
  <c r="CG300" i="2"/>
  <c r="BH308" i="2"/>
  <c r="AH272" i="2"/>
  <c r="AA159" i="2"/>
  <c r="CA159" i="2" s="1"/>
  <c r="AH283" i="2"/>
  <c r="BI266" i="2"/>
  <c r="BI253" i="2"/>
  <c r="BI292" i="2" s="1"/>
  <c r="AH268" i="2"/>
  <c r="AH255" i="2"/>
  <c r="AH294" i="2" s="1"/>
  <c r="BI221" i="2"/>
  <c r="BJ214" i="2"/>
  <c r="BJ227" i="2" s="1"/>
  <c r="BJ279" i="2" s="1"/>
  <c r="BJ212" i="2"/>
  <c r="BJ225" i="2" s="1"/>
  <c r="BJ277" i="2" s="1"/>
  <c r="AI259" i="2"/>
  <c r="AI298" i="2" s="1"/>
  <c r="AI272" i="2"/>
  <c r="AI283" i="2"/>
  <c r="BK196" i="2"/>
  <c r="BI269" i="2"/>
  <c r="BI280" i="2"/>
  <c r="BI256" i="2"/>
  <c r="BI295" i="2" s="1"/>
  <c r="AH257" i="2"/>
  <c r="AH296" i="2" s="1"/>
  <c r="AH270" i="2"/>
  <c r="AH281" i="2"/>
  <c r="BI267" i="2"/>
  <c r="BI278" i="2"/>
  <c r="BI254" i="2"/>
  <c r="BI293" i="2" s="1"/>
  <c r="BL171" i="2"/>
  <c r="BL176" i="2"/>
  <c r="BL187" i="2" s="1"/>
  <c r="AK184" i="2"/>
  <c r="AK195" i="2" s="1"/>
  <c r="BL184" i="2"/>
  <c r="BL195" i="2" s="1"/>
  <c r="AD119" i="2"/>
  <c r="BD118" i="2"/>
  <c r="AC117" i="2"/>
  <c r="BL183" i="2"/>
  <c r="BL194" i="2" s="1"/>
  <c r="AK179" i="2"/>
  <c r="AK190" i="2" s="1"/>
  <c r="BG304" i="2"/>
  <c r="BG313" i="2" s="1"/>
  <c r="CF266" i="2"/>
  <c r="BI273" i="2"/>
  <c r="CH273" i="2" s="1"/>
  <c r="BI284" i="2"/>
  <c r="CH284" i="2" s="1"/>
  <c r="BI260" i="2"/>
  <c r="BI299" i="2" s="1"/>
  <c r="CH299" i="2" s="1"/>
  <c r="BI270" i="2"/>
  <c r="BI281" i="2"/>
  <c r="BI257" i="2"/>
  <c r="BI296" i="2" s="1"/>
  <c r="BI271" i="2"/>
  <c r="BI282" i="2"/>
  <c r="BI258" i="2"/>
  <c r="BI297" i="2" s="1"/>
  <c r="AH221" i="2"/>
  <c r="AH225" i="2"/>
  <c r="BI272" i="2"/>
  <c r="BI283" i="2"/>
  <c r="BI259" i="2"/>
  <c r="BI298" i="2" s="1"/>
  <c r="CH298" i="2" s="1"/>
  <c r="AB154" i="2"/>
  <c r="AC123" i="2"/>
  <c r="BC122" i="2"/>
  <c r="AD125" i="2"/>
  <c r="BE125" i="2" s="1"/>
  <c r="BD124" i="2"/>
  <c r="BL177" i="2"/>
  <c r="BL188" i="2" s="1"/>
  <c r="AK182" i="2"/>
  <c r="AK193" i="2" s="1"/>
  <c r="BL182" i="2"/>
  <c r="BL193" i="2" s="1"/>
  <c r="AC129" i="2"/>
  <c r="BC128" i="2"/>
  <c r="AB127" i="2"/>
  <c r="AC139" i="2"/>
  <c r="BC138" i="2"/>
  <c r="AB137" i="2"/>
  <c r="AK181" i="2"/>
  <c r="AK192" i="2" s="1"/>
  <c r="AC134" i="2"/>
  <c r="BC133" i="2"/>
  <c r="AB132" i="2"/>
  <c r="AI214" i="2"/>
  <c r="AI227" i="2" s="1"/>
  <c r="AI212" i="2"/>
  <c r="BJ217" i="2"/>
  <c r="BJ230" i="2" s="1"/>
  <c r="BJ220" i="2"/>
  <c r="BJ233" i="2" s="1"/>
  <c r="BJ215" i="2"/>
  <c r="BJ228" i="2" s="1"/>
  <c r="BJ216" i="2"/>
  <c r="BJ229" i="2" s="1"/>
  <c r="BJ219" i="2"/>
  <c r="BJ232" i="2" s="1"/>
  <c r="BI234" i="2"/>
  <c r="BJ213" i="2"/>
  <c r="BJ226" i="2" s="1"/>
  <c r="BJ218" i="2"/>
  <c r="BJ231" i="2" s="1"/>
  <c r="AH261" i="2"/>
  <c r="AH300" i="2" s="1"/>
  <c r="AH274" i="2"/>
  <c r="AH285" i="2"/>
  <c r="AH271" i="2"/>
  <c r="AH282" i="2"/>
  <c r="AH258" i="2"/>
  <c r="AH297" i="2" s="1"/>
  <c r="AK176" i="2"/>
  <c r="AK187" i="2" s="1"/>
  <c r="AK171" i="2"/>
  <c r="AK180" i="2"/>
  <c r="AK191" i="2" s="1"/>
  <c r="BL180" i="2"/>
  <c r="BL191" i="2" s="1"/>
  <c r="CB153" i="2"/>
  <c r="CB307" i="2" s="1"/>
  <c r="AB307" i="2"/>
  <c r="AK183" i="2"/>
  <c r="AK194" i="2" s="1"/>
  <c r="BL179" i="2"/>
  <c r="BL190" i="2" s="1"/>
  <c r="AB158" i="2"/>
  <c r="AC143" i="2"/>
  <c r="BC142" i="2"/>
  <c r="AD145" i="2"/>
  <c r="BE145" i="2" s="1"/>
  <c r="BD144" i="2"/>
  <c r="AH269" i="2"/>
  <c r="AH280" i="2"/>
  <c r="AH256" i="2"/>
  <c r="AH295" i="2" s="1"/>
  <c r="BI274" i="2"/>
  <c r="BI285" i="2"/>
  <c r="BI261" i="2"/>
  <c r="BI300" i="2" s="1"/>
  <c r="AH267" i="2"/>
  <c r="AH278" i="2"/>
  <c r="AH254" i="2"/>
  <c r="AH293" i="2" s="1"/>
  <c r="BI268" i="2"/>
  <c r="BI279" i="2"/>
  <c r="CH279" i="2" s="1"/>
  <c r="BI255" i="2"/>
  <c r="BI294" i="2" s="1"/>
  <c r="AK177" i="2"/>
  <c r="AK188" i="2" s="1"/>
  <c r="CA155" i="2"/>
  <c r="CA309" i="2" s="1"/>
  <c r="AA309" i="2"/>
  <c r="AC150" i="2"/>
  <c r="AD103" i="2"/>
  <c r="BD102" i="2"/>
  <c r="AE105" i="2"/>
  <c r="BF105" i="2" s="1"/>
  <c r="BE104" i="2"/>
  <c r="CA157" i="2"/>
  <c r="CA311" i="2" s="1"/>
  <c r="AA311" i="2"/>
  <c r="AK178" i="2"/>
  <c r="AK189" i="2" s="1"/>
  <c r="BL178" i="2"/>
  <c r="BL189" i="2" s="1"/>
  <c r="BL181" i="2"/>
  <c r="BL192" i="2" s="1"/>
  <c r="CA156" i="2"/>
  <c r="CA310" i="2" s="1"/>
  <c r="AA310" i="2"/>
  <c r="AJ196" i="2"/>
  <c r="BK218" i="2" s="1"/>
  <c r="BK231" i="2" s="1"/>
  <c r="AI217" i="2"/>
  <c r="AI230" i="2" s="1"/>
  <c r="AI220" i="2"/>
  <c r="AI233" i="2" s="1"/>
  <c r="AI215" i="2"/>
  <c r="AI228" i="2" s="1"/>
  <c r="AI216" i="2"/>
  <c r="AI229" i="2" s="1"/>
  <c r="AI219" i="2"/>
  <c r="AI232" i="2" s="1"/>
  <c r="AI213" i="2"/>
  <c r="AI226" i="2" s="1"/>
  <c r="CH272" i="2" l="1"/>
  <c r="AC151" i="2"/>
  <c r="BD107" i="2"/>
  <c r="AD108" i="2"/>
  <c r="BE109" i="2"/>
  <c r="AE110" i="2"/>
  <c r="BF110" i="2" s="1"/>
  <c r="AC152" i="2"/>
  <c r="AD113" i="2"/>
  <c r="BD112" i="2"/>
  <c r="BH313" i="2"/>
  <c r="BE114" i="2"/>
  <c r="AE115" i="2"/>
  <c r="BF115" i="2" s="1"/>
  <c r="CH297" i="2"/>
  <c r="CH267" i="2"/>
  <c r="CH295" i="2"/>
  <c r="CH294" i="2"/>
  <c r="CH283" i="2"/>
  <c r="CH282" i="2"/>
  <c r="BI304" i="2"/>
  <c r="CH293" i="2"/>
  <c r="CH269" i="2"/>
  <c r="BJ268" i="2"/>
  <c r="BJ266" i="2"/>
  <c r="CH271" i="2"/>
  <c r="BJ221" i="2"/>
  <c r="BJ253" i="2"/>
  <c r="BJ292" i="2" s="1"/>
  <c r="CA313" i="2"/>
  <c r="CA322" i="2" s="1"/>
  <c r="CA326" i="2" s="1"/>
  <c r="BK212" i="2"/>
  <c r="BK225" i="2" s="1"/>
  <c r="BJ255" i="2"/>
  <c r="BJ294" i="2" s="1"/>
  <c r="AJ212" i="2"/>
  <c r="AJ225" i="2" s="1"/>
  <c r="AJ253" i="2" s="1"/>
  <c r="AJ292" i="2" s="1"/>
  <c r="BK217" i="2"/>
  <c r="BK230" i="2" s="1"/>
  <c r="BK271" i="2" s="1"/>
  <c r="AA313" i="2"/>
  <c r="BK213" i="2"/>
  <c r="BK226" i="2" s="1"/>
  <c r="BK267" i="2" s="1"/>
  <c r="CH300" i="2"/>
  <c r="CH281" i="2"/>
  <c r="AJ220" i="2"/>
  <c r="AJ233" i="2" s="1"/>
  <c r="AJ274" i="2" s="1"/>
  <c r="AJ216" i="2"/>
  <c r="AJ229" i="2" s="1"/>
  <c r="AJ257" i="2" s="1"/>
  <c r="AJ296" i="2" s="1"/>
  <c r="BK272" i="2"/>
  <c r="BK283" i="2"/>
  <c r="BK259" i="2"/>
  <c r="BK298" i="2" s="1"/>
  <c r="BL196" i="2"/>
  <c r="BJ274" i="2"/>
  <c r="BJ285" i="2"/>
  <c r="BJ261" i="2"/>
  <c r="BJ300" i="2" s="1"/>
  <c r="AD140" i="2"/>
  <c r="BE140" i="2" s="1"/>
  <c r="BD139" i="2"/>
  <c r="AI267" i="2"/>
  <c r="AI278" i="2"/>
  <c r="AI254" i="2"/>
  <c r="AI293" i="2" s="1"/>
  <c r="AI273" i="2"/>
  <c r="AI284" i="2"/>
  <c r="AI260" i="2"/>
  <c r="AI299" i="2" s="1"/>
  <c r="AI269" i="2"/>
  <c r="AI280" i="2"/>
  <c r="AI256" i="2"/>
  <c r="AI295" i="2" s="1"/>
  <c r="AI261" i="2"/>
  <c r="AI300" i="2" s="1"/>
  <c r="CI300" i="2" s="1"/>
  <c r="AI274" i="2"/>
  <c r="AI285" i="2"/>
  <c r="AI271" i="2"/>
  <c r="AI282" i="2"/>
  <c r="AI258" i="2"/>
  <c r="AI297" i="2" s="1"/>
  <c r="AE104" i="2"/>
  <c r="BE103" i="2"/>
  <c r="AD102" i="2"/>
  <c r="CB158" i="2"/>
  <c r="CB312" i="2" s="1"/>
  <c r="AB312" i="2"/>
  <c r="BJ278" i="2"/>
  <c r="BJ254" i="2"/>
  <c r="BJ293" i="2" s="1"/>
  <c r="BJ267" i="2"/>
  <c r="BJ273" i="2"/>
  <c r="BJ284" i="2"/>
  <c r="BJ260" i="2"/>
  <c r="BJ299" i="2" s="1"/>
  <c r="BJ269" i="2"/>
  <c r="BJ280" i="2"/>
  <c r="BJ256" i="2"/>
  <c r="BJ295" i="2" s="1"/>
  <c r="AI221" i="2"/>
  <c r="AI225" i="2"/>
  <c r="AI255" i="2"/>
  <c r="AI294" i="2" s="1"/>
  <c r="AI268" i="2"/>
  <c r="AI279" i="2"/>
  <c r="CI279" i="2" s="1"/>
  <c r="AB156" i="2"/>
  <c r="AC133" i="2"/>
  <c r="BC132" i="2"/>
  <c r="AD135" i="2"/>
  <c r="BE135" i="2" s="1"/>
  <c r="BD134" i="2"/>
  <c r="AB155" i="2"/>
  <c r="AC128" i="2"/>
  <c r="BC127" i="2"/>
  <c r="AD130" i="2"/>
  <c r="BE130" i="2" s="1"/>
  <c r="BD129" i="2"/>
  <c r="CB154" i="2"/>
  <c r="CB308" i="2" s="1"/>
  <c r="AB308" i="2"/>
  <c r="AH253" i="2"/>
  <c r="AH292" i="2" s="1"/>
  <c r="CH292" i="2" s="1"/>
  <c r="AH266" i="2"/>
  <c r="CH266" i="2" s="1"/>
  <c r="AH277" i="2"/>
  <c r="CH277" i="2" s="1"/>
  <c r="AH234" i="2"/>
  <c r="AD118" i="2"/>
  <c r="AC153" i="2"/>
  <c r="BD117" i="2"/>
  <c r="AE120" i="2"/>
  <c r="BF120" i="2" s="1"/>
  <c r="BE119" i="2"/>
  <c r="CH285" i="2"/>
  <c r="AJ217" i="2"/>
  <c r="AJ230" i="2" s="1"/>
  <c r="BK220" i="2"/>
  <c r="BK233" i="2" s="1"/>
  <c r="BI306" i="2"/>
  <c r="CH278" i="2"/>
  <c r="BI312" i="2"/>
  <c r="CH280" i="2"/>
  <c r="AJ213" i="2"/>
  <c r="AJ226" i="2" s="1"/>
  <c r="BK216" i="2"/>
  <c r="BK229" i="2" s="1"/>
  <c r="CH274" i="2"/>
  <c r="CH268" i="2"/>
  <c r="BI309" i="2"/>
  <c r="BI311" i="2"/>
  <c r="BI305" i="2"/>
  <c r="CH270" i="2"/>
  <c r="BI307" i="2"/>
  <c r="BK219" i="2"/>
  <c r="BK232" i="2" s="1"/>
  <c r="AJ215" i="2"/>
  <c r="AJ228" i="2" s="1"/>
  <c r="AJ214" i="2"/>
  <c r="AJ227" i="2" s="1"/>
  <c r="AJ218" i="2"/>
  <c r="AJ231" i="2" s="1"/>
  <c r="BJ234" i="2"/>
  <c r="AI257" i="2"/>
  <c r="AI296" i="2" s="1"/>
  <c r="AI270" i="2"/>
  <c r="AI281" i="2"/>
  <c r="CC150" i="2"/>
  <c r="CC304" i="2" s="1"/>
  <c r="AC304" i="2"/>
  <c r="AD144" i="2"/>
  <c r="BD143" i="2"/>
  <c r="AC142" i="2"/>
  <c r="AK196" i="2"/>
  <c r="AK213" i="2" s="1"/>
  <c r="AK226" i="2" s="1"/>
  <c r="BJ272" i="2"/>
  <c r="CI272" i="2" s="1"/>
  <c r="BJ283" i="2"/>
  <c r="CI283" i="2" s="1"/>
  <c r="BJ259" i="2"/>
  <c r="BJ298" i="2" s="1"/>
  <c r="CI298" i="2" s="1"/>
  <c r="BJ270" i="2"/>
  <c r="BJ281" i="2"/>
  <c r="BJ257" i="2"/>
  <c r="BJ296" i="2" s="1"/>
  <c r="BJ271" i="2"/>
  <c r="BJ282" i="2"/>
  <c r="BJ258" i="2"/>
  <c r="BJ297" i="2" s="1"/>
  <c r="AB157" i="2"/>
  <c r="AC138" i="2"/>
  <c r="BC137" i="2"/>
  <c r="AD124" i="2"/>
  <c r="BD123" i="2"/>
  <c r="AC122" i="2"/>
  <c r="BI310" i="2"/>
  <c r="BI308" i="2"/>
  <c r="CH296" i="2"/>
  <c r="AJ219" i="2"/>
  <c r="AJ232" i="2" s="1"/>
  <c r="BK215" i="2"/>
  <c r="BK228" i="2" s="1"/>
  <c r="BK214" i="2"/>
  <c r="BK227" i="2" s="1"/>
  <c r="AE109" i="2" l="1"/>
  <c r="BE108" i="2"/>
  <c r="AD107" i="2"/>
  <c r="CC151" i="2"/>
  <c r="CC305" i="2" s="1"/>
  <c r="AC305" i="2"/>
  <c r="AE114" i="2"/>
  <c r="BE113" i="2"/>
  <c r="AD112" i="2"/>
  <c r="CC152" i="2"/>
  <c r="CC306" i="2" s="1"/>
  <c r="AC306" i="2"/>
  <c r="BK258" i="2"/>
  <c r="BK297" i="2" s="1"/>
  <c r="BJ304" i="2"/>
  <c r="AJ266" i="2"/>
  <c r="BJ306" i="2"/>
  <c r="CI268" i="2"/>
  <c r="AJ270" i="2"/>
  <c r="CI294" i="2"/>
  <c r="BK282" i="2"/>
  <c r="AJ281" i="2"/>
  <c r="CI285" i="2"/>
  <c r="AJ277" i="2"/>
  <c r="BK254" i="2"/>
  <c r="BK293" i="2" s="1"/>
  <c r="BK278" i="2"/>
  <c r="BL220" i="2"/>
  <c r="BL233" i="2" s="1"/>
  <c r="BL261" i="2" s="1"/>
  <c r="BL300" i="2" s="1"/>
  <c r="AK220" i="2"/>
  <c r="AK233" i="2" s="1"/>
  <c r="AK285" i="2" s="1"/>
  <c r="AJ285" i="2"/>
  <c r="AK212" i="2"/>
  <c r="AK225" i="2" s="1"/>
  <c r="AK277" i="2" s="1"/>
  <c r="CI274" i="2"/>
  <c r="AJ261" i="2"/>
  <c r="AJ300" i="2" s="1"/>
  <c r="BI313" i="2"/>
  <c r="BL212" i="2"/>
  <c r="BL225" i="2" s="1"/>
  <c r="BL219" i="2"/>
  <c r="BL232" i="2" s="1"/>
  <c r="BL284" i="2" s="1"/>
  <c r="AB159" i="2"/>
  <c r="CB159" i="2" s="1"/>
  <c r="AK254" i="2"/>
  <c r="AK293" i="2" s="1"/>
  <c r="AK267" i="2"/>
  <c r="AK278" i="2"/>
  <c r="BK269" i="2"/>
  <c r="BK280" i="2"/>
  <c r="BK256" i="2"/>
  <c r="BK295" i="2" s="1"/>
  <c r="BK268" i="2"/>
  <c r="BK279" i="2"/>
  <c r="BK255" i="2"/>
  <c r="BK294" i="2" s="1"/>
  <c r="AJ260" i="2"/>
  <c r="AJ299" i="2" s="1"/>
  <c r="AJ273" i="2"/>
  <c r="AJ284" i="2"/>
  <c r="AD139" i="2"/>
  <c r="BD138" i="2"/>
  <c r="AC137" i="2"/>
  <c r="AC158" i="2"/>
  <c r="AD143" i="2"/>
  <c r="BD142" i="2"/>
  <c r="AE145" i="2"/>
  <c r="BF145" i="2" s="1"/>
  <c r="BE144" i="2"/>
  <c r="AJ268" i="2"/>
  <c r="AJ279" i="2"/>
  <c r="AJ255" i="2"/>
  <c r="AJ294" i="2" s="1"/>
  <c r="BK273" i="2"/>
  <c r="BK284" i="2"/>
  <c r="BK260" i="2"/>
  <c r="BK299" i="2" s="1"/>
  <c r="AJ254" i="2"/>
  <c r="AJ293" i="2" s="1"/>
  <c r="AJ267" i="2"/>
  <c r="CJ267" i="2" s="1"/>
  <c r="AJ278" i="2"/>
  <c r="AJ258" i="2"/>
  <c r="AJ297" i="2" s="1"/>
  <c r="AJ271" i="2"/>
  <c r="CJ271" i="2" s="1"/>
  <c r="AJ282" i="2"/>
  <c r="CC153" i="2"/>
  <c r="CC307" i="2" s="1"/>
  <c r="AC307" i="2"/>
  <c r="AD129" i="2"/>
  <c r="BD128" i="2"/>
  <c r="AC127" i="2"/>
  <c r="CB156" i="2"/>
  <c r="CB310" i="2" s="1"/>
  <c r="AB310" i="2"/>
  <c r="AI266" i="2"/>
  <c r="CI266" i="2" s="1"/>
  <c r="AI253" i="2"/>
  <c r="AI292" i="2" s="1"/>
  <c r="CI292" i="2" s="1"/>
  <c r="AI277" i="2"/>
  <c r="CI277" i="2" s="1"/>
  <c r="AI234" i="2"/>
  <c r="BJ309" i="2"/>
  <c r="BJ310" i="2"/>
  <c r="AK219" i="2"/>
  <c r="AK232" i="2" s="1"/>
  <c r="CI281" i="2"/>
  <c r="CI296" i="2"/>
  <c r="BJ307" i="2"/>
  <c r="BJ305" i="2"/>
  <c r="CI297" i="2"/>
  <c r="CI271" i="2"/>
  <c r="CI295" i="2"/>
  <c r="CI269" i="2"/>
  <c r="CI284" i="2"/>
  <c r="CI293" i="2"/>
  <c r="CI267" i="2"/>
  <c r="AK217" i="2"/>
  <c r="AK230" i="2" s="1"/>
  <c r="BJ312" i="2"/>
  <c r="AK216" i="2"/>
  <c r="AK229" i="2" s="1"/>
  <c r="BL218" i="2"/>
  <c r="BL231" i="2" s="1"/>
  <c r="AK214" i="2"/>
  <c r="AK227" i="2" s="1"/>
  <c r="BL215" i="2"/>
  <c r="BL228" i="2" s="1"/>
  <c r="BL213" i="2"/>
  <c r="BL226" i="2" s="1"/>
  <c r="BK310" i="2"/>
  <c r="AC154" i="2"/>
  <c r="AD123" i="2"/>
  <c r="BD122" i="2"/>
  <c r="AE125" i="2"/>
  <c r="BF125" i="2" s="1"/>
  <c r="BE124" i="2"/>
  <c r="CB157" i="2"/>
  <c r="CB311" i="2" s="1"/>
  <c r="AB311" i="2"/>
  <c r="AJ272" i="2"/>
  <c r="CJ272" i="2" s="1"/>
  <c r="AJ283" i="2"/>
  <c r="CJ283" i="2" s="1"/>
  <c r="AJ259" i="2"/>
  <c r="AJ298" i="2" s="1"/>
  <c r="CJ298" i="2" s="1"/>
  <c r="AJ256" i="2"/>
  <c r="AJ295" i="2" s="1"/>
  <c r="AJ269" i="2"/>
  <c r="AJ280" i="2"/>
  <c r="BK266" i="2"/>
  <c r="BK277" i="2"/>
  <c r="BK253" i="2"/>
  <c r="BK292" i="2" s="1"/>
  <c r="CJ292" i="2" s="1"/>
  <c r="BK234" i="2"/>
  <c r="BK270" i="2"/>
  <c r="BK281" i="2"/>
  <c r="BK257" i="2"/>
  <c r="BK296" i="2" s="1"/>
  <c r="CJ296" i="2" s="1"/>
  <c r="BK274" i="2"/>
  <c r="CJ274" i="2" s="1"/>
  <c r="BK285" i="2"/>
  <c r="BK261" i="2"/>
  <c r="BK300" i="2" s="1"/>
  <c r="AE119" i="2"/>
  <c r="BE118" i="2"/>
  <c r="AD117" i="2"/>
  <c r="CB155" i="2"/>
  <c r="CB309" i="2" s="1"/>
  <c r="AB309" i="2"/>
  <c r="AD134" i="2"/>
  <c r="BD133" i="2"/>
  <c r="AC132" i="2"/>
  <c r="AE103" i="2"/>
  <c r="AD150" i="2"/>
  <c r="BE102" i="2"/>
  <c r="AF105" i="2"/>
  <c r="BG105" i="2" s="1"/>
  <c r="BF104" i="2"/>
  <c r="BJ308" i="2"/>
  <c r="AJ234" i="2"/>
  <c r="CI270" i="2"/>
  <c r="AJ221" i="2"/>
  <c r="BK221" i="2"/>
  <c r="BJ311" i="2"/>
  <c r="CI282" i="2"/>
  <c r="CI280" i="2"/>
  <c r="CI299" i="2"/>
  <c r="CI273" i="2"/>
  <c r="CI278" i="2"/>
  <c r="BL217" i="2"/>
  <c r="BL230" i="2" s="1"/>
  <c r="BL216" i="2"/>
  <c r="BL229" i="2" s="1"/>
  <c r="AK218" i="2"/>
  <c r="AK231" i="2" s="1"/>
  <c r="BL214" i="2"/>
  <c r="BL227" i="2" s="1"/>
  <c r="AK215" i="2"/>
  <c r="AK228" i="2" s="1"/>
  <c r="CJ278" i="2" l="1"/>
  <c r="AD151" i="2"/>
  <c r="AE108" i="2"/>
  <c r="BE107" i="2"/>
  <c r="CJ270" i="2"/>
  <c r="AF110" i="2"/>
  <c r="BG110" i="2" s="1"/>
  <c r="BF109" i="2"/>
  <c r="CJ282" i="2"/>
  <c r="AE113" i="2"/>
  <c r="BE112" i="2"/>
  <c r="AD152" i="2"/>
  <c r="AF115" i="2"/>
  <c r="BG115" i="2" s="1"/>
  <c r="BF114" i="2"/>
  <c r="BK309" i="2"/>
  <c r="AK266" i="2"/>
  <c r="CJ297" i="2"/>
  <c r="BL274" i="2"/>
  <c r="AK274" i="2"/>
  <c r="CJ269" i="2"/>
  <c r="BL285" i="2"/>
  <c r="CJ266" i="2"/>
  <c r="BL273" i="2"/>
  <c r="BK305" i="2"/>
  <c r="CJ281" i="2"/>
  <c r="AK253" i="2"/>
  <c r="AK292" i="2" s="1"/>
  <c r="CJ300" i="2"/>
  <c r="CJ285" i="2"/>
  <c r="CJ293" i="2"/>
  <c r="CJ277" i="2"/>
  <c r="AB313" i="2"/>
  <c r="AK261" i="2"/>
  <c r="AK300" i="2" s="1"/>
  <c r="CK300" i="2" s="1"/>
  <c r="CJ280" i="2"/>
  <c r="CJ279" i="2"/>
  <c r="BL260" i="2"/>
  <c r="BL299" i="2" s="1"/>
  <c r="CB313" i="2"/>
  <c r="CB322" i="2" s="1"/>
  <c r="CB326" i="2" s="1"/>
  <c r="BK304" i="2"/>
  <c r="BJ313" i="2"/>
  <c r="AK256" i="2"/>
  <c r="AK295" i="2" s="1"/>
  <c r="AK269" i="2"/>
  <c r="AK280" i="2"/>
  <c r="BL270" i="2"/>
  <c r="BL281" i="2"/>
  <c r="BL257" i="2"/>
  <c r="BL296" i="2" s="1"/>
  <c r="AD153" i="2"/>
  <c r="AE118" i="2"/>
  <c r="BE117" i="2"/>
  <c r="AK268" i="2"/>
  <c r="AK279" i="2"/>
  <c r="AK255" i="2"/>
  <c r="AK294" i="2" s="1"/>
  <c r="AK258" i="2"/>
  <c r="AK297" i="2" s="1"/>
  <c r="AK271" i="2"/>
  <c r="AK282" i="2"/>
  <c r="AK260" i="2"/>
  <c r="AK299" i="2" s="1"/>
  <c r="AK273" i="2"/>
  <c r="AK284" i="2"/>
  <c r="CK284" i="2" s="1"/>
  <c r="BL234" i="2"/>
  <c r="BL266" i="2"/>
  <c r="BL277" i="2"/>
  <c r="CK277" i="2" s="1"/>
  <c r="BL253" i="2"/>
  <c r="BL292" i="2" s="1"/>
  <c r="AK272" i="2"/>
  <c r="AK283" i="2"/>
  <c r="AK259" i="2"/>
  <c r="AK298" i="2" s="1"/>
  <c r="BL282" i="2"/>
  <c r="BL258" i="2"/>
  <c r="BL297" i="2" s="1"/>
  <c r="BL271" i="2"/>
  <c r="CD150" i="2"/>
  <c r="CD304" i="2" s="1"/>
  <c r="AD304" i="2"/>
  <c r="AC156" i="2"/>
  <c r="AD133" i="2"/>
  <c r="BD132" i="2"/>
  <c r="AE135" i="2"/>
  <c r="BF135" i="2" s="1"/>
  <c r="BE134" i="2"/>
  <c r="CC154" i="2"/>
  <c r="CC308" i="2" s="1"/>
  <c r="AC308" i="2"/>
  <c r="BL278" i="2"/>
  <c r="CK278" i="2" s="1"/>
  <c r="BL254" i="2"/>
  <c r="BL293" i="2" s="1"/>
  <c r="CK293" i="2" s="1"/>
  <c r="BL267" i="2"/>
  <c r="BL280" i="2"/>
  <c r="BL256" i="2"/>
  <c r="BL295" i="2" s="1"/>
  <c r="BL269" i="2"/>
  <c r="BL272" i="2"/>
  <c r="BL283" i="2"/>
  <c r="BL259" i="2"/>
  <c r="BL298" i="2" s="1"/>
  <c r="AD128" i="2"/>
  <c r="AC155" i="2"/>
  <c r="BD127" i="2"/>
  <c r="AE130" i="2"/>
  <c r="BF130" i="2" s="1"/>
  <c r="BE129" i="2"/>
  <c r="AE144" i="2"/>
  <c r="BE143" i="2"/>
  <c r="AD142" i="2"/>
  <c r="AD138" i="2"/>
  <c r="AC157" i="2"/>
  <c r="BD137" i="2"/>
  <c r="AE140" i="2"/>
  <c r="BF140" i="2" s="1"/>
  <c r="BE139" i="2"/>
  <c r="BK308" i="2"/>
  <c r="BK312" i="2"/>
  <c r="CJ295" i="2"/>
  <c r="AK234" i="2"/>
  <c r="AK221" i="2"/>
  <c r="CJ294" i="2"/>
  <c r="CJ268" i="2"/>
  <c r="CJ284" i="2"/>
  <c r="CJ299" i="2"/>
  <c r="BL268" i="2"/>
  <c r="BL279" i="2"/>
  <c r="BL255" i="2"/>
  <c r="BL294" i="2" s="1"/>
  <c r="AF104" i="2"/>
  <c r="BF103" i="2"/>
  <c r="AE102" i="2"/>
  <c r="AF120" i="2"/>
  <c r="BG120" i="2" s="1"/>
  <c r="BF119" i="2"/>
  <c r="AE124" i="2"/>
  <c r="BE123" i="2"/>
  <c r="AD122" i="2"/>
  <c r="AK270" i="2"/>
  <c r="AK281" i="2"/>
  <c r="AK257" i="2"/>
  <c r="AK296" i="2" s="1"/>
  <c r="CC158" i="2"/>
  <c r="CC312" i="2" s="1"/>
  <c r="AC312" i="2"/>
  <c r="BL221" i="2"/>
  <c r="BK311" i="2"/>
  <c r="CJ273" i="2"/>
  <c r="BK306" i="2"/>
  <c r="BK307" i="2"/>
  <c r="AF109" i="2" l="1"/>
  <c r="BF108" i="2"/>
  <c r="AE107" i="2"/>
  <c r="CD151" i="2"/>
  <c r="CD305" i="2" s="1"/>
  <c r="AD305" i="2"/>
  <c r="CK281" i="2"/>
  <c r="AD306" i="2"/>
  <c r="CD152" i="2"/>
  <c r="CD306" i="2" s="1"/>
  <c r="AE112" i="2"/>
  <c r="AF114" i="2"/>
  <c r="BF113" i="2"/>
  <c r="BL312" i="2"/>
  <c r="CK270" i="2"/>
  <c r="BL311" i="2"/>
  <c r="CK274" i="2"/>
  <c r="CK273" i="2"/>
  <c r="CK299" i="2"/>
  <c r="CK285" i="2"/>
  <c r="CK292" i="2"/>
  <c r="CK296" i="2"/>
  <c r="BK313" i="2"/>
  <c r="BL306" i="2"/>
  <c r="BL310" i="2"/>
  <c r="BL305" i="2"/>
  <c r="BL309" i="2"/>
  <c r="CK283" i="2"/>
  <c r="CK280" i="2"/>
  <c r="AE123" i="2"/>
  <c r="AD154" i="2"/>
  <c r="BE122" i="2"/>
  <c r="AF125" i="2"/>
  <c r="BG125" i="2" s="1"/>
  <c r="BF124" i="2"/>
  <c r="AE143" i="2"/>
  <c r="AD158" i="2"/>
  <c r="BE142" i="2"/>
  <c r="AF145" i="2"/>
  <c r="BG145" i="2" s="1"/>
  <c r="BF144" i="2"/>
  <c r="CC155" i="2"/>
  <c r="CC309" i="2" s="1"/>
  <c r="AC309" i="2"/>
  <c r="CC156" i="2"/>
  <c r="CC310" i="2" s="1"/>
  <c r="AC310" i="2"/>
  <c r="CD153" i="2"/>
  <c r="CD307" i="2" s="1"/>
  <c r="AD307" i="2"/>
  <c r="AE150" i="2"/>
  <c r="AF103" i="2"/>
  <c r="BF102" i="2"/>
  <c r="AG105" i="2"/>
  <c r="BH105" i="2" s="1"/>
  <c r="BG104" i="2"/>
  <c r="AE139" i="2"/>
  <c r="BE138" i="2"/>
  <c r="AD137" i="2"/>
  <c r="AE129" i="2"/>
  <c r="BE128" i="2"/>
  <c r="AD127" i="2"/>
  <c r="AE134" i="2"/>
  <c r="BE133" i="2"/>
  <c r="AD132" i="2"/>
  <c r="AF119" i="2"/>
  <c r="BF118" i="2"/>
  <c r="AE117" i="2"/>
  <c r="BL304" i="2"/>
  <c r="CK271" i="2"/>
  <c r="CK268" i="2"/>
  <c r="CK295" i="2"/>
  <c r="CK267" i="2"/>
  <c r="CK266" i="2"/>
  <c r="BL307" i="2"/>
  <c r="AC159" i="2"/>
  <c r="CC159" i="2" s="1"/>
  <c r="CK298" i="2"/>
  <c r="CK272" i="2"/>
  <c r="CK282" i="2"/>
  <c r="CK297" i="2"/>
  <c r="CK279" i="2"/>
  <c r="BL308" i="2"/>
  <c r="CK269" i="2"/>
  <c r="CC157" i="2"/>
  <c r="CC311" i="2" s="1"/>
  <c r="AC311" i="2"/>
  <c r="CK294" i="2"/>
  <c r="AE151" i="2" l="1"/>
  <c r="BF107" i="2"/>
  <c r="AF108" i="2"/>
  <c r="AG110" i="2"/>
  <c r="BH110" i="2" s="1"/>
  <c r="BG109" i="2"/>
  <c r="CC313" i="2"/>
  <c r="CC322" i="2" s="1"/>
  <c r="CC326" i="2" s="1"/>
  <c r="BG114" i="2"/>
  <c r="AG115" i="2"/>
  <c r="BH115" i="2" s="1"/>
  <c r="BF112" i="2"/>
  <c r="AE152" i="2"/>
  <c r="AF113" i="2"/>
  <c r="AC313" i="2"/>
  <c r="AD155" i="2"/>
  <c r="AE128" i="2"/>
  <c r="BE127" i="2"/>
  <c r="AF130" i="2"/>
  <c r="BG130" i="2" s="1"/>
  <c r="BF129" i="2"/>
  <c r="CE150" i="2"/>
  <c r="CE304" i="2" s="1"/>
  <c r="AE304" i="2"/>
  <c r="AF144" i="2"/>
  <c r="BF143" i="2"/>
  <c r="AE142" i="2"/>
  <c r="CD154" i="2"/>
  <c r="CD308" i="2" s="1"/>
  <c r="AD308" i="2"/>
  <c r="BL313" i="2"/>
  <c r="AF118" i="2"/>
  <c r="AE153" i="2"/>
  <c r="BF117" i="2"/>
  <c r="AG120" i="2"/>
  <c r="BH120" i="2" s="1"/>
  <c r="BG119" i="2"/>
  <c r="AE133" i="2"/>
  <c r="AD156" i="2"/>
  <c r="BE132" i="2"/>
  <c r="AF135" i="2"/>
  <c r="BG135" i="2" s="1"/>
  <c r="BF134" i="2"/>
  <c r="AD157" i="2"/>
  <c r="AE138" i="2"/>
  <c r="BE137" i="2"/>
  <c r="AF140" i="2"/>
  <c r="BG140" i="2" s="1"/>
  <c r="BF139" i="2"/>
  <c r="AG104" i="2"/>
  <c r="BG103" i="2"/>
  <c r="AF102" i="2"/>
  <c r="CD158" i="2"/>
  <c r="CD312" i="2" s="1"/>
  <c r="AD312" i="2"/>
  <c r="AF124" i="2"/>
  <c r="BF123" i="2"/>
  <c r="AE122" i="2"/>
  <c r="BG108" i="2" l="1"/>
  <c r="AF107" i="2"/>
  <c r="AG109" i="2"/>
  <c r="AE305" i="2"/>
  <c r="CE151" i="2"/>
  <c r="CE305" i="2" s="1"/>
  <c r="CE152" i="2"/>
  <c r="CE306" i="2" s="1"/>
  <c r="AE306" i="2"/>
  <c r="AG114" i="2"/>
  <c r="AF112" i="2"/>
  <c r="BG113" i="2"/>
  <c r="AE154" i="2"/>
  <c r="AF123" i="2"/>
  <c r="BF122" i="2"/>
  <c r="AG125" i="2"/>
  <c r="BH125" i="2" s="1"/>
  <c r="BG124" i="2"/>
  <c r="AG103" i="2"/>
  <c r="AF150" i="2"/>
  <c r="BG102" i="2"/>
  <c r="AH105" i="2"/>
  <c r="BI105" i="2" s="1"/>
  <c r="BH104" i="2"/>
  <c r="AF139" i="2"/>
  <c r="BF138" i="2"/>
  <c r="AE137" i="2"/>
  <c r="AF134" i="2"/>
  <c r="BF133" i="2"/>
  <c r="AE132" i="2"/>
  <c r="CE153" i="2"/>
  <c r="CE307" i="2" s="1"/>
  <c r="AE307" i="2"/>
  <c r="AE158" i="2"/>
  <c r="AF143" i="2"/>
  <c r="BF142" i="2"/>
  <c r="AG145" i="2"/>
  <c r="BH145" i="2" s="1"/>
  <c r="BG144" i="2"/>
  <c r="CD155" i="2"/>
  <c r="CD309" i="2" s="1"/>
  <c r="AD309" i="2"/>
  <c r="CD157" i="2"/>
  <c r="CD311" i="2" s="1"/>
  <c r="AD311" i="2"/>
  <c r="CD156" i="2"/>
  <c r="CD310" i="2" s="1"/>
  <c r="AD310" i="2"/>
  <c r="AG119" i="2"/>
  <c r="BG118" i="2"/>
  <c r="AF117" i="2"/>
  <c r="AF129" i="2"/>
  <c r="BF128" i="2"/>
  <c r="AE127" i="2"/>
  <c r="AD159" i="2"/>
  <c r="CD159" i="2" s="1"/>
  <c r="AF151" i="2" l="1"/>
  <c r="AG108" i="2"/>
  <c r="BG107" i="2"/>
  <c r="BH109" i="2"/>
  <c r="AH110" i="2"/>
  <c r="BI110" i="2" s="1"/>
  <c r="AH115" i="2"/>
  <c r="BI115" i="2" s="1"/>
  <c r="BH114" i="2"/>
  <c r="BG112" i="2"/>
  <c r="AF152" i="2"/>
  <c r="AG113" i="2"/>
  <c r="AD313" i="2"/>
  <c r="CD313" i="2"/>
  <c r="CD322" i="2" s="1"/>
  <c r="CD326" i="2" s="1"/>
  <c r="AF153" i="2"/>
  <c r="AG118" i="2"/>
  <c r="BG117" i="2"/>
  <c r="AH120" i="2"/>
  <c r="BI120" i="2" s="1"/>
  <c r="BH119" i="2"/>
  <c r="AG144" i="2"/>
  <c r="BG143" i="2"/>
  <c r="AF142" i="2"/>
  <c r="AE156" i="2"/>
  <c r="AF133" i="2"/>
  <c r="BF132" i="2"/>
  <c r="AG135" i="2"/>
  <c r="BH135" i="2" s="1"/>
  <c r="BG134" i="2"/>
  <c r="AH104" i="2"/>
  <c r="BH103" i="2"/>
  <c r="AG102" i="2"/>
  <c r="AG124" i="2"/>
  <c r="BG123" i="2"/>
  <c r="AF122" i="2"/>
  <c r="AF128" i="2"/>
  <c r="AE155" i="2"/>
  <c r="BF127" i="2"/>
  <c r="AG130" i="2"/>
  <c r="BH130" i="2" s="1"/>
  <c r="BG129" i="2"/>
  <c r="CE158" i="2"/>
  <c r="CE312" i="2" s="1"/>
  <c r="AE312" i="2"/>
  <c r="AF138" i="2"/>
  <c r="AE157" i="2"/>
  <c r="BF137" i="2"/>
  <c r="AG140" i="2"/>
  <c r="BH140" i="2" s="1"/>
  <c r="BG139" i="2"/>
  <c r="CF150" i="2"/>
  <c r="CF304" i="2" s="1"/>
  <c r="AF304" i="2"/>
  <c r="CE154" i="2"/>
  <c r="CE308" i="2" s="1"/>
  <c r="AE308" i="2"/>
  <c r="BH108" i="2" l="1"/>
  <c r="AG107" i="2"/>
  <c r="AH109" i="2"/>
  <c r="CF151" i="2"/>
  <c r="CF305" i="2" s="1"/>
  <c r="AF305" i="2"/>
  <c r="AF306" i="2"/>
  <c r="CF152" i="2"/>
  <c r="CF306" i="2" s="1"/>
  <c r="BH113" i="2"/>
  <c r="AG112" i="2"/>
  <c r="AH114" i="2"/>
  <c r="CE157" i="2"/>
  <c r="CE311" i="2" s="1"/>
  <c r="AE311" i="2"/>
  <c r="CE155" i="2"/>
  <c r="CE309" i="2" s="1"/>
  <c r="AE309" i="2"/>
  <c r="AE159" i="2"/>
  <c r="CE159" i="2" s="1"/>
  <c r="AG123" i="2"/>
  <c r="AF154" i="2"/>
  <c r="BG122" i="2"/>
  <c r="AH125" i="2"/>
  <c r="BI125" i="2" s="1"/>
  <c r="BH124" i="2"/>
  <c r="CE156" i="2"/>
  <c r="CE310" i="2" s="1"/>
  <c r="AE310" i="2"/>
  <c r="AH119" i="2"/>
  <c r="BH118" i="2"/>
  <c r="AG117" i="2"/>
  <c r="AG139" i="2"/>
  <c r="BG138" i="2"/>
  <c r="AF137" i="2"/>
  <c r="AG129" i="2"/>
  <c r="BG128" i="2"/>
  <c r="AF127" i="2"/>
  <c r="AG150" i="2"/>
  <c r="AH103" i="2"/>
  <c r="BH102" i="2"/>
  <c r="AI105" i="2"/>
  <c r="BJ105" i="2" s="1"/>
  <c r="BI104" i="2"/>
  <c r="AG134" i="2"/>
  <c r="BG133" i="2"/>
  <c r="AF132" i="2"/>
  <c r="AG143" i="2"/>
  <c r="AF158" i="2"/>
  <c r="BG142" i="2"/>
  <c r="AH145" i="2"/>
  <c r="BI145" i="2" s="1"/>
  <c r="BH144" i="2"/>
  <c r="CF153" i="2"/>
  <c r="CF307" i="2" s="1"/>
  <c r="AF307" i="2"/>
  <c r="AH108" i="2" l="1"/>
  <c r="AG151" i="2"/>
  <c r="BH107" i="2"/>
  <c r="AI110" i="2"/>
  <c r="BJ110" i="2" s="1"/>
  <c r="BI109" i="2"/>
  <c r="AG152" i="2"/>
  <c r="AH113" i="2"/>
  <c r="BH112" i="2"/>
  <c r="AI115" i="2"/>
  <c r="BJ115" i="2" s="1"/>
  <c r="BI114" i="2"/>
  <c r="CE313" i="2"/>
  <c r="CE322" i="2" s="1"/>
  <c r="CE326" i="2" s="1"/>
  <c r="AE313" i="2"/>
  <c r="AH144" i="2"/>
  <c r="BH143" i="2"/>
  <c r="AG142" i="2"/>
  <c r="CG150" i="2"/>
  <c r="CG304" i="2" s="1"/>
  <c r="AG304" i="2"/>
  <c r="AH118" i="2"/>
  <c r="AG153" i="2"/>
  <c r="BH117" i="2"/>
  <c r="AI120" i="2"/>
  <c r="BJ120" i="2" s="1"/>
  <c r="BI119" i="2"/>
  <c r="AH124" i="2"/>
  <c r="BH123" i="2"/>
  <c r="AG122" i="2"/>
  <c r="CF158" i="2"/>
  <c r="CF312" i="2" s="1"/>
  <c r="AF312" i="2"/>
  <c r="AG133" i="2"/>
  <c r="AF156" i="2"/>
  <c r="BG132" i="2"/>
  <c r="AH135" i="2"/>
  <c r="BI135" i="2" s="1"/>
  <c r="BH134" i="2"/>
  <c r="AI104" i="2"/>
  <c r="BI103" i="2"/>
  <c r="AH102" i="2"/>
  <c r="AF155" i="2"/>
  <c r="AG128" i="2"/>
  <c r="BG127" i="2"/>
  <c r="AH130" i="2"/>
  <c r="BI130" i="2" s="1"/>
  <c r="BH129" i="2"/>
  <c r="AF157" i="2"/>
  <c r="AG138" i="2"/>
  <c r="BG137" i="2"/>
  <c r="AH140" i="2"/>
  <c r="BI140" i="2" s="1"/>
  <c r="BH139" i="2"/>
  <c r="CF154" i="2"/>
  <c r="CF308" i="2" s="1"/>
  <c r="AF308" i="2"/>
  <c r="AG305" i="2" l="1"/>
  <c r="CG151" i="2"/>
  <c r="CG305" i="2" s="1"/>
  <c r="AH107" i="2"/>
  <c r="AI109" i="2"/>
  <c r="BI108" i="2"/>
  <c r="AI114" i="2"/>
  <c r="BI113" i="2"/>
  <c r="AH112" i="2"/>
  <c r="AG306" i="2"/>
  <c r="CG152" i="2"/>
  <c r="CG306" i="2" s="1"/>
  <c r="AH139" i="2"/>
  <c r="BH138" i="2"/>
  <c r="AG137" i="2"/>
  <c r="CF155" i="2"/>
  <c r="CF309" i="2" s="1"/>
  <c r="AF309" i="2"/>
  <c r="AH134" i="2"/>
  <c r="BH133" i="2"/>
  <c r="AG132" i="2"/>
  <c r="BI118" i="2"/>
  <c r="AI119" i="2"/>
  <c r="AH117" i="2"/>
  <c r="CF157" i="2"/>
  <c r="CF311" i="2" s="1"/>
  <c r="AF311" i="2"/>
  <c r="AH129" i="2"/>
  <c r="BH128" i="2"/>
  <c r="AG127" i="2"/>
  <c r="AH150" i="2"/>
  <c r="BI102" i="2"/>
  <c r="AI103" i="2"/>
  <c r="AJ105" i="2"/>
  <c r="BK105" i="2" s="1"/>
  <c r="BJ104" i="2"/>
  <c r="CF156" i="2"/>
  <c r="CF310" i="2" s="1"/>
  <c r="AF310" i="2"/>
  <c r="AG154" i="2"/>
  <c r="AH123" i="2"/>
  <c r="BH122" i="2"/>
  <c r="BI124" i="2"/>
  <c r="AI125" i="2"/>
  <c r="BJ125" i="2" s="1"/>
  <c r="CG153" i="2"/>
  <c r="CG307" i="2" s="1"/>
  <c r="AG307" i="2"/>
  <c r="AG158" i="2"/>
  <c r="AH143" i="2"/>
  <c r="BH142" i="2"/>
  <c r="BI144" i="2"/>
  <c r="AI145" i="2"/>
  <c r="BJ145" i="2" s="1"/>
  <c r="AF159" i="2"/>
  <c r="CF159" i="2" s="1"/>
  <c r="BJ109" i="2" l="1"/>
  <c r="AJ110" i="2"/>
  <c r="BK110" i="2" s="1"/>
  <c r="AI108" i="2"/>
  <c r="BI107" i="2"/>
  <c r="AH151" i="2"/>
  <c r="AH152" i="2"/>
  <c r="BI112" i="2"/>
  <c r="AI113" i="2"/>
  <c r="BJ114" i="2"/>
  <c r="AJ115" i="2"/>
  <c r="BK115" i="2" s="1"/>
  <c r="CF313" i="2"/>
  <c r="CF322" i="2" s="1"/>
  <c r="CF326" i="2" s="1"/>
  <c r="AF313" i="2"/>
  <c r="AI144" i="2"/>
  <c r="BI143" i="2"/>
  <c r="AH142" i="2"/>
  <c r="AI124" i="2"/>
  <c r="BI123" i="2"/>
  <c r="AH122" i="2"/>
  <c r="AJ104" i="2"/>
  <c r="BJ103" i="2"/>
  <c r="AI102" i="2"/>
  <c r="CH150" i="2"/>
  <c r="CH304" i="2" s="1"/>
  <c r="AH304" i="2"/>
  <c r="AJ120" i="2"/>
  <c r="BK120" i="2" s="1"/>
  <c r="BJ119" i="2"/>
  <c r="AG156" i="2"/>
  <c r="AH133" i="2"/>
  <c r="BH132" i="2"/>
  <c r="BI134" i="2"/>
  <c r="AI135" i="2"/>
  <c r="BJ135" i="2" s="1"/>
  <c r="CG158" i="2"/>
  <c r="CG312" i="2" s="1"/>
  <c r="AG312" i="2"/>
  <c r="CG154" i="2"/>
  <c r="CG308" i="2" s="1"/>
  <c r="AG308" i="2"/>
  <c r="AH128" i="2"/>
  <c r="AG155" i="2"/>
  <c r="BH127" i="2"/>
  <c r="AI130" i="2"/>
  <c r="BJ130" i="2" s="1"/>
  <c r="BI129" i="2"/>
  <c r="AH153" i="2"/>
  <c r="AI118" i="2"/>
  <c r="BI117" i="2"/>
  <c r="AH138" i="2"/>
  <c r="AG157" i="2"/>
  <c r="BH137" i="2"/>
  <c r="AI140" i="2"/>
  <c r="BJ140" i="2" s="1"/>
  <c r="BI139" i="2"/>
  <c r="BJ108" i="2" l="1"/>
  <c r="AJ109" i="2"/>
  <c r="AI107" i="2"/>
  <c r="AH305" i="2"/>
  <c r="CH151" i="2"/>
  <c r="CH305" i="2" s="1"/>
  <c r="AJ114" i="2"/>
  <c r="BJ113" i="2"/>
  <c r="AI112" i="2"/>
  <c r="AH306" i="2"/>
  <c r="CH152" i="2"/>
  <c r="CH306" i="2" s="1"/>
  <c r="BI138" i="2"/>
  <c r="AI139" i="2"/>
  <c r="AH137" i="2"/>
  <c r="AJ119" i="2"/>
  <c r="BJ118" i="2"/>
  <c r="AI117" i="2"/>
  <c r="BI128" i="2"/>
  <c r="AI129" i="2"/>
  <c r="AH127" i="2"/>
  <c r="AI134" i="2"/>
  <c r="BI133" i="2"/>
  <c r="AH132" i="2"/>
  <c r="AJ103" i="2"/>
  <c r="AI150" i="2"/>
  <c r="BJ102" i="2"/>
  <c r="AK105" i="2"/>
  <c r="BL105" i="2" s="1"/>
  <c r="BK104" i="2"/>
  <c r="CG157" i="2"/>
  <c r="CG311" i="2" s="1"/>
  <c r="AG311" i="2"/>
  <c r="CH153" i="2"/>
  <c r="CH307" i="2" s="1"/>
  <c r="AH307" i="2"/>
  <c r="CG155" i="2"/>
  <c r="CG309" i="2" s="1"/>
  <c r="AG309" i="2"/>
  <c r="AG159" i="2"/>
  <c r="CG159" i="2" s="1"/>
  <c r="CG156" i="2"/>
  <c r="CG310" i="2" s="1"/>
  <c r="AG310" i="2"/>
  <c r="AH154" i="2"/>
  <c r="BI122" i="2"/>
  <c r="AI123" i="2"/>
  <c r="AJ125" i="2"/>
  <c r="BK125" i="2" s="1"/>
  <c r="BJ124" i="2"/>
  <c r="AH158" i="2"/>
  <c r="BI142" i="2"/>
  <c r="AI143" i="2"/>
  <c r="AJ145" i="2"/>
  <c r="BK145" i="2" s="1"/>
  <c r="BJ144" i="2"/>
  <c r="AK110" i="2" l="1"/>
  <c r="BL110" i="2" s="1"/>
  <c r="BK109" i="2"/>
  <c r="AJ108" i="2"/>
  <c r="BJ107" i="2"/>
  <c r="AI151" i="2"/>
  <c r="BJ112" i="2"/>
  <c r="AI152" i="2"/>
  <c r="AJ113" i="2"/>
  <c r="AK115" i="2"/>
  <c r="BL115" i="2" s="1"/>
  <c r="BK114" i="2"/>
  <c r="AG313" i="2"/>
  <c r="CG313" i="2"/>
  <c r="CG322" i="2" s="1"/>
  <c r="CG326" i="2" s="1"/>
  <c r="AJ144" i="2"/>
  <c r="BJ143" i="2"/>
  <c r="AI142" i="2"/>
  <c r="CH158" i="2"/>
  <c r="CH312" i="2" s="1"/>
  <c r="AH312" i="2"/>
  <c r="CI150" i="2"/>
  <c r="CI304" i="2" s="1"/>
  <c r="AI304" i="2"/>
  <c r="AH156" i="2"/>
  <c r="BI132" i="2"/>
  <c r="AI133" i="2"/>
  <c r="AJ135" i="2"/>
  <c r="BK135" i="2" s="1"/>
  <c r="BJ134" i="2"/>
  <c r="AJ130" i="2"/>
  <c r="BK130" i="2" s="1"/>
  <c r="BJ129" i="2"/>
  <c r="AI153" i="2"/>
  <c r="AJ118" i="2"/>
  <c r="BJ117" i="2"/>
  <c r="BK119" i="2"/>
  <c r="AK120" i="2"/>
  <c r="BL120" i="2" s="1"/>
  <c r="AJ140" i="2"/>
  <c r="BK140" i="2" s="1"/>
  <c r="BJ139" i="2"/>
  <c r="AJ124" i="2"/>
  <c r="BJ123" i="2"/>
  <c r="AI122" i="2"/>
  <c r="CH154" i="2"/>
  <c r="CH308" i="2" s="1"/>
  <c r="AH308" i="2"/>
  <c r="BK103" i="2"/>
  <c r="AK104" i="2"/>
  <c r="BL104" i="2" s="1"/>
  <c r="AJ102" i="2"/>
  <c r="AH155" i="2"/>
  <c r="AI128" i="2"/>
  <c r="BI127" i="2"/>
  <c r="AH157" i="2"/>
  <c r="AI138" i="2"/>
  <c r="BI137" i="2"/>
  <c r="AJ107" i="2" l="1"/>
  <c r="BK108" i="2"/>
  <c r="AK109" i="2"/>
  <c r="BL109" i="2" s="1"/>
  <c r="CI151" i="2"/>
  <c r="CI305" i="2" s="1"/>
  <c r="AI305" i="2"/>
  <c r="BK113" i="2"/>
  <c r="AK114" i="2"/>
  <c r="BL114" i="2" s="1"/>
  <c r="AJ112" i="2"/>
  <c r="CI152" i="2"/>
  <c r="CI306" i="2" s="1"/>
  <c r="AI306" i="2"/>
  <c r="CH157" i="2"/>
  <c r="CH311" i="2" s="1"/>
  <c r="AH311" i="2"/>
  <c r="AJ129" i="2"/>
  <c r="BJ128" i="2"/>
  <c r="AI127" i="2"/>
  <c r="AJ150" i="2"/>
  <c r="AK103" i="2"/>
  <c r="BK102" i="2"/>
  <c r="AJ123" i="2"/>
  <c r="AI154" i="2"/>
  <c r="BJ122" i="2"/>
  <c r="AK125" i="2"/>
  <c r="BL125" i="2" s="1"/>
  <c r="BK124" i="2"/>
  <c r="AK119" i="2"/>
  <c r="BL119" i="2" s="1"/>
  <c r="BK118" i="2"/>
  <c r="AJ117" i="2"/>
  <c r="AJ134" i="2"/>
  <c r="BJ133" i="2"/>
  <c r="AI132" i="2"/>
  <c r="CH156" i="2"/>
  <c r="CH310" i="2" s="1"/>
  <c r="AH310" i="2"/>
  <c r="AJ143" i="2"/>
  <c r="AI158" i="2"/>
  <c r="BJ142" i="2"/>
  <c r="AK145" i="2"/>
  <c r="BL145" i="2" s="1"/>
  <c r="BK144" i="2"/>
  <c r="AJ139" i="2"/>
  <c r="BJ138" i="2"/>
  <c r="AI137" i="2"/>
  <c r="CH155" i="2"/>
  <c r="CH309" i="2" s="1"/>
  <c r="AH309" i="2"/>
  <c r="CI153" i="2"/>
  <c r="CI307" i="2" s="1"/>
  <c r="AI307" i="2"/>
  <c r="AH159" i="2"/>
  <c r="CH159" i="2" s="1"/>
  <c r="AJ151" i="2" l="1"/>
  <c r="BK107" i="2"/>
  <c r="AK108" i="2"/>
  <c r="AK113" i="2"/>
  <c r="BK112" i="2"/>
  <c r="AJ152" i="2"/>
  <c r="CH313" i="2"/>
  <c r="CH322" i="2" s="1"/>
  <c r="CH326" i="2" s="1"/>
  <c r="AH313" i="2"/>
  <c r="AI157" i="2"/>
  <c r="AJ138" i="2"/>
  <c r="BJ137" i="2"/>
  <c r="BK139" i="2"/>
  <c r="AK140" i="2"/>
  <c r="BL140" i="2" s="1"/>
  <c r="CI158" i="2"/>
  <c r="CI312" i="2" s="1"/>
  <c r="AI312" i="2"/>
  <c r="AJ133" i="2"/>
  <c r="AI156" i="2"/>
  <c r="BJ132" i="2"/>
  <c r="AK135" i="2"/>
  <c r="BL135" i="2" s="1"/>
  <c r="BK134" i="2"/>
  <c r="BK123" i="2"/>
  <c r="AK124" i="2"/>
  <c r="BL124" i="2" s="1"/>
  <c r="AJ122" i="2"/>
  <c r="BL103" i="2"/>
  <c r="AK102" i="2"/>
  <c r="AI155" i="2"/>
  <c r="AJ128" i="2"/>
  <c r="BJ127" i="2"/>
  <c r="BK129" i="2"/>
  <c r="AK130" i="2"/>
  <c r="BL130" i="2" s="1"/>
  <c r="BK143" i="2"/>
  <c r="AK144" i="2"/>
  <c r="BL144" i="2" s="1"/>
  <c r="AJ142" i="2"/>
  <c r="BK117" i="2"/>
  <c r="AJ153" i="2"/>
  <c r="AK118" i="2"/>
  <c r="CI154" i="2"/>
  <c r="CI308" i="2" s="1"/>
  <c r="AI308" i="2"/>
  <c r="CJ150" i="2"/>
  <c r="CJ304" i="2" s="1"/>
  <c r="AJ304" i="2"/>
  <c r="BL108" i="2" l="1"/>
  <c r="AK107" i="2"/>
  <c r="AJ305" i="2"/>
  <c r="CJ151" i="2"/>
  <c r="CJ305" i="2" s="1"/>
  <c r="AJ306" i="2"/>
  <c r="CJ152" i="2"/>
  <c r="CJ306" i="2" s="1"/>
  <c r="BL113" i="2"/>
  <c r="AK112" i="2"/>
  <c r="AI159" i="2"/>
  <c r="CI159" i="2" s="1"/>
  <c r="CJ153" i="2"/>
  <c r="CJ307" i="2" s="1"/>
  <c r="AJ307" i="2"/>
  <c r="AJ158" i="2"/>
  <c r="AK143" i="2"/>
  <c r="BK142" i="2"/>
  <c r="AK129" i="2"/>
  <c r="BL129" i="2" s="1"/>
  <c r="BK128" i="2"/>
  <c r="AJ127" i="2"/>
  <c r="AK150" i="2"/>
  <c r="BL102" i="2"/>
  <c r="AJ154" i="2"/>
  <c r="AK123" i="2"/>
  <c r="BK122" i="2"/>
  <c r="CI156" i="2"/>
  <c r="CI310" i="2" s="1"/>
  <c r="AI310" i="2"/>
  <c r="CI157" i="2"/>
  <c r="CI311" i="2" s="1"/>
  <c r="AI311" i="2"/>
  <c r="BL118" i="2"/>
  <c r="AK117" i="2"/>
  <c r="CI155" i="2"/>
  <c r="CI309" i="2" s="1"/>
  <c r="AI309" i="2"/>
  <c r="BK133" i="2"/>
  <c r="AK134" i="2"/>
  <c r="BL134" i="2" s="1"/>
  <c r="AJ132" i="2"/>
  <c r="AK139" i="2"/>
  <c r="BL139" i="2" s="1"/>
  <c r="BK138" i="2"/>
  <c r="AJ137" i="2"/>
  <c r="AK151" i="2" l="1"/>
  <c r="BL107" i="2"/>
  <c r="BL112" i="2"/>
  <c r="AK152" i="2"/>
  <c r="CI313" i="2"/>
  <c r="CI322" i="2" s="1"/>
  <c r="CI326" i="2" s="1"/>
  <c r="AI313" i="2"/>
  <c r="BK137" i="2"/>
  <c r="AJ157" i="2"/>
  <c r="AK138" i="2"/>
  <c r="AK153" i="2"/>
  <c r="BL117" i="2"/>
  <c r="CJ154" i="2"/>
  <c r="CJ308" i="2" s="1"/>
  <c r="AJ308" i="2"/>
  <c r="CK150" i="2"/>
  <c r="CK304" i="2" s="1"/>
  <c r="AK304" i="2"/>
  <c r="CJ158" i="2"/>
  <c r="CJ312" i="2" s="1"/>
  <c r="AJ312" i="2"/>
  <c r="AJ156" i="2"/>
  <c r="AK133" i="2"/>
  <c r="BK132" i="2"/>
  <c r="BL123" i="2"/>
  <c r="AK122" i="2"/>
  <c r="BK127" i="2"/>
  <c r="AJ155" i="2"/>
  <c r="AK128" i="2"/>
  <c r="BL143" i="2"/>
  <c r="AK142" i="2"/>
  <c r="CK151" i="2" l="1"/>
  <c r="CK305" i="2" s="1"/>
  <c r="AK305" i="2"/>
  <c r="AK306" i="2"/>
  <c r="CK152" i="2"/>
  <c r="CK306" i="2" s="1"/>
  <c r="AK158" i="2"/>
  <c r="BL142" i="2"/>
  <c r="BL128" i="2"/>
  <c r="AK127" i="2"/>
  <c r="BL133" i="2"/>
  <c r="AK132" i="2"/>
  <c r="BL138" i="2"/>
  <c r="AK137" i="2"/>
  <c r="CJ155" i="2"/>
  <c r="CJ309" i="2" s="1"/>
  <c r="AJ309" i="2"/>
  <c r="AK154" i="2"/>
  <c r="BL122" i="2"/>
  <c r="CJ156" i="2"/>
  <c r="CJ310" i="2" s="1"/>
  <c r="AJ310" i="2"/>
  <c r="CK153" i="2"/>
  <c r="CK307" i="2" s="1"/>
  <c r="AK307" i="2"/>
  <c r="CJ157" i="2"/>
  <c r="CJ311" i="2" s="1"/>
  <c r="CJ313" i="2" s="1"/>
  <c r="CJ322" i="2" s="1"/>
  <c r="CJ326" i="2" s="1"/>
  <c r="AJ311" i="2"/>
  <c r="AJ313" i="2" s="1"/>
  <c r="AJ159" i="2"/>
  <c r="CJ159" i="2" s="1"/>
  <c r="CK154" i="2" l="1"/>
  <c r="CK308" i="2" s="1"/>
  <c r="AK308" i="2"/>
  <c r="CK158" i="2"/>
  <c r="CK312" i="2" s="1"/>
  <c r="AK312" i="2"/>
  <c r="AK157" i="2"/>
  <c r="BL137" i="2"/>
  <c r="AK156" i="2"/>
  <c r="BL132" i="2"/>
  <c r="AK155" i="2"/>
  <c r="BL127" i="2"/>
  <c r="AK159" i="2" l="1"/>
  <c r="CK159" i="2" s="1"/>
  <c r="CK155" i="2"/>
  <c r="CK309" i="2" s="1"/>
  <c r="AK309" i="2"/>
  <c r="CK156" i="2"/>
  <c r="CK310" i="2" s="1"/>
  <c r="AK310" i="2"/>
  <c r="CK157" i="2"/>
  <c r="CK311" i="2" s="1"/>
  <c r="AK311" i="2"/>
  <c r="AK313" i="2" l="1"/>
  <c r="CK313" i="2"/>
  <c r="CK322" i="2" s="1"/>
  <c r="CK326" i="2" l="1"/>
  <c r="BR327" i="2" s="1"/>
  <c r="C7" i="2"/>
  <c r="D22" i="6"/>
</calcChain>
</file>

<file path=xl/comments1.xml><?xml version="1.0" encoding="utf-8"?>
<comments xmlns="http://schemas.openxmlformats.org/spreadsheetml/2006/main">
  <authors>
    <author>andersonsc</author>
    <author>Steve Anderson</author>
  </authors>
  <commentList>
    <comment ref="J25" authorId="0" shapeId="0">
      <text>
        <r>
          <rPr>
            <b/>
            <sz val="8"/>
            <color indexed="81"/>
            <rFont val="Tahoma"/>
            <family val="2"/>
          </rPr>
          <t>MCC:</t>
        </r>
        <r>
          <rPr>
            <sz val="8"/>
            <color indexed="81"/>
            <rFont val="Tahoma"/>
            <family val="2"/>
          </rPr>
          <t xml:space="preserve">
That is, titling in regions outside UB
</t>
        </r>
      </text>
    </comment>
    <comment ref="K42" authorId="0" shapeId="0">
      <text>
        <r>
          <rPr>
            <b/>
            <sz val="8"/>
            <color indexed="81"/>
            <rFont val="Tahoma"/>
            <family val="2"/>
          </rPr>
          <t>MCC:</t>
        </r>
        <r>
          <rPr>
            <sz val="8"/>
            <color indexed="81"/>
            <rFont val="Tahoma"/>
            <family val="2"/>
          </rPr>
          <t xml:space="preserve">
30% factor explained as follows: Per Beneficiary scrub, we estimate that 30% of the 75,000 urban households receiving titles will increase their income from increased land investment and security. </t>
        </r>
      </text>
    </comment>
    <comment ref="F46" authorId="1" shapeId="0">
      <text>
        <r>
          <rPr>
            <b/>
            <sz val="8"/>
            <color indexed="81"/>
            <rFont val="Tahoma"/>
            <family val="2"/>
          </rPr>
          <t xml:space="preserve">MCC: </t>
        </r>
        <r>
          <rPr>
            <sz val="8"/>
            <color indexed="81"/>
            <rFont val="Tahoma"/>
            <family val="2"/>
          </rPr>
          <t>"In Mongolia" = in UB and 8 other pillar center cities</t>
        </r>
      </text>
    </comment>
    <comment ref="E54" authorId="1" shapeId="0">
      <text>
        <r>
          <rPr>
            <b/>
            <sz val="8"/>
            <color indexed="81"/>
            <rFont val="Tahoma"/>
            <family val="2"/>
          </rPr>
          <t xml:space="preserve">MCC: </t>
        </r>
        <r>
          <rPr>
            <sz val="8"/>
            <color indexed="81"/>
            <rFont val="Tahoma"/>
            <family val="2"/>
          </rPr>
          <t>"Days" = working days</t>
        </r>
      </text>
    </comment>
    <comment ref="F63" authorId="1" shapeId="0">
      <text>
        <r>
          <rPr>
            <b/>
            <sz val="8"/>
            <color indexed="81"/>
            <rFont val="Tahoma"/>
            <family val="2"/>
          </rPr>
          <t xml:space="preserve">MCC: </t>
        </r>
        <r>
          <rPr>
            <sz val="8"/>
            <color indexed="81"/>
            <rFont val="Tahoma"/>
            <family val="2"/>
          </rPr>
          <t>Assumes half must notarize contract; 20% must do cadastral mapping</t>
        </r>
      </text>
    </comment>
    <comment ref="F64" authorId="1" shapeId="0">
      <text>
        <r>
          <rPr>
            <b/>
            <sz val="8"/>
            <color indexed="81"/>
            <rFont val="Tahoma"/>
            <family val="2"/>
          </rPr>
          <t xml:space="preserve">MCC: </t>
        </r>
        <r>
          <rPr>
            <sz val="8"/>
            <color indexed="81"/>
            <rFont val="Tahoma"/>
            <family val="2"/>
          </rPr>
          <t>Includes plot survey, notary, registration fees</t>
        </r>
      </text>
    </comment>
    <comment ref="F72" authorId="1" shapeId="0">
      <text>
        <r>
          <rPr>
            <b/>
            <sz val="8"/>
            <color indexed="81"/>
            <rFont val="Tahoma"/>
            <family val="2"/>
          </rPr>
          <t xml:space="preserve">MCC: </t>
        </r>
        <r>
          <rPr>
            <sz val="8"/>
            <color indexed="81"/>
            <rFont val="Tahoma"/>
            <family val="2"/>
          </rPr>
          <t>ADB (MON-1847) survey of households who had advertised in the newspaper to sell plots/houses (&gt;60 people contacted; 45 respondents)</t>
        </r>
      </text>
    </comment>
    <comment ref="F73" authorId="1" shapeId="0">
      <text>
        <r>
          <rPr>
            <b/>
            <sz val="8"/>
            <color indexed="81"/>
            <rFont val="Tahoma"/>
            <family val="2"/>
          </rPr>
          <t xml:space="preserve">MCC: </t>
        </r>
        <r>
          <rPr>
            <sz val="8"/>
            <color indexed="81"/>
            <rFont val="Tahoma"/>
            <family val="2"/>
          </rPr>
          <t>ADB (MON-1847) survey of households who had advertised in the newspaper to sell plots/houses (&gt;60 people contacted; 45 respondents)</t>
        </r>
      </text>
    </comment>
    <comment ref="F74" authorId="1" shapeId="0">
      <text>
        <r>
          <rPr>
            <b/>
            <sz val="8"/>
            <color indexed="81"/>
            <rFont val="Tahoma"/>
            <family val="2"/>
          </rPr>
          <t xml:space="preserve">MCC: </t>
        </r>
        <r>
          <rPr>
            <sz val="8"/>
            <color indexed="81"/>
            <rFont val="Tahoma"/>
            <family val="2"/>
          </rPr>
          <t>ADB (MON-1847) survey of households who had advertised in the newspaper to sell plots/houses (&gt;60 people contacted; 45 respondents).
(Product of averages, rather than average of total prices)</t>
        </r>
      </text>
    </comment>
    <comment ref="F75" authorId="1" shapeId="0">
      <text>
        <r>
          <rPr>
            <b/>
            <sz val="8"/>
            <color indexed="81"/>
            <rFont val="Tahoma"/>
            <family val="2"/>
          </rPr>
          <t xml:space="preserve">MCC: </t>
        </r>
        <r>
          <rPr>
            <sz val="8"/>
            <color indexed="81"/>
            <rFont val="Tahoma"/>
            <family val="2"/>
          </rPr>
          <t>ADB (MON-1847) survey of households who had advertised in the newspaper to sell plots/houses (&gt;60 people contacted; 45 respondents)</t>
        </r>
      </text>
    </comment>
    <comment ref="F76" authorId="1" shapeId="0">
      <text>
        <r>
          <rPr>
            <b/>
            <sz val="8"/>
            <color indexed="81"/>
            <rFont val="Tahoma"/>
            <family val="2"/>
          </rPr>
          <t xml:space="preserve">MCC: </t>
        </r>
        <r>
          <rPr>
            <sz val="8"/>
            <color indexed="81"/>
            <rFont val="Tahoma"/>
            <family val="2"/>
          </rPr>
          <t>ADB (MON-1847) survey of households who had advertised in the newspaper to sell plots/houses (&gt;60 people contacted; 45 respondents)</t>
        </r>
      </text>
    </comment>
    <comment ref="F77" authorId="1" shapeId="0">
      <text>
        <r>
          <rPr>
            <b/>
            <sz val="8"/>
            <color indexed="81"/>
            <rFont val="Tahoma"/>
            <family val="2"/>
          </rPr>
          <t xml:space="preserve">MCC: </t>
        </r>
        <r>
          <rPr>
            <sz val="8"/>
            <color indexed="81"/>
            <rFont val="Tahoma"/>
            <family val="2"/>
          </rPr>
          <t>ADB (MON-1847) survey of households who had advertised in the newspaper to sell plots/houses (&gt;60 people contacted; 45 respondents).
(Product of averages, rather than average of total prices)</t>
        </r>
      </text>
    </comment>
    <comment ref="F100" authorId="1" shapeId="0">
      <text>
        <r>
          <rPr>
            <b/>
            <sz val="8"/>
            <color indexed="81"/>
            <rFont val="Tahoma"/>
            <family val="2"/>
          </rPr>
          <t xml:space="preserve">MCC: </t>
        </r>
        <r>
          <rPr>
            <sz val="8"/>
            <color indexed="81"/>
            <rFont val="Tahoma"/>
            <family val="2"/>
          </rPr>
          <t>Usually entails buying an apartment; less frequently renovation</t>
        </r>
      </text>
    </comment>
    <comment ref="F104" authorId="1" shapeId="0">
      <text>
        <r>
          <rPr>
            <b/>
            <sz val="8"/>
            <color indexed="81"/>
            <rFont val="Tahoma"/>
            <family val="2"/>
          </rPr>
          <t xml:space="preserve">MCC: </t>
        </r>
        <r>
          <rPr>
            <sz val="8"/>
            <color indexed="81"/>
            <rFont val="Tahoma"/>
            <family val="2"/>
          </rPr>
          <t>Includes expand/repair house, renovate or buy ger, build new house (can be disaggregated)</t>
        </r>
      </text>
    </comment>
    <comment ref="F105" authorId="1" shapeId="0">
      <text>
        <r>
          <rPr>
            <b/>
            <sz val="8"/>
            <color indexed="81"/>
            <rFont val="Tahoma"/>
            <family val="2"/>
          </rPr>
          <t xml:space="preserve">MCC: </t>
        </r>
        <r>
          <rPr>
            <sz val="8"/>
            <color indexed="81"/>
            <rFont val="Tahoma"/>
            <family val="2"/>
          </rPr>
          <t>Includes expand/repair house, renovate or buy ger, build new house (can be disaggregated)</t>
        </r>
      </text>
    </comment>
    <comment ref="F106" authorId="1" shapeId="0">
      <text>
        <r>
          <rPr>
            <b/>
            <sz val="8"/>
            <color indexed="81"/>
            <rFont val="Tahoma"/>
            <family val="2"/>
          </rPr>
          <t xml:space="preserve">MCC: </t>
        </r>
        <r>
          <rPr>
            <sz val="8"/>
            <color indexed="81"/>
            <rFont val="Tahoma"/>
            <family val="2"/>
          </rPr>
          <t>Includes expand/repair house, renovate or buy ger, build new house (can be disaggregated)</t>
        </r>
      </text>
    </comment>
    <comment ref="F107" authorId="1" shapeId="0">
      <text>
        <r>
          <rPr>
            <b/>
            <sz val="8"/>
            <color indexed="81"/>
            <rFont val="Tahoma"/>
            <family val="2"/>
          </rPr>
          <t xml:space="preserve">MCC: </t>
        </r>
        <r>
          <rPr>
            <sz val="8"/>
            <color indexed="81"/>
            <rFont val="Tahoma"/>
            <family val="2"/>
          </rPr>
          <t>Includes expand/repair house, renovate or buy ger, build new house (can be disaggregated)</t>
        </r>
      </text>
    </comment>
    <comment ref="J108" authorId="1" shapeId="0">
      <text>
        <r>
          <rPr>
            <b/>
            <sz val="8"/>
            <color indexed="81"/>
            <rFont val="Tahoma"/>
            <family val="2"/>
          </rPr>
          <t xml:space="preserve">MCC: </t>
        </r>
        <r>
          <rPr>
            <sz val="8"/>
            <color indexed="81"/>
            <rFont val="Tahoma"/>
            <family val="2"/>
          </rPr>
          <t>See computation for details</t>
        </r>
      </text>
    </comment>
    <comment ref="D117" authorId="1" shapeId="0">
      <text>
        <r>
          <rPr>
            <b/>
            <sz val="8"/>
            <color indexed="81"/>
            <rFont val="Tahoma"/>
            <family val="2"/>
          </rPr>
          <t xml:space="preserve">MCC: </t>
        </r>
        <r>
          <rPr>
            <sz val="8"/>
            <color indexed="81"/>
            <rFont val="Tahoma"/>
            <family val="2"/>
          </rPr>
          <t>Compare NPLs/(total gross loans) = 5.5% a/o June 2006 (IMF SISA Jan 2007), assume housing moderately higher defaults</t>
        </r>
      </text>
    </comment>
    <comment ref="F120" authorId="1" shapeId="0">
      <text>
        <r>
          <rPr>
            <b/>
            <sz val="8"/>
            <color indexed="81"/>
            <rFont val="Tahoma"/>
            <family val="2"/>
          </rPr>
          <t xml:space="preserve">MCC: </t>
        </r>
        <r>
          <rPr>
            <sz val="8"/>
            <color indexed="81"/>
            <rFont val="Tahoma"/>
            <family val="2"/>
          </rPr>
          <t>Khan and Xas Banks are the only ones who do significant lending in the ger areas.</t>
        </r>
      </text>
    </comment>
    <comment ref="F126" authorId="1" shapeId="0">
      <text>
        <r>
          <rPr>
            <b/>
            <sz val="8"/>
            <color indexed="81"/>
            <rFont val="Tahoma"/>
            <family val="2"/>
          </rPr>
          <t xml:space="preserve">MCC: </t>
        </r>
        <r>
          <rPr>
            <sz val="8"/>
            <color indexed="81"/>
            <rFont val="Tahoma"/>
            <family val="2"/>
          </rPr>
          <t>World Bank (2003). Nicaragua Land Policy and Administration (Report No. 26683-NI)</t>
        </r>
      </text>
    </comment>
    <comment ref="F127" authorId="1" shapeId="0">
      <text>
        <r>
          <rPr>
            <b/>
            <sz val="8"/>
            <color indexed="81"/>
            <rFont val="Tahoma"/>
            <family val="2"/>
          </rPr>
          <t xml:space="preserve">MCC: </t>
        </r>
        <r>
          <rPr>
            <sz val="8"/>
            <color indexed="81"/>
            <rFont val="Tahoma"/>
            <family val="2"/>
          </rPr>
          <t xml:space="preserve">Timothy Besley (1995). Property Rights and Investment Incentives: Theory and Evidence from Ghana. </t>
        </r>
        <r>
          <rPr>
            <i/>
            <sz val="8"/>
            <color indexed="81"/>
            <rFont val="Tahoma"/>
            <family val="2"/>
          </rPr>
          <t xml:space="preserve">JPE </t>
        </r>
        <r>
          <rPr>
            <sz val="8"/>
            <color indexed="81"/>
            <rFont val="Tahoma"/>
            <family val="2"/>
          </rPr>
          <t>(October) v. 103, no. 5.</t>
        </r>
      </text>
    </comment>
    <comment ref="F128" authorId="1" shapeId="0">
      <text>
        <r>
          <rPr>
            <b/>
            <sz val="8"/>
            <color indexed="81"/>
            <rFont val="Tahoma"/>
            <family val="2"/>
          </rPr>
          <t xml:space="preserve">MCC: </t>
        </r>
        <r>
          <rPr>
            <sz val="8"/>
            <color indexed="81"/>
            <rFont val="Tahoma"/>
            <family val="2"/>
          </rPr>
          <t xml:space="preserve">Timothy Besley (1995). Property Rights and Investment Incentives: Theory and Evidence from Ghana. </t>
        </r>
        <r>
          <rPr>
            <i/>
            <sz val="8"/>
            <color indexed="81"/>
            <rFont val="Tahoma"/>
            <family val="2"/>
          </rPr>
          <t xml:space="preserve">JPE </t>
        </r>
        <r>
          <rPr>
            <sz val="8"/>
            <color indexed="81"/>
            <rFont val="Tahoma"/>
            <family val="2"/>
          </rPr>
          <t>(October) v. 103, no. 5.</t>
        </r>
      </text>
    </comment>
    <comment ref="F129" authorId="1" shapeId="0">
      <text>
        <r>
          <rPr>
            <b/>
            <sz val="8"/>
            <color indexed="81"/>
            <rFont val="Tahoma"/>
            <family val="2"/>
          </rPr>
          <t xml:space="preserve">MCC: </t>
        </r>
        <r>
          <rPr>
            <sz val="8"/>
            <color indexed="81"/>
            <rFont val="Tahoma"/>
            <family val="2"/>
          </rPr>
          <t>Michael R. Carter and Pedro Olint (2000) "Getting Institutions 'Right' For Whom: Credit Constraints and the Impact of Property Rights on the Quantity and Composition of Investment." U. Wisconsin-Madison, Staff Paper No. 443</t>
        </r>
      </text>
    </comment>
    <comment ref="F130" authorId="1" shapeId="0">
      <text>
        <r>
          <rPr>
            <b/>
            <sz val="8"/>
            <color indexed="81"/>
            <rFont val="Tahoma"/>
            <family val="2"/>
          </rPr>
          <t xml:space="preserve">MCC: </t>
        </r>
        <r>
          <rPr>
            <sz val="8"/>
            <color indexed="81"/>
            <rFont val="Tahoma"/>
            <family val="2"/>
          </rPr>
          <t xml:space="preserve">Gershon Feder and Akihiko Nishio (1999). "The Benefits of Land Registration and Titling: Economic and Social Perspectives" </t>
        </r>
        <r>
          <rPr>
            <i/>
            <sz val="8"/>
            <color indexed="81"/>
            <rFont val="Tahoma"/>
            <family val="2"/>
          </rPr>
          <t xml:space="preserve">Land Use Policy </t>
        </r>
        <r>
          <rPr>
            <sz val="8"/>
            <color indexed="81"/>
            <rFont val="Tahoma"/>
            <family val="2"/>
          </rPr>
          <t>15(1).</t>
        </r>
      </text>
    </comment>
    <comment ref="F131" authorId="1" shapeId="0">
      <text>
        <r>
          <rPr>
            <b/>
            <sz val="8"/>
            <color indexed="81"/>
            <rFont val="Tahoma"/>
            <family val="2"/>
          </rPr>
          <t xml:space="preserve">MCC: </t>
        </r>
        <r>
          <rPr>
            <sz val="8"/>
            <color indexed="81"/>
            <rFont val="Tahoma"/>
            <family val="2"/>
          </rPr>
          <t xml:space="preserve">Gershon Feder and Akihiko Nishio (1999). "The Benefits of Land Registration and Titling: Economic and Social Perspectives" </t>
        </r>
        <r>
          <rPr>
            <i/>
            <sz val="8"/>
            <color indexed="81"/>
            <rFont val="Tahoma"/>
            <family val="2"/>
          </rPr>
          <t xml:space="preserve">Land Use Policy </t>
        </r>
        <r>
          <rPr>
            <sz val="8"/>
            <color indexed="81"/>
            <rFont val="Tahoma"/>
            <family val="2"/>
          </rPr>
          <t>15(1).</t>
        </r>
      </text>
    </comment>
    <comment ref="F132" authorId="1" shapeId="0">
      <text>
        <r>
          <rPr>
            <b/>
            <sz val="8"/>
            <color indexed="81"/>
            <rFont val="Tahoma"/>
            <family val="2"/>
          </rPr>
          <t xml:space="preserve">MCC: </t>
        </r>
        <r>
          <rPr>
            <sz val="8"/>
            <color indexed="81"/>
            <rFont val="Tahoma"/>
            <family val="2"/>
          </rPr>
          <t>John Antle et al. (2003). "Endogeneity of Land Titling and Farm Investments: Evidence from the Peruvian Andes." Working Paper, Dep't of Ag Econ and Economics, Montana State Univ.</t>
        </r>
      </text>
    </comment>
    <comment ref="F133" authorId="1" shapeId="0">
      <text>
        <r>
          <rPr>
            <b/>
            <sz val="8"/>
            <color indexed="81"/>
            <rFont val="Tahoma"/>
            <family val="2"/>
          </rPr>
          <t xml:space="preserve">MCC: </t>
        </r>
        <r>
          <rPr>
            <sz val="8"/>
            <color indexed="81"/>
            <rFont val="Tahoma"/>
            <family val="2"/>
          </rPr>
          <t xml:space="preserve">Hanan Jacoby and Bart Minten (2005). "Is Land Titling in Sub-Saharan Africa Cost-Effective? Evidence from Madagascar." </t>
        </r>
      </text>
    </comment>
    <comment ref="F144" authorId="1" shapeId="0">
      <text>
        <r>
          <rPr>
            <b/>
            <sz val="8"/>
            <color indexed="81"/>
            <rFont val="Tahoma"/>
            <family val="2"/>
          </rPr>
          <t xml:space="preserve">MCC: </t>
        </r>
        <r>
          <rPr>
            <sz val="8"/>
            <color indexed="81"/>
            <rFont val="Tahoma"/>
            <family val="2"/>
          </rPr>
          <t xml:space="preserve">Assume this rate applies also to 2006, and then is allowed to grow (implicitly) in accordance with an increasing fraction of titled hashaas. </t>
        </r>
      </text>
    </comment>
    <comment ref="F145" authorId="1" shapeId="0">
      <text>
        <r>
          <rPr>
            <b/>
            <sz val="8"/>
            <color indexed="81"/>
            <rFont val="Tahoma"/>
            <family val="2"/>
          </rPr>
          <t xml:space="preserve">MCC: </t>
        </r>
        <r>
          <rPr>
            <sz val="8"/>
            <color indexed="81"/>
            <rFont val="Tahoma"/>
            <family val="2"/>
          </rPr>
          <t>Assume that this growth rate applies until savings rate as a % of GDP hits the cap (see below), after which point it is constant.</t>
        </r>
      </text>
    </comment>
    <comment ref="F152" authorId="1" shapeId="0">
      <text>
        <r>
          <rPr>
            <b/>
            <sz val="8"/>
            <color indexed="81"/>
            <rFont val="Tahoma"/>
            <family val="2"/>
          </rPr>
          <t xml:space="preserve">MCC: </t>
        </r>
        <r>
          <rPr>
            <sz val="8"/>
            <color indexed="81"/>
            <rFont val="Tahoma"/>
            <family val="2"/>
          </rPr>
          <t>Not investment in fixed assets on the hashaa, per se, but all investments by the households sharing a hashaa.</t>
        </r>
      </text>
    </comment>
    <comment ref="F153" authorId="1" shapeId="0">
      <text>
        <r>
          <rPr>
            <b/>
            <sz val="8"/>
            <color indexed="81"/>
            <rFont val="Tahoma"/>
            <family val="2"/>
          </rPr>
          <t xml:space="preserve">MCC: </t>
        </r>
        <r>
          <rPr>
            <sz val="8"/>
            <color indexed="81"/>
            <rFont val="Tahoma"/>
            <family val="2"/>
          </rPr>
          <t xml:space="preserve">Avg annl inv for all hashaas
= %titled*(Investment|titled)
    + %not titled*(Investment|not titled)
</t>
        </r>
      </text>
    </comment>
    <comment ref="G157" authorId="1" shapeId="0">
      <text>
        <r>
          <rPr>
            <b/>
            <sz val="8"/>
            <color indexed="81"/>
            <rFont val="Tahoma"/>
            <family val="2"/>
          </rPr>
          <t xml:space="preserve">MCC: </t>
        </r>
        <r>
          <rPr>
            <sz val="8"/>
            <color indexed="81"/>
            <rFont val="Tahoma"/>
            <family val="2"/>
          </rPr>
          <t>Source of NPL data:
IMF SISA (Jan 2007), p. 81 (Table 35: Financial Soundness Indicators for the Banking Sector)</t>
        </r>
      </text>
    </comment>
  </commentList>
</comments>
</file>

<file path=xl/comments2.xml><?xml version="1.0" encoding="utf-8"?>
<comments xmlns="http://schemas.openxmlformats.org/spreadsheetml/2006/main">
  <authors>
    <author>Steve Anderson</author>
    <author>Andersonsc</author>
  </authors>
  <commentList>
    <comment ref="D16" authorId="0" shapeId="0">
      <text>
        <r>
          <rPr>
            <b/>
            <sz val="8"/>
            <color indexed="81"/>
            <rFont val="Tahoma"/>
            <family val="2"/>
          </rPr>
          <t xml:space="preserve">MCC: </t>
        </r>
        <r>
          <rPr>
            <sz val="8"/>
            <color indexed="81"/>
            <rFont val="Tahoma"/>
            <family val="2"/>
          </rPr>
          <t>Source for 2007-11:
IMF Article IV Consultation (Jan. 2007), p. 27 (Table 6: MTMF 2003-11).
Source for 2012 onward:
MCC assumptions.</t>
        </r>
      </text>
    </comment>
    <comment ref="D17" authorId="0" shapeId="0">
      <text>
        <r>
          <rPr>
            <b/>
            <sz val="8"/>
            <color indexed="81"/>
            <rFont val="Tahoma"/>
            <family val="2"/>
          </rPr>
          <t xml:space="preserve">MCC: </t>
        </r>
        <r>
          <rPr>
            <sz val="8"/>
            <color indexed="81"/>
            <rFont val="Tahoma"/>
            <family val="2"/>
          </rPr>
          <t>2006 estimate: 
IMF SISA (Jan. 2007), p. 47 (Table 1 - Mongolia: Basic Data)
2007-onward:
MCC estimates</t>
        </r>
      </text>
    </comment>
    <comment ref="P24" authorId="0" shapeId="0">
      <text>
        <r>
          <rPr>
            <b/>
            <sz val="8"/>
            <color indexed="81"/>
            <rFont val="Tahoma"/>
            <family val="2"/>
          </rPr>
          <t xml:space="preserve">MCC: </t>
        </r>
        <r>
          <rPr>
            <sz val="8"/>
            <color indexed="81"/>
            <rFont val="Tahoma"/>
            <family val="2"/>
          </rPr>
          <t>Approximation from following two years</t>
        </r>
      </text>
    </comment>
    <comment ref="P26" authorId="0" shapeId="0">
      <text>
        <r>
          <rPr>
            <b/>
            <sz val="8"/>
            <color indexed="81"/>
            <rFont val="Tahoma"/>
            <family val="2"/>
          </rPr>
          <t xml:space="preserve">MCC: </t>
        </r>
        <r>
          <rPr>
            <sz val="8"/>
            <color indexed="81"/>
            <rFont val="Tahoma"/>
            <family val="2"/>
          </rPr>
          <t>Estimate, based on CHF description of process</t>
        </r>
      </text>
    </comment>
    <comment ref="D32" authorId="0" shapeId="0">
      <text>
        <r>
          <rPr>
            <b/>
            <sz val="8"/>
            <color indexed="81"/>
            <rFont val="Tahoma"/>
            <family val="2"/>
          </rPr>
          <t xml:space="preserve">MCC: </t>
        </r>
        <r>
          <rPr>
            <sz val="8"/>
            <color indexed="81"/>
            <rFont val="Tahoma"/>
            <family val="2"/>
          </rPr>
          <t xml:space="preserve">Assumes a wp/wop differential fraction of  privatized hashaas registered with 1-year lag from year of privatization.
Without project uses 2006 data on average rate of registration for privatized hashaas. </t>
        </r>
      </text>
    </comment>
    <comment ref="O38" authorId="1" shapeId="0">
      <text>
        <r>
          <rPr>
            <b/>
            <sz val="8"/>
            <color indexed="81"/>
            <rFont val="Tahoma"/>
            <family val="2"/>
          </rPr>
          <t xml:space="preserve">MCC: </t>
        </r>
        <r>
          <rPr>
            <sz val="8"/>
            <color indexed="81"/>
            <rFont val="Tahoma"/>
            <family val="2"/>
          </rPr>
          <t xml:space="preserve">US$500 added to empty hasha price as the estimated price of a ger itself.  </t>
        </r>
      </text>
    </comment>
    <comment ref="D44" authorId="0" shapeId="0">
      <text>
        <r>
          <rPr>
            <b/>
            <sz val="8"/>
            <color indexed="81"/>
            <rFont val="Tahoma"/>
            <family val="2"/>
          </rPr>
          <t xml:space="preserve">MCC: </t>
        </r>
        <r>
          <rPr>
            <sz val="8"/>
            <color indexed="81"/>
            <rFont val="Tahoma"/>
            <family val="2"/>
          </rPr>
          <t>Hangai region</t>
        </r>
      </text>
    </comment>
    <comment ref="C60" authorId="0" shapeId="0">
      <text>
        <r>
          <rPr>
            <b/>
            <sz val="8"/>
            <color indexed="81"/>
            <rFont val="Tahoma"/>
            <family val="2"/>
          </rPr>
          <t xml:space="preserve">MCC: </t>
        </r>
        <r>
          <rPr>
            <sz val="8"/>
            <color indexed="81"/>
            <rFont val="Tahoma"/>
            <family val="2"/>
          </rPr>
          <t>Assume initial and incremental registration numbers are proportional to extant privatizations (see numbers at right)</t>
        </r>
      </text>
    </comment>
    <comment ref="M60" authorId="0" shapeId="0">
      <text>
        <r>
          <rPr>
            <b/>
            <sz val="8"/>
            <color indexed="81"/>
            <rFont val="Tahoma"/>
            <family val="2"/>
          </rPr>
          <t xml:space="preserve">MCC: </t>
        </r>
        <r>
          <rPr>
            <sz val="8"/>
            <color indexed="81"/>
            <rFont val="Tahoma"/>
            <family val="2"/>
          </rPr>
          <t>From proposal</t>
        </r>
      </text>
    </comment>
    <comment ref="F99" authorId="0" shapeId="0">
      <text>
        <r>
          <rPr>
            <b/>
            <sz val="8"/>
            <color indexed="81"/>
            <rFont val="Tahoma"/>
            <family val="2"/>
          </rPr>
          <t xml:space="preserve">MCC: </t>
        </r>
        <r>
          <rPr>
            <sz val="8"/>
            <color indexed="81"/>
            <rFont val="Tahoma"/>
            <family val="2"/>
          </rPr>
          <t>Same for all cities</t>
        </r>
      </text>
    </comment>
    <comment ref="E101" authorId="0" shapeId="0">
      <text>
        <r>
          <rPr>
            <b/>
            <sz val="8"/>
            <color indexed="81"/>
            <rFont val="Tahoma"/>
            <family val="2"/>
          </rPr>
          <t xml:space="preserve">MCC: </t>
        </r>
        <r>
          <rPr>
            <sz val="8"/>
            <color indexed="81"/>
            <rFont val="Tahoma"/>
            <family val="2"/>
          </rPr>
          <t>Initial distribution over years (all cities)</t>
        </r>
      </text>
    </comment>
    <comment ref="F174" authorId="0" shapeId="0">
      <text>
        <r>
          <rPr>
            <b/>
            <sz val="8"/>
            <color indexed="81"/>
            <rFont val="Tahoma"/>
            <family val="2"/>
          </rPr>
          <t xml:space="preserve">MCC: </t>
        </r>
        <r>
          <rPr>
            <sz val="8"/>
            <color indexed="81"/>
            <rFont val="Tahoma"/>
            <family val="2"/>
          </rPr>
          <t>Based on assumed leverage ratio from "Data &amp; Assumptions" worksheet</t>
        </r>
      </text>
    </comment>
    <comment ref="D201" authorId="0" shapeId="0">
      <text>
        <r>
          <rPr>
            <b/>
            <sz val="8"/>
            <color indexed="81"/>
            <rFont val="Tahoma"/>
            <family val="2"/>
          </rPr>
          <t xml:space="preserve">MCC: </t>
        </r>
        <r>
          <rPr>
            <sz val="8"/>
            <color indexed="81"/>
            <rFont val="Tahoma"/>
            <family val="2"/>
          </rPr>
          <t xml:space="preserve">Assume this rate applies also to 2006, and then is allowed to grow (implicitly) in accordance with an increasing fraction of titled hashaas. </t>
        </r>
      </text>
    </comment>
    <comment ref="D205" authorId="0" shapeId="0">
      <text>
        <r>
          <rPr>
            <b/>
            <sz val="8"/>
            <color indexed="81"/>
            <rFont val="Tahoma"/>
            <family val="2"/>
          </rPr>
          <t xml:space="preserve">MCC: </t>
        </r>
        <r>
          <rPr>
            <sz val="8"/>
            <color indexed="81"/>
            <rFont val="Tahoma"/>
            <family val="2"/>
          </rPr>
          <t>Not investment in fixed assets on the hashaa, per se, but all investments by the households sharing a hashaa.</t>
        </r>
      </text>
    </comment>
    <comment ref="D207" authorId="0" shapeId="0">
      <text>
        <r>
          <rPr>
            <b/>
            <sz val="8"/>
            <color indexed="81"/>
            <rFont val="Tahoma"/>
            <family val="2"/>
          </rPr>
          <t xml:space="preserve">MCC: </t>
        </r>
        <r>
          <rPr>
            <sz val="8"/>
            <color indexed="81"/>
            <rFont val="Tahoma"/>
            <family val="2"/>
          </rPr>
          <t>Not investment in fixed assets on the hashaa, per se, but all investments by the households sharing a hashaa.</t>
        </r>
      </text>
    </comment>
    <comment ref="D209" authorId="0" shapeId="0">
      <text>
        <r>
          <rPr>
            <b/>
            <sz val="8"/>
            <color indexed="81"/>
            <rFont val="Tahoma"/>
            <family val="2"/>
          </rPr>
          <t xml:space="preserve">MCC: </t>
        </r>
        <r>
          <rPr>
            <sz val="8"/>
            <color indexed="81"/>
            <rFont val="Tahoma"/>
            <family val="2"/>
          </rPr>
          <t>Not investment in fixed assets on the hashaa, per se, but all investments by the households sharing a hashaa.</t>
        </r>
      </text>
    </comment>
    <comment ref="F211" authorId="0" shapeId="0">
      <text>
        <r>
          <rPr>
            <b/>
            <sz val="8"/>
            <color indexed="81"/>
            <rFont val="Tahoma"/>
            <family val="2"/>
          </rPr>
          <t xml:space="preserve">MCC: </t>
        </r>
        <r>
          <rPr>
            <sz val="8"/>
            <color indexed="81"/>
            <rFont val="Tahoma"/>
            <family val="2"/>
          </rPr>
          <t>Assume same proportions across cities as for total funds invested due to financial intermediation.</t>
        </r>
      </text>
    </comment>
    <comment ref="E244" authorId="0" shapeId="0">
      <text>
        <r>
          <rPr>
            <b/>
            <sz val="8"/>
            <color indexed="81"/>
            <rFont val="Tahoma"/>
            <family val="2"/>
          </rPr>
          <t xml:space="preserve">MCC: </t>
        </r>
        <r>
          <rPr>
            <sz val="8"/>
            <color indexed="81"/>
            <rFont val="Tahoma"/>
            <family val="2"/>
          </rPr>
          <t>Primarily apartment dwellers take out consumer loans</t>
        </r>
      </text>
    </comment>
    <comment ref="E250" authorId="0" shapeId="0">
      <text>
        <r>
          <rPr>
            <b/>
            <sz val="8"/>
            <color indexed="81"/>
            <rFont val="Tahoma"/>
            <family val="2"/>
          </rPr>
          <t xml:space="preserve">MCC: </t>
        </r>
        <r>
          <rPr>
            <sz val="8"/>
            <color indexed="81"/>
            <rFont val="Tahoma"/>
            <family val="2"/>
          </rPr>
          <t>Usually entails buying an apartment; less frequently renovation</t>
        </r>
      </text>
    </comment>
    <comment ref="I317" authorId="0" shapeId="0">
      <text>
        <r>
          <rPr>
            <b/>
            <sz val="8"/>
            <color indexed="81"/>
            <rFont val="Tahoma"/>
            <family val="2"/>
          </rPr>
          <t xml:space="preserve">MCC: </t>
        </r>
        <r>
          <rPr>
            <sz val="8"/>
            <color indexed="81"/>
            <rFont val="Tahoma"/>
            <family val="2"/>
          </rPr>
          <t>Proposal, p. 128
(Netting out Peri-urban costs)</t>
        </r>
      </text>
    </comment>
  </commentList>
</comments>
</file>

<file path=xl/sharedStrings.xml><?xml version="1.0" encoding="utf-8"?>
<sst xmlns="http://schemas.openxmlformats.org/spreadsheetml/2006/main" count="1347" uniqueCount="587">
  <si>
    <t>Investments by businesses and households</t>
  </si>
  <si>
    <t>Increased property values for owners of recently-privatized urban plots</t>
  </si>
  <si>
    <t>ERR &amp; Sensitivity Analysis</t>
  </si>
  <si>
    <t>Registry Upgrade, Khashaa Reg.</t>
  </si>
  <si>
    <t>A brief summary of the project's key parameters and ERR calculations.</t>
  </si>
  <si>
    <t>Date</t>
  </si>
  <si>
    <t>Spreadsheet version</t>
  </si>
  <si>
    <t>Investment memo, final</t>
  </si>
  <si>
    <t>Percentage of "unprivatized" hashaas which are turned over to their owners each year, with project</t>
  </si>
  <si>
    <t>Calculated increase in investment</t>
  </si>
  <si>
    <t xml:space="preserve">Average rate of return premium above lending rate for microenterprise investments </t>
  </si>
  <si>
    <t>Summary</t>
  </si>
  <si>
    <t>Last updated:</t>
  </si>
  <si>
    <t>MCC Estimate</t>
  </si>
  <si>
    <t>User Input</t>
  </si>
  <si>
    <t>Specific</t>
  </si>
  <si>
    <t xml:space="preserve">   More Info</t>
  </si>
  <si>
    <r>
      <t xml:space="preserve">   </t>
    </r>
    <r>
      <rPr>
        <u/>
        <sz val="10"/>
        <color indexed="12"/>
        <rFont val="Arial"/>
        <family val="2"/>
      </rPr>
      <t>Project Description</t>
    </r>
  </si>
  <si>
    <r>
      <t xml:space="preserve">   </t>
    </r>
    <r>
      <rPr>
        <u/>
        <sz val="10"/>
        <color indexed="12"/>
        <rFont val="Arial"/>
        <family val="2"/>
      </rPr>
      <t>User's Guide</t>
    </r>
  </si>
  <si>
    <t>Parameter type</t>
  </si>
  <si>
    <t>1.      Improve the formal system of privatizing and registering land rights.  Specifically, MCC funding will support:</t>
  </si>
  <si>
    <t xml:space="preserve">        a.      A commission of stakeholders and technical experts to study the obstacles that affect the ability of Mongolian 
                 citizens to privatize and register land efficiently and cost-effectively, to make recommendations on how to reduce 
                 such obstacles, and to work with government agencies, parliament and non-government specialists and interest 
                 groups to substantially implement the recommendations.</t>
  </si>
  <si>
    <t xml:space="preserve">        b.      An upgrade of the geospatial infrastructure necessary for accurate land parcel mapping, including provision of 
                 Continually Operating Reference Stations (CORS), supply of Global Positioning System (GPS) equipment to 
                 regional land offices, and training on the use of each.</t>
  </si>
  <si>
    <t xml:space="preserve">        c.      Capacity building for land offices, including creation and support of land market specialist positions to help citizens 
                 resolve issues related to land privatization and registration, and training of land office staff in land law, land mapping, 
                 use of satellite imagery, and processing of applications for privatization of ger area land plots.</t>
  </si>
  <si>
    <t xml:space="preserve">        d.      An upgrade of the State Registry’s central office space, information technology platform and business processes, 
                 establishment of offices in at least four districts of Ulaanbaatar, and similar upgrades of State Registry offices in 
                 eight regional centers around the country; and</t>
  </si>
  <si>
    <t xml:space="preserve">        d.      Identification and management of environmental, social, health and safety impacts associated with implementation of 
                 this activity, consistent with MCC Environmental Guidelines and World Bank Operational Policy 4.12.</t>
  </si>
  <si>
    <t>MCC funding will be used to:</t>
  </si>
  <si>
    <t>1.      Increased security of ownership implies a higher propensity to invest as enforceability of property rights becomes both 
         more credible and less costly under the Project</t>
  </si>
  <si>
    <t>2.      For the portion of investments for which people wish to borrow funds, recognizing and securing these property rights 
         confers to potential borrowers the option of pledging property as collateral for loans. More secure property rights 
         should increase financial institutions’ willingness to lend. In the longer run, as a track record with the use of property 
         as collateral develops, terms of secured loans more favorable to borrowers should emerge, leading also to increased 
         loan volumes for residential and small commercial lending.</t>
  </si>
  <si>
    <t>Select the parameter type (summary or specific) from the drop-down list in B8, then change the "User Input" cells in the table below to see the effect on the compact's Economic Rate of Return (ERR) and net benefits (see chart below).  Be sure to reset all summary parameters to their original values ("MCC Estimate" values) before changing specific parameters. To reset all values to the default MCC estimates, click the "Reset Parameters" button at right.</t>
  </si>
  <si>
    <t>80 - 100%</t>
  </si>
  <si>
    <t>All summary parameters set to initial values?</t>
  </si>
  <si>
    <t>Actual costs as a percentage of estimated costs</t>
  </si>
  <si>
    <t>Actual benefits as a percentage of estimated benefits</t>
  </si>
  <si>
    <t>Cost Scenario</t>
  </si>
  <si>
    <t>Benefit Scenario</t>
  </si>
  <si>
    <t>Project Description</t>
  </si>
  <si>
    <t>One should read this sheet first, as it offers a summary of the project, a list of components, and states the economic rationale for the project.</t>
  </si>
  <si>
    <t>Returns from externally financed and internally financed investments</t>
  </si>
  <si>
    <t>Average annual real price increase for "improved" hashaas (hashaas in which major investments have been made) in Ulaan Bataar, with project</t>
  </si>
  <si>
    <t xml:space="preserve">   Finally, streamlining the Registry’s business processes and making its information available through the National Land Information System should reduce the transactions costs associated with property transactions. This is expected to lead to modest savings in loan processing and other administrative costs.</t>
  </si>
  <si>
    <t xml:space="preserve">   The rationale for the urban registry component of the Property Rights Project is primarily based on increased property values for owners of recently-privatized urban plots. Liquidity of the property market is expected to increase with regularization of property rights, and this should also stimulate investment. Investments in property—both buying property and investing to improve existing property—would be increased via two channels:</t>
  </si>
  <si>
    <t>The worksheet specifies the benefit and cost streams both with the MCC investment and without it.  The benefit streams primarily derive from increases in land values and growth in investments that become possible once land registration allows a greater number of households access to credit.</t>
  </si>
  <si>
    <t xml:space="preserve">        a.      Provision of fully privatized and registered ownership rights to the land plots of low and middle income households</t>
  </si>
  <si>
    <t xml:space="preserve">        b.      Identification of main utility corridors</t>
  </si>
  <si>
    <t xml:space="preserve">        c.      Mapping of public land areas (parks, schools, public buildings, etc.) within the ger areas</t>
  </si>
  <si>
    <t>Components</t>
  </si>
  <si>
    <t>Economic Rationale</t>
  </si>
  <si>
    <t>Data tables</t>
  </si>
  <si>
    <t>This worksheet details the substantiated data used as key parameters in the ERR calculation, as well as parameters for which assumptions were drawn from broader professional expertise.</t>
  </si>
  <si>
    <t>Upgrade of State Registry/Land Offices, Completing Privatization/Registration of Khashaa Plots</t>
  </si>
  <si>
    <t>Registration</t>
  </si>
  <si>
    <t>Cost per transaction</t>
  </si>
  <si>
    <t>Total processing time per transaction</t>
  </si>
  <si>
    <t>Time spent "transacting"</t>
  </si>
  <si>
    <t>#</t>
  </si>
  <si>
    <t>Registration files in UB</t>
  </si>
  <si>
    <t>Unit</t>
  </si>
  <si>
    <t>Number</t>
  </si>
  <si>
    <t>Description</t>
  </si>
  <si>
    <t>Source</t>
  </si>
  <si>
    <t>Registration files in branch offices in rural areas</t>
  </si>
  <si>
    <t>Registry upgrade, Khashaa registration</t>
  </si>
  <si>
    <t>Erdenet</t>
  </si>
  <si>
    <t>Darkhan</t>
  </si>
  <si>
    <t>Investment</t>
  </si>
  <si>
    <t>Suburban</t>
  </si>
  <si>
    <t>Privatization</t>
  </si>
  <si>
    <t>Regional centers</t>
  </si>
  <si>
    <t xml:space="preserve">Number of citizens requested for land privatization presently possess the land </t>
  </si>
  <si>
    <t xml:space="preserve">Number of citizens obtained land privatization right </t>
  </si>
  <si>
    <t>Darhan</t>
  </si>
  <si>
    <t>Choibalsan</t>
  </si>
  <si>
    <t>Uliastai</t>
  </si>
  <si>
    <t>Kharhorin</t>
  </si>
  <si>
    <t>Zuunmod</t>
  </si>
  <si>
    <t>Khovd</t>
  </si>
  <si>
    <t>Undurhaan</t>
  </si>
  <si>
    <t>Total</t>
  </si>
  <si>
    <t>Folder "CHF docs"</t>
  </si>
  <si>
    <t>Pre-Registry (e.g., notary) and Registry fees</t>
  </si>
  <si>
    <t>File "PR Working Group cost &amp; regional data.Mar 2007.pdf"</t>
  </si>
  <si>
    <t># HH and ha by city; costs of cadastral mapping/registration, re-registration, inst'l strengthening (LMDs, SR), legal framework</t>
  </si>
  <si>
    <t># HH, ha by UB district and ownership status, 2003-05</t>
  </si>
  <si>
    <t>File "Landownership process.xls"</t>
  </si>
  <si>
    <t>General data</t>
  </si>
  <si>
    <t>Exchange rate</t>
  </si>
  <si>
    <t>www.oanda.com</t>
  </si>
  <si>
    <t>Property-based financial intermediation</t>
  </si>
  <si>
    <t>Fraction of landowners who a/o 10/06 had obtained a loan backed by a land mortgage</t>
  </si>
  <si>
    <t>Proposal (12/29/06), 99</t>
  </si>
  <si>
    <t>General property statistics</t>
  </si>
  <si>
    <r>
      <t>Fraction of total hashaas in Mongolia given to their owners ("</t>
    </r>
    <r>
      <rPr>
        <i/>
        <sz val="10"/>
        <rFont val="Arial"/>
        <family val="2"/>
      </rPr>
      <t>privatized</t>
    </r>
    <r>
      <rPr>
        <sz val="10"/>
        <rFont val="Arial"/>
        <family val="2"/>
      </rPr>
      <t>")</t>
    </r>
  </si>
  <si>
    <t>Number of hashaas in UB and 8 other pillar center cities, 2003</t>
  </si>
  <si>
    <t>Of the above figure, number of hashaas in UB</t>
  </si>
  <si>
    <t>Proposal (12/29/06), 100</t>
  </si>
  <si>
    <t>Property privatization &amp; registration statistics</t>
  </si>
  <si>
    <t>Exchange rate, Tugrik/$US</t>
  </si>
  <si>
    <t>Number of  households in UB, 2006</t>
  </si>
  <si>
    <t>Number of  Hasha in UB, 2006</t>
  </si>
  <si>
    <r>
      <t>Number of Privatized</t>
    </r>
    <r>
      <rPr>
        <b/>
        <sz val="10"/>
        <rFont val="Arial"/>
        <family val="2"/>
      </rPr>
      <t xml:space="preserve"> </t>
    </r>
    <r>
      <rPr>
        <sz val="10"/>
        <rFont val="Arial"/>
        <family val="2"/>
      </rPr>
      <t>Hasha in UB, 2006</t>
    </r>
  </si>
  <si>
    <r>
      <t>Number of Registered</t>
    </r>
    <r>
      <rPr>
        <b/>
        <sz val="10"/>
        <rFont val="Arial"/>
        <family val="2"/>
      </rPr>
      <t xml:space="preserve"> </t>
    </r>
    <r>
      <rPr>
        <sz val="10"/>
        <rFont val="Arial"/>
        <family val="2"/>
      </rPr>
      <t>Hasha in UB, 2006</t>
    </r>
  </si>
  <si>
    <t>Proposal (12/29/06), 102</t>
  </si>
  <si>
    <t>Proposal (12/29/06), 103</t>
  </si>
  <si>
    <t>Fraction of people in UB ger area benefiting from MCC project</t>
  </si>
  <si>
    <t>ha</t>
  </si>
  <si>
    <t>No</t>
  </si>
  <si>
    <t>Service type</t>
  </si>
  <si>
    <t xml:space="preserve">Total as of (2002-2005)  </t>
  </si>
  <si>
    <t>number</t>
  </si>
  <si>
    <t xml:space="preserve">State registration of total property rights </t>
  </si>
  <si>
    <t xml:space="preserve">Initial registration and certification of ownership rights </t>
  </si>
  <si>
    <t>Out of which</t>
  </si>
  <si>
    <t>Privatized land from the state at no cost</t>
  </si>
  <si>
    <t>-</t>
  </si>
  <si>
    <t>Privatized apartment from the state at no cost</t>
  </si>
  <si>
    <t>Other immovable properties</t>
  </si>
  <si>
    <t>Inquiries</t>
  </si>
  <si>
    <t>Other registrations  /preliminary remarks, corrections, changes, etc /</t>
  </si>
  <si>
    <t xml:space="preserve">Total contracts </t>
  </si>
  <si>
    <t xml:space="preserve">Out of which </t>
  </si>
  <si>
    <t>Morgage Contracts</t>
  </si>
  <si>
    <t>Contracts of sale and purchase</t>
  </si>
  <si>
    <t>Gift Contract</t>
  </si>
  <si>
    <t>Will and Heritage</t>
  </si>
  <si>
    <t>Registration of other contracts</t>
  </si>
  <si>
    <t>Total individual records</t>
  </si>
  <si>
    <t>Some indicators of registration activities</t>
  </si>
  <si>
    <t xml:space="preserve">Types of Contracts to Transfer Ownership Rights </t>
  </si>
  <si>
    <t>Service Types</t>
  </si>
  <si>
    <t>Total Cost of the Constract to Transfer Ownership Rights (Tugrugs)</t>
  </si>
  <si>
    <t xml:space="preserve">Service charge </t>
  </si>
  <si>
    <t>To buy and to sell</t>
  </si>
  <si>
    <t xml:space="preserve">Up to 10.000.000 </t>
  </si>
  <si>
    <t xml:space="preserve">Up to 10.000.001-100.000.000 </t>
  </si>
  <si>
    <t>Above 100.000.001</t>
  </si>
  <si>
    <t>To give</t>
  </si>
  <si>
    <t xml:space="preserve">To exchange </t>
  </si>
  <si>
    <t xml:space="preserve">Each parties of the Contract without depending on property cost, size and purpose </t>
  </si>
  <si>
    <t xml:space="preserve">To inherit </t>
  </si>
  <si>
    <t xml:space="preserve">Not depending on property cost, size and purpose </t>
  </si>
  <si>
    <t xml:space="preserve">By court decision </t>
  </si>
  <si>
    <t>Not depending on property cost, size and purpose</t>
  </si>
  <si>
    <t xml:space="preserve">By Owner’s request </t>
  </si>
  <si>
    <t xml:space="preserve">Sold at auction </t>
  </si>
  <si>
    <t>days</t>
  </si>
  <si>
    <t>(Proposal Table 2, a/o Dec 31, 2005), p. 110</t>
  </si>
  <si>
    <t>Table 3 (Proposal pp. 110-111)</t>
  </si>
  <si>
    <t>Proposal (12/29/06), 111</t>
  </si>
  <si>
    <t>Typical processing time at State Registry</t>
  </si>
  <si>
    <t xml:space="preserve">Number of citizen requested for land privatization  </t>
  </si>
  <si>
    <t>Number of households got land privatization right</t>
  </si>
  <si>
    <t>Total land privatization request and permission in regional centers</t>
  </si>
  <si>
    <t>Number of citizen who has hasha plots in regional centers</t>
  </si>
  <si>
    <t>Number of citizens applied  in new area for land privatization</t>
  </si>
  <si>
    <t>Number of citizens obtained land privatization right in new area</t>
  </si>
  <si>
    <t>Number of citizen who has hasha plots in new area in regional centers</t>
  </si>
  <si>
    <t>UB district</t>
  </si>
  <si>
    <t>Bayangol</t>
  </si>
  <si>
    <t>Bayanzurh</t>
  </si>
  <si>
    <t>Sukhbaatar</t>
  </si>
  <si>
    <t>Songinohairhan</t>
  </si>
  <si>
    <t>Khan-Uul</t>
  </si>
  <si>
    <t>Chingeltei</t>
  </si>
  <si>
    <t>Baganuur</t>
  </si>
  <si>
    <t>Bagakhangai</t>
  </si>
  <si>
    <t>Nalaih</t>
  </si>
  <si>
    <t>Number of citizen requested for land privatization application</t>
  </si>
  <si>
    <t>Total land privatization request and permission in UB</t>
  </si>
  <si>
    <t>Number of citizen who has hasha plots in UB</t>
  </si>
  <si>
    <t>Number of citizen who has hasha plots in new area in UB</t>
  </si>
  <si>
    <t>Number of hashaas in UB that cannot obtain privatization permits (due to conflict with infrastructure ROWs, etc.)</t>
  </si>
  <si>
    <t>Proposal (12/29/06), 117</t>
  </si>
  <si>
    <t>Number of hashaas in Mongolia privatized to date</t>
  </si>
  <si>
    <t>Proposal (12/29/06), 113</t>
  </si>
  <si>
    <t>$</t>
  </si>
  <si>
    <t>Proposal (12/29/06), 114</t>
  </si>
  <si>
    <t>Cost of cadastral measurement and cartography per hashaa in UB</t>
  </si>
  <si>
    <t>Increase in hashaa price due to registration</t>
  </si>
  <si>
    <t>Proposal (12/29/06), 131</t>
  </si>
  <si>
    <t>Kharkhorin</t>
  </si>
  <si>
    <t>Undurkhaan</t>
  </si>
  <si>
    <t>Number of HH in Darkhan with privatized land that have taken out loans</t>
  </si>
  <si>
    <t>Total number of weeks for privatization and registration process in Darkhan</t>
  </si>
  <si>
    <t>Percent of hasha plots in Darkhan that have been privatized</t>
  </si>
  <si>
    <t>Minimum title-based loan in Darkhan</t>
  </si>
  <si>
    <t>Number of registered properties in Darkhan</t>
  </si>
  <si>
    <t>Fraction of privatized HH in ger area near Darkhan</t>
  </si>
  <si>
    <t>Fraction of CHF loans for business purposes</t>
  </si>
  <si>
    <t>Fraction of CHF loans for consumer purposes</t>
  </si>
  <si>
    <t>Fraction of CHF loans for housing purchase</t>
  </si>
  <si>
    <t>Khas Bank gives loans up to this amount for empty hashaa plots</t>
  </si>
  <si>
    <t>Khas, Khan Bank annual interest rate</t>
  </si>
  <si>
    <t>%</t>
  </si>
  <si>
    <t>Current cost of property registration</t>
  </si>
  <si>
    <t>Copy of ADB project documents for MON-1847</t>
  </si>
  <si>
    <r>
      <t>2005 average house price per m</t>
    </r>
    <r>
      <rPr>
        <vertAlign val="superscript"/>
        <sz val="10"/>
        <rFont val="Arial"/>
        <family val="2"/>
      </rPr>
      <t>2</t>
    </r>
    <r>
      <rPr>
        <sz val="10"/>
        <rFont val="Arial"/>
        <family val="2"/>
      </rPr>
      <t xml:space="preserve">, UB ger areas survey </t>
    </r>
  </si>
  <si>
    <t xml:space="preserve">2005 average house size, UB ger areas survey </t>
  </si>
  <si>
    <r>
      <t>2005 average plot price per m</t>
    </r>
    <r>
      <rPr>
        <vertAlign val="superscript"/>
        <sz val="10"/>
        <rFont val="Arial"/>
        <family val="2"/>
      </rPr>
      <t>2</t>
    </r>
    <r>
      <rPr>
        <sz val="10"/>
        <rFont val="Arial"/>
        <family val="2"/>
      </rPr>
      <t xml:space="preserve">, UB ger areas survey </t>
    </r>
  </si>
  <si>
    <t xml:space="preserve">2005 average plot size, UB ger areas survey </t>
  </si>
  <si>
    <r>
      <t>2005 average house price</t>
    </r>
    <r>
      <rPr>
        <sz val="10"/>
        <rFont val="Arial"/>
        <family val="2"/>
      </rPr>
      <t xml:space="preserve">, UB ger areas survey </t>
    </r>
  </si>
  <si>
    <r>
      <t>2005 average plot price</t>
    </r>
    <r>
      <rPr>
        <sz val="10"/>
        <rFont val="Arial"/>
        <family val="2"/>
      </rPr>
      <t xml:space="preserve">, UB ger areas survey </t>
    </r>
  </si>
  <si>
    <t>Downtown</t>
  </si>
  <si>
    <t>Empty hashaa</t>
  </si>
  <si>
    <t>Ger</t>
  </si>
  <si>
    <t>Cumulative number of hashaas privatized</t>
  </si>
  <si>
    <r>
      <t xml:space="preserve">Fraction of privatized hashaas in Mongolia currently </t>
    </r>
    <r>
      <rPr>
        <i/>
        <sz val="10"/>
        <rFont val="Arial"/>
        <family val="2"/>
      </rPr>
      <t>registered</t>
    </r>
  </si>
  <si>
    <r>
      <t xml:space="preserve">Fraction of privatized hashaas in Mongolia </t>
    </r>
    <r>
      <rPr>
        <sz val="10"/>
        <rFont val="Arial"/>
        <family val="2"/>
      </rPr>
      <t>registered by end of project</t>
    </r>
  </si>
  <si>
    <t>Cumulative number of hashaas registered</t>
  </si>
  <si>
    <t>$US</t>
  </si>
  <si>
    <t>Units</t>
  </si>
  <si>
    <t>Housing improvement loans by NBFIs in Darkhan &amp; Zuunmod, 2004</t>
  </si>
  <si>
    <t>JFPR handout, Prop Rts folder</t>
  </si>
  <si>
    <t>Average size of housing improvement loans by NBFIs in Darkhan &amp; Zuunmod, 2004</t>
  </si>
  <si>
    <t>Housing improvement loans by NBFIs in UB, 2004</t>
  </si>
  <si>
    <t>Average size of housing improvement loans by NBFIs in UB, 2004</t>
  </si>
  <si>
    <t>Current cost of property privatization</t>
  </si>
  <si>
    <t>CHF "Ger initiative" docs</t>
  </si>
  <si>
    <t>Total time to privatize</t>
  </si>
  <si>
    <t>Tugrik/$</t>
  </si>
  <si>
    <t>Number of hashaas registered</t>
  </si>
  <si>
    <t>Rental price as fraction of sales price</t>
  </si>
  <si>
    <t xml:space="preserve">Fixed </t>
  </si>
  <si>
    <t>quantities</t>
  </si>
  <si>
    <t>Ulaanbataar</t>
  </si>
  <si>
    <t>Assumption</t>
  </si>
  <si>
    <t>Total number of hashaas in UB and 8 pillar center cities</t>
  </si>
  <si>
    <t>Average number of households per hashaa</t>
  </si>
  <si>
    <t>Average number of hectares per household</t>
  </si>
  <si>
    <t>Average number of hectares per hashaa</t>
  </si>
  <si>
    <t>Annex 1.2 - Basic data</t>
  </si>
  <si>
    <t>Costs ($US)</t>
  </si>
  <si>
    <t>Number of househols got land privatization right</t>
  </si>
  <si>
    <t>Number of hashaas privatized by year</t>
  </si>
  <si>
    <t>Inflation rate 2005</t>
  </si>
  <si>
    <t>Inflation rate 2006</t>
  </si>
  <si>
    <t>WDI</t>
  </si>
  <si>
    <t>Average (annual) real rental price of registered land</t>
  </si>
  <si>
    <t># of privatizations</t>
  </si>
  <si>
    <t>Cumulative numbers of registered hashas by city</t>
  </si>
  <si>
    <t>IMF SISA, Jan 2007, Table 32, p. 78</t>
  </si>
  <si>
    <t>Growth rate in value of credit extended to private real estate sector, 2001-2006 (mid-year)</t>
  </si>
  <si>
    <t>Year</t>
  </si>
  <si>
    <t>Total credit to non-government sector</t>
  </si>
  <si>
    <t>2006 
(Jan-Jun)</t>
  </si>
  <si>
    <t xml:space="preserve">   Value of credit 
   extended to private 
   real estate sector</t>
  </si>
  <si>
    <t xml:space="preserve">   Of this, fraction to 
   real estate sector</t>
  </si>
  <si>
    <t>--</t>
  </si>
  <si>
    <t>CAGR,
2001-2006 (first half)</t>
  </si>
  <si>
    <t>Estimated value of credit extended to individuals in real estate sector</t>
  </si>
  <si>
    <t>CAGR,
2003-2006 (first half)</t>
  </si>
  <si>
    <t>(Source: IMF SISA, Jan 2007, Table 32, p. 78)</t>
  </si>
  <si>
    <t>Fraction of total nongovernment credit given to individuals</t>
  </si>
  <si>
    <t>Depreciation rate for houses to convert house values to imputed rents</t>
  </si>
  <si>
    <t>Depreciation rate for gers to convert ger values to imputed rents</t>
  </si>
  <si>
    <t>Xac Bank average loan size, small business</t>
  </si>
  <si>
    <t>Xac Bank average loan size, consumption loan</t>
  </si>
  <si>
    <t>Savings per loan in processing cost that National Land Information System will save</t>
  </si>
  <si>
    <t>Lending rate (Khaan Bank), ger residents</t>
  </si>
  <si>
    <t>Leonard Rolfes, Notes from Loan Officer Meetings, March 28, 2007</t>
  </si>
  <si>
    <t>Lending rate (Xac Bank), apt. mortgages</t>
  </si>
  <si>
    <t>Lending rate (Xac Bank), consumption loans</t>
  </si>
  <si>
    <t>Lending rate (Xac Bank), ger residents</t>
  </si>
  <si>
    <t>Xac Bank estimated current number of ger area clients in Mongolia</t>
  </si>
  <si>
    <t>Khaan Bank estimated current number of ger area clients in Mongolia</t>
  </si>
  <si>
    <t>Rate of privatization for unprivatized households in UB, 2005</t>
  </si>
  <si>
    <t>CAGR of value of credit extended to individuals in real estate sector, 2003-2006 (mid-year)</t>
  </si>
  <si>
    <t>Average degree of leverage (= loan principal as fraction of total investment) for ger residents' borrowing</t>
  </si>
  <si>
    <t>Aggregate imputed property/housing rental flows for registered hashas by city</t>
  </si>
  <si>
    <t>Aggregate property/housing values for registered hashas by city</t>
  </si>
  <si>
    <t>y</t>
  </si>
  <si>
    <t>Average term of loans to ger residents</t>
  </si>
  <si>
    <t>Fraction of Khaan Bank borrowers using immovable property to secure their loans</t>
  </si>
  <si>
    <t>Maximum loan value as a fraction of property value</t>
  </si>
  <si>
    <t>Average loan value as a fraction of maximum loan value (above), e.g., 75% of 60% implies average loan value = 45% of property value</t>
  </si>
  <si>
    <t>Fraction of currently registered hasha plots who have outstanding bank credit</t>
  </si>
  <si>
    <t>Fraction of currently registered hasha plots who have obtained bank credit (2006) (assume equal to # of loans outstanding)</t>
  </si>
  <si>
    <t>Y1</t>
  </si>
  <si>
    <t>Y2</t>
  </si>
  <si>
    <t>Y3</t>
  </si>
  <si>
    <t>Y4</t>
  </si>
  <si>
    <t>Ulaanbataar total, Y1-Y4</t>
  </si>
  <si>
    <t>Darkhan total, Y1-Y4</t>
  </si>
  <si>
    <t>Erdenet total, Y1-Y4</t>
  </si>
  <si>
    <t>Khovd total, Y1-Y4</t>
  </si>
  <si>
    <t>Choibalsan total, Y1-Y4</t>
  </si>
  <si>
    <t>Uliastai total, Y1-Y4</t>
  </si>
  <si>
    <t>Kharkhorin total, Y1-Y4</t>
  </si>
  <si>
    <t>Zuunmod total, Y1-Y4</t>
  </si>
  <si>
    <t>Undurkhaan total, Y1-Y4</t>
  </si>
  <si>
    <t>Average loan default rate</t>
  </si>
  <si>
    <t>Outstanding loan amounts by city</t>
  </si>
  <si>
    <t>Improved</t>
  </si>
  <si>
    <t>Unimproved</t>
  </si>
  <si>
    <t>Upper bound on lending to individuals for real estate</t>
  </si>
  <si>
    <t>Inflation rate 2004</t>
  </si>
  <si>
    <t>Inflation rate 2003 (CPI)</t>
  </si>
  <si>
    <r>
      <t>Average size of hashaas in UB, m</t>
    </r>
    <r>
      <rPr>
        <vertAlign val="superscript"/>
        <sz val="10"/>
        <rFont val="Arial"/>
        <family val="2"/>
      </rPr>
      <t>2</t>
    </r>
  </si>
  <si>
    <t>Average prices of hashaas in UB, nominal $</t>
  </si>
  <si>
    <t>Average prices of hashaas in UB, real 2006 $</t>
  </si>
  <si>
    <r>
      <t>Average price/m</t>
    </r>
    <r>
      <rPr>
        <vertAlign val="superscript"/>
        <sz val="10"/>
        <rFont val="Arial"/>
        <family val="2"/>
      </rPr>
      <t>2</t>
    </r>
    <r>
      <rPr>
        <sz val="10"/>
        <rFont val="Arial"/>
        <family val="2"/>
      </rPr>
      <t xml:space="preserve"> of hashaas in UB, nominal $/m</t>
    </r>
    <r>
      <rPr>
        <vertAlign val="superscript"/>
        <sz val="10"/>
        <rFont val="Arial"/>
        <family val="2"/>
      </rPr>
      <t>2</t>
    </r>
  </si>
  <si>
    <r>
      <t>Average price/m</t>
    </r>
    <r>
      <rPr>
        <vertAlign val="superscript"/>
        <sz val="10"/>
        <rFont val="Arial"/>
        <family val="2"/>
      </rPr>
      <t>2</t>
    </r>
    <r>
      <rPr>
        <sz val="10"/>
        <rFont val="Arial"/>
        <family val="2"/>
      </rPr>
      <t xml:space="preserve"> of hashaas in UB, real 2006$/m</t>
    </r>
    <r>
      <rPr>
        <vertAlign val="superscript"/>
        <sz val="10"/>
        <rFont val="Arial"/>
        <family val="2"/>
      </rPr>
      <t>2</t>
    </r>
  </si>
  <si>
    <t>Conversion factor 2003--&gt;2006</t>
  </si>
  <si>
    <t>Conversion factor 2004--&gt;2006</t>
  </si>
  <si>
    <t>Conversion factor 2005--&gt;2006</t>
  </si>
  <si>
    <t>Property values (See also table at AZ 187)</t>
  </si>
  <si>
    <t>AAGR,</t>
  </si>
  <si>
    <t>2003-05</t>
  </si>
  <si>
    <t>Computed from CHF 2005 survey</t>
  </si>
  <si>
    <t>Assumption, based on above</t>
  </si>
  <si>
    <t>Note</t>
  </si>
  <si>
    <t>As of June 2006, real estate loans comprised 2.5% (see calculation for "Upper bound on lending to individuals for real estate" above) of total bank credit, so it is safe to assume that interest rates are approximately invariant to lending volume over the course of project.</t>
  </si>
  <si>
    <t>Assume that above loan amounts are matched by own funds at the following levels</t>
  </si>
  <si>
    <t>Intermediated investment</t>
  </si>
  <si>
    <t>Borrowed funds invested</t>
  </si>
  <si>
    <t>Own funds invested</t>
  </si>
  <si>
    <t>Total funds invested due to financial intermediation</t>
  </si>
  <si>
    <t>Ratio of own capital to loan capital in intermediated investment</t>
  </si>
  <si>
    <t>Total (= Intermediated + Unintermediated)</t>
  </si>
  <si>
    <t>Investment impacts of titling from the literature</t>
  </si>
  <si>
    <t>Net increase in investment in Paraguay study</t>
  </si>
  <si>
    <t>Increase in amount of investment for titled as a percentage of untitled farmers in Thailand</t>
  </si>
  <si>
    <t>Increase in amount of investment for titled as a percentage of untitled farmers in Honduras</t>
  </si>
  <si>
    <t>Increase in propensity of investment under "full registration" in Nicaragua study</t>
  </si>
  <si>
    <t>Increase in probability of investment under "rights without approval" in Ghana study--Wassa region</t>
  </si>
  <si>
    <t>Increase in probability of investment with title acquisition in Peru</t>
  </si>
  <si>
    <t>Investment assumptions</t>
  </si>
  <si>
    <t>Increase in probability of investment under "rights with/without approval" in Ghana study--Anloga region</t>
  </si>
  <si>
    <t>Fraction of population who save</t>
  </si>
  <si>
    <t>HIES-LSMS 2003, p. 31</t>
  </si>
  <si>
    <t>Fraction of population who invest</t>
  </si>
  <si>
    <t>Gross domestic savings as % of GDP, 2004</t>
  </si>
  <si>
    <t>Assumed equal to above</t>
  </si>
  <si>
    <t>Mongolia at a glance (WB), using 2005 GDP, pop'n figures</t>
  </si>
  <si>
    <t>Real GDP growth rate, 2006</t>
  </si>
  <si>
    <t>Computed</t>
  </si>
  <si>
    <t>Increase in probability of investment with title in Madagascar</t>
  </si>
  <si>
    <t>Fraction of savings invested</t>
  </si>
  <si>
    <t>Mean of increase of probability of investment from above studies</t>
  </si>
  <si>
    <t>Fraction of total hashaas in Mongolia registered</t>
  </si>
  <si>
    <t>Household size</t>
  </si>
  <si>
    <t>Average annual savings (all sources) per capita</t>
  </si>
  <si>
    <t>Average annual savings (HH only) per capita</t>
  </si>
  <si>
    <t>HH savings as a fraction of total savings</t>
  </si>
  <si>
    <t>Average annual savings (all sources) per capita, 2006</t>
  </si>
  <si>
    <t>Average annual savings (HH only) per capita, 2006</t>
  </si>
  <si>
    <t>Average annual investment per titled hashaa, 2006</t>
  </si>
  <si>
    <t>Average annual rate of growth in gross domestic savings as % of GDP, 1999-2004</t>
  </si>
  <si>
    <t>General economic data</t>
  </si>
  <si>
    <t>Real GDP growth</t>
  </si>
  <si>
    <t>Cap on gross domestic savings as % of GDP</t>
  </si>
  <si>
    <t>Gross domestic savings as % of GDP</t>
  </si>
  <si>
    <t>Rate of population growth</t>
  </si>
  <si>
    <t>Real GDP per capita growth</t>
  </si>
  <si>
    <t>Population growth rate, 2006</t>
  </si>
  <si>
    <t>Real GDP per capita</t>
  </si>
  <si>
    <t>$2006 per person</t>
  </si>
  <si>
    <t>Population, 2006 (mid-year)</t>
  </si>
  <si>
    <t>IMF SISA (Jan 2007), p. 47, Table 1 - Mongolia: Basic Data</t>
  </si>
  <si>
    <t>Macroeconomy, Population</t>
  </si>
  <si>
    <t>Unintermediated (own funds; for all cities)</t>
  </si>
  <si>
    <t>Mean of increase of amount of investment due to titling from above studies</t>
  </si>
  <si>
    <t>Average annual investment per capita (unregistered)</t>
  </si>
  <si>
    <t>Average annual investment per hashaa (unregistered)</t>
  </si>
  <si>
    <t>Average annual investment per capita (unregistered), 2006</t>
  </si>
  <si>
    <t>Average annual investment per hashaa (unregistered), 2006</t>
  </si>
  <si>
    <t>Average annual investment per hashaa (registered)</t>
  </si>
  <si>
    <r>
      <t xml:space="preserve">Percent hashaas </t>
    </r>
    <r>
      <rPr>
        <u/>
        <sz val="10"/>
        <rFont val="Arial"/>
        <family val="2"/>
      </rPr>
      <t>unregistered</t>
    </r>
    <r>
      <rPr>
        <sz val="10"/>
        <rFont val="Arial"/>
        <family val="2"/>
      </rPr>
      <t xml:space="preserve"> </t>
    </r>
    <r>
      <rPr>
        <sz val="10"/>
        <rFont val="Arial"/>
        <family val="2"/>
      </rPr>
      <t>in UB and 8 pillar center cities</t>
    </r>
  </si>
  <si>
    <r>
      <t xml:space="preserve">Percent hashaas </t>
    </r>
    <r>
      <rPr>
        <u/>
        <sz val="10"/>
        <rFont val="Arial"/>
        <family val="2"/>
      </rPr>
      <t>registered</t>
    </r>
    <r>
      <rPr>
        <sz val="10"/>
        <rFont val="Arial"/>
        <family val="2"/>
      </rPr>
      <t xml:space="preserve"> </t>
    </r>
    <r>
      <rPr>
        <sz val="10"/>
        <rFont val="Arial"/>
        <family val="2"/>
      </rPr>
      <t>in UB and 8 pillar center cities</t>
    </r>
  </si>
  <si>
    <t>Fraction of above increase expected to apply in Mongolia</t>
  </si>
  <si>
    <t>Mean of increase of amount of investment due to property registration in Mongolia</t>
  </si>
  <si>
    <t>Key assumption</t>
  </si>
  <si>
    <t>Average annual investment per hashaa (wtd avg of unregistered &amp; registered)</t>
  </si>
  <si>
    <t xml:space="preserve">Average annual investment </t>
  </si>
  <si>
    <t>TOTAL</t>
  </si>
  <si>
    <t>By city:</t>
  </si>
  <si>
    <t>Business purpose loans</t>
  </si>
  <si>
    <t>Returns</t>
  </si>
  <si>
    <t>Consumer purpose loans</t>
  </si>
  <si>
    <t>Housing loans</t>
  </si>
  <si>
    <t>Average interest rate for ger residents' business loans</t>
  </si>
  <si>
    <t>See data above</t>
  </si>
  <si>
    <t>Assumed equal to NPL/total gross loans, 2006</t>
  </si>
  <si>
    <t>Default rate (% of volume of lending)</t>
  </si>
  <si>
    <t>Average rate of return premium above lending rate for microenterprise investments not in default</t>
  </si>
  <si>
    <t>Average rate of return for microenterprise investments in default</t>
  </si>
  <si>
    <t>Average returns (accounting for defaults)</t>
  </si>
  <si>
    <t>Average real rates of return on investment</t>
  </si>
  <si>
    <t>Fraction of local VA in turnover</t>
  </si>
  <si>
    <t>Turnover = Consumer spending = Loan principal</t>
  </si>
  <si>
    <t>Payoff related to value added: Assume</t>
  </si>
  <si>
    <t>Hashaa with winter house</t>
  </si>
  <si>
    <t>Empty hashaa + Ger</t>
  </si>
  <si>
    <t>Cashflow worksheet</t>
  </si>
  <si>
    <t>Fraction of total investment for housing purchase</t>
  </si>
  <si>
    <t>Total housing investments by city</t>
  </si>
  <si>
    <t>Aggregate imputed housing rental flows for winter houses on hashas by city</t>
  </si>
  <si>
    <t>Nominal GDP (= Real GDP for 2006 base year)</t>
  </si>
  <si>
    <t>$/person</t>
  </si>
  <si>
    <t>Nominal GDP (=Real GDP) per capita, 2006</t>
  </si>
  <si>
    <t>Returns from business loans</t>
  </si>
  <si>
    <t>Returns from consumer loans</t>
  </si>
  <si>
    <t>Returns from housing loans</t>
  </si>
  <si>
    <t>Returns on investments</t>
  </si>
  <si>
    <t>Benefits ($US2006)</t>
  </si>
  <si>
    <r>
      <t>$/m</t>
    </r>
    <r>
      <rPr>
        <i/>
        <vertAlign val="superscript"/>
        <sz val="10"/>
        <rFont val="Arial"/>
        <family val="2"/>
      </rPr>
      <t>2</t>
    </r>
  </si>
  <si>
    <r>
      <t>m</t>
    </r>
    <r>
      <rPr>
        <i/>
        <vertAlign val="superscript"/>
        <sz val="10"/>
        <rFont val="Arial"/>
        <family val="2"/>
      </rPr>
      <t>2</t>
    </r>
  </si>
  <si>
    <t>Savings in processing costs per loan due to NLIS investment</t>
  </si>
  <si>
    <t>Distribution</t>
  </si>
  <si>
    <t>Key:</t>
  </si>
  <si>
    <r>
      <t xml:space="preserve">Bold italic </t>
    </r>
    <r>
      <rPr>
        <sz val="10"/>
        <rFont val="Arial"/>
        <family val="2"/>
      </rPr>
      <t>figures directly enter the ERR net benefit stream</t>
    </r>
  </si>
  <si>
    <r>
      <t>Bold</t>
    </r>
    <r>
      <rPr>
        <sz val="10"/>
        <rFont val="Arial"/>
        <family val="2"/>
      </rPr>
      <t xml:space="preserve"> denotes totals</t>
    </r>
  </si>
  <si>
    <t>Without project scenario</t>
  </si>
  <si>
    <t>With project scenario</t>
  </si>
  <si>
    <t>Assumed national privatization rate for unprivatized households, WITH PROJECT (2005-)</t>
  </si>
  <si>
    <t>Assumption based on above row (rate of privatization)</t>
  </si>
  <si>
    <t>Assumption based on 2 rows above (rate of privatization)</t>
  </si>
  <si>
    <t>Average annual real price increase for improved hashaa in UB, WITH PROJECT</t>
  </si>
  <si>
    <t>Average annual real price increase for improved hashaa in other cities, WITH PROJECT</t>
  </si>
  <si>
    <t>Assumed national privatization rate for unprivatized households, WITHOUT PROJECT (2005-) as a fraction of with-project rate (above)</t>
  </si>
  <si>
    <t>Assumption (linked to outlined cell at top left)</t>
  </si>
  <si>
    <t>Currently registered hasha plots who have obtained bank credit (2006) WITHOUT PROJECT as a fraction of those who have done so with project</t>
  </si>
  <si>
    <t>Growth in above fraction from 2007, WITH PROJECT</t>
  </si>
  <si>
    <t>TOTAL GROSS BENEFITS ($US2006)</t>
  </si>
  <si>
    <t>TOTAL NET BENEFITS ($US2006) - all cities, with project beginning 2007</t>
  </si>
  <si>
    <t>Average annual real price increase for unimproved hashaa in other cities, 2005 WITH PROJECT</t>
  </si>
  <si>
    <t>Average annual real price increase for unimproved hashaa in UB, 2005 WITH PROJECT</t>
  </si>
  <si>
    <t>Average annual real price increase (beginning in 2007) for unimproved hashaa in UB, WITHOUT PROJECT as a fraction of with-project rate of price increase</t>
  </si>
  <si>
    <t>Average annual real price increase (beginning in 2007) for improved hashaa in UB, WITHOUT PROJECT, as a fraction of with-project rate of price increase</t>
  </si>
  <si>
    <t>Average annual real price increase (beginning in 2007) for unimproved hashaa in other cities, WITHOUT PROJECT, as a fraction of with-project rate of price increase</t>
  </si>
  <si>
    <t>Average annual real price increase (beginning in 2007) for improved hashaa in other cities, WITHOUT PROJECT, as a fraction of with-project rate of price increase</t>
  </si>
  <si>
    <t>Year-on-year decay rate of real price increases for hashaas, WITH &amp; WITHOUT PROJECT</t>
  </si>
  <si>
    <r>
      <t xml:space="preserve">Percentage increase in registration rate for privatized hashaas, beginning 2009 (based on above </t>
    </r>
    <r>
      <rPr>
        <i/>
        <sz val="10"/>
        <rFont val="Arial"/>
        <family val="2"/>
      </rPr>
      <t xml:space="preserve">average </t>
    </r>
    <r>
      <rPr>
        <sz val="10"/>
        <rFont val="Arial"/>
        <family val="2"/>
      </rPr>
      <t>rate for fraction of privatized hashaas currently registered)</t>
    </r>
  </si>
  <si>
    <t>Incremental (WP-WOP) benefits &amp; costs</t>
  </si>
  <si>
    <t>ERR =</t>
  </si>
  <si>
    <t>ERR</t>
  </si>
  <si>
    <t>General notes</t>
  </si>
  <si>
    <t>Keep in mind the average numbers of HH/hashaa (under "General property statistics" above).  The analysis here is in terms of hashaas, so to compute impacts per HH, we need to divide by this figure.</t>
  </si>
  <si>
    <t>Price of ger + hashaa (i.e., "unimproved hashaa"), by city</t>
  </si>
  <si>
    <t>For Registry Upgrade, Khashaa Reg. project alone</t>
  </si>
  <si>
    <t>Summary: Total number of HH access new credit in given year</t>
  </si>
  <si>
    <t>Project costs, incl. project admin.</t>
  </si>
  <si>
    <t># Hashaas registered, Compact Y1</t>
  </si>
  <si>
    <t># Hashaas registered, Compact Y2</t>
  </si>
  <si>
    <t># Hashaas registered, Compact Y3</t>
  </si>
  <si>
    <t># Hashaas registered, Compact Y4</t>
  </si>
  <si>
    <t># Hashaas registered, Compact Y5</t>
  </si>
  <si>
    <t>Value of an average improvement</t>
  </si>
  <si>
    <t>Assumption - use this as minimum gap btw. improved/unimproved value</t>
  </si>
  <si>
    <t>CHF 2005 survey appears to be an anomaly - use unimproved price increase</t>
  </si>
  <si>
    <t>HIES-LSMS 2002-03, p. 71 (App. B) (made more conservative)</t>
  </si>
  <si>
    <t>Compact year</t>
  </si>
  <si>
    <t>0 (CIF)</t>
  </si>
  <si>
    <t>Program admin + M&amp;E</t>
  </si>
  <si>
    <t>(2007 here = calendar year 2008 (CIF year))</t>
  </si>
  <si>
    <t>Incremental benefits net of all but MCC costs</t>
  </si>
  <si>
    <t>ERR and sensitivity analysis</t>
  </si>
  <si>
    <t>Description of key parameters</t>
  </si>
  <si>
    <t>Parameter values</t>
  </si>
  <si>
    <t xml:space="preserve">Values used in ERR computation </t>
  </si>
  <si>
    <t xml:space="preserve">Economic rate of return (ERR): </t>
  </si>
  <si>
    <t>Data &amp; Assumptions</t>
  </si>
  <si>
    <t>Internal documents, "M&amp;E of Activities: Property Rights indicators"</t>
  </si>
  <si>
    <t>12/06 Meeting Notes, 20</t>
  </si>
  <si>
    <t>12/06 Meeting Notes, 22</t>
  </si>
  <si>
    <t>12/06 Meeting Notes, 23</t>
  </si>
  <si>
    <t>12/06 Meeting Notes, 25</t>
  </si>
  <si>
    <t>Internal communication 3/22/07</t>
  </si>
  <si>
    <t>12/06 Meeting Notes, 12</t>
  </si>
  <si>
    <t>12/06 Meeting Notes, 26</t>
  </si>
  <si>
    <t>12/06 Meeting Notes, 27</t>
  </si>
  <si>
    <t>Contractor analysis</t>
  </si>
  <si>
    <t>Increase in value of investment due to property registration</t>
  </si>
  <si>
    <t>0 - 118%</t>
  </si>
  <si>
    <t>The worksheet offers detailed data tables from external or partner sources that were used as part of the ERR calculations</t>
  </si>
  <si>
    <t>0.1 - 18.6%</t>
  </si>
  <si>
    <t>0 - 6%</t>
  </si>
  <si>
    <t>0 - 14%</t>
  </si>
  <si>
    <t>Number of Hashaas registered annually (in Year 2 and later)</t>
  </si>
  <si>
    <t>15,000 - 21,000</t>
  </si>
  <si>
    <t>Project name</t>
  </si>
  <si>
    <t>Property Rights – Registry</t>
  </si>
  <si>
    <t>Amount of MCC funds</t>
  </si>
  <si>
    <t>$16.7 million</t>
  </si>
  <si>
    <t>Estimated ERR and time horizon</t>
  </si>
  <si>
    <t>Benefit streams included in ERR</t>
  </si>
  <si>
    <t>Costs included in ERR (other than costs borne by MCC)</t>
  </si>
  <si>
    <t>Project description</t>
  </si>
  <si>
    <t>Plausible Range</t>
  </si>
  <si>
    <t>Last updated:  7/2/2011</t>
  </si>
  <si>
    <t>People/HH</t>
  </si>
  <si>
    <t>Mongolia total</t>
  </si>
  <si>
    <t>Songinokhairkhan, UB</t>
  </si>
  <si>
    <t># Titles</t>
  </si>
  <si>
    <t xml:space="preserve"> Data provided by satelittle imagery and National Statistics Office /2010/ </t>
  </si>
  <si>
    <t xml:space="preserve">Ulaanbaatar </t>
  </si>
  <si>
    <t>№</t>
  </si>
  <si>
    <t>District</t>
  </si>
  <si>
    <t>Total khashaa plots, provided by ILS data</t>
  </si>
  <si>
    <t>Total citizens</t>
  </si>
  <si>
    <t>Total house hold</t>
  </si>
  <si>
    <t xml:space="preserve">Ger area /Statistics data/ </t>
  </si>
  <si>
    <t xml:space="preserve">Building area /statistics data/ </t>
  </si>
  <si>
    <t>Citizen</t>
  </si>
  <si>
    <t>House hold</t>
  </si>
  <si>
    <t>People on per household</t>
  </si>
  <si>
    <t>Household in per khashaa plot</t>
  </si>
  <si>
    <t>Songinokhairkhan</t>
  </si>
  <si>
    <t>Baynzurkh</t>
  </si>
  <si>
    <t>Bayngol</t>
  </si>
  <si>
    <t xml:space="preserve">regional centers and UB </t>
  </si>
  <si>
    <t xml:space="preserve">Administrative unit </t>
  </si>
  <si>
    <t xml:space="preserve">Total Citizens </t>
  </si>
  <si>
    <t>Total household</t>
  </si>
  <si>
    <t>How many people on per househols</t>
  </si>
  <si>
    <r>
      <t>How many household in per khashaa plot</t>
    </r>
    <r>
      <rPr>
        <sz val="11"/>
        <color theme="1"/>
        <rFont val="Times New Roman"/>
        <family val="1"/>
      </rPr>
      <t xml:space="preserve"> </t>
    </r>
  </si>
  <si>
    <r>
      <rPr>
        <b/>
        <sz val="11"/>
        <color theme="1"/>
        <rFont val="Times New Roman"/>
        <family val="1"/>
      </rPr>
      <t>Total khashaa plots</t>
    </r>
    <r>
      <rPr>
        <sz val="11"/>
        <color theme="1"/>
        <rFont val="Times New Roman"/>
        <family val="1"/>
      </rPr>
      <t xml:space="preserve"> </t>
    </r>
  </si>
  <si>
    <t>Ulaanbaatar</t>
  </si>
  <si>
    <t>Darkhan-Uul</t>
  </si>
  <si>
    <t>Dornod</t>
  </si>
  <si>
    <t>Zavkhan</t>
  </si>
  <si>
    <t>Undur-khaan</t>
  </si>
  <si>
    <t>Tuv</t>
  </si>
  <si>
    <t>Khentii</t>
  </si>
  <si>
    <t xml:space="preserve">2005 * </t>
  </si>
  <si>
    <t>2006*</t>
  </si>
  <si>
    <t>2007**</t>
  </si>
  <si>
    <t>2008**</t>
  </si>
  <si>
    <t>2009**</t>
  </si>
  <si>
    <t>2010**</t>
  </si>
  <si>
    <t xml:space="preserve">Note: </t>
  </si>
  <si>
    <t xml:space="preserve">*Data related to all immovable property obtained from GASR /2005-2006/ </t>
  </si>
  <si>
    <t>** GASR data since 2007-2010 are related with land registration only</t>
  </si>
  <si>
    <t>Market value of empty lands for family use in Ulaanbaatar /2011 year/</t>
  </si>
  <si>
    <t>Distination from UB center</t>
  </si>
  <si>
    <t xml:space="preserve">Index  </t>
  </si>
  <si>
    <t xml:space="preserve">Size </t>
  </si>
  <si>
    <t>Districts</t>
  </si>
  <si>
    <t>Average price</t>
  </si>
  <si>
    <t xml:space="preserve">Songino khairkhan </t>
  </si>
  <si>
    <t>6-10 km</t>
  </si>
  <si>
    <t>1 sq.meter</t>
  </si>
  <si>
    <t>700 sq.meter</t>
  </si>
  <si>
    <t>11-15 km</t>
  </si>
  <si>
    <t>16-20 km</t>
  </si>
  <si>
    <t>Market value of empty lands for family use in Ulaanbaatar /2010 year/</t>
  </si>
  <si>
    <t>Weighted average HH size calculation (see cell D18)</t>
  </si>
  <si>
    <t>Assumption based on attached email</t>
  </si>
  <si>
    <t>Total # beneficiaries (people), post 07/11 rescope</t>
  </si>
  <si>
    <t xml:space="preserve">NPV = </t>
  </si>
  <si>
    <t>For QSR</t>
  </si>
  <si>
    <t xml:space="preserve"> </t>
  </si>
  <si>
    <t>TIME IS CHANGING</t>
  </si>
  <si>
    <t>optimistic</t>
  </si>
  <si>
    <t>Mongolia: Property Rights Project</t>
  </si>
  <si>
    <t>Improvement of Land Privatization and Registration System Activity</t>
  </si>
  <si>
    <t>Property Rights - Registry</t>
  </si>
  <si>
    <t>Closeout</t>
  </si>
  <si>
    <t>$15.3 million</t>
  </si>
  <si>
    <t>Table of Contents</t>
  </si>
  <si>
    <t>10% over 20 years</t>
  </si>
  <si>
    <r>
      <t xml:space="preserve">MCC Estimated ERR </t>
    </r>
    <r>
      <rPr>
        <b/>
        <sz val="8"/>
        <rFont val="Arial"/>
        <family val="2"/>
      </rPr>
      <t>(closeout)</t>
    </r>
    <r>
      <rPr>
        <b/>
        <sz val="10"/>
        <rFont val="Arial"/>
        <family val="2"/>
      </rPr>
      <t>:</t>
    </r>
  </si>
  <si>
    <t>38.5% over 20 years</t>
  </si>
  <si>
    <t xml:space="preserve">        e.      Identification and management of environmental, social, health and safety impacts associated with implementation                                                                                     of this activity, consistent with MCC Environmental Guidelines and World Bank Operational Policy 4.12.</t>
  </si>
  <si>
    <t>Land market value as of 2010</t>
  </si>
  <si>
    <t>Land market value as of 2011</t>
  </si>
  <si>
    <t>The worksheet presents data tables from external sources regarding households and khashaa plots.</t>
  </si>
  <si>
    <t>Supplemental Tables 1</t>
  </si>
  <si>
    <t>Supplemental Tables 2.1</t>
  </si>
  <si>
    <t>The worksheet offers detailed data tables from external sources on registration activities.</t>
  </si>
  <si>
    <t>The worksheet presents the market value of empty lands for family use in Ulaanbaatar in 2010</t>
  </si>
  <si>
    <t>The worksheet presents the market value of empty lands for family use in Ulaanbaatar in 2011</t>
  </si>
  <si>
    <t>Last updated: 03/20/2019</t>
  </si>
  <si>
    <t xml:space="preserve">Compact Implementation </t>
  </si>
  <si>
    <t xml:space="preserve">Total Costs </t>
  </si>
  <si>
    <t xml:space="preserve">Total Benefits </t>
  </si>
  <si>
    <t xml:space="preserve">Net Benefits </t>
  </si>
  <si>
    <t xml:space="preserve">ERR </t>
  </si>
  <si>
    <t xml:space="preserve">NPV of Net Benefits </t>
  </si>
  <si>
    <t xml:space="preserve">Present Value (PV) of Benefits </t>
  </si>
  <si>
    <t>Present Value (PV) of Costs</t>
  </si>
  <si>
    <t>Cost-Benefit Summary</t>
  </si>
  <si>
    <t>This worksheet outlines the final ERR cost benefit numbers</t>
  </si>
  <si>
    <t xml:space="preserve">2.      Privatize and register approximately 75,000 land plots in the ger areas of Ulaanbaatar and eight regional or aimag centers.  Specifically, MCC funding will support the following: </t>
  </si>
  <si>
    <t xml:space="preserve">The Property Rights Project sought to improve the national property registration system and help poor households obtain titles to land in ger districts. </t>
  </si>
  <si>
    <t xml:space="preserve">Many low-income rural Mongolians abandoned traditional nomadic herding practices and migrated to cities in search of better jobs and educational opportunities for their children. The bulk of these migrants moved to Mongolia’s three biggest cities—Ulaanbaatar, Erdenet and Darkhan—where they either settled in suburban (ger) districts, rural or peri-urban areas in between urban and rural districts.
Mongolian law allows ger district residents the right to obtain ownership of the land upon which they live. The complexity and expense of the registration process made it difficult for these people to become property owners and fully realize the benefits of property ownership. The Property Rights Project sought to improve the national property registration system and help poor households obtain titles to land in ger districts. 
</t>
  </si>
  <si>
    <t>The Improvement of Land Privatization and Registration System Activity will improve the accuracy, accessibility and efficiency of the formal system for recognizing and transferring land rights and will facilitate issuance of up to 75,000 land plots in the ger areas of Ulaanbaatar and eight regional or aimag centers.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</si>
</sst>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
    <numFmt numFmtId="168" formatCode="_(&quot;$&quot;* #,##0_);_(&quot;$&quot;* \(#,##0\);_(&quot;$&quot;* &quot;-&quot;??_);_(@_)"/>
    <numFmt numFmtId="169" formatCode="0.0E+00"/>
    <numFmt numFmtId="170" formatCode="0.00000%"/>
    <numFmt numFmtId="171" formatCode="0.000000%"/>
    <numFmt numFmtId="172" formatCode="0.0"/>
    <numFmt numFmtId="173" formatCode="0.0;[Red]0.0"/>
    <numFmt numFmtId="174" formatCode="#,##0&quot;₮&quot;;[Red]#,##0&quot;₮&quot;"/>
  </numFmts>
  <fonts count="54" x14ac:knownFonts="1">
    <font>
      <sz val="10"/>
      <name val="Arial"/>
    </font>
    <font>
      <sz val="11"/>
      <color theme="1"/>
      <name val="Calibri"/>
      <family val="2"/>
      <scheme val="minor"/>
    </font>
    <font>
      <sz val="10"/>
      <name val="Arial"/>
      <family val="2"/>
    </font>
    <font>
      <b/>
      <sz val="10"/>
      <name val="Arial"/>
      <family val="2"/>
    </font>
    <font>
      <sz val="8"/>
      <name val="Arial"/>
      <family val="2"/>
    </font>
    <font>
      <b/>
      <sz val="12"/>
      <name val="Arial"/>
      <family val="2"/>
    </font>
    <font>
      <sz val="8"/>
      <color indexed="81"/>
      <name val="Tahoma"/>
      <family val="2"/>
    </font>
    <font>
      <b/>
      <sz val="8"/>
      <color indexed="81"/>
      <name val="Tahoma"/>
      <family val="2"/>
    </font>
    <font>
      <i/>
      <sz val="10"/>
      <name val="Arial"/>
      <family val="2"/>
    </font>
    <font>
      <sz val="10"/>
      <name val="Times New Roman"/>
      <family val="1"/>
    </font>
    <font>
      <sz val="12"/>
      <name val="Times New Roman"/>
      <family val="1"/>
    </font>
    <font>
      <b/>
      <sz val="12"/>
      <name val="Times New Roman"/>
      <family val="1"/>
    </font>
    <font>
      <u/>
      <sz val="10"/>
      <color indexed="12"/>
      <name val="Arial"/>
      <family val="2"/>
    </font>
    <font>
      <sz val="10"/>
      <name val="Arial"/>
      <family val="2"/>
    </font>
    <font>
      <b/>
      <sz val="13"/>
      <name val="Times New Roman"/>
      <family val="1"/>
    </font>
    <font>
      <b/>
      <sz val="13"/>
      <color indexed="8"/>
      <name val="Times New Roman"/>
      <family val="1"/>
    </font>
    <font>
      <sz val="12"/>
      <color indexed="8"/>
      <name val="Times New Roman"/>
      <family val="1"/>
    </font>
    <font>
      <b/>
      <sz val="12"/>
      <color indexed="8"/>
      <name val="Times New Roman"/>
      <family val="1"/>
    </font>
    <font>
      <vertAlign val="superscript"/>
      <sz val="10"/>
      <name val="Arial"/>
      <family val="2"/>
    </font>
    <font>
      <i/>
      <sz val="8"/>
      <color indexed="81"/>
      <name val="Tahoma"/>
      <family val="2"/>
    </font>
    <font>
      <sz val="10"/>
      <color indexed="10"/>
      <name val="Arial"/>
      <family val="2"/>
    </font>
    <font>
      <u/>
      <sz val="10"/>
      <name val="Arial"/>
      <family val="2"/>
    </font>
    <font>
      <b/>
      <i/>
      <sz val="10"/>
      <name val="Arial"/>
      <family val="2"/>
    </font>
    <font>
      <i/>
      <vertAlign val="superscript"/>
      <sz val="10"/>
      <name val="Arial"/>
      <family val="2"/>
    </font>
    <font>
      <b/>
      <sz val="10"/>
      <name val="Arial"/>
      <family val="2"/>
    </font>
    <font>
      <sz val="10"/>
      <name val="Arial"/>
      <family val="2"/>
    </font>
    <font>
      <b/>
      <sz val="10"/>
      <color indexed="23"/>
      <name val="Arial"/>
      <family val="2"/>
    </font>
    <font>
      <sz val="10"/>
      <color indexed="23"/>
      <name val="Arial"/>
      <family val="2"/>
    </font>
    <font>
      <b/>
      <sz val="16"/>
      <name val="Arial"/>
      <family val="2"/>
    </font>
    <font>
      <sz val="14"/>
      <name val="Arial"/>
      <family val="2"/>
    </font>
    <font>
      <b/>
      <sz val="10"/>
      <color indexed="9"/>
      <name val="Arial"/>
      <family val="2"/>
    </font>
    <font>
      <b/>
      <sz val="10"/>
      <color indexed="12"/>
      <name val="Arial"/>
      <family val="2"/>
    </font>
    <font>
      <sz val="10"/>
      <color indexed="12"/>
      <name val="Arial"/>
      <family val="2"/>
    </font>
    <font>
      <sz val="10"/>
      <color indexed="12"/>
      <name val="Arial"/>
      <family val="2"/>
    </font>
    <font>
      <sz val="14"/>
      <name val="Arial"/>
      <family val="2"/>
    </font>
    <font>
      <sz val="8"/>
      <color indexed="17"/>
      <name val="Arial"/>
      <family val="2"/>
    </font>
    <font>
      <b/>
      <sz val="8"/>
      <name val="Arial"/>
      <family val="2"/>
    </font>
    <font>
      <b/>
      <sz val="10"/>
      <color indexed="55"/>
      <name val="Arial"/>
      <family val="2"/>
    </font>
    <font>
      <sz val="10"/>
      <color indexed="9"/>
      <name val="Arial"/>
      <family val="2"/>
    </font>
    <font>
      <b/>
      <sz val="11"/>
      <color theme="1"/>
      <name val="Calibri"/>
      <family val="2"/>
      <scheme val="minor"/>
    </font>
    <font>
      <sz val="11"/>
      <color theme="1"/>
      <name val="Calibri"/>
      <family val="2"/>
      <charset val="1"/>
      <scheme val="minor"/>
    </font>
    <font>
      <i/>
      <sz val="11"/>
      <color theme="1"/>
      <name val="Calibri"/>
      <family val="2"/>
      <scheme val="minor"/>
    </font>
    <font>
      <sz val="11"/>
      <color theme="1"/>
      <name val="Times New Roman"/>
      <family val="1"/>
    </font>
    <font>
      <i/>
      <sz val="11"/>
      <color theme="1"/>
      <name val="Times New Roman"/>
      <family val="1"/>
    </font>
    <font>
      <b/>
      <sz val="11"/>
      <color theme="1"/>
      <name val="Times New Roman"/>
      <family val="1"/>
    </font>
    <font>
      <sz val="11"/>
      <name val="Times New Roman"/>
      <family val="1"/>
    </font>
    <font>
      <b/>
      <sz val="11"/>
      <name val="Times New Roman"/>
      <family val="1"/>
    </font>
    <font>
      <b/>
      <i/>
      <sz val="11"/>
      <color theme="1"/>
      <name val="Calibri"/>
      <family val="2"/>
      <scheme val="minor"/>
    </font>
    <font>
      <b/>
      <i/>
      <sz val="11"/>
      <color theme="1"/>
      <name val="Cambria"/>
      <family val="1"/>
      <scheme val="major"/>
    </font>
    <font>
      <sz val="10"/>
      <color rgb="FFFF0000"/>
      <name val="Arial"/>
      <family val="2"/>
    </font>
    <font>
      <b/>
      <sz val="10"/>
      <color rgb="FF0000FF"/>
      <name val="Arial"/>
      <family val="2"/>
    </font>
    <font>
      <sz val="12"/>
      <name val="Arial"/>
      <family val="2"/>
    </font>
    <font>
      <sz val="8"/>
      <color rgb="FF008000"/>
      <name val="Arial"/>
      <family val="2"/>
    </font>
    <font>
      <b/>
      <sz val="14"/>
      <name val="Arial"/>
      <family val="2"/>
    </font>
  </fonts>
  <fills count="20">
    <fill>
      <patternFill patternType="none"/>
    </fill>
    <fill>
      <patternFill patternType="gray125"/>
    </fill>
    <fill>
      <patternFill patternType="solid">
        <fgColor indexed="27"/>
        <bgColor indexed="64"/>
      </patternFill>
    </fill>
    <fill>
      <patternFill patternType="lightGray">
        <fgColor indexed="8"/>
        <bgColor indexed="22"/>
      </patternFill>
    </fill>
    <fill>
      <patternFill patternType="gray125">
        <fgColor indexed="8"/>
        <bgColor indexed="22"/>
      </patternFill>
    </fill>
    <fill>
      <patternFill patternType="solid">
        <fgColor indexed="22"/>
        <bgColor indexed="64"/>
      </patternFill>
    </fill>
    <fill>
      <patternFill patternType="solid">
        <fgColor indexed="8"/>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FF66"/>
        <bgColor indexed="64"/>
      </patternFill>
    </fill>
    <fill>
      <patternFill patternType="solid">
        <fgColor rgb="FFFFCC66"/>
        <bgColor indexed="64"/>
      </patternFill>
    </fill>
    <fill>
      <patternFill patternType="solid">
        <fgColor rgb="FF99FF99"/>
        <bgColor indexed="64"/>
      </patternFill>
    </fill>
  </fills>
  <borders count="7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8"/>
      </bottom>
      <diagonal/>
    </border>
    <border>
      <left style="medium">
        <color indexed="64"/>
      </left>
      <right/>
      <top/>
      <bottom/>
      <diagonal/>
    </border>
    <border>
      <left/>
      <right/>
      <top/>
      <bottom style="medium">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s>
  <cellStyleXfs count="12">
    <xf numFmtId="0" fontId="0" fillId="0" borderId="0"/>
    <xf numFmtId="43" fontId="2"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9" fontId="2" fillId="0" borderId="0" applyFont="0" applyFill="0" applyBorder="0" applyAlignment="0" applyProtection="0"/>
    <xf numFmtId="0" fontId="40" fillId="0" borderId="0"/>
    <xf numFmtId="0" fontId="2"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cellStyleXfs>
  <cellXfs count="709">
    <xf numFmtId="0" fontId="0" fillId="0" borderId="0" xfId="0"/>
    <xf numFmtId="0" fontId="3" fillId="0" borderId="0" xfId="0" applyFont="1"/>
    <xf numFmtId="0" fontId="5" fillId="0" borderId="0" xfId="0" applyFont="1"/>
    <xf numFmtId="0" fontId="0" fillId="0" borderId="0" xfId="0" applyAlignment="1">
      <alignment horizontal="center"/>
    </xf>
    <xf numFmtId="0" fontId="8" fillId="0" borderId="0" xfId="0" applyFont="1"/>
    <xf numFmtId="0" fontId="10" fillId="0" borderId="1" xfId="0" applyFont="1" applyBorder="1" applyAlignment="1">
      <alignment horizontal="justify" wrapText="1"/>
    </xf>
    <xf numFmtId="0" fontId="10" fillId="2" borderId="2" xfId="0" applyFont="1" applyFill="1" applyBorder="1" applyAlignment="1">
      <alignment horizontal="justify" vertical="top" wrapText="1"/>
    </xf>
    <xf numFmtId="0" fontId="10" fillId="2" borderId="2" xfId="0" applyFont="1" applyFill="1" applyBorder="1" applyAlignment="1">
      <alignment horizontal="center" wrapText="1"/>
    </xf>
    <xf numFmtId="0" fontId="11" fillId="0" borderId="1" xfId="0" applyFont="1" applyBorder="1" applyAlignment="1">
      <alignment horizontal="justify" wrapText="1"/>
    </xf>
    <xf numFmtId="0" fontId="11" fillId="2" borderId="2" xfId="0" applyFont="1" applyFill="1" applyBorder="1" applyAlignment="1">
      <alignment horizontal="justify" wrapText="1"/>
    </xf>
    <xf numFmtId="0" fontId="11" fillId="2" borderId="2" xfId="0" applyFont="1" applyFill="1" applyBorder="1" applyAlignment="1">
      <alignment horizontal="center" wrapText="1"/>
    </xf>
    <xf numFmtId="0" fontId="12" fillId="0" borderId="0" xfId="3" applyAlignment="1" applyProtection="1"/>
    <xf numFmtId="0" fontId="13" fillId="0" borderId="0" xfId="0" applyFont="1"/>
    <xf numFmtId="0" fontId="0" fillId="0" borderId="0" xfId="0" applyAlignment="1">
      <alignment wrapText="1"/>
    </xf>
    <xf numFmtId="9" fontId="0" fillId="0" borderId="0" xfId="4" applyFont="1" applyAlignment="1">
      <alignment horizontal="center"/>
    </xf>
    <xf numFmtId="0" fontId="0" fillId="0" borderId="0" xfId="0" applyFill="1" applyBorder="1"/>
    <xf numFmtId="0" fontId="3" fillId="0" borderId="0" xfId="0" applyFont="1" applyAlignment="1">
      <alignment wrapText="1"/>
    </xf>
    <xf numFmtId="0" fontId="13" fillId="0" borderId="0" xfId="0" applyFont="1" applyAlignment="1">
      <alignment wrapText="1"/>
    </xf>
    <xf numFmtId="0" fontId="0" fillId="0" borderId="0" xfId="0" applyAlignment="1"/>
    <xf numFmtId="0" fontId="3" fillId="0" borderId="0" xfId="0" applyFont="1" applyBorder="1"/>
    <xf numFmtId="0" fontId="13" fillId="0" borderId="0" xfId="0" applyFont="1" applyBorder="1" applyAlignment="1">
      <alignment horizontal="justify" vertical="top" wrapText="1"/>
    </xf>
    <xf numFmtId="0" fontId="13" fillId="0" borderId="0" xfId="0" applyFont="1" applyBorder="1"/>
    <xf numFmtId="0" fontId="11" fillId="3" borderId="3" xfId="0" applyFont="1" applyFill="1" applyBorder="1" applyAlignment="1">
      <alignment horizontal="justify" vertical="top" wrapText="1"/>
    </xf>
    <xf numFmtId="0" fontId="11" fillId="0" borderId="3" xfId="0" applyFont="1" applyBorder="1" applyAlignment="1">
      <alignment horizontal="justify" wrapText="1"/>
    </xf>
    <xf numFmtId="0" fontId="10" fillId="0" borderId="2" xfId="0" applyFont="1" applyBorder="1" applyAlignment="1">
      <alignment horizontal="justify" wrapText="1"/>
    </xf>
    <xf numFmtId="3" fontId="11" fillId="0" borderId="2" xfId="0" applyNumberFormat="1" applyFont="1" applyBorder="1" applyAlignment="1">
      <alignment horizontal="justify" wrapText="1"/>
    </xf>
    <xf numFmtId="0" fontId="10" fillId="3" borderId="1" xfId="0" applyFont="1" applyFill="1" applyBorder="1" applyAlignment="1">
      <alignment horizontal="justify" vertical="top" wrapText="1"/>
    </xf>
    <xf numFmtId="0" fontId="11" fillId="4" borderId="2" xfId="0" applyFont="1" applyFill="1" applyBorder="1" applyAlignment="1">
      <alignment horizontal="justify" wrapText="1"/>
    </xf>
    <xf numFmtId="3" fontId="11" fillId="4" borderId="2" xfId="0" applyNumberFormat="1" applyFont="1" applyFill="1" applyBorder="1" applyAlignment="1">
      <alignment horizontal="justify" wrapText="1"/>
    </xf>
    <xf numFmtId="3" fontId="10" fillId="0" borderId="2" xfId="0" applyNumberFormat="1" applyFont="1" applyBorder="1" applyAlignment="1">
      <alignment horizontal="justify" wrapText="1"/>
    </xf>
    <xf numFmtId="0" fontId="10" fillId="3" borderId="1" xfId="0" applyFont="1" applyFill="1" applyBorder="1" applyAlignment="1">
      <alignment horizontal="justify" wrapText="1"/>
    </xf>
    <xf numFmtId="0" fontId="14" fillId="4" borderId="2" xfId="0" applyFont="1" applyFill="1" applyBorder="1" applyAlignment="1">
      <alignment wrapText="1"/>
    </xf>
    <xf numFmtId="3" fontId="10" fillId="4" borderId="2" xfId="0" applyNumberFormat="1" applyFont="1" applyFill="1" applyBorder="1" applyAlignment="1">
      <alignment horizontal="justify" wrapText="1"/>
    </xf>
    <xf numFmtId="0" fontId="11" fillId="0" borderId="2" xfId="0" applyFont="1" applyBorder="1" applyAlignment="1">
      <alignment horizontal="justify" wrapText="1"/>
    </xf>
    <xf numFmtId="0" fontId="15" fillId="0" borderId="0" xfId="0" applyFont="1" applyAlignment="1">
      <alignment horizontal="justify"/>
    </xf>
    <xf numFmtId="0" fontId="16" fillId="0" borderId="0" xfId="0" applyFont="1" applyAlignment="1">
      <alignment horizontal="justify"/>
    </xf>
    <xf numFmtId="0" fontId="16" fillId="0" borderId="4" xfId="0" applyFont="1" applyBorder="1" applyAlignment="1">
      <alignment horizontal="justify" wrapText="1"/>
    </xf>
    <xf numFmtId="0" fontId="16" fillId="0" borderId="2" xfId="0" applyFont="1" applyBorder="1" applyAlignment="1">
      <alignment horizontal="justify" wrapText="1"/>
    </xf>
    <xf numFmtId="0" fontId="16" fillId="0" borderId="1" xfId="0" applyFont="1" applyBorder="1" applyAlignment="1">
      <alignment horizontal="justify" wrapText="1"/>
    </xf>
    <xf numFmtId="0" fontId="16" fillId="0" borderId="2" xfId="0" applyFont="1" applyBorder="1" applyAlignment="1">
      <alignment horizontal="justify" vertical="top" wrapText="1"/>
    </xf>
    <xf numFmtId="0" fontId="17" fillId="0" borderId="5" xfId="0" applyFont="1" applyBorder="1" applyAlignment="1">
      <alignment horizontal="center" wrapText="1"/>
    </xf>
    <xf numFmtId="0" fontId="17" fillId="0" borderId="3" xfId="0" applyFont="1" applyBorder="1" applyAlignment="1">
      <alignment horizontal="center" wrapText="1"/>
    </xf>
    <xf numFmtId="0" fontId="9" fillId="0" borderId="3" xfId="0" applyFont="1" applyBorder="1" applyAlignment="1">
      <alignment horizontal="center" wrapText="1"/>
    </xf>
    <xf numFmtId="0" fontId="9" fillId="0" borderId="2" xfId="0" applyFont="1" applyBorder="1" applyAlignment="1">
      <alignment horizontal="center" wrapText="1"/>
    </xf>
    <xf numFmtId="0" fontId="0" fillId="0" borderId="0" xfId="0" applyAlignment="1">
      <alignment horizontal="center" wrapText="1"/>
    </xf>
    <xf numFmtId="0" fontId="9" fillId="0" borderId="1" xfId="0" applyFont="1" applyBorder="1" applyAlignment="1">
      <alignment horizontal="center" wrapText="1"/>
    </xf>
    <xf numFmtId="0" fontId="10" fillId="0" borderId="1" xfId="0" applyFont="1" applyBorder="1" applyAlignment="1">
      <alignment horizontal="justify" vertical="center" wrapText="1"/>
    </xf>
    <xf numFmtId="0" fontId="10" fillId="2" borderId="2" xfId="0" applyFont="1" applyFill="1" applyBorder="1" applyAlignment="1">
      <alignment horizontal="justify" vertical="center" wrapText="1"/>
    </xf>
    <xf numFmtId="0" fontId="10" fillId="2" borderId="2"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0" fillId="2" borderId="4" xfId="0" applyFont="1" applyFill="1" applyBorder="1" applyAlignment="1">
      <alignment horizontal="center" wrapText="1"/>
    </xf>
    <xf numFmtId="0" fontId="9" fillId="0" borderId="0" xfId="0" applyFont="1" applyAlignment="1">
      <alignment horizontal="center" vertical="center"/>
    </xf>
    <xf numFmtId="0" fontId="10" fillId="2" borderId="2" xfId="0" applyFont="1" applyFill="1" applyBorder="1" applyAlignment="1">
      <alignment horizontal="justify"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0" xfId="0" applyAlignment="1">
      <alignment vertical="center" wrapText="1"/>
    </xf>
    <xf numFmtId="0" fontId="2" fillId="0" borderId="0" xfId="0" applyFont="1"/>
    <xf numFmtId="9" fontId="0" fillId="0" borderId="0" xfId="4" applyNumberFormat="1" applyFont="1" applyAlignment="1">
      <alignment horizontal="center"/>
    </xf>
    <xf numFmtId="0" fontId="0" fillId="0" borderId="7" xfId="0" applyBorder="1"/>
    <xf numFmtId="0" fontId="0" fillId="0" borderId="8" xfId="0" applyBorder="1"/>
    <xf numFmtId="1" fontId="0" fillId="0" borderId="0" xfId="0" applyNumberFormat="1"/>
    <xf numFmtId="0" fontId="8" fillId="0" borderId="0" xfId="0" applyFont="1" applyAlignment="1">
      <alignment horizontal="center"/>
    </xf>
    <xf numFmtId="2" fontId="0" fillId="0" borderId="0" xfId="0" applyNumberFormat="1"/>
    <xf numFmtId="9" fontId="0" fillId="0" borderId="0" xfId="0" applyNumberFormat="1"/>
    <xf numFmtId="0" fontId="13" fillId="0" borderId="0" xfId="0" applyFont="1" applyBorder="1" applyAlignment="1">
      <alignment vertical="center"/>
    </xf>
    <xf numFmtId="166" fontId="0" fillId="0" borderId="0" xfId="1" applyNumberFormat="1" applyFont="1"/>
    <xf numFmtId="166" fontId="8" fillId="0" borderId="0" xfId="1" applyNumberFormat="1" applyFont="1" applyAlignment="1">
      <alignment horizontal="center"/>
    </xf>
    <xf numFmtId="166" fontId="0" fillId="0" borderId="0" xfId="1" applyNumberFormat="1" applyFont="1" applyAlignment="1"/>
    <xf numFmtId="0" fontId="0" fillId="0" borderId="0" xfId="0" applyAlignment="1">
      <alignment horizontal="right"/>
    </xf>
    <xf numFmtId="0" fontId="13" fillId="0" borderId="0" xfId="0" applyFont="1" applyFill="1" applyBorder="1" applyAlignment="1">
      <alignment horizontal="justify" vertical="top" wrapText="1"/>
    </xf>
    <xf numFmtId="1" fontId="0" fillId="0" borderId="9" xfId="0" applyNumberFormat="1" applyBorder="1"/>
    <xf numFmtId="1" fontId="0" fillId="0" borderId="0" xfId="0" applyNumberFormat="1" applyAlignment="1">
      <alignment horizontal="center"/>
    </xf>
    <xf numFmtId="164" fontId="0" fillId="0" borderId="0" xfId="4" applyNumberFormat="1" applyFont="1"/>
    <xf numFmtId="164" fontId="0" fillId="0" borderId="9" xfId="4" applyNumberFormat="1" applyFont="1" applyBorder="1"/>
    <xf numFmtId="1" fontId="0" fillId="0" borderId="0" xfId="0" applyNumberFormat="1" applyBorder="1"/>
    <xf numFmtId="164" fontId="0" fillId="0" borderId="0" xfId="4" applyNumberFormat="1" applyFont="1" applyBorder="1"/>
    <xf numFmtId="0" fontId="8" fillId="0" borderId="0" xfId="0" quotePrefix="1" applyFont="1" applyAlignment="1">
      <alignment horizontal="left"/>
    </xf>
    <xf numFmtId="0" fontId="8" fillId="0" borderId="0" xfId="0" applyFont="1" applyAlignment="1">
      <alignment horizontal="left"/>
    </xf>
    <xf numFmtId="0" fontId="0" fillId="0" borderId="0" xfId="0" applyBorder="1" applyAlignment="1">
      <alignment horizontal="center" vertical="center"/>
    </xf>
    <xf numFmtId="0" fontId="0" fillId="0" borderId="7" xfId="0" applyBorder="1" applyAlignment="1">
      <alignment wrapText="1"/>
    </xf>
    <xf numFmtId="166" fontId="0" fillId="0" borderId="0" xfId="1" applyNumberFormat="1" applyFont="1" applyBorder="1"/>
    <xf numFmtId="164" fontId="0" fillId="0" borderId="0" xfId="0" applyNumberFormat="1" applyBorder="1"/>
    <xf numFmtId="166" fontId="0" fillId="0" borderId="0" xfId="0" applyNumberFormat="1" applyBorder="1"/>
    <xf numFmtId="10" fontId="0" fillId="0" borderId="0" xfId="0" applyNumberFormat="1" applyBorder="1"/>
    <xf numFmtId="0" fontId="0" fillId="0" borderId="10" xfId="0" applyBorder="1" applyAlignment="1">
      <alignment wrapText="1"/>
    </xf>
    <xf numFmtId="0" fontId="0" fillId="0" borderId="8" xfId="0" applyBorder="1" applyAlignment="1">
      <alignment horizontal="center" vertical="center"/>
    </xf>
    <xf numFmtId="166" fontId="0" fillId="0" borderId="8" xfId="0" applyNumberFormat="1" applyBorder="1"/>
    <xf numFmtId="0" fontId="0" fillId="0" borderId="11"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xf>
    <xf numFmtId="166" fontId="0" fillId="0" borderId="14" xfId="1" applyNumberFormat="1" applyFont="1" applyBorder="1"/>
    <xf numFmtId="164" fontId="0" fillId="0" borderId="14" xfId="4" applyNumberFormat="1" applyFont="1" applyBorder="1"/>
    <xf numFmtId="166" fontId="0" fillId="0" borderId="14" xfId="0" applyNumberFormat="1" applyBorder="1"/>
    <xf numFmtId="9" fontId="0" fillId="0" borderId="14" xfId="0" applyNumberFormat="1" applyBorder="1"/>
    <xf numFmtId="166" fontId="0" fillId="0" borderId="15" xfId="0" applyNumberFormat="1" applyBorder="1"/>
    <xf numFmtId="0" fontId="0" fillId="0" borderId="13" xfId="0" applyBorder="1" applyAlignment="1">
      <alignment horizontal="center" vertical="center" wrapText="1"/>
    </xf>
    <xf numFmtId="9" fontId="0" fillId="0" borderId="14" xfId="4" applyFont="1" applyBorder="1" applyAlignment="1">
      <alignment horizontal="center"/>
    </xf>
    <xf numFmtId="0" fontId="0" fillId="0" borderId="14" xfId="0" quotePrefix="1" applyBorder="1" applyAlignment="1">
      <alignment horizontal="center"/>
    </xf>
    <xf numFmtId="9" fontId="0" fillId="0" borderId="15" xfId="4" applyFont="1" applyBorder="1" applyAlignment="1">
      <alignment horizontal="center"/>
    </xf>
    <xf numFmtId="0" fontId="0" fillId="0" borderId="16" xfId="0" applyBorder="1" applyAlignment="1">
      <alignment horizontal="center" vertical="center" wrapText="1"/>
    </xf>
    <xf numFmtId="9" fontId="0" fillId="0" borderId="17" xfId="4" applyFont="1" applyBorder="1"/>
    <xf numFmtId="0" fontId="0" fillId="0" borderId="17" xfId="0" quotePrefix="1" applyBorder="1" applyAlignment="1">
      <alignment horizontal="center"/>
    </xf>
    <xf numFmtId="9" fontId="0" fillId="0" borderId="18" xfId="4" applyFont="1" applyBorder="1"/>
    <xf numFmtId="0" fontId="0" fillId="5" borderId="19" xfId="0" applyFill="1" applyBorder="1"/>
    <xf numFmtId="0" fontId="0" fillId="5" borderId="20" xfId="0" applyFill="1" applyBorder="1"/>
    <xf numFmtId="0" fontId="0" fillId="5" borderId="21" xfId="0" applyFill="1" applyBorder="1"/>
    <xf numFmtId="0" fontId="0" fillId="5" borderId="8" xfId="0" applyFill="1" applyBorder="1"/>
    <xf numFmtId="0" fontId="0" fillId="5" borderId="15" xfId="0" applyFill="1" applyBorder="1"/>
    <xf numFmtId="0" fontId="0" fillId="5" borderId="18" xfId="0" applyFill="1" applyBorder="1"/>
    <xf numFmtId="0" fontId="3" fillId="5" borderId="22" xfId="0" applyFont="1" applyFill="1" applyBorder="1"/>
    <xf numFmtId="0" fontId="3" fillId="5" borderId="10" xfId="0" applyFont="1" applyFill="1" applyBorder="1"/>
    <xf numFmtId="168" fontId="0" fillId="0" borderId="0" xfId="2" applyNumberFormat="1" applyFont="1"/>
    <xf numFmtId="164" fontId="0" fillId="0" borderId="0" xfId="4" applyNumberFormat="1" applyFont="1" applyAlignment="1">
      <alignment horizontal="center"/>
    </xf>
    <xf numFmtId="0" fontId="13" fillId="0" borderId="0" xfId="0" applyFont="1" applyBorder="1" applyAlignment="1">
      <alignment horizontal="justify" vertical="center" wrapText="1"/>
    </xf>
    <xf numFmtId="0" fontId="0" fillId="0" borderId="4" xfId="0" applyBorder="1"/>
    <xf numFmtId="0" fontId="0" fillId="0" borderId="0" xfId="0" applyAlignment="1">
      <alignment horizontal="left" wrapText="1" indent="2"/>
    </xf>
    <xf numFmtId="0" fontId="0" fillId="0" borderId="0" xfId="0" applyAlignment="1">
      <alignment horizontal="left" vertical="center" wrapText="1"/>
    </xf>
    <xf numFmtId="9" fontId="0" fillId="0" borderId="0" xfId="4" applyFont="1"/>
    <xf numFmtId="0" fontId="3" fillId="0" borderId="0" xfId="0" applyFont="1" applyBorder="1" applyAlignment="1">
      <alignment vertical="center"/>
    </xf>
    <xf numFmtId="1" fontId="3" fillId="0" borderId="0" xfId="0" applyNumberFormat="1" applyFont="1" applyAlignment="1">
      <alignment horizontal="center"/>
    </xf>
    <xf numFmtId="1" fontId="3" fillId="0" borderId="0" xfId="0" applyNumberFormat="1" applyFont="1"/>
    <xf numFmtId="166" fontId="3" fillId="0" borderId="0" xfId="1" applyNumberFormat="1" applyFont="1"/>
    <xf numFmtId="0" fontId="0" fillId="0" borderId="9" xfId="0" applyBorder="1"/>
    <xf numFmtId="0" fontId="0" fillId="0" borderId="23" xfId="0" applyBorder="1"/>
    <xf numFmtId="0" fontId="0" fillId="0" borderId="7" xfId="0" applyBorder="1" applyAlignment="1">
      <alignment horizontal="right"/>
    </xf>
    <xf numFmtId="0" fontId="0" fillId="0" borderId="24" xfId="0" applyBorder="1"/>
    <xf numFmtId="0" fontId="0" fillId="0" borderId="0" xfId="0" applyBorder="1"/>
    <xf numFmtId="0" fontId="0" fillId="0" borderId="4" xfId="0" applyFill="1" applyBorder="1"/>
    <xf numFmtId="0" fontId="13" fillId="0" borderId="10" xfId="0" applyFont="1" applyBorder="1" applyAlignment="1">
      <alignment vertical="top"/>
    </xf>
    <xf numFmtId="0" fontId="13" fillId="0" borderId="25" xfId="0" applyFont="1" applyBorder="1" applyAlignment="1">
      <alignment vertical="top"/>
    </xf>
    <xf numFmtId="0" fontId="0" fillId="0" borderId="26" xfId="0" applyBorder="1"/>
    <xf numFmtId="0" fontId="0" fillId="0" borderId="24" xfId="0" applyFill="1" applyBorder="1"/>
    <xf numFmtId="2" fontId="0" fillId="0" borderId="23" xfId="0" applyNumberFormat="1" applyBorder="1"/>
    <xf numFmtId="1" fontId="0" fillId="0" borderId="23" xfId="0" applyNumberFormat="1" applyBorder="1"/>
    <xf numFmtId="2" fontId="0" fillId="0" borderId="0" xfId="0" applyNumberFormat="1" applyBorder="1"/>
    <xf numFmtId="2" fontId="0" fillId="0" borderId="4" xfId="0" applyNumberFormat="1" applyBorder="1"/>
    <xf numFmtId="1" fontId="0" fillId="0" borderId="4" xfId="0" applyNumberFormat="1" applyBorder="1"/>
    <xf numFmtId="1" fontId="0" fillId="0" borderId="26" xfId="0" applyNumberFormat="1" applyBorder="1"/>
    <xf numFmtId="1" fontId="0" fillId="0" borderId="24" xfId="0" applyNumberFormat="1" applyBorder="1"/>
    <xf numFmtId="2" fontId="0" fillId="0" borderId="15" xfId="0" applyNumberFormat="1" applyBorder="1"/>
    <xf numFmtId="2" fontId="0" fillId="0" borderId="8" xfId="0" applyNumberFormat="1" applyBorder="1"/>
    <xf numFmtId="2" fontId="0" fillId="0" borderId="2" xfId="0" applyNumberFormat="1" applyBorder="1"/>
    <xf numFmtId="0" fontId="0" fillId="0" borderId="0" xfId="0" applyFill="1"/>
    <xf numFmtId="1" fontId="0" fillId="0" borderId="0" xfId="0" applyNumberFormat="1" applyFill="1"/>
    <xf numFmtId="164" fontId="0" fillId="0" borderId="27" xfId="4" applyNumberFormat="1" applyFont="1" applyBorder="1"/>
    <xf numFmtId="164" fontId="0" fillId="0" borderId="1" xfId="4" applyNumberFormat="1" applyFont="1" applyBorder="1"/>
    <xf numFmtId="0" fontId="0" fillId="0" borderId="28" xfId="0" applyBorder="1" applyAlignment="1">
      <alignment horizontal="center"/>
    </xf>
    <xf numFmtId="0" fontId="0" fillId="0" borderId="27" xfId="0" applyBorder="1" applyAlignment="1">
      <alignment horizontal="center"/>
    </xf>
    <xf numFmtId="0" fontId="0" fillId="0" borderId="0" xfId="0" applyFill="1" applyAlignment="1">
      <alignment vertical="center" wrapText="1"/>
    </xf>
    <xf numFmtId="0" fontId="0" fillId="0" borderId="0" xfId="0" applyFill="1" applyAlignment="1">
      <alignment vertical="center"/>
    </xf>
    <xf numFmtId="166" fontId="0" fillId="0" borderId="0" xfId="0" applyNumberFormat="1"/>
    <xf numFmtId="2" fontId="8" fillId="0" borderId="0" xfId="0" applyNumberFormat="1" applyFont="1"/>
    <xf numFmtId="0" fontId="0" fillId="0" borderId="0" xfId="0" applyAlignment="1">
      <alignment horizontal="left"/>
    </xf>
    <xf numFmtId="0" fontId="2" fillId="0" borderId="0" xfId="3" applyFont="1" applyAlignment="1" applyProtection="1"/>
    <xf numFmtId="0" fontId="20" fillId="0" borderId="0" xfId="0" applyFont="1"/>
    <xf numFmtId="0" fontId="8" fillId="0" borderId="0" xfId="0" applyFont="1" applyAlignment="1">
      <alignment vertical="center"/>
    </xf>
    <xf numFmtId="164" fontId="0" fillId="0" borderId="0" xfId="0" applyNumberFormat="1"/>
    <xf numFmtId="0" fontId="13" fillId="0" borderId="0" xfId="0" applyFont="1" applyBorder="1" applyAlignment="1">
      <alignment vertical="top"/>
    </xf>
    <xf numFmtId="1" fontId="0" fillId="0" borderId="0" xfId="0" applyNumberFormat="1" applyAlignment="1">
      <alignment vertical="center"/>
    </xf>
    <xf numFmtId="0" fontId="0" fillId="0" borderId="0" xfId="0" applyAlignment="1">
      <alignment horizontal="left" wrapText="1"/>
    </xf>
    <xf numFmtId="0" fontId="0" fillId="0" borderId="0" xfId="0" applyFill="1" applyBorder="1" applyAlignment="1">
      <alignment horizontal="center"/>
    </xf>
    <xf numFmtId="2" fontId="0" fillId="0" borderId="29" xfId="0" applyNumberFormat="1" applyBorder="1"/>
    <xf numFmtId="2" fontId="0" fillId="0" borderId="14" xfId="0" applyNumberFormat="1" applyBorder="1"/>
    <xf numFmtId="2" fontId="0" fillId="0" borderId="17" xfId="0" applyNumberFormat="1" applyBorder="1"/>
    <xf numFmtId="2" fontId="3" fillId="0" borderId="30" xfId="0" applyNumberFormat="1" applyFont="1" applyBorder="1"/>
    <xf numFmtId="2" fontId="3" fillId="0" borderId="31" xfId="0" applyNumberFormat="1" applyFont="1" applyBorder="1"/>
    <xf numFmtId="2" fontId="0" fillId="0" borderId="32" xfId="0" applyNumberFormat="1" applyBorder="1"/>
    <xf numFmtId="2" fontId="0" fillId="0" borderId="26" xfId="0" applyNumberFormat="1" applyBorder="1"/>
    <xf numFmtId="2" fontId="3" fillId="0" borderId="32" xfId="0" applyNumberFormat="1" applyFont="1" applyBorder="1"/>
    <xf numFmtId="2" fontId="3" fillId="0" borderId="26" xfId="0" applyNumberFormat="1" applyFont="1" applyBorder="1"/>
    <xf numFmtId="2" fontId="3" fillId="0" borderId="33" xfId="0" applyNumberFormat="1" applyFont="1" applyBorder="1"/>
    <xf numFmtId="2" fontId="3" fillId="0" borderId="34" xfId="0" applyNumberFormat="1" applyFont="1" applyBorder="1"/>
    <xf numFmtId="0" fontId="13" fillId="0" borderId="0" xfId="0" applyFont="1" applyFill="1" applyBorder="1" applyAlignment="1">
      <alignment horizontal="justify" vertical="center" wrapText="1"/>
    </xf>
    <xf numFmtId="2" fontId="3" fillId="0" borderId="35" xfId="0" applyNumberFormat="1" applyFont="1" applyBorder="1"/>
    <xf numFmtId="2" fontId="3" fillId="0" borderId="36" xfId="0" applyNumberFormat="1" applyFont="1" applyBorder="1"/>
    <xf numFmtId="0" fontId="5" fillId="0" borderId="0" xfId="0" applyFont="1" applyFill="1"/>
    <xf numFmtId="0" fontId="13" fillId="0" borderId="0" xfId="0" applyFont="1" applyFill="1"/>
    <xf numFmtId="49" fontId="2" fillId="0" borderId="0" xfId="3" applyNumberFormat="1" applyFont="1" applyFill="1" applyAlignment="1" applyProtection="1"/>
    <xf numFmtId="1" fontId="8" fillId="0" borderId="0" xfId="0" applyNumberFormat="1" applyFont="1" applyAlignment="1">
      <alignment horizontal="center"/>
    </xf>
    <xf numFmtId="0" fontId="8" fillId="0" borderId="0" xfId="0" applyFont="1" applyAlignment="1">
      <alignment horizontal="center" wrapText="1"/>
    </xf>
    <xf numFmtId="0" fontId="22" fillId="0" borderId="0" xfId="0" applyFont="1" applyAlignment="1">
      <alignment horizontal="center"/>
    </xf>
    <xf numFmtId="0" fontId="8" fillId="0" borderId="0" xfId="0" applyFont="1" applyAlignment="1">
      <alignment horizontal="center" vertical="center"/>
    </xf>
    <xf numFmtId="9" fontId="8" fillId="0" borderId="0" xfId="4" applyFont="1" applyAlignment="1">
      <alignment horizontal="center"/>
    </xf>
    <xf numFmtId="0" fontId="8" fillId="0" borderId="0" xfId="0" applyFont="1" applyFill="1" applyAlignment="1">
      <alignment horizontal="center"/>
    </xf>
    <xf numFmtId="0" fontId="8" fillId="0" borderId="0" xfId="0" applyFont="1" applyBorder="1" applyAlignment="1">
      <alignment horizontal="center"/>
    </xf>
    <xf numFmtId="0" fontId="13" fillId="0" borderId="0" xfId="0" applyFont="1" applyAlignment="1">
      <alignment horizontal="right"/>
    </xf>
    <xf numFmtId="1" fontId="22" fillId="0" borderId="0" xfId="0" applyNumberFormat="1" applyFont="1" applyAlignment="1">
      <alignment horizontal="center"/>
    </xf>
    <xf numFmtId="166" fontId="22" fillId="0" borderId="0" xfId="1" applyNumberFormat="1" applyFont="1" applyAlignment="1">
      <alignment horizontal="center"/>
    </xf>
    <xf numFmtId="0" fontId="22" fillId="0" borderId="0" xfId="0" applyFont="1" applyAlignment="1">
      <alignment wrapText="1"/>
    </xf>
    <xf numFmtId="0" fontId="22" fillId="0" borderId="0" xfId="0" applyFont="1"/>
    <xf numFmtId="164" fontId="22" fillId="0" borderId="0" xfId="4" applyNumberFormat="1" applyFont="1" applyBorder="1"/>
    <xf numFmtId="1" fontId="22" fillId="0" borderId="0" xfId="0" applyNumberFormat="1" applyFont="1"/>
    <xf numFmtId="0" fontId="22" fillId="0" borderId="0" xfId="0" applyFont="1" applyBorder="1" applyAlignment="1">
      <alignment vertical="center"/>
    </xf>
    <xf numFmtId="37" fontId="22" fillId="0" borderId="0" xfId="1" applyNumberFormat="1" applyFont="1"/>
    <xf numFmtId="166" fontId="22" fillId="0" borderId="0" xfId="1" applyNumberFormat="1" applyFont="1"/>
    <xf numFmtId="166" fontId="22" fillId="0" borderId="0" xfId="1" applyNumberFormat="1" applyFont="1" applyBorder="1" applyAlignment="1">
      <alignment vertical="center"/>
    </xf>
    <xf numFmtId="166" fontId="22" fillId="0" borderId="0" xfId="1" applyNumberFormat="1" applyFont="1" applyBorder="1"/>
    <xf numFmtId="0" fontId="22" fillId="0" borderId="0" xfId="0" applyFont="1" applyAlignment="1">
      <alignment horizontal="left"/>
    </xf>
    <xf numFmtId="0" fontId="3" fillId="0" borderId="0" xfId="0" applyFont="1" applyAlignment="1">
      <alignment horizontal="left"/>
    </xf>
    <xf numFmtId="0" fontId="0" fillId="6" borderId="0" xfId="0" applyFill="1"/>
    <xf numFmtId="166" fontId="0" fillId="6" borderId="0" xfId="1" applyNumberFormat="1" applyFont="1" applyFill="1"/>
    <xf numFmtId="0" fontId="22" fillId="6" borderId="0" xfId="0" applyFont="1" applyFill="1"/>
    <xf numFmtId="166" fontId="22" fillId="6" borderId="0" xfId="1" applyNumberFormat="1" applyFont="1" applyFill="1"/>
    <xf numFmtId="0" fontId="3" fillId="6" borderId="0" xfId="0" applyFont="1" applyFill="1"/>
    <xf numFmtId="3" fontId="0" fillId="0" borderId="0" xfId="4" applyNumberFormat="1" applyFont="1"/>
    <xf numFmtId="166" fontId="0" fillId="0" borderId="0" xfId="1" applyNumberFormat="1" applyFont="1" applyFill="1"/>
    <xf numFmtId="2" fontId="22" fillId="0" borderId="0" xfId="0" applyNumberFormat="1" applyFont="1"/>
    <xf numFmtId="0" fontId="22" fillId="0" borderId="0" xfId="0" applyFont="1" applyAlignment="1"/>
    <xf numFmtId="166" fontId="22" fillId="0" borderId="0" xfId="0" applyNumberFormat="1" applyFont="1"/>
    <xf numFmtId="37" fontId="22" fillId="0" borderId="0" xfId="0" applyNumberFormat="1" applyFont="1"/>
    <xf numFmtId="166" fontId="13" fillId="0" borderId="0" xfId="1" applyNumberFormat="1" applyFont="1"/>
    <xf numFmtId="3" fontId="22" fillId="0" borderId="0" xfId="0" applyNumberFormat="1" applyFont="1"/>
    <xf numFmtId="164" fontId="3" fillId="0" borderId="0" xfId="4" applyNumberFormat="1" applyFont="1"/>
    <xf numFmtId="166" fontId="3" fillId="0" borderId="0" xfId="0" applyNumberFormat="1" applyFont="1"/>
    <xf numFmtId="0" fontId="3" fillId="0" borderId="0" xfId="0" applyFont="1" applyAlignment="1"/>
    <xf numFmtId="3" fontId="22" fillId="0" borderId="0" xfId="0" applyNumberFormat="1" applyFont="1" applyAlignment="1"/>
    <xf numFmtId="166" fontId="0" fillId="0" borderId="0" xfId="0" applyNumberFormat="1" applyFill="1"/>
    <xf numFmtId="0" fontId="22" fillId="0" borderId="0" xfId="0" applyFont="1" applyFill="1"/>
    <xf numFmtId="0" fontId="22" fillId="0" borderId="0" xfId="0" applyFont="1" applyFill="1" applyAlignment="1"/>
    <xf numFmtId="0" fontId="22" fillId="0" borderId="0" xfId="0" applyFont="1" applyFill="1" applyBorder="1" applyAlignment="1">
      <alignment vertical="center"/>
    </xf>
    <xf numFmtId="1" fontId="22" fillId="0" borderId="0" xfId="0" applyNumberFormat="1" applyFont="1" applyFill="1" applyAlignment="1">
      <alignment horizontal="center"/>
    </xf>
    <xf numFmtId="1" fontId="22" fillId="0" borderId="0" xfId="0" applyNumberFormat="1" applyFont="1" applyFill="1"/>
    <xf numFmtId="166" fontId="22" fillId="0" borderId="0" xfId="0" applyNumberFormat="1" applyFont="1" applyFill="1"/>
    <xf numFmtId="166" fontId="22" fillId="0" borderId="5" xfId="0" applyNumberFormat="1" applyFont="1" applyFill="1" applyBorder="1"/>
    <xf numFmtId="166" fontId="22" fillId="0" borderId="0" xfId="0" applyNumberFormat="1" applyFont="1" applyFill="1" applyBorder="1"/>
    <xf numFmtId="166" fontId="0" fillId="0" borderId="0" xfId="0" applyNumberFormat="1" applyFill="1" applyBorder="1"/>
    <xf numFmtId="0" fontId="0" fillId="0" borderId="0" xfId="0" applyFill="1" applyAlignment="1"/>
    <xf numFmtId="0" fontId="13" fillId="0" borderId="0" xfId="0" applyFont="1" applyFill="1" applyBorder="1" applyAlignment="1">
      <alignment vertical="center"/>
    </xf>
    <xf numFmtId="1" fontId="8" fillId="0" borderId="0" xfId="0" applyNumberFormat="1" applyFont="1" applyFill="1" applyAlignment="1">
      <alignment horizontal="center"/>
    </xf>
    <xf numFmtId="0" fontId="3" fillId="0" borderId="0" xfId="0" applyFont="1" applyFill="1"/>
    <xf numFmtId="0" fontId="3" fillId="0" borderId="0" xfId="0" applyFont="1" applyFill="1" applyAlignment="1"/>
    <xf numFmtId="0" fontId="3" fillId="0" borderId="0" xfId="0" applyFont="1" applyFill="1" applyBorder="1" applyAlignment="1">
      <alignment vertical="center"/>
    </xf>
    <xf numFmtId="1" fontId="3" fillId="0" borderId="0" xfId="0" applyNumberFormat="1" applyFont="1" applyFill="1"/>
    <xf numFmtId="166" fontId="3" fillId="0" borderId="0" xfId="0" applyNumberFormat="1" applyFont="1" applyFill="1"/>
    <xf numFmtId="0" fontId="0" fillId="0" borderId="0" xfId="0" applyFill="1" applyAlignment="1">
      <alignment wrapText="1"/>
    </xf>
    <xf numFmtId="171" fontId="0" fillId="0" borderId="0" xfId="4" applyNumberFormat="1" applyFont="1" applyFill="1"/>
    <xf numFmtId="0" fontId="3" fillId="0" borderId="0" xfId="0" applyFont="1" applyFill="1" applyAlignment="1">
      <alignment wrapText="1"/>
    </xf>
    <xf numFmtId="0" fontId="8" fillId="0" borderId="0" xfId="0" applyFont="1" applyFill="1"/>
    <xf numFmtId="43" fontId="0" fillId="0" borderId="0" xfId="0" applyNumberFormat="1" applyFill="1"/>
    <xf numFmtId="170" fontId="0" fillId="0" borderId="0" xfId="4" applyNumberFormat="1" applyFont="1" applyFill="1"/>
    <xf numFmtId="166" fontId="3" fillId="0" borderId="0" xfId="1" applyNumberFormat="1" applyFont="1" applyFill="1"/>
    <xf numFmtId="164" fontId="0" fillId="0" borderId="0" xfId="0" applyNumberFormat="1" applyFill="1"/>
    <xf numFmtId="164" fontId="0" fillId="0" borderId="0" xfId="4" applyNumberFormat="1" applyFont="1" applyFill="1"/>
    <xf numFmtId="37" fontId="22" fillId="0" borderId="0" xfId="1" applyNumberFormat="1" applyFont="1" applyFill="1"/>
    <xf numFmtId="166" fontId="22" fillId="0" borderId="0" xfId="1" applyNumberFormat="1" applyFont="1" applyFill="1"/>
    <xf numFmtId="9" fontId="0" fillId="0" borderId="0" xfId="4" applyNumberFormat="1" applyFont="1" applyFill="1"/>
    <xf numFmtId="3" fontId="22" fillId="0" borderId="0" xfId="0" applyNumberFormat="1" applyFont="1" applyFill="1"/>
    <xf numFmtId="3" fontId="22" fillId="0" borderId="0" xfId="0" applyNumberFormat="1" applyFont="1" applyFill="1" applyAlignment="1"/>
    <xf numFmtId="1" fontId="3" fillId="0" borderId="0" xfId="0" applyNumberFormat="1" applyFont="1" applyFill="1" applyAlignment="1">
      <alignment horizontal="center"/>
    </xf>
    <xf numFmtId="9" fontId="0" fillId="0" borderId="0" xfId="4" applyFont="1" applyFill="1"/>
    <xf numFmtId="0" fontId="22" fillId="0" borderId="0" xfId="0" applyFont="1" applyFill="1" applyAlignment="1">
      <alignment horizontal="center"/>
    </xf>
    <xf numFmtId="166" fontId="13" fillId="0" borderId="0" xfId="1" applyNumberFormat="1" applyFont="1" applyFill="1"/>
    <xf numFmtId="37" fontId="22" fillId="0" borderId="0" xfId="0" applyNumberFormat="1" applyFont="1" applyFill="1"/>
    <xf numFmtId="0" fontId="3" fillId="7" borderId="11" xfId="0" applyFont="1" applyFill="1" applyBorder="1"/>
    <xf numFmtId="0" fontId="0" fillId="7" borderId="12" xfId="0" applyFill="1" applyBorder="1"/>
    <xf numFmtId="167" fontId="0" fillId="0" borderId="0" xfId="0" applyNumberFormat="1" applyFill="1"/>
    <xf numFmtId="0" fontId="2" fillId="0" borderId="0" xfId="0" applyFont="1" applyFill="1" applyAlignment="1">
      <alignment horizontal="center"/>
    </xf>
    <xf numFmtId="0" fontId="24" fillId="0" borderId="0" xfId="0" applyFont="1" applyFill="1" applyAlignment="1">
      <alignment horizontal="center"/>
    </xf>
    <xf numFmtId="0" fontId="25" fillId="0" borderId="0" xfId="0" applyFont="1" applyFill="1" applyAlignment="1">
      <alignment horizontal="center"/>
    </xf>
    <xf numFmtId="166" fontId="25" fillId="0" borderId="0" xfId="1" applyNumberFormat="1" applyFont="1" applyFill="1" applyAlignment="1">
      <alignment horizontal="right"/>
    </xf>
    <xf numFmtId="164" fontId="25" fillId="0" borderId="0" xfId="4" applyNumberFormat="1" applyFont="1" applyFill="1" applyAlignment="1">
      <alignment horizontal="right"/>
    </xf>
    <xf numFmtId="167" fontId="25" fillId="0" borderId="0" xfId="4" applyNumberFormat="1" applyFont="1" applyFill="1" applyAlignment="1">
      <alignment horizontal="right"/>
    </xf>
    <xf numFmtId="169" fontId="25" fillId="0" borderId="0" xfId="4" applyNumberFormat="1" applyFont="1" applyFill="1" applyAlignment="1">
      <alignment horizontal="right"/>
    </xf>
    <xf numFmtId="166" fontId="25" fillId="0" borderId="0" xfId="1" applyNumberFormat="1" applyFont="1" applyFill="1" applyAlignment="1">
      <alignment horizontal="center"/>
    </xf>
    <xf numFmtId="165" fontId="25" fillId="0" borderId="0" xfId="1" applyNumberFormat="1" applyFont="1" applyFill="1" applyAlignment="1">
      <alignment horizontal="right"/>
    </xf>
    <xf numFmtId="9" fontId="25" fillId="0" borderId="0" xfId="4" applyFont="1" applyFill="1" applyAlignment="1">
      <alignment horizontal="center"/>
    </xf>
    <xf numFmtId="9" fontId="25" fillId="0" borderId="0" xfId="0" applyNumberFormat="1" applyFont="1" applyFill="1" applyAlignment="1">
      <alignment horizontal="center"/>
    </xf>
    <xf numFmtId="166" fontId="25" fillId="0" borderId="0" xfId="1" applyNumberFormat="1" applyFont="1" applyFill="1" applyBorder="1" applyAlignment="1">
      <alignment horizontal="center" vertical="top" wrapText="1"/>
    </xf>
    <xf numFmtId="164" fontId="25" fillId="0" borderId="0" xfId="4" applyNumberFormat="1" applyFont="1" applyFill="1" applyBorder="1" applyAlignment="1">
      <alignment horizontal="center"/>
    </xf>
    <xf numFmtId="2" fontId="25" fillId="0" borderId="0" xfId="4" applyNumberFormat="1" applyFont="1" applyFill="1" applyBorder="1" applyAlignment="1">
      <alignment horizontal="center"/>
    </xf>
    <xf numFmtId="166" fontId="24" fillId="0" borderId="0" xfId="1" applyNumberFormat="1" applyFont="1" applyFill="1" applyAlignment="1">
      <alignment horizontal="center"/>
    </xf>
    <xf numFmtId="164" fontId="25" fillId="0" borderId="0" xfId="0" applyNumberFormat="1" applyFont="1" applyFill="1" applyAlignment="1">
      <alignment horizontal="center"/>
    </xf>
    <xf numFmtId="164" fontId="25" fillId="0" borderId="0" xfId="0" applyNumberFormat="1" applyFont="1" applyFill="1" applyAlignment="1">
      <alignment horizontal="center" vertical="center"/>
    </xf>
    <xf numFmtId="166" fontId="25" fillId="0" borderId="0" xfId="1" applyNumberFormat="1" applyFont="1" applyFill="1" applyBorder="1" applyAlignment="1">
      <alignment horizontal="center" vertical="center" wrapText="1"/>
    </xf>
    <xf numFmtId="9" fontId="25" fillId="0" borderId="0" xfId="4" applyFont="1" applyFill="1" applyBorder="1" applyAlignment="1">
      <alignment horizontal="center" vertical="center" wrapText="1"/>
    </xf>
    <xf numFmtId="9" fontId="25" fillId="0" borderId="0" xfId="4" applyFont="1" applyFill="1" applyBorder="1" applyAlignment="1">
      <alignment horizontal="center" vertical="top" wrapText="1"/>
    </xf>
    <xf numFmtId="2" fontId="25" fillId="0" borderId="0" xfId="4" applyNumberFormat="1" applyFont="1" applyFill="1" applyBorder="1" applyAlignment="1">
      <alignment horizontal="center" vertical="top" wrapText="1"/>
    </xf>
    <xf numFmtId="1" fontId="25" fillId="0" borderId="0" xfId="4" applyNumberFormat="1" applyFont="1" applyFill="1" applyBorder="1" applyAlignment="1">
      <alignment horizontal="center" vertical="top" wrapText="1"/>
    </xf>
    <xf numFmtId="164" fontId="25" fillId="0" borderId="0" xfId="4" applyNumberFormat="1" applyFont="1" applyFill="1" applyBorder="1" applyAlignment="1">
      <alignment horizontal="center" vertical="top" wrapText="1"/>
    </xf>
    <xf numFmtId="164" fontId="25" fillId="0" borderId="0" xfId="4" applyNumberFormat="1" applyFont="1" applyFill="1" applyBorder="1" applyAlignment="1">
      <alignment horizontal="center" vertical="center" wrapText="1"/>
    </xf>
    <xf numFmtId="166" fontId="25" fillId="0" borderId="0" xfId="4" applyNumberFormat="1" applyFont="1" applyFill="1" applyBorder="1" applyAlignment="1">
      <alignment horizontal="center" vertical="top" wrapText="1"/>
    </xf>
    <xf numFmtId="9" fontId="25" fillId="0" borderId="0" xfId="4" applyNumberFormat="1" applyFont="1" applyFill="1" applyBorder="1" applyAlignment="1">
      <alignment horizontal="center" vertical="center" wrapText="1"/>
    </xf>
    <xf numFmtId="9" fontId="25" fillId="0" borderId="0" xfId="0" applyNumberFormat="1" applyFont="1" applyFill="1" applyAlignment="1">
      <alignment horizontal="center" vertical="center"/>
    </xf>
    <xf numFmtId="9" fontId="25" fillId="0" borderId="0" xfId="4" applyFont="1" applyFill="1" applyAlignment="1">
      <alignment horizontal="center" vertical="center"/>
    </xf>
    <xf numFmtId="9" fontId="25" fillId="0" borderId="0" xfId="4" applyNumberFormat="1" applyFont="1" applyFill="1" applyAlignment="1">
      <alignment horizontal="center"/>
    </xf>
    <xf numFmtId="11" fontId="25" fillId="0" borderId="0" xfId="1" applyNumberFormat="1" applyFont="1" applyFill="1" applyAlignment="1">
      <alignment wrapText="1"/>
    </xf>
    <xf numFmtId="166" fontId="25" fillId="0" borderId="0" xfId="0" applyNumberFormat="1" applyFont="1" applyFill="1" applyAlignment="1">
      <alignment horizontal="center"/>
    </xf>
    <xf numFmtId="164" fontId="25" fillId="0" borderId="0" xfId="4" applyNumberFormat="1" applyFont="1" applyFill="1" applyAlignment="1">
      <alignment horizontal="center"/>
    </xf>
    <xf numFmtId="1" fontId="25" fillId="0" borderId="0" xfId="4" applyNumberFormat="1" applyFont="1" applyFill="1" applyAlignment="1">
      <alignment horizontal="center"/>
    </xf>
    <xf numFmtId="39" fontId="25" fillId="0" borderId="0" xfId="2" applyNumberFormat="1" applyFont="1" applyFill="1" applyAlignment="1">
      <alignment horizontal="center" vertical="center"/>
    </xf>
    <xf numFmtId="37" fontId="25" fillId="0" borderId="0" xfId="2" applyNumberFormat="1" applyFont="1" applyFill="1" applyAlignment="1">
      <alignment horizontal="center" vertical="center"/>
    </xf>
    <xf numFmtId="9" fontId="25" fillId="0" borderId="0" xfId="4" quotePrefix="1" applyFont="1" applyFill="1" applyAlignment="1">
      <alignment horizontal="center" vertical="center"/>
    </xf>
    <xf numFmtId="1" fontId="25" fillId="0" borderId="0" xfId="0" applyNumberFormat="1" applyFont="1" applyFill="1" applyAlignment="1">
      <alignment horizontal="center"/>
    </xf>
    <xf numFmtId="37" fontId="0" fillId="0" borderId="0" xfId="0" applyNumberFormat="1"/>
    <xf numFmtId="37" fontId="0" fillId="0" borderId="0" xfId="0" applyNumberFormat="1" applyFill="1"/>
    <xf numFmtId="0" fontId="13" fillId="0" borderId="0" xfId="0" applyFont="1" applyFill="1" applyAlignment="1">
      <alignment horizontal="center"/>
    </xf>
    <xf numFmtId="166" fontId="13" fillId="0" borderId="0" xfId="0" applyNumberFormat="1" applyFont="1"/>
    <xf numFmtId="168" fontId="25" fillId="0" borderId="0" xfId="2" applyNumberFormat="1" applyFont="1" applyFill="1" applyBorder="1" applyAlignment="1">
      <alignment horizontal="center" vertical="top" wrapText="1"/>
    </xf>
    <xf numFmtId="0" fontId="26" fillId="0" borderId="0" xfId="0" applyFont="1"/>
    <xf numFmtId="0" fontId="27" fillId="0" borderId="0" xfId="0" applyFont="1" applyFill="1" applyBorder="1"/>
    <xf numFmtId="0" fontId="27" fillId="0" borderId="0" xfId="0" applyFont="1"/>
    <xf numFmtId="1" fontId="27" fillId="0" borderId="0" xfId="0" applyNumberFormat="1" applyFont="1"/>
    <xf numFmtId="0" fontId="27" fillId="0" borderId="0" xfId="0" applyFont="1" applyFill="1"/>
    <xf numFmtId="0" fontId="26" fillId="0" borderId="0" xfId="0" applyFont="1" applyFill="1" applyBorder="1"/>
    <xf numFmtId="0" fontId="27" fillId="0" borderId="0" xfId="0" applyFont="1" applyBorder="1" applyAlignment="1">
      <alignment vertical="center"/>
    </xf>
    <xf numFmtId="10" fontId="27" fillId="0" borderId="0" xfId="0" applyNumberFormat="1" applyFont="1"/>
    <xf numFmtId="10" fontId="26" fillId="0" borderId="0" xfId="0" applyNumberFormat="1" applyFont="1"/>
    <xf numFmtId="0" fontId="27" fillId="0" borderId="0" xfId="0" applyFont="1" applyFill="1" applyBorder="1" applyAlignment="1">
      <alignment vertical="center"/>
    </xf>
    <xf numFmtId="10" fontId="27" fillId="0" borderId="0" xfId="0" applyNumberFormat="1" applyFont="1" applyFill="1"/>
    <xf numFmtId="9" fontId="27" fillId="0" borderId="0" xfId="0" applyNumberFormat="1" applyFont="1" applyFill="1" applyBorder="1"/>
    <xf numFmtId="9" fontId="13" fillId="0" borderId="0" xfId="0" applyNumberFormat="1" applyFont="1"/>
    <xf numFmtId="0" fontId="13" fillId="0" borderId="0" xfId="0" applyFont="1" applyAlignment="1">
      <alignment horizontal="center"/>
    </xf>
    <xf numFmtId="3" fontId="3" fillId="0" borderId="0" xfId="0" applyNumberFormat="1" applyFont="1"/>
    <xf numFmtId="0" fontId="3" fillId="0" borderId="0" xfId="0" applyFont="1" applyAlignment="1">
      <alignment horizontal="right"/>
    </xf>
    <xf numFmtId="0" fontId="13" fillId="0" borderId="33" xfId="0" applyFont="1" applyBorder="1" applyAlignment="1">
      <alignment horizontal="center" vertical="center" wrapText="1"/>
    </xf>
    <xf numFmtId="164" fontId="0" fillId="0" borderId="14" xfId="0" applyNumberFormat="1" applyBorder="1" applyAlignment="1">
      <alignment horizontal="center" vertical="center"/>
    </xf>
    <xf numFmtId="3" fontId="0" fillId="0" borderId="14" xfId="1" applyNumberFormat="1" applyFont="1" applyBorder="1" applyAlignment="1">
      <alignment horizontal="center" vertical="center"/>
    </xf>
    <xf numFmtId="0" fontId="29" fillId="0" borderId="0" xfId="0" applyFont="1"/>
    <xf numFmtId="0" fontId="13" fillId="0" borderId="37" xfId="0" applyFont="1" applyBorder="1" applyAlignment="1">
      <alignment horizontal="left" vertical="center" wrapText="1"/>
    </xf>
    <xf numFmtId="0" fontId="13" fillId="0" borderId="38" xfId="0" applyFont="1" applyBorder="1" applyAlignment="1">
      <alignment horizontal="left" vertical="center" wrapText="1"/>
    </xf>
    <xf numFmtId="0" fontId="13" fillId="0" borderId="39" xfId="0" applyFont="1" applyBorder="1" applyAlignment="1">
      <alignment horizontal="left" vertical="center" wrapText="1"/>
    </xf>
    <xf numFmtId="0" fontId="13" fillId="0" borderId="40" xfId="0" applyFont="1" applyBorder="1" applyAlignment="1">
      <alignment horizontal="left" vertical="center" wrapText="1"/>
    </xf>
    <xf numFmtId="164" fontId="32" fillId="0" borderId="0" xfId="4" applyNumberFormat="1" applyFont="1" applyFill="1" applyBorder="1" applyAlignment="1">
      <alignment horizontal="center" vertical="center" wrapText="1"/>
    </xf>
    <xf numFmtId="164" fontId="32" fillId="0" borderId="0" xfId="4" applyNumberFormat="1" applyFont="1" applyFill="1" applyAlignment="1">
      <alignment horizontal="center"/>
    </xf>
    <xf numFmtId="9" fontId="32" fillId="0" borderId="0" xfId="0" applyNumberFormat="1" applyFont="1" applyFill="1" applyAlignment="1">
      <alignment horizontal="center"/>
    </xf>
    <xf numFmtId="0" fontId="4" fillId="0" borderId="0" xfId="0" applyFont="1"/>
    <xf numFmtId="0" fontId="35" fillId="0" borderId="0" xfId="0" applyFont="1" applyAlignment="1">
      <alignment horizontal="right"/>
    </xf>
    <xf numFmtId="164" fontId="3" fillId="0" borderId="30" xfId="0" applyNumberFormat="1" applyFont="1" applyBorder="1" applyAlignment="1">
      <alignment horizontal="center"/>
    </xf>
    <xf numFmtId="164" fontId="30" fillId="0" borderId="0" xfId="4" applyNumberFormat="1" applyFont="1" applyFill="1" applyBorder="1" applyAlignment="1">
      <alignment horizontal="center"/>
    </xf>
    <xf numFmtId="164" fontId="30" fillId="7" borderId="30" xfId="4" applyNumberFormat="1" applyFont="1" applyFill="1" applyBorder="1" applyAlignment="1">
      <alignment horizontal="center"/>
    </xf>
    <xf numFmtId="0" fontId="13" fillId="0" borderId="34" xfId="0" applyFont="1" applyBorder="1" applyAlignment="1">
      <alignment horizontal="center" vertical="center" wrapText="1"/>
    </xf>
    <xf numFmtId="0" fontId="13" fillId="0" borderId="42" xfId="0" applyFont="1" applyBorder="1" applyAlignment="1">
      <alignment horizontal="center" vertical="center" wrapText="1"/>
    </xf>
    <xf numFmtId="0" fontId="0" fillId="0" borderId="14" xfId="0" applyBorder="1" applyAlignment="1">
      <alignment horizontal="left" wrapText="1"/>
    </xf>
    <xf numFmtId="0" fontId="13" fillId="0" borderId="14" xfId="0" applyFont="1" applyBorder="1" applyAlignment="1">
      <alignment horizontal="justify" vertical="center" wrapText="1"/>
    </xf>
    <xf numFmtId="0" fontId="13" fillId="0" borderId="26" xfId="0" applyFont="1" applyFill="1" applyBorder="1" applyAlignment="1">
      <alignment horizontal="justify" vertical="center" wrapText="1"/>
    </xf>
    <xf numFmtId="164" fontId="0" fillId="0" borderId="26" xfId="0" applyNumberFormat="1" applyBorder="1" applyAlignment="1">
      <alignment horizontal="center" vertical="center"/>
    </xf>
    <xf numFmtId="0" fontId="0" fillId="0" borderId="23" xfId="0" applyBorder="1" applyAlignment="1">
      <alignment vertical="center" wrapText="1"/>
    </xf>
    <xf numFmtId="164" fontId="0" fillId="0" borderId="23" xfId="0" applyNumberFormat="1" applyBorder="1" applyAlignment="1">
      <alignment horizontal="center" vertical="center"/>
    </xf>
    <xf numFmtId="0" fontId="5" fillId="0" borderId="0" xfId="0" applyFont="1" applyBorder="1" applyAlignment="1">
      <alignment vertical="center"/>
    </xf>
    <xf numFmtId="0" fontId="13" fillId="0" borderId="0" xfId="0" applyFont="1" applyBorder="1" applyAlignment="1">
      <alignment horizontal="center" vertical="center" wrapText="1"/>
    </xf>
    <xf numFmtId="9" fontId="13" fillId="0" borderId="14" xfId="0" applyNumberFormat="1" applyFont="1" applyBorder="1" applyAlignment="1">
      <alignment horizontal="center" vertical="center" wrapText="1"/>
    </xf>
    <xf numFmtId="9" fontId="13" fillId="0" borderId="26" xfId="0" applyNumberFormat="1" applyFont="1" applyBorder="1" applyAlignment="1">
      <alignment horizontal="center" vertical="center" wrapText="1"/>
    </xf>
    <xf numFmtId="0" fontId="5" fillId="0" borderId="0" xfId="0" applyFont="1" applyAlignment="1">
      <alignment vertical="center"/>
    </xf>
    <xf numFmtId="0" fontId="0" fillId="0" borderId="23" xfId="0" applyBorder="1" applyAlignment="1">
      <alignment vertical="center"/>
    </xf>
    <xf numFmtId="0" fontId="0" fillId="0" borderId="14" xfId="0" applyBorder="1" applyAlignment="1">
      <alignment vertical="center"/>
    </xf>
    <xf numFmtId="0" fontId="0" fillId="0" borderId="26" xfId="0" applyBorder="1" applyAlignment="1">
      <alignment vertical="center"/>
    </xf>
    <xf numFmtId="0" fontId="27" fillId="0" borderId="43" xfId="0" applyFont="1" applyBorder="1" applyAlignment="1">
      <alignment horizontal="left" vertical="center" wrapText="1"/>
    </xf>
    <xf numFmtId="0" fontId="37" fillId="0" borderId="32" xfId="0" applyFont="1" applyFill="1" applyBorder="1" applyAlignment="1">
      <alignment horizontal="center" vertical="center" wrapText="1"/>
    </xf>
    <xf numFmtId="0" fontId="38" fillId="0" borderId="0" xfId="0" applyFont="1" applyAlignment="1">
      <alignment horizontal="center" vertical="center"/>
    </xf>
    <xf numFmtId="0" fontId="0" fillId="0" borderId="0" xfId="0" applyBorder="1" applyAlignment="1">
      <alignment vertical="center" wrapText="1"/>
    </xf>
    <xf numFmtId="0" fontId="0" fillId="0" borderId="9" xfId="0" applyBorder="1" applyAlignment="1">
      <alignment vertical="center" wrapText="1"/>
    </xf>
    <xf numFmtId="0" fontId="3" fillId="0" borderId="0" xfId="0" applyFont="1" applyFill="1" applyBorder="1"/>
    <xf numFmtId="9" fontId="31" fillId="8" borderId="0" xfId="0" applyNumberFormat="1" applyFont="1" applyFill="1"/>
    <xf numFmtId="0" fontId="13" fillId="0" borderId="29" xfId="0" applyFont="1" applyBorder="1" applyAlignment="1">
      <alignment vertical="center"/>
    </xf>
    <xf numFmtId="0" fontId="13" fillId="0" borderId="32" xfId="0" applyFont="1" applyBorder="1" applyAlignment="1">
      <alignment vertical="center"/>
    </xf>
    <xf numFmtId="0" fontId="13" fillId="0" borderId="29" xfId="0" applyFont="1" applyBorder="1" applyAlignment="1">
      <alignment horizontal="center" vertical="center" wrapText="1"/>
    </xf>
    <xf numFmtId="0" fontId="13" fillId="0" borderId="32" xfId="0" applyFont="1" applyBorder="1" applyAlignment="1">
      <alignment horizontal="center" vertical="center" wrapText="1"/>
    </xf>
    <xf numFmtId="0" fontId="0" fillId="0" borderId="43"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3" fillId="0" borderId="30" xfId="0" applyFont="1" applyBorder="1" applyAlignment="1">
      <alignment vertical="center"/>
    </xf>
    <xf numFmtId="0" fontId="33" fillId="0" borderId="29" xfId="3" applyFont="1" applyBorder="1" applyAlignment="1" applyProtection="1">
      <alignment vertical="center"/>
    </xf>
    <xf numFmtId="0" fontId="33" fillId="0" borderId="32" xfId="3" applyFont="1" applyBorder="1" applyAlignment="1" applyProtection="1">
      <alignment vertical="center"/>
    </xf>
    <xf numFmtId="9" fontId="13" fillId="9" borderId="44" xfId="0" applyNumberFormat="1" applyFont="1" applyFill="1" applyBorder="1" applyAlignment="1">
      <alignment horizontal="center" vertical="center" wrapText="1"/>
    </xf>
    <xf numFmtId="9" fontId="13" fillId="9" borderId="45" xfId="0" applyNumberFormat="1" applyFont="1" applyFill="1" applyBorder="1" applyAlignment="1">
      <alignment horizontal="center" vertical="center" wrapText="1"/>
    </xf>
    <xf numFmtId="164" fontId="13" fillId="9" borderId="43" xfId="1" applyNumberFormat="1" applyFont="1" applyFill="1" applyBorder="1" applyAlignment="1">
      <alignment horizontal="center" vertical="center"/>
    </xf>
    <xf numFmtId="164" fontId="13" fillId="9" borderId="29" xfId="1" applyNumberFormat="1" applyFont="1" applyFill="1" applyBorder="1" applyAlignment="1">
      <alignment horizontal="center" vertical="center"/>
    </xf>
    <xf numFmtId="164" fontId="13" fillId="9" borderId="32" xfId="1" applyNumberFormat="1" applyFont="1" applyFill="1" applyBorder="1" applyAlignment="1">
      <alignment horizontal="center" vertical="center"/>
    </xf>
    <xf numFmtId="9" fontId="31" fillId="8" borderId="29" xfId="0" applyNumberFormat="1" applyFont="1" applyFill="1" applyBorder="1" applyAlignment="1">
      <alignment horizontal="center" vertical="center" wrapText="1"/>
    </xf>
    <xf numFmtId="9" fontId="31" fillId="8" borderId="32" xfId="0" applyNumberFormat="1" applyFont="1" applyFill="1" applyBorder="1" applyAlignment="1">
      <alignment horizontal="center" vertical="center" wrapText="1"/>
    </xf>
    <xf numFmtId="164" fontId="31" fillId="8" borderId="43" xfId="0" applyNumberFormat="1" applyFont="1" applyFill="1" applyBorder="1" applyAlignment="1">
      <alignment horizontal="center" vertical="center"/>
    </xf>
    <xf numFmtId="164" fontId="31" fillId="8" borderId="29" xfId="0" applyNumberFormat="1" applyFont="1" applyFill="1" applyBorder="1" applyAlignment="1">
      <alignment horizontal="center" vertical="center"/>
    </xf>
    <xf numFmtId="3" fontId="31" fillId="8" borderId="29" xfId="1" applyNumberFormat="1" applyFont="1" applyFill="1" applyBorder="1" applyAlignment="1">
      <alignment horizontal="center" vertical="center"/>
    </xf>
    <xf numFmtId="164" fontId="31" fillId="8" borderId="32" xfId="0" applyNumberFormat="1" applyFont="1" applyFill="1" applyBorder="1" applyAlignment="1">
      <alignment horizontal="center" vertical="center"/>
    </xf>
    <xf numFmtId="14" fontId="35" fillId="0" borderId="0" xfId="0" applyNumberFormat="1" applyFont="1" applyAlignment="1">
      <alignment horizontal="right"/>
    </xf>
    <xf numFmtId="0" fontId="31" fillId="0" borderId="33" xfId="0" applyFont="1" applyBorder="1" applyAlignment="1">
      <alignment horizontal="center" vertical="center" wrapText="1"/>
    </xf>
    <xf numFmtId="0" fontId="0" fillId="0" borderId="0" xfId="0" applyBorder="1" applyAlignment="1">
      <alignment vertical="top"/>
    </xf>
    <xf numFmtId="0" fontId="0" fillId="0" borderId="0" xfId="0" applyBorder="1" applyAlignment="1">
      <alignment horizontal="left" vertical="top"/>
    </xf>
    <xf numFmtId="0" fontId="28" fillId="0" borderId="0" xfId="0" applyFont="1" applyBorder="1"/>
    <xf numFmtId="0" fontId="34" fillId="0" borderId="0" xfId="0" applyFont="1" applyBorder="1"/>
    <xf numFmtId="0" fontId="0" fillId="0" borderId="0" xfId="0" applyNumberFormat="1" applyBorder="1" applyAlignment="1">
      <alignment wrapText="1"/>
    </xf>
    <xf numFmtId="0" fontId="0" fillId="0" borderId="0" xfId="0" applyBorder="1" applyAlignment="1">
      <alignment wrapText="1"/>
    </xf>
    <xf numFmtId="14" fontId="35" fillId="0" borderId="0" xfId="0" applyNumberFormat="1" applyFont="1" applyBorder="1" applyAlignment="1">
      <alignment horizontal="right"/>
    </xf>
    <xf numFmtId="0" fontId="0" fillId="0" borderId="0" xfId="0" applyNumberFormat="1" applyBorder="1" applyAlignment="1">
      <alignment horizontal="left" wrapText="1"/>
    </xf>
    <xf numFmtId="0" fontId="0" fillId="0" borderId="0" xfId="0" applyNumberFormat="1" applyBorder="1" applyAlignment="1">
      <alignment vertical="top" wrapText="1"/>
    </xf>
    <xf numFmtId="0" fontId="3" fillId="0" borderId="46" xfId="0" applyFont="1" applyBorder="1" applyAlignment="1">
      <alignment horizontal="center" vertical="center" wrapText="1"/>
    </xf>
    <xf numFmtId="0" fontId="13" fillId="0" borderId="47" xfId="0" applyFont="1" applyBorder="1" applyAlignment="1">
      <alignment horizontal="left" vertical="center" wrapText="1"/>
    </xf>
    <xf numFmtId="14" fontId="13" fillId="0" borderId="48" xfId="0" applyNumberFormat="1" applyFont="1" applyBorder="1" applyAlignment="1">
      <alignment horizontal="left" vertical="center" wrapText="1"/>
    </xf>
    <xf numFmtId="0" fontId="13" fillId="0" borderId="49" xfId="0" applyFont="1" applyBorder="1" applyAlignment="1">
      <alignment horizontal="left" vertical="center" wrapText="1"/>
    </xf>
    <xf numFmtId="0" fontId="13" fillId="0" borderId="48" xfId="0" applyFont="1" applyBorder="1" applyAlignment="1">
      <alignment vertical="center" wrapText="1"/>
    </xf>
    <xf numFmtId="0" fontId="13" fillId="0" borderId="50" xfId="0" applyFont="1" applyBorder="1" applyAlignment="1">
      <alignment vertical="center" wrapText="1"/>
    </xf>
    <xf numFmtId="0" fontId="13" fillId="0" borderId="47" xfId="0" applyFont="1" applyBorder="1" applyAlignment="1">
      <alignment vertical="center" wrapText="1"/>
    </xf>
    <xf numFmtId="0" fontId="0" fillId="0" borderId="51" xfId="0" applyBorder="1"/>
    <xf numFmtId="0" fontId="0" fillId="0" borderId="0" xfId="0"/>
    <xf numFmtId="0" fontId="2" fillId="0" borderId="0" xfId="0" applyFont="1" applyAlignment="1">
      <alignment horizontal="right"/>
    </xf>
    <xf numFmtId="166" fontId="0" fillId="0" borderId="0" xfId="1" applyNumberFormat="1" applyFont="1" applyAlignment="1">
      <alignment horizontal="center"/>
    </xf>
    <xf numFmtId="0" fontId="40" fillId="0" borderId="0" xfId="5"/>
    <xf numFmtId="0" fontId="40" fillId="0" borderId="0" xfId="5" applyAlignment="1">
      <alignment horizontal="center"/>
    </xf>
    <xf numFmtId="0" fontId="41" fillId="0" borderId="0" xfId="5" applyFont="1"/>
    <xf numFmtId="0" fontId="40" fillId="0" borderId="66" xfId="5" applyBorder="1" applyAlignment="1">
      <alignment horizontal="center" vertical="center"/>
    </xf>
    <xf numFmtId="0" fontId="40" fillId="0" borderId="43" xfId="5" applyBorder="1" applyAlignment="1">
      <alignment horizontal="center" vertical="center" wrapText="1"/>
    </xf>
    <xf numFmtId="0" fontId="40" fillId="0" borderId="67" xfId="5" applyBorder="1" applyAlignment="1">
      <alignment horizontal="center" vertical="center" wrapText="1"/>
    </xf>
    <xf numFmtId="0" fontId="40" fillId="0" borderId="30" xfId="5" applyFill="1" applyBorder="1" applyAlignment="1">
      <alignment horizontal="center"/>
    </xf>
    <xf numFmtId="0" fontId="40" fillId="0" borderId="31" xfId="5" applyFill="1" applyBorder="1"/>
    <xf numFmtId="0" fontId="40" fillId="0" borderId="63" xfId="5" applyFill="1" applyBorder="1" applyAlignment="1">
      <alignment horizontal="center"/>
    </xf>
    <xf numFmtId="0" fontId="40" fillId="0" borderId="64" xfId="5" applyFill="1" applyBorder="1" applyAlignment="1">
      <alignment horizontal="center"/>
    </xf>
    <xf numFmtId="0" fontId="40" fillId="0" borderId="68" xfId="5" applyFill="1" applyBorder="1" applyAlignment="1">
      <alignment horizontal="center"/>
    </xf>
    <xf numFmtId="172" fontId="40" fillId="0" borderId="64" xfId="5" applyNumberFormat="1" applyFill="1" applyBorder="1" applyAlignment="1">
      <alignment horizontal="center"/>
    </xf>
    <xf numFmtId="173" fontId="40" fillId="0" borderId="65" xfId="5" applyNumberFormat="1" applyFill="1" applyBorder="1" applyAlignment="1">
      <alignment horizontal="center"/>
    </xf>
    <xf numFmtId="173" fontId="40" fillId="0" borderId="65" xfId="5" applyNumberFormat="1" applyBorder="1" applyAlignment="1">
      <alignment horizontal="center"/>
    </xf>
    <xf numFmtId="0" fontId="40" fillId="0" borderId="69" xfId="5" applyFill="1" applyBorder="1" applyAlignment="1">
      <alignment horizontal="center"/>
    </xf>
    <xf numFmtId="0" fontId="40" fillId="0" borderId="31" xfId="5" applyFill="1" applyBorder="1" applyAlignment="1">
      <alignment horizontal="center"/>
    </xf>
    <xf numFmtId="172" fontId="40" fillId="0" borderId="30" xfId="5" applyNumberFormat="1" applyFill="1" applyBorder="1" applyAlignment="1">
      <alignment horizontal="center"/>
    </xf>
    <xf numFmtId="173" fontId="40" fillId="0" borderId="35" xfId="5" applyNumberFormat="1" applyFill="1" applyBorder="1" applyAlignment="1">
      <alignment horizontal="center"/>
    </xf>
    <xf numFmtId="173" fontId="40" fillId="0" borderId="35" xfId="5" applyNumberFormat="1" applyBorder="1" applyAlignment="1">
      <alignment horizontal="center"/>
    </xf>
    <xf numFmtId="0" fontId="39" fillId="0" borderId="51" xfId="5" applyFont="1" applyFill="1" applyBorder="1" applyAlignment="1">
      <alignment horizontal="center"/>
    </xf>
    <xf numFmtId="0" fontId="39" fillId="0" borderId="33" xfId="5" applyFont="1" applyFill="1" applyBorder="1" applyAlignment="1">
      <alignment horizontal="center"/>
    </xf>
    <xf numFmtId="0" fontId="39" fillId="0" borderId="34" xfId="5" applyFont="1" applyFill="1" applyBorder="1" applyAlignment="1">
      <alignment horizontal="center"/>
    </xf>
    <xf numFmtId="172" fontId="39" fillId="0" borderId="33" xfId="5" applyNumberFormat="1" applyFont="1" applyFill="1" applyBorder="1" applyAlignment="1">
      <alignment horizontal="center"/>
    </xf>
    <xf numFmtId="173" fontId="39" fillId="0" borderId="36" xfId="5" applyNumberFormat="1" applyFont="1" applyFill="1" applyBorder="1" applyAlignment="1">
      <alignment horizontal="center"/>
    </xf>
    <xf numFmtId="173" fontId="39" fillId="0" borderId="36" xfId="5" applyNumberFormat="1" applyFont="1" applyBorder="1" applyAlignment="1">
      <alignment horizontal="center"/>
    </xf>
    <xf numFmtId="0" fontId="42" fillId="0" borderId="0" xfId="5" applyFont="1"/>
    <xf numFmtId="1" fontId="42" fillId="0" borderId="0" xfId="5" applyNumberFormat="1" applyFont="1" applyAlignment="1">
      <alignment wrapText="1"/>
    </xf>
    <xf numFmtId="0" fontId="42" fillId="0" borderId="0" xfId="5" applyFont="1" applyAlignment="1">
      <alignment wrapText="1"/>
    </xf>
    <xf numFmtId="0" fontId="44" fillId="0" borderId="30" xfId="5" applyFont="1" applyBorder="1" applyAlignment="1">
      <alignment horizontal="center" vertical="center"/>
    </xf>
    <xf numFmtId="0" fontId="44" fillId="0" borderId="30" xfId="5" applyFont="1" applyBorder="1" applyAlignment="1">
      <alignment horizontal="center" vertical="center" wrapText="1"/>
    </xf>
    <xf numFmtId="1" fontId="44" fillId="0" borderId="30" xfId="5" applyNumberFormat="1" applyFont="1" applyBorder="1" applyAlignment="1">
      <alignment horizontal="center" vertical="center" wrapText="1"/>
    </xf>
    <xf numFmtId="172" fontId="44" fillId="0" borderId="30" xfId="5" applyNumberFormat="1" applyFont="1" applyBorder="1" applyAlignment="1">
      <alignment horizontal="center" vertical="center" wrapText="1"/>
    </xf>
    <xf numFmtId="1" fontId="42" fillId="0" borderId="30" xfId="5" applyNumberFormat="1" applyFont="1" applyBorder="1" applyAlignment="1">
      <alignment horizontal="center" vertical="center" wrapText="1"/>
    </xf>
    <xf numFmtId="0" fontId="45" fillId="0" borderId="30" xfId="5" applyFont="1" applyFill="1" applyBorder="1" applyAlignment="1">
      <alignment horizontal="center" vertical="center"/>
    </xf>
    <xf numFmtId="0" fontId="45" fillId="0" borderId="30" xfId="5" applyFont="1" applyFill="1" applyBorder="1" applyAlignment="1">
      <alignment horizontal="left" vertical="center"/>
    </xf>
    <xf numFmtId="1" fontId="45" fillId="0" borderId="30" xfId="5" applyNumberFormat="1" applyFont="1" applyFill="1" applyBorder="1" applyAlignment="1">
      <alignment horizontal="center" vertical="center" wrapText="1"/>
    </xf>
    <xf numFmtId="0" fontId="45" fillId="0" borderId="30" xfId="5" applyFont="1" applyFill="1" applyBorder="1" applyAlignment="1">
      <alignment horizontal="center" vertical="center" wrapText="1"/>
    </xf>
    <xf numFmtId="172" fontId="46" fillId="0" borderId="30" xfId="5" applyNumberFormat="1" applyFont="1" applyFill="1" applyBorder="1" applyAlignment="1">
      <alignment horizontal="center" vertical="center" wrapText="1"/>
    </xf>
    <xf numFmtId="0" fontId="42" fillId="0" borderId="30" xfId="5" applyFont="1" applyFill="1" applyBorder="1" applyAlignment="1">
      <alignment horizontal="center" vertical="center"/>
    </xf>
    <xf numFmtId="0" fontId="42" fillId="0" borderId="30" xfId="5" applyFont="1" applyFill="1" applyBorder="1" applyAlignment="1">
      <alignment horizontal="left"/>
    </xf>
    <xf numFmtId="1" fontId="42" fillId="0" borderId="30" xfId="5" applyNumberFormat="1" applyFont="1" applyFill="1" applyBorder="1" applyAlignment="1">
      <alignment horizontal="center" vertical="center" wrapText="1"/>
    </xf>
    <xf numFmtId="0" fontId="42" fillId="0" borderId="30" xfId="5" applyFont="1" applyFill="1" applyBorder="1" applyAlignment="1">
      <alignment horizontal="center" vertical="center" wrapText="1"/>
    </xf>
    <xf numFmtId="172" fontId="44" fillId="0" borderId="30" xfId="5" applyNumberFormat="1" applyFont="1" applyFill="1" applyBorder="1" applyAlignment="1">
      <alignment horizontal="center" vertical="center" wrapText="1"/>
    </xf>
    <xf numFmtId="0" fontId="42" fillId="0" borderId="30" xfId="5" applyFont="1" applyBorder="1" applyAlignment="1">
      <alignment horizontal="center" vertical="center"/>
    </xf>
    <xf numFmtId="0" fontId="42" fillId="0" borderId="30" xfId="5" applyFont="1" applyBorder="1" applyAlignment="1">
      <alignment horizontal="left"/>
    </xf>
    <xf numFmtId="0" fontId="42" fillId="0" borderId="30" xfId="5" applyFont="1" applyBorder="1" applyAlignment="1">
      <alignment horizontal="center" vertical="center" wrapText="1"/>
    </xf>
    <xf numFmtId="1" fontId="42" fillId="11" borderId="30" xfId="5" applyNumberFormat="1" applyFont="1" applyFill="1" applyBorder="1" applyAlignment="1">
      <alignment horizontal="center" vertical="center" wrapText="1"/>
    </xf>
    <xf numFmtId="0" fontId="42" fillId="11" borderId="30" xfId="5" applyFont="1" applyFill="1" applyBorder="1" applyAlignment="1">
      <alignment horizontal="center" vertical="center" wrapText="1"/>
    </xf>
    <xf numFmtId="172" fontId="44" fillId="11" borderId="30" xfId="5" applyNumberFormat="1" applyFont="1" applyFill="1" applyBorder="1" applyAlignment="1">
      <alignment horizontal="center" vertical="center" wrapText="1"/>
    </xf>
    <xf numFmtId="0" fontId="2" fillId="0" borderId="0" xfId="6"/>
    <xf numFmtId="0" fontId="1" fillId="0" borderId="0" xfId="7"/>
    <xf numFmtId="0" fontId="11" fillId="3" borderId="3" xfId="6" applyFont="1" applyFill="1" applyBorder="1" applyAlignment="1">
      <alignment horizontal="justify" vertical="top" wrapText="1"/>
    </xf>
    <xf numFmtId="0" fontId="11" fillId="0" borderId="3" xfId="6" applyFont="1" applyBorder="1" applyAlignment="1">
      <alignment horizontal="justify" wrapText="1"/>
    </xf>
    <xf numFmtId="0" fontId="10" fillId="0" borderId="2" xfId="6" applyFont="1" applyBorder="1" applyAlignment="1">
      <alignment horizontal="justify" wrapText="1"/>
    </xf>
    <xf numFmtId="3" fontId="11" fillId="0" borderId="2" xfId="6" applyNumberFormat="1" applyFont="1" applyBorder="1" applyAlignment="1">
      <alignment horizontal="justify" wrapText="1"/>
    </xf>
    <xf numFmtId="3" fontId="11" fillId="0" borderId="8" xfId="6" applyNumberFormat="1" applyFont="1" applyBorder="1" applyAlignment="1">
      <alignment horizontal="justify" wrapText="1"/>
    </xf>
    <xf numFmtId="3" fontId="11" fillId="0" borderId="30" xfId="6" applyNumberFormat="1" applyFont="1" applyBorder="1" applyAlignment="1">
      <alignment horizontal="justify" wrapText="1"/>
    </xf>
    <xf numFmtId="0" fontId="11" fillId="0" borderId="30" xfId="6" applyFont="1" applyBorder="1" applyAlignment="1">
      <alignment horizontal="center" wrapText="1"/>
    </xf>
    <xf numFmtId="0" fontId="11" fillId="0" borderId="30" xfId="6" applyFont="1" applyBorder="1" applyAlignment="1">
      <alignment horizontal="justify" wrapText="1"/>
    </xf>
    <xf numFmtId="0" fontId="11" fillId="0" borderId="31" xfId="6" applyFont="1" applyBorder="1" applyAlignment="1">
      <alignment horizontal="justify" wrapText="1"/>
    </xf>
    <xf numFmtId="0" fontId="11" fillId="0" borderId="30" xfId="6" applyFont="1" applyBorder="1" applyAlignment="1">
      <alignment horizontal="center" vertical="center" wrapText="1"/>
    </xf>
    <xf numFmtId="0" fontId="10" fillId="3" borderId="1" xfId="6" applyFont="1" applyFill="1" applyBorder="1" applyAlignment="1">
      <alignment horizontal="justify" vertical="top" wrapText="1"/>
    </xf>
    <xf numFmtId="0" fontId="11" fillId="4" borderId="2" xfId="6" applyFont="1" applyFill="1" applyBorder="1" applyAlignment="1">
      <alignment horizontal="justify" wrapText="1"/>
    </xf>
    <xf numFmtId="3" fontId="11" fillId="4" borderId="2" xfId="6" applyNumberFormat="1" applyFont="1" applyFill="1" applyBorder="1" applyAlignment="1">
      <alignment horizontal="justify" wrapText="1"/>
    </xf>
    <xf numFmtId="3" fontId="11" fillId="4" borderId="8" xfId="6" applyNumberFormat="1" applyFont="1" applyFill="1" applyBorder="1" applyAlignment="1">
      <alignment horizontal="justify" wrapText="1"/>
    </xf>
    <xf numFmtId="3" fontId="11" fillId="4" borderId="30" xfId="6" applyNumberFormat="1" applyFont="1" applyFill="1" applyBorder="1" applyAlignment="1">
      <alignment horizontal="justify" wrapText="1"/>
    </xf>
    <xf numFmtId="3" fontId="10" fillId="0" borderId="2" xfId="6" applyNumberFormat="1" applyFont="1" applyBorder="1" applyAlignment="1">
      <alignment horizontal="justify" wrapText="1"/>
    </xf>
    <xf numFmtId="3" fontId="11" fillId="0" borderId="8" xfId="6" applyNumberFormat="1" applyFont="1" applyBorder="1" applyAlignment="1">
      <alignment horizontal="justify"/>
    </xf>
    <xf numFmtId="0" fontId="11" fillId="0" borderId="32" xfId="6" applyFont="1" applyBorder="1" applyAlignment="1">
      <alignment horizontal="center"/>
    </xf>
    <xf numFmtId="0" fontId="11" fillId="0" borderId="32" xfId="6" applyFont="1" applyBorder="1" applyAlignment="1">
      <alignment horizontal="justify"/>
    </xf>
    <xf numFmtId="0" fontId="11" fillId="0" borderId="26" xfId="6" applyFont="1" applyBorder="1" applyAlignment="1">
      <alignment horizontal="justify"/>
    </xf>
    <xf numFmtId="0" fontId="11" fillId="0" borderId="32" xfId="6" applyFont="1" applyBorder="1" applyAlignment="1">
      <alignment horizontal="center" wrapText="1"/>
    </xf>
    <xf numFmtId="0" fontId="11" fillId="0" borderId="32" xfId="6" applyFont="1" applyBorder="1" applyAlignment="1">
      <alignment horizontal="center" vertical="center" wrapText="1"/>
    </xf>
    <xf numFmtId="3" fontId="11" fillId="0" borderId="0" xfId="6" applyNumberFormat="1" applyFont="1" applyBorder="1" applyAlignment="1">
      <alignment horizontal="justify"/>
    </xf>
    <xf numFmtId="0" fontId="11" fillId="0" borderId="43" xfId="6" applyFont="1" applyBorder="1" applyAlignment="1">
      <alignment horizontal="center"/>
    </xf>
    <xf numFmtId="0" fontId="11" fillId="0" borderId="43" xfId="6" applyFont="1" applyBorder="1" applyAlignment="1">
      <alignment horizontal="justify"/>
    </xf>
    <xf numFmtId="0" fontId="11" fillId="0" borderId="43" xfId="6" applyFont="1" applyBorder="1" applyAlignment="1">
      <alignment horizontal="justify" vertical="center"/>
    </xf>
    <xf numFmtId="0" fontId="11" fillId="0" borderId="23" xfId="6" applyFont="1" applyBorder="1" applyAlignment="1">
      <alignment horizontal="justify"/>
    </xf>
    <xf numFmtId="3" fontId="10" fillId="0" borderId="8" xfId="6" applyNumberFormat="1" applyFont="1" applyBorder="1" applyAlignment="1">
      <alignment horizontal="justify" wrapText="1"/>
    </xf>
    <xf numFmtId="0" fontId="10" fillId="0" borderId="1" xfId="6" applyFont="1" applyBorder="1" applyAlignment="1">
      <alignment horizontal="justify" wrapText="1"/>
    </xf>
    <xf numFmtId="0" fontId="10" fillId="3" borderId="1" xfId="6" applyFont="1" applyFill="1" applyBorder="1" applyAlignment="1">
      <alignment horizontal="justify" wrapText="1"/>
    </xf>
    <xf numFmtId="0" fontId="14" fillId="4" borderId="2" xfId="6" applyFont="1" applyFill="1" applyBorder="1" applyAlignment="1">
      <alignment wrapText="1"/>
    </xf>
    <xf numFmtId="3" fontId="10" fillId="4" borderId="2" xfId="6" applyNumberFormat="1" applyFont="1" applyFill="1" applyBorder="1" applyAlignment="1">
      <alignment horizontal="justify" wrapText="1"/>
    </xf>
    <xf numFmtId="3" fontId="10" fillId="4" borderId="8" xfId="6" applyNumberFormat="1" applyFont="1" applyFill="1" applyBorder="1" applyAlignment="1">
      <alignment horizontal="justify" wrapText="1"/>
    </xf>
    <xf numFmtId="0" fontId="11" fillId="0" borderId="31" xfId="6" applyFont="1" applyBorder="1" applyAlignment="1">
      <alignment horizontal="center" wrapText="1"/>
    </xf>
    <xf numFmtId="0" fontId="11" fillId="0" borderId="2" xfId="6" applyFont="1" applyBorder="1" applyAlignment="1">
      <alignment horizontal="justify" wrapText="1"/>
    </xf>
    <xf numFmtId="0" fontId="11" fillId="0" borderId="30" xfId="6" applyFont="1" applyBorder="1" applyAlignment="1">
      <alignment wrapText="1"/>
    </xf>
    <xf numFmtId="0" fontId="11" fillId="0" borderId="31" xfId="6" applyFont="1" applyBorder="1" applyAlignment="1">
      <alignment wrapText="1"/>
    </xf>
    <xf numFmtId="0" fontId="40" fillId="0" borderId="0" xfId="5" applyAlignment="1">
      <alignment horizontal="right"/>
    </xf>
    <xf numFmtId="0" fontId="47" fillId="0" borderId="33" xfId="5" applyFont="1" applyBorder="1" applyAlignment="1">
      <alignment horizontal="center" vertical="center" wrapText="1"/>
    </xf>
    <xf numFmtId="0" fontId="47" fillId="0" borderId="64" xfId="5" applyFont="1" applyBorder="1" applyAlignment="1">
      <alignment horizontal="center"/>
    </xf>
    <xf numFmtId="174" fontId="40" fillId="0" borderId="64" xfId="5" applyNumberFormat="1" applyBorder="1" applyAlignment="1">
      <alignment horizontal="right"/>
    </xf>
    <xf numFmtId="174" fontId="40" fillId="12" borderId="65" xfId="5" applyNumberFormat="1" applyFill="1" applyBorder="1"/>
    <xf numFmtId="0" fontId="47" fillId="13" borderId="33" xfId="5" applyFont="1" applyFill="1" applyBorder="1" applyAlignment="1">
      <alignment horizontal="center"/>
    </xf>
    <xf numFmtId="174" fontId="40" fillId="13" borderId="33" xfId="5" applyNumberFormat="1" applyFill="1" applyBorder="1" applyAlignment="1">
      <alignment horizontal="right"/>
    </xf>
    <xf numFmtId="174" fontId="40" fillId="12" borderId="36" xfId="5" applyNumberFormat="1" applyFill="1" applyBorder="1"/>
    <xf numFmtId="174" fontId="40" fillId="12" borderId="32" xfId="5" applyNumberFormat="1" applyFill="1" applyBorder="1" applyAlignment="1">
      <alignment horizontal="right"/>
    </xf>
    <xf numFmtId="174" fontId="40" fillId="12" borderId="30" xfId="5" applyNumberFormat="1" applyFill="1" applyBorder="1" applyAlignment="1">
      <alignment horizontal="right"/>
    </xf>
    <xf numFmtId="172" fontId="0" fillId="0" borderId="0" xfId="0" applyNumberFormat="1" applyAlignment="1">
      <alignment horizontal="center"/>
    </xf>
    <xf numFmtId="166" fontId="33" fillId="14" borderId="0" xfId="1" applyNumberFormat="1" applyFont="1" applyFill="1" applyAlignment="1">
      <alignment horizontal="center"/>
    </xf>
    <xf numFmtId="37" fontId="13" fillId="14" borderId="29" xfId="1" applyNumberFormat="1" applyFont="1" applyFill="1" applyBorder="1" applyAlignment="1">
      <alignment horizontal="center" vertical="center"/>
    </xf>
    <xf numFmtId="166" fontId="13" fillId="14" borderId="0" xfId="1" applyNumberFormat="1" applyFont="1" applyFill="1" applyAlignment="1">
      <alignment horizontal="center"/>
    </xf>
    <xf numFmtId="6" fontId="0" fillId="0" borderId="0" xfId="0" applyNumberFormat="1"/>
    <xf numFmtId="0" fontId="49" fillId="0" borderId="0" xfId="0" applyFont="1"/>
    <xf numFmtId="166" fontId="49" fillId="0" borderId="0" xfId="1" applyNumberFormat="1" applyFont="1"/>
    <xf numFmtId="37" fontId="49" fillId="0" borderId="0" xfId="0" applyNumberFormat="1" applyFont="1"/>
    <xf numFmtId="0" fontId="49" fillId="0" borderId="0" xfId="0" applyFont="1" applyAlignment="1">
      <alignment horizontal="right"/>
    </xf>
    <xf numFmtId="0" fontId="2" fillId="0" borderId="0" xfId="0" applyFont="1" applyFill="1"/>
    <xf numFmtId="0" fontId="2" fillId="15" borderId="0" xfId="0" applyFont="1" applyFill="1"/>
    <xf numFmtId="0" fontId="3" fillId="0" borderId="0" xfId="0" applyFont="1" applyFill="1" applyAlignment="1">
      <alignment horizontal="left" vertical="center" wrapText="1"/>
    </xf>
    <xf numFmtId="0" fontId="0" fillId="0" borderId="0" xfId="0"/>
    <xf numFmtId="0" fontId="13" fillId="0" borderId="0" xfId="0" applyFont="1" applyBorder="1" applyAlignment="1">
      <alignment vertical="center" wrapText="1"/>
    </xf>
    <xf numFmtId="0" fontId="0" fillId="0" borderId="0" xfId="0" applyBorder="1"/>
    <xf numFmtId="0" fontId="0" fillId="0" borderId="0" xfId="0"/>
    <xf numFmtId="0" fontId="13" fillId="0" borderId="0" xfId="0" applyFont="1" applyBorder="1" applyAlignment="1">
      <alignment vertical="center" wrapText="1"/>
    </xf>
    <xf numFmtId="0" fontId="0" fillId="0" borderId="0" xfId="0" applyBorder="1"/>
    <xf numFmtId="0" fontId="40" fillId="0" borderId="0" xfId="5" applyAlignment="1">
      <alignment horizontal="center"/>
    </xf>
    <xf numFmtId="0" fontId="0" fillId="0" borderId="74" xfId="0" applyBorder="1" applyAlignment="1">
      <alignment horizontal="center"/>
    </xf>
    <xf numFmtId="0" fontId="2" fillId="0" borderId="0" xfId="0" applyFont="1" applyBorder="1" applyAlignment="1">
      <alignment horizontal="center"/>
    </xf>
    <xf numFmtId="0" fontId="13" fillId="0" borderId="0" xfId="0" applyFont="1" applyBorder="1" applyAlignment="1">
      <alignment horizontal="left" vertical="center" wrapText="1"/>
    </xf>
    <xf numFmtId="0" fontId="2" fillId="0" borderId="0" xfId="0" applyFont="1" applyBorder="1" applyAlignment="1">
      <alignment horizontal="left" vertical="center" wrapText="1"/>
    </xf>
    <xf numFmtId="0" fontId="12" fillId="0" borderId="0" xfId="3" applyBorder="1" applyAlignment="1" applyProtection="1">
      <alignment vertical="center" wrapText="1"/>
    </xf>
    <xf numFmtId="0" fontId="12" fillId="0" borderId="0" xfId="3" applyFill="1" applyBorder="1" applyAlignment="1" applyProtection="1">
      <alignment vertical="center" wrapText="1"/>
    </xf>
    <xf numFmtId="0" fontId="13" fillId="0" borderId="75" xfId="0" applyFont="1" applyBorder="1" applyAlignment="1">
      <alignment horizontal="left" vertical="center" wrapText="1"/>
    </xf>
    <xf numFmtId="0" fontId="2" fillId="0" borderId="76" xfId="0" applyFont="1" applyBorder="1" applyAlignment="1">
      <alignment horizontal="left" vertical="center" wrapText="1"/>
    </xf>
    <xf numFmtId="0" fontId="3" fillId="0" borderId="14" xfId="0" applyFont="1" applyFill="1" applyBorder="1" applyAlignment="1">
      <alignment horizontal="center" vertical="top" wrapText="1"/>
    </xf>
    <xf numFmtId="0" fontId="3" fillId="0" borderId="44" xfId="0" applyFont="1" applyFill="1" applyBorder="1" applyAlignment="1">
      <alignment horizontal="center" vertical="top" wrapText="1"/>
    </xf>
    <xf numFmtId="0" fontId="0" fillId="0" borderId="45" xfId="0" applyBorder="1"/>
    <xf numFmtId="164" fontId="3" fillId="0" borderId="0" xfId="0" applyNumberFormat="1" applyFont="1" applyBorder="1" applyAlignment="1">
      <alignment horizontal="center"/>
    </xf>
    <xf numFmtId="0" fontId="51" fillId="0" borderId="0" xfId="0" applyFont="1" applyBorder="1" applyAlignment="1">
      <alignment horizontal="left" vertical="center"/>
    </xf>
    <xf numFmtId="0" fontId="2" fillId="0" borderId="0" xfId="0" applyNumberFormat="1" applyFont="1" applyBorder="1" applyAlignment="1">
      <alignment horizontal="left" vertical="top" wrapText="1"/>
    </xf>
    <xf numFmtId="0" fontId="2" fillId="0" borderId="0" xfId="0" applyFont="1" applyBorder="1" applyAlignment="1">
      <alignment wrapText="1"/>
    </xf>
    <xf numFmtId="0" fontId="12" fillId="0" borderId="14" xfId="3" applyBorder="1" applyAlignment="1" applyProtection="1">
      <alignment horizontal="left" vertical="top" wrapText="1"/>
    </xf>
    <xf numFmtId="0" fontId="13" fillId="0" borderId="14" xfId="0" applyFont="1" applyBorder="1" applyAlignment="1">
      <alignment horizontal="left" vertical="top" wrapText="1"/>
    </xf>
    <xf numFmtId="0" fontId="13" fillId="0" borderId="44" xfId="0" applyFont="1" applyBorder="1" applyAlignment="1">
      <alignment horizontal="left" vertical="top" wrapText="1"/>
    </xf>
    <xf numFmtId="9" fontId="0" fillId="0" borderId="0" xfId="0" applyNumberFormat="1"/>
    <xf numFmtId="0" fontId="0" fillId="0" borderId="0" xfId="0"/>
    <xf numFmtId="0" fontId="13" fillId="0" borderId="0" xfId="0" applyFont="1" applyBorder="1" applyAlignment="1">
      <alignment vertical="center" wrapText="1"/>
    </xf>
    <xf numFmtId="0" fontId="2" fillId="0" borderId="47" xfId="0" applyFont="1" applyBorder="1" applyAlignment="1">
      <alignment horizontal="left" vertical="center" wrapText="1"/>
    </xf>
    <xf numFmtId="14" fontId="2" fillId="0" borderId="48" xfId="0" applyNumberFormat="1" applyFont="1" applyBorder="1" applyAlignment="1">
      <alignment horizontal="left" vertical="center" wrapText="1"/>
    </xf>
    <xf numFmtId="0" fontId="2" fillId="0" borderId="49" xfId="0" applyFont="1" applyBorder="1" applyAlignment="1">
      <alignment horizontal="left" vertical="center" wrapText="1"/>
    </xf>
    <xf numFmtId="0" fontId="2" fillId="0" borderId="48" xfId="0" applyFont="1" applyBorder="1" applyAlignment="1">
      <alignment vertical="center" wrapText="1"/>
    </xf>
    <xf numFmtId="0" fontId="2" fillId="0" borderId="50" xfId="0" applyFont="1" applyBorder="1" applyAlignment="1">
      <alignment vertical="center" wrapText="1"/>
    </xf>
    <xf numFmtId="0" fontId="2" fillId="0" borderId="47" xfId="0" applyFont="1" applyBorder="1" applyAlignment="1">
      <alignment vertical="center" wrapText="1"/>
    </xf>
    <xf numFmtId="49" fontId="52" fillId="0" borderId="0" xfId="11" applyNumberFormat="1" applyFont="1" applyAlignment="1">
      <alignment horizontal="right"/>
    </xf>
    <xf numFmtId="0" fontId="28" fillId="0" borderId="0" xfId="11" applyFont="1" applyBorder="1" applyAlignment="1"/>
    <xf numFmtId="0" fontId="53" fillId="0" borderId="0" xfId="11" applyFont="1" applyBorder="1" applyAlignment="1">
      <alignment horizontal="left"/>
    </xf>
    <xf numFmtId="0" fontId="39" fillId="0" borderId="0" xfId="0" applyFont="1"/>
    <xf numFmtId="0" fontId="41" fillId="12" borderId="0" xfId="0" applyFont="1" applyFill="1" applyAlignment="1">
      <alignment horizontal="center"/>
    </xf>
    <xf numFmtId="0" fontId="41" fillId="16" borderId="0" xfId="0" applyFont="1" applyFill="1" applyAlignment="1">
      <alignment horizontal="center"/>
    </xf>
    <xf numFmtId="0" fontId="39" fillId="17" borderId="0" xfId="0" applyFont="1" applyFill="1"/>
    <xf numFmtId="0" fontId="39" fillId="18" borderId="0" xfId="0" applyFont="1" applyFill="1"/>
    <xf numFmtId="0" fontId="39" fillId="19" borderId="0" xfId="0" applyFont="1" applyFill="1"/>
    <xf numFmtId="0" fontId="39" fillId="0" borderId="0" xfId="0" applyFont="1" applyFill="1"/>
    <xf numFmtId="8" fontId="39" fillId="0" borderId="0" xfId="0" applyNumberFormat="1" applyFont="1"/>
    <xf numFmtId="43" fontId="0" fillId="0" borderId="0" xfId="1" applyFont="1"/>
    <xf numFmtId="164" fontId="39" fillId="0" borderId="0" xfId="1" applyNumberFormat="1" applyFont="1"/>
    <xf numFmtId="8" fontId="0" fillId="0" borderId="0" xfId="0" applyNumberFormat="1"/>
    <xf numFmtId="0" fontId="12" fillId="0" borderId="14" xfId="3" applyBorder="1" applyAlignment="1" applyProtection="1">
      <alignment horizontal="left" vertical="top" wrapText="1"/>
    </xf>
    <xf numFmtId="0" fontId="12" fillId="0" borderId="44" xfId="3" applyBorder="1" applyAlignment="1" applyProtection="1">
      <alignment horizontal="left" vertical="top" wrapText="1"/>
    </xf>
    <xf numFmtId="0" fontId="13" fillId="0" borderId="14" xfId="0" applyFont="1" applyBorder="1" applyAlignment="1">
      <alignment horizontal="left" vertical="top" wrapText="1"/>
    </xf>
    <xf numFmtId="0" fontId="13" fillId="0" borderId="44" xfId="0" applyFont="1" applyBorder="1" applyAlignment="1">
      <alignment horizontal="left" vertical="top" wrapText="1"/>
    </xf>
    <xf numFmtId="0" fontId="13" fillId="0" borderId="41" xfId="0" applyFont="1" applyBorder="1" applyAlignment="1">
      <alignment horizontal="left" vertical="center" wrapText="1"/>
    </xf>
    <xf numFmtId="0" fontId="13" fillId="0" borderId="40" xfId="0" applyFont="1" applyBorder="1" applyAlignment="1">
      <alignment horizontal="left" vertical="center" wrapText="1"/>
    </xf>
    <xf numFmtId="0" fontId="28" fillId="0" borderId="0" xfId="0" applyFont="1" applyAlignment="1">
      <alignment horizontal="center" vertical="center"/>
    </xf>
    <xf numFmtId="0" fontId="51" fillId="0" borderId="0" xfId="0" applyFont="1" applyBorder="1" applyAlignment="1">
      <alignment horizontal="center" vertical="center"/>
    </xf>
    <xf numFmtId="0" fontId="3" fillId="0" borderId="23" xfId="0" applyFont="1" applyFill="1" applyBorder="1" applyAlignment="1">
      <alignment horizontal="center" vertical="top" wrapText="1"/>
    </xf>
    <xf numFmtId="0" fontId="3" fillId="0" borderId="77" xfId="0" applyFont="1" applyFill="1" applyBorder="1" applyAlignment="1">
      <alignment horizontal="center" vertical="top" wrapText="1"/>
    </xf>
    <xf numFmtId="0" fontId="12" fillId="0" borderId="14" xfId="3" applyFill="1" applyBorder="1" applyAlignment="1" applyProtection="1">
      <alignment horizontal="left" vertical="top" wrapText="1"/>
    </xf>
    <xf numFmtId="0" fontId="12" fillId="0" borderId="44" xfId="3" applyFill="1" applyBorder="1" applyAlignment="1" applyProtection="1">
      <alignment horizontal="left" vertical="top" wrapText="1"/>
    </xf>
    <xf numFmtId="0" fontId="0" fillId="0" borderId="14" xfId="0" applyBorder="1" applyAlignment="1">
      <alignment horizontal="left" vertical="top" wrapText="1"/>
    </xf>
    <xf numFmtId="0" fontId="0" fillId="0" borderId="44" xfId="0" applyBorder="1" applyAlignment="1">
      <alignment horizontal="left" vertical="top" wrapText="1"/>
    </xf>
    <xf numFmtId="0" fontId="2" fillId="0" borderId="14" xfId="0" applyFont="1" applyBorder="1" applyAlignment="1">
      <alignment horizontal="left" vertical="top" wrapText="1"/>
    </xf>
    <xf numFmtId="0" fontId="2" fillId="0" borderId="44" xfId="0" applyFont="1" applyBorder="1" applyAlignment="1">
      <alignment horizontal="left" vertical="top" wrapText="1"/>
    </xf>
    <xf numFmtId="0" fontId="51" fillId="0" borderId="0" xfId="0" applyFont="1" applyBorder="1" applyAlignment="1">
      <alignment horizontal="left" vertical="center"/>
    </xf>
    <xf numFmtId="0" fontId="0" fillId="0" borderId="0" xfId="0" applyBorder="1" applyAlignment="1">
      <alignment horizontal="left" vertical="top"/>
    </xf>
    <xf numFmtId="0" fontId="2" fillId="0" borderId="0" xfId="0" applyNumberFormat="1" applyFont="1" applyBorder="1" applyAlignment="1">
      <alignment horizontal="left" vertical="center" wrapText="1"/>
    </xf>
    <xf numFmtId="0" fontId="0" fillId="0" borderId="0" xfId="0" applyNumberFormat="1" applyBorder="1" applyAlignment="1">
      <alignment horizontal="left" vertical="center" wrapText="1"/>
    </xf>
    <xf numFmtId="0" fontId="2" fillId="0" borderId="0" xfId="0" applyNumberFormat="1" applyFont="1" applyBorder="1" applyAlignment="1">
      <alignment horizontal="left" wrapText="1"/>
    </xf>
    <xf numFmtId="0" fontId="0" fillId="0" borderId="0" xfId="0" applyNumberFormat="1" applyBorder="1" applyAlignment="1">
      <alignment horizontal="left" wrapText="1"/>
    </xf>
    <xf numFmtId="0" fontId="3" fillId="0" borderId="0" xfId="0" applyNumberFormat="1" applyFont="1" applyBorder="1" applyAlignment="1">
      <alignment horizontal="left" wrapText="1"/>
    </xf>
    <xf numFmtId="0" fontId="3" fillId="0" borderId="0" xfId="0" applyFont="1" applyBorder="1" applyAlignment="1">
      <alignment horizontal="left" wrapText="1"/>
    </xf>
    <xf numFmtId="0" fontId="3" fillId="0" borderId="0" xfId="0" applyFont="1" applyFill="1" applyAlignment="1">
      <alignment horizontal="left" vertical="center" wrapText="1"/>
    </xf>
    <xf numFmtId="0" fontId="5" fillId="0" borderId="52" xfId="0" applyFont="1" applyBorder="1" applyAlignment="1">
      <alignment vertical="center"/>
    </xf>
    <xf numFmtId="0" fontId="5" fillId="0" borderId="8" xfId="0" applyFont="1" applyBorder="1" applyAlignment="1">
      <alignment vertical="center"/>
    </xf>
    <xf numFmtId="0" fontId="5" fillId="0" borderId="31" xfId="0" applyFont="1" applyBorder="1" applyAlignment="1">
      <alignment horizontal="center"/>
    </xf>
    <xf numFmtId="0" fontId="5" fillId="0" borderId="53" xfId="0" applyFont="1" applyBorder="1" applyAlignment="1">
      <alignment horizontal="center"/>
    </xf>
    <xf numFmtId="0" fontId="5" fillId="0" borderId="54" xfId="0" applyFont="1" applyBorder="1" applyAlignment="1">
      <alignment horizontal="center"/>
    </xf>
    <xf numFmtId="0" fontId="0" fillId="0" borderId="0" xfId="0" applyAlignment="1">
      <alignment horizontal="left" wrapText="1"/>
    </xf>
    <xf numFmtId="0" fontId="5" fillId="0" borderId="43" xfId="0" applyFont="1" applyBorder="1" applyAlignment="1">
      <alignment horizontal="left" vertical="center"/>
    </xf>
    <xf numFmtId="0" fontId="5" fillId="0" borderId="55" xfId="0" applyFont="1" applyBorder="1" applyAlignment="1">
      <alignment horizontal="left" vertical="center"/>
    </xf>
    <xf numFmtId="49" fontId="52" fillId="0" borderId="0" xfId="11" applyNumberFormat="1" applyFont="1" applyAlignment="1">
      <alignment horizontal="right"/>
    </xf>
    <xf numFmtId="0" fontId="8" fillId="0" borderId="0" xfId="0" applyFont="1" applyAlignment="1">
      <alignment wrapText="1"/>
    </xf>
    <xf numFmtId="0" fontId="0" fillId="0" borderId="0" xfId="0" applyAlignment="1">
      <alignment vertical="center" wrapText="1"/>
    </xf>
    <xf numFmtId="0" fontId="0" fillId="0" borderId="0" xfId="0" applyAlignment="1">
      <alignment wrapText="1"/>
    </xf>
    <xf numFmtId="0" fontId="13" fillId="8" borderId="0" xfId="0" applyFont="1" applyFill="1" applyBorder="1" applyAlignment="1">
      <alignment horizontal="left"/>
    </xf>
    <xf numFmtId="0" fontId="0" fillId="0" borderId="0" xfId="0" applyAlignment="1">
      <alignment horizontal="center"/>
    </xf>
    <xf numFmtId="0" fontId="13" fillId="8" borderId="0" xfId="0" applyFont="1" applyFill="1" applyAlignment="1">
      <alignment horizontal="left"/>
    </xf>
    <xf numFmtId="164" fontId="0" fillId="7" borderId="12" xfId="0" applyNumberFormat="1" applyFill="1" applyBorder="1"/>
    <xf numFmtId="164" fontId="0" fillId="7" borderId="3" xfId="0" applyNumberFormat="1" applyFill="1" applyBorder="1"/>
    <xf numFmtId="10" fontId="0" fillId="7" borderId="11" xfId="1" applyNumberFormat="1" applyFont="1" applyFill="1" applyBorder="1" applyAlignment="1">
      <alignment horizontal="center"/>
    </xf>
    <xf numFmtId="10" fontId="0" fillId="7" borderId="3" xfId="1" applyNumberFormat="1" applyFont="1" applyFill="1" applyBorder="1" applyAlignment="1">
      <alignment horizontal="center"/>
    </xf>
    <xf numFmtId="0" fontId="22" fillId="0" borderId="0" xfId="0" applyFont="1" applyAlignment="1">
      <alignment wrapText="1"/>
    </xf>
    <xf numFmtId="9" fontId="0" fillId="0" borderId="0" xfId="0" applyNumberFormat="1"/>
    <xf numFmtId="0" fontId="0" fillId="0" borderId="0" xfId="0"/>
    <xf numFmtId="0" fontId="13" fillId="0" borderId="0" xfId="0" applyFont="1" applyBorder="1" applyAlignment="1">
      <alignment vertical="center" wrapText="1"/>
    </xf>
    <xf numFmtId="0" fontId="10" fillId="0" borderId="28" xfId="0" applyFont="1" applyBorder="1" applyAlignment="1">
      <alignment horizontal="justify" wrapText="1"/>
    </xf>
    <xf numFmtId="0" fontId="10" fillId="0" borderId="1" xfId="0" applyFont="1" applyBorder="1" applyAlignment="1">
      <alignment horizontal="justify" wrapText="1"/>
    </xf>
    <xf numFmtId="0" fontId="11" fillId="0" borderId="28" xfId="0" applyFont="1" applyBorder="1" applyAlignment="1">
      <alignment horizontal="justify" wrapText="1"/>
    </xf>
    <xf numFmtId="0" fontId="11" fillId="0" borderId="1" xfId="0" applyFont="1" applyBorder="1" applyAlignment="1">
      <alignment horizontal="justify" wrapText="1"/>
    </xf>
    <xf numFmtId="0" fontId="11" fillId="0" borderId="11" xfId="0" applyFont="1" applyBorder="1" applyAlignment="1">
      <alignment horizontal="justify" wrapText="1"/>
    </xf>
    <xf numFmtId="0" fontId="11" fillId="0" borderId="3" xfId="0" applyFont="1" applyBorder="1" applyAlignment="1">
      <alignment horizontal="justify" wrapText="1"/>
    </xf>
    <xf numFmtId="0" fontId="0" fillId="0" borderId="11" xfId="0" applyBorder="1" applyAlignment="1">
      <alignment horizontal="center" wrapText="1"/>
    </xf>
    <xf numFmtId="0" fontId="0" fillId="0" borderId="3" xfId="0" applyBorder="1" applyAlignment="1">
      <alignment horizontal="center" wrapText="1"/>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10" fillId="0" borderId="28" xfId="0" applyFont="1" applyBorder="1" applyAlignment="1">
      <alignment horizontal="center" vertical="center" textRotation="90" wrapText="1"/>
    </xf>
    <xf numFmtId="0" fontId="10" fillId="0" borderId="27" xfId="0" applyFont="1" applyBorder="1" applyAlignment="1">
      <alignment horizontal="center" vertical="center" textRotation="90" wrapText="1"/>
    </xf>
    <xf numFmtId="0" fontId="10" fillId="0" borderId="1" xfId="0" applyFont="1" applyBorder="1" applyAlignment="1">
      <alignment horizontal="center" vertical="center" textRotation="90" wrapText="1"/>
    </xf>
    <xf numFmtId="0" fontId="16" fillId="0" borderId="28" xfId="0" applyFont="1" applyBorder="1" applyAlignment="1">
      <alignment horizontal="justify" wrapText="1"/>
    </xf>
    <xf numFmtId="0" fontId="16" fillId="0" borderId="27" xfId="0" applyFont="1" applyBorder="1" applyAlignment="1">
      <alignment horizontal="justify" wrapText="1"/>
    </xf>
    <xf numFmtId="0" fontId="16" fillId="0" borderId="1" xfId="0" applyFont="1" applyBorder="1" applyAlignment="1">
      <alignment horizontal="justify" wrapText="1"/>
    </xf>
    <xf numFmtId="0" fontId="16" fillId="0" borderId="28" xfId="0" applyFont="1" applyBorder="1" applyAlignment="1">
      <alignment horizontal="justify" vertical="top" wrapText="1"/>
    </xf>
    <xf numFmtId="0" fontId="16" fillId="0" borderId="27" xfId="0" applyFont="1" applyBorder="1" applyAlignment="1">
      <alignment horizontal="justify" vertical="top" wrapText="1"/>
    </xf>
    <xf numFmtId="0" fontId="16" fillId="0" borderId="1" xfId="0" applyFont="1" applyBorder="1" applyAlignment="1">
      <alignment horizontal="justify" vertical="top" wrapText="1"/>
    </xf>
    <xf numFmtId="0" fontId="0" fillId="0" borderId="0" xfId="0" applyFill="1" applyAlignment="1">
      <alignment horizontal="center"/>
    </xf>
    <xf numFmtId="0" fontId="0" fillId="0" borderId="17" xfId="0" applyBorder="1" applyAlignment="1">
      <alignment wrapText="1"/>
    </xf>
    <xf numFmtId="0" fontId="0" fillId="0" borderId="18" xfId="0" applyBorder="1" applyAlignment="1">
      <alignment wrapText="1"/>
    </xf>
    <xf numFmtId="0" fontId="0" fillId="5" borderId="56" xfId="0" applyFill="1" applyBorder="1" applyAlignment="1">
      <alignment horizontal="center"/>
    </xf>
    <xf numFmtId="0" fontId="0" fillId="5" borderId="57" xfId="0" applyFill="1" applyBorder="1" applyAlignment="1">
      <alignment horizontal="center"/>
    </xf>
    <xf numFmtId="2" fontId="0" fillId="5" borderId="52" xfId="0" applyNumberFormat="1" applyFill="1" applyBorder="1" applyAlignment="1">
      <alignment horizontal="center"/>
    </xf>
    <xf numFmtId="2" fontId="0" fillId="5" borderId="58" xfId="0" applyNumberFormat="1" applyFill="1" applyBorder="1" applyAlignment="1">
      <alignment horizontal="center"/>
    </xf>
    <xf numFmtId="2" fontId="0" fillId="5" borderId="0" xfId="0" applyNumberFormat="1" applyFill="1" applyBorder="1" applyAlignment="1">
      <alignment horizontal="center"/>
    </xf>
    <xf numFmtId="2" fontId="0" fillId="5" borderId="4" xfId="0" applyNumberFormat="1" applyFill="1" applyBorder="1" applyAlignment="1">
      <alignment horizontal="center"/>
    </xf>
    <xf numFmtId="0" fontId="0" fillId="0" borderId="22" xfId="0" applyBorder="1" applyAlignment="1">
      <alignment horizontal="center"/>
    </xf>
    <xf numFmtId="0" fontId="0" fillId="0" borderId="19" xfId="0" applyBorder="1" applyAlignment="1">
      <alignment horizontal="center"/>
    </xf>
    <xf numFmtId="0" fontId="0" fillId="0" borderId="59"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60" xfId="0" applyBorder="1" applyAlignment="1">
      <alignment wrapText="1"/>
    </xf>
    <xf numFmtId="0" fontId="0" fillId="0" borderId="56" xfId="0" applyBorder="1" applyAlignment="1">
      <alignment wrapText="1"/>
    </xf>
    <xf numFmtId="0" fontId="0" fillId="0" borderId="61" xfId="0" applyBorder="1" applyAlignment="1">
      <alignment wrapText="1"/>
    </xf>
    <xf numFmtId="0" fontId="0" fillId="0" borderId="62" xfId="0" applyBorder="1" applyAlignment="1">
      <alignment wrapText="1"/>
    </xf>
    <xf numFmtId="0" fontId="0" fillId="0" borderId="0" xfId="0" applyBorder="1"/>
    <xf numFmtId="0" fontId="0" fillId="0" borderId="8" xfId="0" applyBorder="1"/>
    <xf numFmtId="0" fontId="0" fillId="0" borderId="12" xfId="0" applyBorder="1" applyAlignment="1">
      <alignment horizontal="center" wrapText="1"/>
    </xf>
    <xf numFmtId="0" fontId="0" fillId="0" borderId="11" xfId="0"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10" fillId="0" borderId="28" xfId="0" applyFont="1" applyBorder="1" applyAlignment="1">
      <alignment horizontal="center" wrapText="1"/>
    </xf>
    <xf numFmtId="0" fontId="10" fillId="0" borderId="1" xfId="0" applyFont="1" applyBorder="1" applyAlignment="1">
      <alignment horizont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0" fillId="0" borderId="22" xfId="0" applyBorder="1"/>
    <xf numFmtId="0" fontId="0" fillId="0" borderId="10" xfId="0" applyBorder="1"/>
    <xf numFmtId="0" fontId="10" fillId="10" borderId="28" xfId="0" applyFont="1" applyFill="1" applyBorder="1" applyAlignment="1">
      <alignment horizontal="justify" wrapText="1"/>
    </xf>
    <xf numFmtId="0" fontId="10" fillId="10" borderId="1" xfId="0" applyFont="1" applyFill="1" applyBorder="1" applyAlignment="1">
      <alignment horizontal="justify" wrapText="1"/>
    </xf>
    <xf numFmtId="49" fontId="11" fillId="0" borderId="0" xfId="0" applyNumberFormat="1" applyFont="1" applyAlignment="1">
      <alignment horizontal="left" vertical="center" wrapText="1"/>
    </xf>
    <xf numFmtId="0" fontId="39" fillId="0" borderId="30" xfId="5" applyFont="1" applyFill="1" applyBorder="1" applyAlignment="1">
      <alignment horizontal="center"/>
    </xf>
    <xf numFmtId="0" fontId="39" fillId="0" borderId="31" xfId="5" applyFont="1" applyFill="1" applyBorder="1" applyAlignment="1">
      <alignment horizontal="center"/>
    </xf>
    <xf numFmtId="172" fontId="43" fillId="0" borderId="9" xfId="5" applyNumberFormat="1" applyFont="1" applyBorder="1" applyAlignment="1">
      <alignment wrapText="1"/>
    </xf>
    <xf numFmtId="172" fontId="42" fillId="0" borderId="9" xfId="5" applyNumberFormat="1" applyFont="1" applyBorder="1" applyAlignment="1">
      <alignment wrapText="1"/>
    </xf>
    <xf numFmtId="0" fontId="44" fillId="11" borderId="30" xfId="5" applyFont="1" applyFill="1" applyBorder="1" applyAlignment="1">
      <alignment horizontal="center"/>
    </xf>
    <xf numFmtId="0" fontId="40" fillId="0" borderId="0" xfId="5" applyAlignment="1">
      <alignment horizontal="center"/>
    </xf>
    <xf numFmtId="0" fontId="40" fillId="0" borderId="30" xfId="5" applyFill="1" applyBorder="1" applyAlignment="1">
      <alignment horizontal="center" vertical="center"/>
    </xf>
    <xf numFmtId="0" fontId="1" fillId="0" borderId="30" xfId="5" applyFont="1" applyFill="1" applyBorder="1" applyAlignment="1">
      <alignment horizontal="center" vertical="center" wrapText="1"/>
    </xf>
    <xf numFmtId="0" fontId="1" fillId="0" borderId="43" xfId="5" applyFont="1" applyFill="1" applyBorder="1" applyAlignment="1">
      <alignment horizontal="center" vertical="center" wrapText="1"/>
    </xf>
    <xf numFmtId="0" fontId="1" fillId="0" borderId="31" xfId="5" applyFont="1" applyFill="1" applyBorder="1" applyAlignment="1">
      <alignment horizontal="center" vertical="center" wrapText="1"/>
    </xf>
    <xf numFmtId="0" fontId="1" fillId="0" borderId="23" xfId="5" applyFont="1" applyFill="1" applyBorder="1" applyAlignment="1">
      <alignment horizontal="center" vertical="center" wrapText="1"/>
    </xf>
    <xf numFmtId="0" fontId="39" fillId="0" borderId="63" xfId="5" applyFont="1" applyBorder="1" applyAlignment="1">
      <alignment horizontal="center"/>
    </xf>
    <xf numFmtId="0" fontId="39" fillId="0" borderId="64" xfId="5" applyFont="1" applyBorder="1" applyAlignment="1">
      <alignment horizontal="center"/>
    </xf>
    <xf numFmtId="0" fontId="39" fillId="0" borderId="65" xfId="5" applyFont="1" applyBorder="1" applyAlignment="1">
      <alignment horizontal="center"/>
    </xf>
    <xf numFmtId="0" fontId="39" fillId="0" borderId="60" xfId="5" applyFont="1" applyBorder="1" applyAlignment="1">
      <alignment horizontal="center"/>
    </xf>
    <xf numFmtId="0" fontId="39" fillId="0" borderId="56" xfId="5" applyFont="1" applyBorder="1" applyAlignment="1">
      <alignment horizontal="center"/>
    </xf>
    <xf numFmtId="0" fontId="39" fillId="0" borderId="57" xfId="5" applyFont="1" applyBorder="1" applyAlignment="1">
      <alignment horizontal="center"/>
    </xf>
    <xf numFmtId="0" fontId="10" fillId="0" borderId="28" xfId="6" applyFont="1" applyBorder="1" applyAlignment="1">
      <alignment horizontal="center" vertical="center" textRotation="90" wrapText="1"/>
    </xf>
    <xf numFmtId="0" fontId="10" fillId="0" borderId="27" xfId="6" applyFont="1" applyBorder="1" applyAlignment="1">
      <alignment horizontal="center" vertical="center" textRotation="90" wrapText="1"/>
    </xf>
    <xf numFmtId="0" fontId="10" fillId="0" borderId="1" xfId="6" applyFont="1" applyBorder="1" applyAlignment="1">
      <alignment horizontal="center" vertical="center" textRotation="90" wrapText="1"/>
    </xf>
    <xf numFmtId="0" fontId="11" fillId="0" borderId="28" xfId="6" applyFont="1" applyBorder="1" applyAlignment="1">
      <alignment horizontal="center" vertical="center" wrapText="1"/>
    </xf>
    <xf numFmtId="0" fontId="11" fillId="0" borderId="70" xfId="6" applyFont="1" applyBorder="1" applyAlignment="1">
      <alignment horizontal="center" vertical="center" wrapText="1"/>
    </xf>
    <xf numFmtId="0" fontId="11" fillId="0" borderId="27" xfId="6" applyFont="1" applyBorder="1" applyAlignment="1">
      <alignment horizontal="center" vertical="center" wrapText="1"/>
    </xf>
    <xf numFmtId="0" fontId="11" fillId="0" borderId="11" xfId="6" applyFont="1" applyBorder="1" applyAlignment="1">
      <alignment horizontal="justify" wrapText="1"/>
    </xf>
    <xf numFmtId="0" fontId="11" fillId="0" borderId="3" xfId="6" applyFont="1" applyBorder="1" applyAlignment="1">
      <alignment horizontal="justify" wrapText="1"/>
    </xf>
    <xf numFmtId="49" fontId="11" fillId="0" borderId="0" xfId="6" applyNumberFormat="1" applyFont="1" applyAlignment="1">
      <alignment horizontal="left" vertical="center" wrapText="1"/>
    </xf>
    <xf numFmtId="0" fontId="10" fillId="0" borderId="28" xfId="6" applyFont="1" applyBorder="1" applyAlignment="1">
      <alignment horizontal="justify" wrapText="1"/>
    </xf>
    <xf numFmtId="0" fontId="10" fillId="0" borderId="1" xfId="6" applyFont="1" applyBorder="1" applyAlignment="1">
      <alignment horizontal="justify" wrapText="1"/>
    </xf>
    <xf numFmtId="0" fontId="11" fillId="0" borderId="28" xfId="6" applyFont="1" applyBorder="1" applyAlignment="1">
      <alignment horizontal="justify" wrapText="1"/>
    </xf>
    <xf numFmtId="0" fontId="11" fillId="0" borderId="27" xfId="6" applyFont="1" applyBorder="1" applyAlignment="1">
      <alignment horizontal="justify" wrapText="1"/>
    </xf>
    <xf numFmtId="0" fontId="11" fillId="0" borderId="28" xfId="6" applyFont="1" applyBorder="1" applyAlignment="1">
      <alignment horizontal="justify" vertical="top" wrapText="1"/>
    </xf>
    <xf numFmtId="0" fontId="11" fillId="0" borderId="27" xfId="6" applyFont="1" applyBorder="1" applyAlignment="1">
      <alignment horizontal="justify" vertical="top" wrapText="1"/>
    </xf>
    <xf numFmtId="0" fontId="47" fillId="12" borderId="20" xfId="5" applyFont="1" applyFill="1" applyBorder="1" applyAlignment="1">
      <alignment horizontal="center" vertical="center"/>
    </xf>
    <xf numFmtId="0" fontId="47" fillId="12" borderId="61" xfId="5" applyFont="1" applyFill="1" applyBorder="1" applyAlignment="1">
      <alignment horizontal="center" vertical="center"/>
    </xf>
    <xf numFmtId="0" fontId="47" fillId="12" borderId="26" xfId="5" applyFont="1" applyFill="1" applyBorder="1" applyAlignment="1">
      <alignment horizontal="center" vertical="center"/>
    </xf>
    <xf numFmtId="0" fontId="47" fillId="12" borderId="45" xfId="5" applyFont="1" applyFill="1" applyBorder="1" applyAlignment="1">
      <alignment horizontal="center" vertical="center"/>
    </xf>
    <xf numFmtId="0" fontId="47" fillId="0" borderId="63" xfId="5" applyFont="1" applyBorder="1" applyAlignment="1">
      <alignment horizontal="center" vertical="center"/>
    </xf>
    <xf numFmtId="0" fontId="47" fillId="0" borderId="51" xfId="5" applyFont="1" applyBorder="1" applyAlignment="1">
      <alignment horizontal="center" vertical="center"/>
    </xf>
    <xf numFmtId="0" fontId="47" fillId="0" borderId="73" xfId="5" applyFont="1" applyBorder="1" applyAlignment="1">
      <alignment horizontal="center" vertical="center"/>
    </xf>
    <xf numFmtId="0" fontId="47" fillId="0" borderId="55" xfId="5" applyFont="1" applyBorder="1" applyAlignment="1">
      <alignment horizontal="center" vertical="center"/>
    </xf>
    <xf numFmtId="0" fontId="47" fillId="0" borderId="0" xfId="5" applyFont="1" applyAlignment="1">
      <alignment horizontal="center" vertical="center" wrapText="1"/>
    </xf>
    <xf numFmtId="0" fontId="47" fillId="0" borderId="71" xfId="5" applyFont="1" applyBorder="1" applyAlignment="1">
      <alignment horizontal="center" vertical="center" wrapText="1"/>
    </xf>
    <xf numFmtId="0" fontId="47" fillId="0" borderId="72" xfId="5" applyFont="1" applyBorder="1" applyAlignment="1">
      <alignment horizontal="center" vertical="center" wrapText="1"/>
    </xf>
    <xf numFmtId="0" fontId="48" fillId="0" borderId="64" xfId="5" applyFont="1" applyFill="1" applyBorder="1" applyAlignment="1">
      <alignment horizontal="center" vertical="center" wrapText="1" shrinkToFit="1"/>
    </xf>
    <xf numFmtId="0" fontId="48" fillId="0" borderId="33" xfId="5" applyFont="1" applyFill="1" applyBorder="1" applyAlignment="1">
      <alignment horizontal="center" vertical="center" wrapText="1" shrinkToFit="1"/>
    </xf>
    <xf numFmtId="0" fontId="47" fillId="0" borderId="64" xfId="5" applyFont="1" applyBorder="1" applyAlignment="1">
      <alignment horizontal="center" vertical="center"/>
    </xf>
    <xf numFmtId="0" fontId="47" fillId="0" borderId="33" xfId="5" applyFont="1" applyBorder="1" applyAlignment="1">
      <alignment horizontal="center" vertical="center"/>
    </xf>
    <xf numFmtId="0" fontId="47" fillId="0" borderId="64" xfId="5" applyFont="1" applyBorder="1" applyAlignment="1">
      <alignment horizontal="center"/>
    </xf>
    <xf numFmtId="0" fontId="47" fillId="12" borderId="21" xfId="5" applyFont="1" applyFill="1" applyBorder="1" applyAlignment="1">
      <alignment horizontal="center" vertical="center" wrapText="1"/>
    </xf>
    <xf numFmtId="0" fontId="47" fillId="12" borderId="18" xfId="5" applyFont="1" applyFill="1" applyBorder="1" applyAlignment="1">
      <alignment horizontal="center" vertical="center" wrapText="1"/>
    </xf>
  </cellXfs>
  <cellStyles count="12">
    <cellStyle name="Comma" xfId="1" builtinId="3"/>
    <cellStyle name="Comma 2" xfId="8"/>
    <cellStyle name="Currency" xfId="2" builtinId="4"/>
    <cellStyle name="Currency 2" xfId="9"/>
    <cellStyle name="Hyperlink" xfId="3" builtinId="8"/>
    <cellStyle name="Normal" xfId="0" builtinId="0"/>
    <cellStyle name="Normal 2" xfId="5"/>
    <cellStyle name="Normal 2 2" xfId="6"/>
    <cellStyle name="Normal 3" xfId="7"/>
    <cellStyle name="Normal_ConsolidatedAg_IM_Clean" xfId="11"/>
    <cellStyle name="Percent" xfId="4" builtinId="5"/>
    <cellStyle name="Percent 2" xfId="10"/>
  </cellStyles>
  <dxfs count="8">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Undiscounted annual net benefits of Land Privatization and Registration System
</a:t>
            </a:r>
          </a:p>
        </c:rich>
      </c:tx>
      <c:layout>
        <c:manualLayout>
          <c:xMode val="edge"/>
          <c:yMode val="edge"/>
          <c:x val="0.17270009963467289"/>
          <c:y val="3.4757545050380478E-2"/>
        </c:manualLayout>
      </c:layout>
      <c:overlay val="0"/>
      <c:spPr>
        <a:noFill/>
        <a:ln w="25400">
          <a:noFill/>
        </a:ln>
      </c:spPr>
    </c:title>
    <c:autoTitleDeleted val="0"/>
    <c:plotArea>
      <c:layout>
        <c:manualLayout>
          <c:layoutTarget val="inner"/>
          <c:xMode val="edge"/>
          <c:yMode val="edge"/>
          <c:x val="0.10331832022100691"/>
          <c:y val="0.13977208181766826"/>
          <c:w val="0.86559876974370309"/>
          <c:h val="0.74644164832005722"/>
        </c:manualLayout>
      </c:layout>
      <c:areaChart>
        <c:grouping val="standard"/>
        <c:varyColors val="0"/>
        <c:ser>
          <c:idx val="0"/>
          <c:order val="0"/>
          <c:tx>
            <c:strRef>
              <c:f>'Registry Upgrade, Khashaa Reg.'!$BR$322:$CK$322</c:f>
              <c:strCache>
                <c:ptCount val="20"/>
                <c:pt idx="0">
                  <c:v> (337,083)</c:v>
                </c:pt>
                <c:pt idx="1">
                  <c:v> (1,951,847)</c:v>
                </c:pt>
                <c:pt idx="2">
                  <c:v> (5,695,906)</c:v>
                </c:pt>
                <c:pt idx="3">
                  <c:v> (4,652,446)</c:v>
                </c:pt>
                <c:pt idx="4">
                  <c:v> (2,465,423)</c:v>
                </c:pt>
                <c:pt idx="5">
                  <c:v> 719,023 </c:v>
                </c:pt>
                <c:pt idx="6">
                  <c:v> 1,997,740 </c:v>
                </c:pt>
                <c:pt idx="7">
                  <c:v> 2,141,427 </c:v>
                </c:pt>
                <c:pt idx="8">
                  <c:v> 2,262,864 </c:v>
                </c:pt>
                <c:pt idx="9">
                  <c:v> 2,341,648 </c:v>
                </c:pt>
                <c:pt idx="10">
                  <c:v> 2,393,084 </c:v>
                </c:pt>
                <c:pt idx="11">
                  <c:v> 2,521,754 </c:v>
                </c:pt>
                <c:pt idx="12">
                  <c:v> 2,639,571 </c:v>
                </c:pt>
                <c:pt idx="13">
                  <c:v> 2,726,311 </c:v>
                </c:pt>
                <c:pt idx="14">
                  <c:v> 2,789,451 </c:v>
                </c:pt>
                <c:pt idx="15">
                  <c:v> 2,910,903 </c:v>
                </c:pt>
                <c:pt idx="16">
                  <c:v> 3,024,791 </c:v>
                </c:pt>
                <c:pt idx="17">
                  <c:v> 3,116,005 </c:v>
                </c:pt>
                <c:pt idx="18">
                  <c:v> 3,193,147 </c:v>
                </c:pt>
                <c:pt idx="19">
                  <c:v> 3,314,777 </c:v>
                </c:pt>
              </c:strCache>
            </c:strRef>
          </c:tx>
          <c:spPr>
            <a:solidFill>
              <a:srgbClr val="0066CC"/>
            </a:solidFill>
            <a:ln w="25400">
              <a:noFill/>
            </a:ln>
          </c:spPr>
          <c:cat>
            <c:numRef>
              <c:f>'Registry Upgrade, Khashaa Reg.'!$BR$7:$CK$7</c:f>
              <c:numCache>
                <c:formatCode>General</c:formatCode>
                <c:ptCount val="20"/>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numCache>
            </c:numRef>
          </c:cat>
          <c:val>
            <c:numRef>
              <c:f>'Registry Upgrade, Khashaa Reg.'!$BR$322:$CK$322</c:f>
              <c:numCache>
                <c:formatCode>_(* #,##0_);_(* \(#,##0\);_(* "-"??_);_(@_)</c:formatCode>
                <c:ptCount val="20"/>
                <c:pt idx="0">
                  <c:v>-337082.51570328494</c:v>
                </c:pt>
                <c:pt idx="1">
                  <c:v>-1951846.8800712905</c:v>
                </c:pt>
                <c:pt idx="2">
                  <c:v>-5695905.9911684822</c:v>
                </c:pt>
                <c:pt idx="3">
                  <c:v>-4652445.5640355842</c:v>
                </c:pt>
                <c:pt idx="4">
                  <c:v>-2465422.6226023799</c:v>
                </c:pt>
                <c:pt idx="5">
                  <c:v>719023.0668542143</c:v>
                </c:pt>
                <c:pt idx="6">
                  <c:v>1997739.634578408</c:v>
                </c:pt>
                <c:pt idx="7">
                  <c:v>2141427.0740893991</c:v>
                </c:pt>
                <c:pt idx="8">
                  <c:v>2262863.839308809</c:v>
                </c:pt>
                <c:pt idx="9">
                  <c:v>2341647.7232029508</c:v>
                </c:pt>
                <c:pt idx="10">
                  <c:v>2393084.4965506811</c:v>
                </c:pt>
                <c:pt idx="11">
                  <c:v>2521754.0983110191</c:v>
                </c:pt>
                <c:pt idx="12">
                  <c:v>2639571.0033449717</c:v>
                </c:pt>
                <c:pt idx="13">
                  <c:v>2726311.2629854502</c:v>
                </c:pt>
                <c:pt idx="14">
                  <c:v>2789451.3716684431</c:v>
                </c:pt>
                <c:pt idx="15">
                  <c:v>2910902.9178064023</c:v>
                </c:pt>
                <c:pt idx="16">
                  <c:v>3024791.0556982043</c:v>
                </c:pt>
                <c:pt idx="17">
                  <c:v>3116004.7611379093</c:v>
                </c:pt>
                <c:pt idx="18">
                  <c:v>3193146.7889803317</c:v>
                </c:pt>
                <c:pt idx="19">
                  <c:v>3314776.6146083567</c:v>
                </c:pt>
              </c:numCache>
            </c:numRef>
          </c:val>
        </c:ser>
        <c:dLbls>
          <c:showLegendKey val="0"/>
          <c:showVal val="0"/>
          <c:showCatName val="0"/>
          <c:showSerName val="0"/>
          <c:showPercent val="0"/>
          <c:showBubbleSize val="0"/>
        </c:dLbls>
        <c:axId val="477706848"/>
        <c:axId val="477707240"/>
      </c:areaChart>
      <c:catAx>
        <c:axId val="47770684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Year</a:t>
                </a:r>
              </a:p>
            </c:rich>
          </c:tx>
          <c:layout>
            <c:manualLayout>
              <c:xMode val="edge"/>
              <c:yMode val="edge"/>
              <c:x val="0.48251595842172934"/>
              <c:y val="0.9042820443674866"/>
            </c:manualLayout>
          </c:layout>
          <c:overlay val="0"/>
          <c:spPr>
            <a:noFill/>
            <a:ln w="25400">
              <a:noFill/>
            </a:ln>
          </c:spPr>
        </c:title>
        <c:numFmt formatCode="General" sourceLinked="1"/>
        <c:majorTickMark val="cross"/>
        <c:minorTickMark val="none"/>
        <c:tickLblPos val="nextTo"/>
        <c:spPr>
          <a:ln w="12700">
            <a:solidFill>
              <a:srgbClr val="000000"/>
            </a:solidFill>
            <a:prstDash val="solid"/>
          </a:ln>
        </c:spPr>
        <c:txPr>
          <a:bodyPr rot="-2700000" vert="horz"/>
          <a:lstStyle/>
          <a:p>
            <a:pPr>
              <a:defRPr sz="1475" b="1" i="0" u="none" strike="noStrike" baseline="0">
                <a:solidFill>
                  <a:srgbClr val="000000"/>
                </a:solidFill>
                <a:latin typeface="Arial"/>
                <a:ea typeface="Arial"/>
                <a:cs typeface="Arial"/>
              </a:defRPr>
            </a:pPr>
            <a:endParaRPr lang="en-US"/>
          </a:p>
        </c:txPr>
        <c:crossAx val="477707240"/>
        <c:crosses val="autoZero"/>
        <c:auto val="1"/>
        <c:lblAlgn val="ctr"/>
        <c:lblOffset val="100"/>
        <c:tickLblSkip val="1"/>
        <c:tickMarkSkip val="1"/>
        <c:noMultiLvlLbl val="0"/>
      </c:catAx>
      <c:valAx>
        <c:axId val="47770724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US$ (millions)</a:t>
                </a:r>
              </a:p>
            </c:rich>
          </c:tx>
          <c:layout>
            <c:manualLayout>
              <c:xMode val="edge"/>
              <c:yMode val="edge"/>
              <c:x val="2.2583859182995682E-2"/>
              <c:y val="0.3504719125913363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75" b="0" i="0" u="none" strike="noStrike" baseline="0">
                <a:solidFill>
                  <a:srgbClr val="000000"/>
                </a:solidFill>
                <a:latin typeface="Arial"/>
                <a:ea typeface="Arial"/>
                <a:cs typeface="Arial"/>
              </a:defRPr>
            </a:pPr>
            <a:endParaRPr lang="en-US"/>
          </a:p>
        </c:txPr>
        <c:crossAx val="477706848"/>
        <c:crosses val="autoZero"/>
        <c:crossBetween val="midCat"/>
        <c:dispUnits>
          <c:builtInUnit val="millions"/>
        </c:dispUnits>
      </c:valAx>
      <c:spPr>
        <a:solidFill>
          <a:srgbClr val="C0C0C0"/>
        </a:solid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horizontalDpi="200"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sz="1125" b="1" i="0" u="none" strike="noStrike" baseline="0">
                <a:solidFill>
                  <a:srgbClr val="000000"/>
                </a:solidFill>
                <a:latin typeface="Arial"/>
                <a:cs typeface="Arial"/>
              </a:rPr>
              <a:t>Distribution of MCC Estimated ERR </a:t>
            </a:r>
          </a:p>
          <a:p>
            <a:pPr>
              <a:defRPr sz="1125" b="1" i="0" u="none" strike="noStrike" baseline="0">
                <a:solidFill>
                  <a:srgbClr val="000000"/>
                </a:solidFill>
                <a:latin typeface="Arial"/>
                <a:ea typeface="Arial"/>
                <a:cs typeface="Arial"/>
              </a:defRPr>
            </a:pPr>
            <a:r>
              <a:rPr lang="en-US" sz="1125" b="1" i="0" u="none" strike="noStrike" baseline="0">
                <a:solidFill>
                  <a:srgbClr val="000000"/>
                </a:solidFill>
                <a:latin typeface="Arial"/>
                <a:cs typeface="Arial"/>
              </a:rPr>
              <a:t>Given Uncertainties in Key Parameter Values</a:t>
            </a:r>
          </a:p>
          <a:p>
            <a:pPr>
              <a:defRPr sz="1125" b="1" i="0" u="none" strike="noStrike" baseline="0">
                <a:solidFill>
                  <a:srgbClr val="000000"/>
                </a:solidFill>
                <a:latin typeface="Arial"/>
                <a:ea typeface="Arial"/>
                <a:cs typeface="Arial"/>
              </a:defRPr>
            </a:pPr>
            <a:r>
              <a:rPr lang="en-US" sz="875" b="1" i="0" u="none" strike="noStrike" baseline="0">
                <a:solidFill>
                  <a:srgbClr val="000000"/>
                </a:solidFill>
                <a:latin typeface="Arial"/>
                <a:cs typeface="Arial"/>
              </a:rPr>
              <a:t>(as of 8/16/2007)</a:t>
            </a:r>
          </a:p>
        </c:rich>
      </c:tx>
      <c:layout>
        <c:manualLayout>
          <c:xMode val="edge"/>
          <c:yMode val="edge"/>
          <c:x val="0.24656871376979142"/>
          <c:y val="3.3524559918534869E-2"/>
        </c:manualLayout>
      </c:layout>
      <c:overlay val="0"/>
      <c:spPr>
        <a:noFill/>
        <a:ln w="25400">
          <a:noFill/>
        </a:ln>
      </c:spPr>
    </c:title>
    <c:autoTitleDeleted val="0"/>
    <c:plotArea>
      <c:layout>
        <c:manualLayout>
          <c:layoutTarget val="inner"/>
          <c:xMode val="edge"/>
          <c:yMode val="edge"/>
          <c:x val="0.10905923878279233"/>
          <c:y val="0.29054618596063586"/>
          <c:w val="0.83770139934608623"/>
          <c:h val="0.51963067873729052"/>
        </c:manualLayout>
      </c:layout>
      <c:scatterChart>
        <c:scatterStyle val="lineMarker"/>
        <c:varyColors val="0"/>
        <c:ser>
          <c:idx val="0"/>
          <c:order val="0"/>
          <c:tx>
            <c:v>Default1</c:v>
          </c:tx>
          <c:spPr>
            <a:ln w="28575">
              <a:noFill/>
            </a:ln>
          </c:spPr>
          <c:marker>
            <c:symbol val="none"/>
          </c:marker>
          <c:yVal>
            <c:numLit>
              <c:formatCode>General</c:formatCode>
              <c:ptCount val="1"/>
              <c:pt idx="0">
                <c:v>0</c:v>
              </c:pt>
            </c:numLit>
          </c:yVal>
          <c:smooth val="0"/>
        </c:ser>
        <c:ser>
          <c:idx val="1"/>
          <c:order val="1"/>
          <c:tx>
            <c:v>Default2</c:v>
          </c:tx>
          <c:spPr>
            <a:ln w="28575">
              <a:noFill/>
            </a:ln>
          </c:spPr>
          <c:marker>
            <c:symbol val="none"/>
          </c:marker>
          <c:yVal>
            <c:numLit>
              <c:formatCode>General</c:formatCode>
              <c:ptCount val="1"/>
            </c:numLit>
          </c:yVal>
          <c:smooth val="0"/>
        </c:ser>
        <c:ser>
          <c:idx val="2"/>
          <c:order val="2"/>
          <c:spPr>
            <a:ln w="3175">
              <a:solidFill>
                <a:srgbClr val="800000"/>
              </a:solidFill>
              <a:prstDash val="solid"/>
            </a:ln>
          </c:spPr>
          <c:marker>
            <c:symbol val="none"/>
          </c:marker>
          <c:xVal>
            <c:numLit>
              <c:formatCode>General</c:formatCode>
              <c:ptCount val="3107"/>
              <c:pt idx="0">
                <c:v>0.12816284596920013</c:v>
              </c:pt>
              <c:pt idx="1">
                <c:v>0.12816284596920013</c:v>
              </c:pt>
              <c:pt idx="2">
                <c:v>0.12850518903136263</c:v>
              </c:pt>
              <c:pt idx="3">
                <c:v>0.12850518903136263</c:v>
              </c:pt>
              <c:pt idx="4">
                <c:v>0.12884753209352492</c:v>
              </c:pt>
              <c:pt idx="5">
                <c:v>0.12884753209352492</c:v>
              </c:pt>
              <c:pt idx="6">
                <c:v>0.12918987515568728</c:v>
              </c:pt>
              <c:pt idx="7">
                <c:v>0.12918987515568728</c:v>
              </c:pt>
              <c:pt idx="8">
                <c:v>0.12953221821784972</c:v>
              </c:pt>
              <c:pt idx="9">
                <c:v>0.12953221821784972</c:v>
              </c:pt>
              <c:pt idx="10">
                <c:v>0.12987456128001207</c:v>
              </c:pt>
              <c:pt idx="11">
                <c:v>0.12987456128001207</c:v>
              </c:pt>
              <c:pt idx="12">
                <c:v>0.13021690434217459</c:v>
              </c:pt>
              <c:pt idx="13">
                <c:v>0.13021690434217459</c:v>
              </c:pt>
              <c:pt idx="14">
                <c:v>0.13055924740433694</c:v>
              </c:pt>
              <c:pt idx="15">
                <c:v>0.13055924740433694</c:v>
              </c:pt>
              <c:pt idx="16">
                <c:v>0.13090159046649943</c:v>
              </c:pt>
              <c:pt idx="17">
                <c:v>0.13090159046649943</c:v>
              </c:pt>
              <c:pt idx="18">
                <c:v>0.13124393352866179</c:v>
              </c:pt>
              <c:pt idx="19">
                <c:v>0.13124393352866179</c:v>
              </c:pt>
              <c:pt idx="20">
                <c:v>0.13158627659082417</c:v>
              </c:pt>
              <c:pt idx="21">
                <c:v>0.13158627659082417</c:v>
              </c:pt>
              <c:pt idx="22">
                <c:v>0.13192861965298652</c:v>
              </c:pt>
              <c:pt idx="23">
                <c:v>0.13192861965298652</c:v>
              </c:pt>
              <c:pt idx="24">
                <c:v>0.13227096271514888</c:v>
              </c:pt>
              <c:pt idx="25">
                <c:v>0.13227096271514888</c:v>
              </c:pt>
              <c:pt idx="26">
                <c:v>0.13261330577731137</c:v>
              </c:pt>
              <c:pt idx="27">
                <c:v>0.13261330577731137</c:v>
              </c:pt>
              <c:pt idx="28">
                <c:v>0.13295564883947378</c:v>
              </c:pt>
              <c:pt idx="29">
                <c:v>0.13295564883947378</c:v>
              </c:pt>
              <c:pt idx="30">
                <c:v>0.13329799190163619</c:v>
              </c:pt>
              <c:pt idx="31">
                <c:v>0.13329799190163619</c:v>
              </c:pt>
              <c:pt idx="32">
                <c:v>0.13364033496379851</c:v>
              </c:pt>
              <c:pt idx="33">
                <c:v>0.13364033496379851</c:v>
              </c:pt>
              <c:pt idx="34">
                <c:v>0.13398267802596092</c:v>
              </c:pt>
              <c:pt idx="35">
                <c:v>0.13398267802596092</c:v>
              </c:pt>
              <c:pt idx="36">
                <c:v>0.13432502108812333</c:v>
              </c:pt>
              <c:pt idx="37">
                <c:v>0.13432502108812333</c:v>
              </c:pt>
              <c:pt idx="38">
                <c:v>0.13466736415028571</c:v>
              </c:pt>
              <c:pt idx="39">
                <c:v>0.13466736415028571</c:v>
              </c:pt>
              <c:pt idx="40">
                <c:v>0.13500970721244818</c:v>
              </c:pt>
              <c:pt idx="41">
                <c:v>0.13500970721244818</c:v>
              </c:pt>
              <c:pt idx="42">
                <c:v>0.13535205027461047</c:v>
              </c:pt>
              <c:pt idx="43">
                <c:v>0.13535205027461047</c:v>
              </c:pt>
              <c:pt idx="44">
                <c:v>0.13569439333677291</c:v>
              </c:pt>
              <c:pt idx="45">
                <c:v>0.13569439333677291</c:v>
              </c:pt>
              <c:pt idx="46">
                <c:v>0.13603673639893538</c:v>
              </c:pt>
              <c:pt idx="47">
                <c:v>0.13603673639893538</c:v>
              </c:pt>
              <c:pt idx="48">
                <c:v>0.13637907946109773</c:v>
              </c:pt>
              <c:pt idx="49">
                <c:v>0.13637907946109773</c:v>
              </c:pt>
              <c:pt idx="50">
                <c:v>0.13672142252326017</c:v>
              </c:pt>
              <c:pt idx="51">
                <c:v>0.13672142252326017</c:v>
              </c:pt>
              <c:pt idx="52">
                <c:v>0.13706376558542263</c:v>
              </c:pt>
              <c:pt idx="53">
                <c:v>0.13706376558542263</c:v>
              </c:pt>
              <c:pt idx="54">
                <c:v>0.1374061086475849</c:v>
              </c:pt>
              <c:pt idx="55">
                <c:v>0.1374061086475849</c:v>
              </c:pt>
              <c:pt idx="56">
                <c:v>0.13774845170974737</c:v>
              </c:pt>
              <c:pt idx="57">
                <c:v>0.13774845170974737</c:v>
              </c:pt>
              <c:pt idx="58">
                <c:v>0.13809079477190978</c:v>
              </c:pt>
              <c:pt idx="59">
                <c:v>0.13809079477190978</c:v>
              </c:pt>
              <c:pt idx="60">
                <c:v>0.13843313783407221</c:v>
              </c:pt>
              <c:pt idx="61">
                <c:v>0.13843313783407221</c:v>
              </c:pt>
              <c:pt idx="62">
                <c:v>0.13877548089623465</c:v>
              </c:pt>
              <c:pt idx="63">
                <c:v>0.13877548089623465</c:v>
              </c:pt>
              <c:pt idx="64">
                <c:v>0.13911782395839692</c:v>
              </c:pt>
              <c:pt idx="65">
                <c:v>0.13911782395839692</c:v>
              </c:pt>
              <c:pt idx="66">
                <c:v>0.1394601670205593</c:v>
              </c:pt>
              <c:pt idx="67">
                <c:v>0.1394601670205593</c:v>
              </c:pt>
              <c:pt idx="68">
                <c:v>0.13980251008272171</c:v>
              </c:pt>
              <c:pt idx="69">
                <c:v>0.13980251008272171</c:v>
              </c:pt>
              <c:pt idx="70">
                <c:v>0.14014485314488417</c:v>
              </c:pt>
              <c:pt idx="71">
                <c:v>0.14014485314488417</c:v>
              </c:pt>
              <c:pt idx="72">
                <c:v>0.14048719620704656</c:v>
              </c:pt>
              <c:pt idx="73">
                <c:v>0.14048719620704656</c:v>
              </c:pt>
              <c:pt idx="74">
                <c:v>0.14082953926920888</c:v>
              </c:pt>
              <c:pt idx="75">
                <c:v>0.14082953926920888</c:v>
              </c:pt>
              <c:pt idx="76">
                <c:v>0.14117188233137137</c:v>
              </c:pt>
              <c:pt idx="77">
                <c:v>0.14117188233137137</c:v>
              </c:pt>
              <c:pt idx="78">
                <c:v>0.1415142253935337</c:v>
              </c:pt>
              <c:pt idx="79">
                <c:v>0.1415142253935337</c:v>
              </c:pt>
              <c:pt idx="80">
                <c:v>0.14185656845569611</c:v>
              </c:pt>
              <c:pt idx="81">
                <c:v>0.14185656845569611</c:v>
              </c:pt>
              <c:pt idx="82">
                <c:v>0.14219891151785854</c:v>
              </c:pt>
              <c:pt idx="83">
                <c:v>0.14219891151785854</c:v>
              </c:pt>
              <c:pt idx="84">
                <c:v>0.14254125458002101</c:v>
              </c:pt>
              <c:pt idx="85">
                <c:v>0.14254125458002101</c:v>
              </c:pt>
              <c:pt idx="86">
                <c:v>0.14288359764218331</c:v>
              </c:pt>
              <c:pt idx="87">
                <c:v>0.14288359764218331</c:v>
              </c:pt>
              <c:pt idx="88">
                <c:v>0.14322594070434574</c:v>
              </c:pt>
              <c:pt idx="89">
                <c:v>0.14322594070434574</c:v>
              </c:pt>
              <c:pt idx="90">
                <c:v>0.14356828376650821</c:v>
              </c:pt>
              <c:pt idx="91">
                <c:v>0.14356828376650821</c:v>
              </c:pt>
              <c:pt idx="92">
                <c:v>0.14391062682867051</c:v>
              </c:pt>
              <c:pt idx="93">
                <c:v>0.14391062682867051</c:v>
              </c:pt>
              <c:pt idx="94">
                <c:v>0.14425296989083294</c:v>
              </c:pt>
              <c:pt idx="95">
                <c:v>0.14425296989083294</c:v>
              </c:pt>
              <c:pt idx="96">
                <c:v>0.14459531295299541</c:v>
              </c:pt>
              <c:pt idx="97">
                <c:v>0.14459531295299541</c:v>
              </c:pt>
              <c:pt idx="98">
                <c:v>0.14493765601515771</c:v>
              </c:pt>
              <c:pt idx="99">
                <c:v>0.14493765601515771</c:v>
              </c:pt>
              <c:pt idx="100">
                <c:v>0.1452799990773202</c:v>
              </c:pt>
              <c:pt idx="101">
                <c:v>0.1452799990773202</c:v>
              </c:pt>
              <c:pt idx="102">
                <c:v>0.14562234213948255</c:v>
              </c:pt>
              <c:pt idx="103">
                <c:v>0.14562234213948255</c:v>
              </c:pt>
              <c:pt idx="104">
                <c:v>0.14596468520164491</c:v>
              </c:pt>
              <c:pt idx="105">
                <c:v>0.14596468520164491</c:v>
              </c:pt>
              <c:pt idx="106">
                <c:v>0.14630702826380723</c:v>
              </c:pt>
              <c:pt idx="107">
                <c:v>0.14630702826380723</c:v>
              </c:pt>
              <c:pt idx="108">
                <c:v>0.14664937132596975</c:v>
              </c:pt>
              <c:pt idx="109">
                <c:v>0.14664937132596975</c:v>
              </c:pt>
              <c:pt idx="110">
                <c:v>0.14699171438813216</c:v>
              </c:pt>
              <c:pt idx="111">
                <c:v>0.14699171438813216</c:v>
              </c:pt>
              <c:pt idx="112">
                <c:v>0.14733405745029454</c:v>
              </c:pt>
              <c:pt idx="113">
                <c:v>0.14733405745029454</c:v>
              </c:pt>
              <c:pt idx="114">
                <c:v>0.14767640051245695</c:v>
              </c:pt>
              <c:pt idx="115">
                <c:v>0.14767640051245695</c:v>
              </c:pt>
              <c:pt idx="116">
                <c:v>0.14801874357461936</c:v>
              </c:pt>
              <c:pt idx="117">
                <c:v>0.14801874357461936</c:v>
              </c:pt>
              <c:pt idx="118">
                <c:v>0.14836108663678171</c:v>
              </c:pt>
              <c:pt idx="119">
                <c:v>0.14836108663678171</c:v>
              </c:pt>
              <c:pt idx="120">
                <c:v>0.14870342969894415</c:v>
              </c:pt>
              <c:pt idx="121">
                <c:v>0.14870342969894415</c:v>
              </c:pt>
              <c:pt idx="122">
                <c:v>0.14904577276110653</c:v>
              </c:pt>
              <c:pt idx="123">
                <c:v>0.14904577276110653</c:v>
              </c:pt>
              <c:pt idx="124">
                <c:v>0.14938811582326891</c:v>
              </c:pt>
              <c:pt idx="125">
                <c:v>0.14938811582326891</c:v>
              </c:pt>
              <c:pt idx="126">
                <c:v>0.14973045888543143</c:v>
              </c:pt>
              <c:pt idx="127">
                <c:v>0.14973045888543143</c:v>
              </c:pt>
              <c:pt idx="128">
                <c:v>0.1500728019475937</c:v>
              </c:pt>
              <c:pt idx="129">
                <c:v>0.1500728019475937</c:v>
              </c:pt>
              <c:pt idx="130">
                <c:v>0.15041514500975614</c:v>
              </c:pt>
              <c:pt idx="131">
                <c:v>0.15041514500975614</c:v>
              </c:pt>
              <c:pt idx="132">
                <c:v>0.15075748807191858</c:v>
              </c:pt>
              <c:pt idx="133">
                <c:v>0.15075748807191858</c:v>
              </c:pt>
              <c:pt idx="134">
                <c:v>0.15109983113408096</c:v>
              </c:pt>
              <c:pt idx="135">
                <c:v>0.15109983113408096</c:v>
              </c:pt>
              <c:pt idx="136">
                <c:v>0.1514421741962434</c:v>
              </c:pt>
              <c:pt idx="137">
                <c:v>0.1514421741962434</c:v>
              </c:pt>
              <c:pt idx="138">
                <c:v>0.15178451725840569</c:v>
              </c:pt>
              <c:pt idx="139">
                <c:v>0.15178451725840569</c:v>
              </c:pt>
              <c:pt idx="140">
                <c:v>0.15212686032056807</c:v>
              </c:pt>
              <c:pt idx="141">
                <c:v>0.15212686032056807</c:v>
              </c:pt>
              <c:pt idx="142">
                <c:v>0.15246920338273059</c:v>
              </c:pt>
              <c:pt idx="143">
                <c:v>0.15246920338273059</c:v>
              </c:pt>
              <c:pt idx="144">
                <c:v>0.15261592183794301</c:v>
              </c:pt>
              <c:pt idx="145">
                <c:v>0.15261592183794301</c:v>
              </c:pt>
              <c:pt idx="146">
                <c:v>0.15261592183794301</c:v>
              </c:pt>
              <c:pt idx="147">
                <c:v>0.15261592183794301</c:v>
              </c:pt>
              <c:pt idx="148">
                <c:v>0.15261592183794301</c:v>
              </c:pt>
              <c:pt idx="149">
                <c:v>0.15261592183794301</c:v>
              </c:pt>
              <c:pt idx="150">
                <c:v>0.15295826490010542</c:v>
              </c:pt>
              <c:pt idx="151">
                <c:v>0.15295826490010542</c:v>
              </c:pt>
              <c:pt idx="152">
                <c:v>0.15330060796226774</c:v>
              </c:pt>
              <c:pt idx="153">
                <c:v>0.15330060796226774</c:v>
              </c:pt>
              <c:pt idx="154">
                <c:v>0.15364295102443024</c:v>
              </c:pt>
              <c:pt idx="155">
                <c:v>0.15364295102443024</c:v>
              </c:pt>
              <c:pt idx="156">
                <c:v>0.1539852940865927</c:v>
              </c:pt>
              <c:pt idx="157">
                <c:v>0.1539852940865927</c:v>
              </c:pt>
              <c:pt idx="158">
                <c:v>0.15432763714875489</c:v>
              </c:pt>
              <c:pt idx="159">
                <c:v>0.15432763714875489</c:v>
              </c:pt>
              <c:pt idx="160">
                <c:v>0.15466998021091741</c:v>
              </c:pt>
              <c:pt idx="161">
                <c:v>0.15466998021091741</c:v>
              </c:pt>
              <c:pt idx="162">
                <c:v>0.15501232327307976</c:v>
              </c:pt>
              <c:pt idx="163">
                <c:v>0.15501232327307976</c:v>
              </c:pt>
              <c:pt idx="164">
                <c:v>0.15535466633524214</c:v>
              </c:pt>
              <c:pt idx="165">
                <c:v>0.15535466633524214</c:v>
              </c:pt>
              <c:pt idx="166">
                <c:v>0.15569700939740466</c:v>
              </c:pt>
              <c:pt idx="167">
                <c:v>0.15569700939740466</c:v>
              </c:pt>
              <c:pt idx="168">
                <c:v>0.15603935245956699</c:v>
              </c:pt>
              <c:pt idx="169">
                <c:v>0.15603935245956699</c:v>
              </c:pt>
              <c:pt idx="170">
                <c:v>0.15638169552172942</c:v>
              </c:pt>
              <c:pt idx="171">
                <c:v>0.15638169552172942</c:v>
              </c:pt>
              <c:pt idx="172">
                <c:v>0.15672403858389186</c:v>
              </c:pt>
              <c:pt idx="173">
                <c:v>0.15672403858389186</c:v>
              </c:pt>
              <c:pt idx="174">
                <c:v>0.15706638164605424</c:v>
              </c:pt>
              <c:pt idx="175">
                <c:v>0.15706638164605424</c:v>
              </c:pt>
              <c:pt idx="176">
                <c:v>0.15740872470821654</c:v>
              </c:pt>
              <c:pt idx="177">
                <c:v>0.15740872470821654</c:v>
              </c:pt>
              <c:pt idx="178">
                <c:v>0.15775106777037901</c:v>
              </c:pt>
              <c:pt idx="179">
                <c:v>0.15775106777037901</c:v>
              </c:pt>
              <c:pt idx="180">
                <c:v>0.15809341083254144</c:v>
              </c:pt>
              <c:pt idx="181">
                <c:v>0.15809341083254144</c:v>
              </c:pt>
              <c:pt idx="182">
                <c:v>0.15843575389470382</c:v>
              </c:pt>
              <c:pt idx="183">
                <c:v>0.15843575389470382</c:v>
              </c:pt>
              <c:pt idx="184">
                <c:v>0.15877809695686623</c:v>
              </c:pt>
              <c:pt idx="185">
                <c:v>0.15877809695686623</c:v>
              </c:pt>
              <c:pt idx="186">
                <c:v>0.15912044001902859</c:v>
              </c:pt>
              <c:pt idx="187">
                <c:v>0.15912044001902859</c:v>
              </c:pt>
              <c:pt idx="188">
                <c:v>0.15946278308119108</c:v>
              </c:pt>
              <c:pt idx="189">
                <c:v>0.15946278308119108</c:v>
              </c:pt>
              <c:pt idx="190">
                <c:v>0.1598051261433534</c:v>
              </c:pt>
              <c:pt idx="191">
                <c:v>0.1598051261433534</c:v>
              </c:pt>
              <c:pt idx="192">
                <c:v>0.16014746920551567</c:v>
              </c:pt>
              <c:pt idx="193">
                <c:v>0.16014746920551567</c:v>
              </c:pt>
              <c:pt idx="194">
                <c:v>0.16048981226767814</c:v>
              </c:pt>
              <c:pt idx="195">
                <c:v>0.16048981226767814</c:v>
              </c:pt>
              <c:pt idx="196">
                <c:v>0.16083215532984055</c:v>
              </c:pt>
              <c:pt idx="197">
                <c:v>0.16083215532984055</c:v>
              </c:pt>
              <c:pt idx="198">
                <c:v>0.16117449839200293</c:v>
              </c:pt>
              <c:pt idx="199">
                <c:v>0.16117449839200293</c:v>
              </c:pt>
              <c:pt idx="200">
                <c:v>0.16151684145416542</c:v>
              </c:pt>
              <c:pt idx="201">
                <c:v>0.16151684145416542</c:v>
              </c:pt>
              <c:pt idx="202">
                <c:v>0.16185918451632786</c:v>
              </c:pt>
              <c:pt idx="203">
                <c:v>0.16185918451632786</c:v>
              </c:pt>
              <c:pt idx="204">
                <c:v>0.16220152757849018</c:v>
              </c:pt>
              <c:pt idx="205">
                <c:v>0.16220152757849018</c:v>
              </c:pt>
              <c:pt idx="206">
                <c:v>0.16254387064065248</c:v>
              </c:pt>
              <c:pt idx="207">
                <c:v>0.16254387064065248</c:v>
              </c:pt>
              <c:pt idx="208">
                <c:v>0.16288621370281492</c:v>
              </c:pt>
              <c:pt idx="209">
                <c:v>0.16288621370281492</c:v>
              </c:pt>
              <c:pt idx="210">
                <c:v>0.16322855676497733</c:v>
              </c:pt>
              <c:pt idx="211">
                <c:v>0.16322855676497733</c:v>
              </c:pt>
              <c:pt idx="212">
                <c:v>0.16357089982713974</c:v>
              </c:pt>
              <c:pt idx="213">
                <c:v>0.16357089982713974</c:v>
              </c:pt>
              <c:pt idx="214">
                <c:v>0.16391324288930226</c:v>
              </c:pt>
              <c:pt idx="215">
                <c:v>0.16391324288930226</c:v>
              </c:pt>
              <c:pt idx="216">
                <c:v>0.16425558595146458</c:v>
              </c:pt>
              <c:pt idx="217">
                <c:v>0.16425558595146458</c:v>
              </c:pt>
              <c:pt idx="218">
                <c:v>0.16459792901362688</c:v>
              </c:pt>
              <c:pt idx="219">
                <c:v>0.16459792901362688</c:v>
              </c:pt>
              <c:pt idx="220">
                <c:v>0.16494027207578937</c:v>
              </c:pt>
              <c:pt idx="221">
                <c:v>0.16494027207578937</c:v>
              </c:pt>
              <c:pt idx="222">
                <c:v>0.16528261513795173</c:v>
              </c:pt>
              <c:pt idx="223">
                <c:v>0.16528261513795173</c:v>
              </c:pt>
              <c:pt idx="224">
                <c:v>0.16562495820011408</c:v>
              </c:pt>
              <c:pt idx="225">
                <c:v>0.16562495820011408</c:v>
              </c:pt>
              <c:pt idx="226">
                <c:v>0.16596730126227663</c:v>
              </c:pt>
              <c:pt idx="227">
                <c:v>0.16596730126227663</c:v>
              </c:pt>
              <c:pt idx="228">
                <c:v>0.16630964432443893</c:v>
              </c:pt>
              <c:pt idx="229">
                <c:v>0.16630964432443893</c:v>
              </c:pt>
              <c:pt idx="230">
                <c:v>0.16665198738660134</c:v>
              </c:pt>
              <c:pt idx="231">
                <c:v>0.16665198738660134</c:v>
              </c:pt>
              <c:pt idx="232">
                <c:v>0.16699433044876383</c:v>
              </c:pt>
              <c:pt idx="233">
                <c:v>0.16699433044876383</c:v>
              </c:pt>
              <c:pt idx="234">
                <c:v>0.16733667351092618</c:v>
              </c:pt>
              <c:pt idx="235">
                <c:v>0.16733667351092618</c:v>
              </c:pt>
              <c:pt idx="236">
                <c:v>0.16767901657308848</c:v>
              </c:pt>
              <c:pt idx="237">
                <c:v>0.16767901657308848</c:v>
              </c:pt>
              <c:pt idx="238">
                <c:v>0.16802135963525092</c:v>
              </c:pt>
              <c:pt idx="239">
                <c:v>0.16802135963525092</c:v>
              </c:pt>
              <c:pt idx="240">
                <c:v>0.16836370269741338</c:v>
              </c:pt>
              <c:pt idx="241">
                <c:v>0.16836370269741338</c:v>
              </c:pt>
              <c:pt idx="242">
                <c:v>0.16870604575957571</c:v>
              </c:pt>
              <c:pt idx="243">
                <c:v>0.16870604575957571</c:v>
              </c:pt>
              <c:pt idx="244">
                <c:v>0.16904838882173825</c:v>
              </c:pt>
              <c:pt idx="245">
                <c:v>0.16904838882173825</c:v>
              </c:pt>
              <c:pt idx="246">
                <c:v>0.16939073188390058</c:v>
              </c:pt>
              <c:pt idx="247">
                <c:v>0.16939073188390058</c:v>
              </c:pt>
              <c:pt idx="248">
                <c:v>0.16973307494606291</c:v>
              </c:pt>
              <c:pt idx="249">
                <c:v>0.16973307494606291</c:v>
              </c:pt>
              <c:pt idx="250">
                <c:v>0.17007541800822534</c:v>
              </c:pt>
              <c:pt idx="251">
                <c:v>0.17007541800822534</c:v>
              </c:pt>
              <c:pt idx="252">
                <c:v>0.17041776107038778</c:v>
              </c:pt>
              <c:pt idx="253">
                <c:v>0.17041776107038778</c:v>
              </c:pt>
              <c:pt idx="254">
                <c:v>0.17076010413255016</c:v>
              </c:pt>
              <c:pt idx="255">
                <c:v>0.17076010413255016</c:v>
              </c:pt>
              <c:pt idx="256">
                <c:v>0.17110244719471251</c:v>
              </c:pt>
              <c:pt idx="257">
                <c:v>0.17110244719471251</c:v>
              </c:pt>
              <c:pt idx="258">
                <c:v>0.17144479025687498</c:v>
              </c:pt>
              <c:pt idx="259">
                <c:v>0.17144479025687498</c:v>
              </c:pt>
              <c:pt idx="260">
                <c:v>0.17178713331903736</c:v>
              </c:pt>
              <c:pt idx="261">
                <c:v>0.17178713331903736</c:v>
              </c:pt>
              <c:pt idx="262">
                <c:v>0.17212947638119971</c:v>
              </c:pt>
              <c:pt idx="263">
                <c:v>0.17212947638119971</c:v>
              </c:pt>
              <c:pt idx="264">
                <c:v>0.17247181944336218</c:v>
              </c:pt>
              <c:pt idx="265">
                <c:v>0.17247181944336218</c:v>
              </c:pt>
              <c:pt idx="266">
                <c:v>0.17281416250552456</c:v>
              </c:pt>
              <c:pt idx="267">
                <c:v>0.17281416250552456</c:v>
              </c:pt>
              <c:pt idx="268">
                <c:v>0.17315650556768689</c:v>
              </c:pt>
              <c:pt idx="269">
                <c:v>0.17315650556768689</c:v>
              </c:pt>
              <c:pt idx="270">
                <c:v>0.17349884862984938</c:v>
              </c:pt>
              <c:pt idx="271">
                <c:v>0.17349884862984938</c:v>
              </c:pt>
              <c:pt idx="272">
                <c:v>0.17384119169201176</c:v>
              </c:pt>
              <c:pt idx="273">
                <c:v>0.17384119169201176</c:v>
              </c:pt>
              <c:pt idx="274">
                <c:v>0.17418353475417411</c:v>
              </c:pt>
              <c:pt idx="275">
                <c:v>0.17418353475417411</c:v>
              </c:pt>
              <c:pt idx="276">
                <c:v>0.17452587781633649</c:v>
              </c:pt>
              <c:pt idx="277">
                <c:v>0.17452587781633649</c:v>
              </c:pt>
              <c:pt idx="278">
                <c:v>0.17486822087849896</c:v>
              </c:pt>
              <c:pt idx="279">
                <c:v>0.17486822087849896</c:v>
              </c:pt>
              <c:pt idx="280">
                <c:v>0.17521056394066131</c:v>
              </c:pt>
              <c:pt idx="281">
                <c:v>0.17521056394066131</c:v>
              </c:pt>
              <c:pt idx="282">
                <c:v>0.17555290700282378</c:v>
              </c:pt>
              <c:pt idx="283">
                <c:v>0.17555290700282378</c:v>
              </c:pt>
              <c:pt idx="284">
                <c:v>0.17589525006498616</c:v>
              </c:pt>
              <c:pt idx="285">
                <c:v>0.17589525006498616</c:v>
              </c:pt>
              <c:pt idx="286">
                <c:v>0.17623759312714857</c:v>
              </c:pt>
              <c:pt idx="287">
                <c:v>0.17623759312714857</c:v>
              </c:pt>
              <c:pt idx="288">
                <c:v>0.17657993618931095</c:v>
              </c:pt>
              <c:pt idx="289">
                <c:v>0.17657993618931095</c:v>
              </c:pt>
              <c:pt idx="290">
                <c:v>0.17692227925147336</c:v>
              </c:pt>
              <c:pt idx="291">
                <c:v>0.17692227925147336</c:v>
              </c:pt>
              <c:pt idx="292">
                <c:v>0.17706899770668574</c:v>
              </c:pt>
              <c:pt idx="293">
                <c:v>0.17706899770668574</c:v>
              </c:pt>
              <c:pt idx="294">
                <c:v>0.17706899770668574</c:v>
              </c:pt>
              <c:pt idx="295">
                <c:v>0.17706899770668574</c:v>
              </c:pt>
              <c:pt idx="296">
                <c:v>0.17706899770668574</c:v>
              </c:pt>
              <c:pt idx="297">
                <c:v>0.17706899770668574</c:v>
              </c:pt>
              <c:pt idx="298">
                <c:v>0.17741134076884824</c:v>
              </c:pt>
              <c:pt idx="299">
                <c:v>0.17741134076884824</c:v>
              </c:pt>
              <c:pt idx="300">
                <c:v>0.17775368383101059</c:v>
              </c:pt>
              <c:pt idx="301">
                <c:v>0.17775368383101059</c:v>
              </c:pt>
              <c:pt idx="302">
                <c:v>0.17809602689317294</c:v>
              </c:pt>
              <c:pt idx="303">
                <c:v>0.17809602689317294</c:v>
              </c:pt>
              <c:pt idx="304">
                <c:v>0.17843836995533544</c:v>
              </c:pt>
              <c:pt idx="305">
                <c:v>0.17843836995533544</c:v>
              </c:pt>
              <c:pt idx="306">
                <c:v>0.17878071301749779</c:v>
              </c:pt>
              <c:pt idx="307">
                <c:v>0.17878071301749779</c:v>
              </c:pt>
              <c:pt idx="308">
                <c:v>0.17912305607966014</c:v>
              </c:pt>
              <c:pt idx="309">
                <c:v>0.17912305607966014</c:v>
              </c:pt>
              <c:pt idx="310">
                <c:v>0.17946539914182272</c:v>
              </c:pt>
              <c:pt idx="311">
                <c:v>0.17946539914182272</c:v>
              </c:pt>
              <c:pt idx="312">
                <c:v>0.17980774220398488</c:v>
              </c:pt>
              <c:pt idx="313">
                <c:v>0.17980774220398488</c:v>
              </c:pt>
              <c:pt idx="314">
                <c:v>0.18015008526614734</c:v>
              </c:pt>
              <c:pt idx="315">
                <c:v>0.18015008526614734</c:v>
              </c:pt>
              <c:pt idx="316">
                <c:v>0.18049242832830978</c:v>
              </c:pt>
              <c:pt idx="317">
                <c:v>0.18049242832830978</c:v>
              </c:pt>
              <c:pt idx="318">
                <c:v>0.18083477139047219</c:v>
              </c:pt>
              <c:pt idx="319">
                <c:v>0.18083477139047219</c:v>
              </c:pt>
              <c:pt idx="320">
                <c:v>0.18117711445263454</c:v>
              </c:pt>
              <c:pt idx="321">
                <c:v>0.18117711445263454</c:v>
              </c:pt>
              <c:pt idx="322">
                <c:v>0.18151945751479703</c:v>
              </c:pt>
              <c:pt idx="323">
                <c:v>0.18151945751479703</c:v>
              </c:pt>
              <c:pt idx="324">
                <c:v>0.18186180057695939</c:v>
              </c:pt>
              <c:pt idx="325">
                <c:v>0.18186180057695939</c:v>
              </c:pt>
              <c:pt idx="326">
                <c:v>0.18220414363912182</c:v>
              </c:pt>
              <c:pt idx="327">
                <c:v>0.18220414363912182</c:v>
              </c:pt>
              <c:pt idx="328">
                <c:v>0.18254648670128426</c:v>
              </c:pt>
              <c:pt idx="329">
                <c:v>0.18254648670128426</c:v>
              </c:pt>
              <c:pt idx="330">
                <c:v>0.18288882976344653</c:v>
              </c:pt>
              <c:pt idx="331">
                <c:v>0.18288882976344653</c:v>
              </c:pt>
              <c:pt idx="332">
                <c:v>0.18323117282560894</c:v>
              </c:pt>
              <c:pt idx="333">
                <c:v>0.18323117282560894</c:v>
              </c:pt>
              <c:pt idx="334">
                <c:v>0.18357351588777138</c:v>
              </c:pt>
              <c:pt idx="335">
                <c:v>0.18357351588777138</c:v>
              </c:pt>
              <c:pt idx="336">
                <c:v>0.18391585894993379</c:v>
              </c:pt>
              <c:pt idx="337">
                <c:v>0.18391585894993379</c:v>
              </c:pt>
              <c:pt idx="338">
                <c:v>0.18425820201209625</c:v>
              </c:pt>
              <c:pt idx="339">
                <c:v>0.18425820201209625</c:v>
              </c:pt>
              <c:pt idx="340">
                <c:v>0.18460054507425852</c:v>
              </c:pt>
              <c:pt idx="341">
                <c:v>0.18460054507425852</c:v>
              </c:pt>
              <c:pt idx="342">
                <c:v>0.1849428881364211</c:v>
              </c:pt>
              <c:pt idx="343">
                <c:v>0.1849428881364211</c:v>
              </c:pt>
              <c:pt idx="344">
                <c:v>0.18528523119858342</c:v>
              </c:pt>
              <c:pt idx="345">
                <c:v>0.18528523119858342</c:v>
              </c:pt>
              <c:pt idx="346">
                <c:v>0.18562757426074566</c:v>
              </c:pt>
              <c:pt idx="347">
                <c:v>0.18562757426074566</c:v>
              </c:pt>
              <c:pt idx="348">
                <c:v>0.18596991732290824</c:v>
              </c:pt>
              <c:pt idx="349">
                <c:v>0.18596991732290824</c:v>
              </c:pt>
              <c:pt idx="350">
                <c:v>0.18631226038507062</c:v>
              </c:pt>
              <c:pt idx="351">
                <c:v>0.18631226038507062</c:v>
              </c:pt>
              <c:pt idx="352">
                <c:v>0.18665460344723298</c:v>
              </c:pt>
              <c:pt idx="353">
                <c:v>0.18665460344723298</c:v>
              </c:pt>
              <c:pt idx="354">
                <c:v>0.18699694650939547</c:v>
              </c:pt>
              <c:pt idx="355">
                <c:v>0.18699694650939547</c:v>
              </c:pt>
              <c:pt idx="356">
                <c:v>0.18733928957155777</c:v>
              </c:pt>
              <c:pt idx="357">
                <c:v>0.18733928957155777</c:v>
              </c:pt>
              <c:pt idx="358">
                <c:v>0.18768163263372017</c:v>
              </c:pt>
              <c:pt idx="359">
                <c:v>0.18768163263372017</c:v>
              </c:pt>
              <c:pt idx="360">
                <c:v>0.18802397569588253</c:v>
              </c:pt>
              <c:pt idx="361">
                <c:v>0.18802397569588253</c:v>
              </c:pt>
              <c:pt idx="362">
                <c:v>0.18836631875804491</c:v>
              </c:pt>
              <c:pt idx="363">
                <c:v>0.18836631875804491</c:v>
              </c:pt>
              <c:pt idx="364">
                <c:v>0.18870866182020743</c:v>
              </c:pt>
              <c:pt idx="365">
                <c:v>0.18870866182020743</c:v>
              </c:pt>
              <c:pt idx="366">
                <c:v>0.18905100488236984</c:v>
              </c:pt>
              <c:pt idx="367">
                <c:v>0.18905100488236984</c:v>
              </c:pt>
              <c:pt idx="368">
                <c:v>0.18939334794453216</c:v>
              </c:pt>
              <c:pt idx="369">
                <c:v>0.18939334794453216</c:v>
              </c:pt>
              <c:pt idx="370">
                <c:v>0.18973569100669463</c:v>
              </c:pt>
              <c:pt idx="371">
                <c:v>0.18973569100669463</c:v>
              </c:pt>
              <c:pt idx="372">
                <c:v>0.19007803406885687</c:v>
              </c:pt>
              <c:pt idx="373">
                <c:v>0.19007803406885687</c:v>
              </c:pt>
              <c:pt idx="374">
                <c:v>0.19042037713101931</c:v>
              </c:pt>
              <c:pt idx="375">
                <c:v>0.19042037713101931</c:v>
              </c:pt>
              <c:pt idx="376">
                <c:v>0.19076272019318172</c:v>
              </c:pt>
              <c:pt idx="377">
                <c:v>0.19076272019318172</c:v>
              </c:pt>
              <c:pt idx="378">
                <c:v>0.19110506325534413</c:v>
              </c:pt>
              <c:pt idx="379">
                <c:v>0.19110506325534413</c:v>
              </c:pt>
              <c:pt idx="380">
                <c:v>0.19144740631750656</c:v>
              </c:pt>
              <c:pt idx="381">
                <c:v>0.19144740631750656</c:v>
              </c:pt>
              <c:pt idx="382">
                <c:v>0.19178974937966892</c:v>
              </c:pt>
              <c:pt idx="383">
                <c:v>0.19178974937966892</c:v>
              </c:pt>
              <c:pt idx="384">
                <c:v>0.19213209244183138</c:v>
              </c:pt>
              <c:pt idx="385">
                <c:v>0.19213209244183138</c:v>
              </c:pt>
              <c:pt idx="386">
                <c:v>0.19247443550399376</c:v>
              </c:pt>
              <c:pt idx="387">
                <c:v>0.19247443550399376</c:v>
              </c:pt>
              <c:pt idx="388">
                <c:v>0.19281677856615614</c:v>
              </c:pt>
              <c:pt idx="389">
                <c:v>0.19281677856615614</c:v>
              </c:pt>
              <c:pt idx="390">
                <c:v>0.19315912162831844</c:v>
              </c:pt>
              <c:pt idx="391">
                <c:v>0.19315912162831844</c:v>
              </c:pt>
              <c:pt idx="392">
                <c:v>0.19350146469048091</c:v>
              </c:pt>
              <c:pt idx="393">
                <c:v>0.19350146469048091</c:v>
              </c:pt>
              <c:pt idx="394">
                <c:v>0.19384380775264334</c:v>
              </c:pt>
              <c:pt idx="395">
                <c:v>0.19384380775264334</c:v>
              </c:pt>
              <c:pt idx="396">
                <c:v>0.1941861508148057</c:v>
              </c:pt>
              <c:pt idx="397">
                <c:v>0.1941861508148057</c:v>
              </c:pt>
              <c:pt idx="398">
                <c:v>0.19452849387696822</c:v>
              </c:pt>
              <c:pt idx="399">
                <c:v>0.19452849387696822</c:v>
              </c:pt>
              <c:pt idx="400">
                <c:v>0.19487083693913052</c:v>
              </c:pt>
              <c:pt idx="401">
                <c:v>0.19487083693913052</c:v>
              </c:pt>
              <c:pt idx="402">
                <c:v>0.19521318000129301</c:v>
              </c:pt>
              <c:pt idx="403">
                <c:v>0.19521318000129301</c:v>
              </c:pt>
              <c:pt idx="404">
                <c:v>0.19555552306345525</c:v>
              </c:pt>
              <c:pt idx="405">
                <c:v>0.19555552306345525</c:v>
              </c:pt>
              <c:pt idx="406">
                <c:v>0.19589786612561769</c:v>
              </c:pt>
              <c:pt idx="407">
                <c:v>0.19589786612561769</c:v>
              </c:pt>
              <c:pt idx="408">
                <c:v>0.19624020918778021</c:v>
              </c:pt>
              <c:pt idx="409">
                <c:v>0.19624020918778021</c:v>
              </c:pt>
              <c:pt idx="410">
                <c:v>0.19658255224994245</c:v>
              </c:pt>
              <c:pt idx="411">
                <c:v>0.19658255224994245</c:v>
              </c:pt>
              <c:pt idx="412">
                <c:v>0.19692489531210491</c:v>
              </c:pt>
              <c:pt idx="413">
                <c:v>0.19692489531210491</c:v>
              </c:pt>
              <c:pt idx="414">
                <c:v>0.19726723837426741</c:v>
              </c:pt>
              <c:pt idx="415">
                <c:v>0.19726723837426741</c:v>
              </c:pt>
              <c:pt idx="416">
                <c:v>0.19760958143642976</c:v>
              </c:pt>
              <c:pt idx="417">
                <c:v>0.19760958143642976</c:v>
              </c:pt>
              <c:pt idx="418">
                <c:v>0.19795192449859211</c:v>
              </c:pt>
              <c:pt idx="419">
                <c:v>0.19795192449859211</c:v>
              </c:pt>
              <c:pt idx="420">
                <c:v>0.19829426756075449</c:v>
              </c:pt>
              <c:pt idx="421">
                <c:v>0.19829426756075449</c:v>
              </c:pt>
              <c:pt idx="422">
                <c:v>0.19863661062291688</c:v>
              </c:pt>
              <c:pt idx="423">
                <c:v>0.19863661062291688</c:v>
              </c:pt>
              <c:pt idx="424">
                <c:v>0.19897895368507929</c:v>
              </c:pt>
              <c:pt idx="425">
                <c:v>0.19897895368507929</c:v>
              </c:pt>
              <c:pt idx="426">
                <c:v>0.19932129674724175</c:v>
              </c:pt>
              <c:pt idx="427">
                <c:v>0.19932129674724175</c:v>
              </c:pt>
              <c:pt idx="428">
                <c:v>0.19966363980940416</c:v>
              </c:pt>
              <c:pt idx="429">
                <c:v>0.19966363980940416</c:v>
              </c:pt>
              <c:pt idx="430">
                <c:v>0.20000598287156657</c:v>
              </c:pt>
              <c:pt idx="431">
                <c:v>0.20000598287156657</c:v>
              </c:pt>
              <c:pt idx="432">
                <c:v>0.20034832593372889</c:v>
              </c:pt>
              <c:pt idx="433">
                <c:v>0.20034832593372889</c:v>
              </c:pt>
              <c:pt idx="434">
                <c:v>0.2006906689958913</c:v>
              </c:pt>
              <c:pt idx="435">
                <c:v>0.2006906689958913</c:v>
              </c:pt>
              <c:pt idx="436">
                <c:v>0.20103301205805368</c:v>
              </c:pt>
              <c:pt idx="437">
                <c:v>0.20103301205805368</c:v>
              </c:pt>
              <c:pt idx="438">
                <c:v>0.20137535512021609</c:v>
              </c:pt>
              <c:pt idx="439">
                <c:v>0.20137535512021609</c:v>
              </c:pt>
              <c:pt idx="440">
                <c:v>0.20152207357542862</c:v>
              </c:pt>
              <c:pt idx="441">
                <c:v>0.20152207357542862</c:v>
              </c:pt>
              <c:pt idx="442">
                <c:v>0.20152207357542862</c:v>
              </c:pt>
              <c:pt idx="443">
                <c:v>0.20152207357542862</c:v>
              </c:pt>
              <c:pt idx="444">
                <c:v>0.20152207357542862</c:v>
              </c:pt>
              <c:pt idx="445">
                <c:v>0.20152207357542862</c:v>
              </c:pt>
              <c:pt idx="446">
                <c:v>0.20186441663759103</c:v>
              </c:pt>
              <c:pt idx="447">
                <c:v>0.20186441663759103</c:v>
              </c:pt>
              <c:pt idx="448">
                <c:v>0.20220675969975335</c:v>
              </c:pt>
              <c:pt idx="449">
                <c:v>0.20220675969975335</c:v>
              </c:pt>
              <c:pt idx="450">
                <c:v>0.20254910276191582</c:v>
              </c:pt>
              <c:pt idx="451">
                <c:v>0.20254910276191582</c:v>
              </c:pt>
              <c:pt idx="452">
                <c:v>0.20289144582407825</c:v>
              </c:pt>
              <c:pt idx="453">
                <c:v>0.20289144582407825</c:v>
              </c:pt>
              <c:pt idx="454">
                <c:v>0.20323378888624066</c:v>
              </c:pt>
              <c:pt idx="455">
                <c:v>0.20323378888624066</c:v>
              </c:pt>
              <c:pt idx="456">
                <c:v>0.20357613194840296</c:v>
              </c:pt>
              <c:pt idx="457">
                <c:v>0.20357613194840296</c:v>
              </c:pt>
              <c:pt idx="458">
                <c:v>0.20391847501056545</c:v>
              </c:pt>
              <c:pt idx="459">
                <c:v>0.20391847501056545</c:v>
              </c:pt>
              <c:pt idx="460">
                <c:v>0.20426081807272781</c:v>
              </c:pt>
              <c:pt idx="461">
                <c:v>0.20426081807272781</c:v>
              </c:pt>
              <c:pt idx="462">
                <c:v>0.20460316113489022</c:v>
              </c:pt>
              <c:pt idx="463">
                <c:v>0.20460316113489022</c:v>
              </c:pt>
              <c:pt idx="464">
                <c:v>0.20494550419705262</c:v>
              </c:pt>
              <c:pt idx="465">
                <c:v>0.20494550419705262</c:v>
              </c:pt>
              <c:pt idx="466">
                <c:v>0.20528784725921495</c:v>
              </c:pt>
              <c:pt idx="467">
                <c:v>0.20528784725921495</c:v>
              </c:pt>
              <c:pt idx="468">
                <c:v>0.20563019032137742</c:v>
              </c:pt>
              <c:pt idx="469">
                <c:v>0.20563019032137742</c:v>
              </c:pt>
              <c:pt idx="470">
                <c:v>0.20597253338353969</c:v>
              </c:pt>
              <c:pt idx="471">
                <c:v>0.20597253338353969</c:v>
              </c:pt>
              <c:pt idx="472">
                <c:v>0.20631487644570221</c:v>
              </c:pt>
              <c:pt idx="473">
                <c:v>0.20631487644570221</c:v>
              </c:pt>
              <c:pt idx="474">
                <c:v>0.20665721950786461</c:v>
              </c:pt>
              <c:pt idx="475">
                <c:v>0.20665721950786461</c:v>
              </c:pt>
              <c:pt idx="476">
                <c:v>0.20699956257002702</c:v>
              </c:pt>
              <c:pt idx="477">
                <c:v>0.20699956257002702</c:v>
              </c:pt>
              <c:pt idx="478">
                <c:v>0.2073419056321894</c:v>
              </c:pt>
              <c:pt idx="479">
                <c:v>0.2073419056321894</c:v>
              </c:pt>
              <c:pt idx="480">
                <c:v>0.20768424869435176</c:v>
              </c:pt>
              <c:pt idx="481">
                <c:v>0.20768424869435176</c:v>
              </c:pt>
              <c:pt idx="482">
                <c:v>0.20802659175651414</c:v>
              </c:pt>
              <c:pt idx="483">
                <c:v>0.20802659175651414</c:v>
              </c:pt>
              <c:pt idx="484">
                <c:v>0.2083689348186766</c:v>
              </c:pt>
              <c:pt idx="485">
                <c:v>0.2083689348186766</c:v>
              </c:pt>
              <c:pt idx="486">
                <c:v>0.20871127788083901</c:v>
              </c:pt>
              <c:pt idx="487">
                <c:v>0.20871127788083901</c:v>
              </c:pt>
              <c:pt idx="488">
                <c:v>0.20905362094300128</c:v>
              </c:pt>
              <c:pt idx="489">
                <c:v>0.20905362094300128</c:v>
              </c:pt>
              <c:pt idx="490">
                <c:v>0.2093959640051638</c:v>
              </c:pt>
              <c:pt idx="491">
                <c:v>0.2093959640051638</c:v>
              </c:pt>
              <c:pt idx="492">
                <c:v>0.2097383070673263</c:v>
              </c:pt>
              <c:pt idx="493">
                <c:v>0.2097383070673263</c:v>
              </c:pt>
              <c:pt idx="494">
                <c:v>0.21008065012948854</c:v>
              </c:pt>
              <c:pt idx="495">
                <c:v>0.21008065012948854</c:v>
              </c:pt>
              <c:pt idx="496">
                <c:v>0.210422993191651</c:v>
              </c:pt>
              <c:pt idx="497">
                <c:v>0.210422993191651</c:v>
              </c:pt>
              <c:pt idx="498">
                <c:v>0.21076533625381338</c:v>
              </c:pt>
              <c:pt idx="499">
                <c:v>0.21076533625381338</c:v>
              </c:pt>
              <c:pt idx="500">
                <c:v>0.21110767931597568</c:v>
              </c:pt>
              <c:pt idx="501">
                <c:v>0.21110767931597568</c:v>
              </c:pt>
              <c:pt idx="502">
                <c:v>0.2114500223781382</c:v>
              </c:pt>
              <c:pt idx="503">
                <c:v>0.2114500223781382</c:v>
              </c:pt>
              <c:pt idx="504">
                <c:v>0.21179236544030064</c:v>
              </c:pt>
              <c:pt idx="505">
                <c:v>0.21179236544030064</c:v>
              </c:pt>
              <c:pt idx="506">
                <c:v>0.21213470850246302</c:v>
              </c:pt>
              <c:pt idx="507">
                <c:v>0.21213470850246302</c:v>
              </c:pt>
              <c:pt idx="508">
                <c:v>0.21247705156462543</c:v>
              </c:pt>
              <c:pt idx="509">
                <c:v>0.21247705156462543</c:v>
              </c:pt>
              <c:pt idx="510">
                <c:v>0.21281939462678778</c:v>
              </c:pt>
              <c:pt idx="511">
                <c:v>0.21281939462678778</c:v>
              </c:pt>
              <c:pt idx="512">
                <c:v>0.21316173768895014</c:v>
              </c:pt>
              <c:pt idx="513">
                <c:v>0.21316173768895014</c:v>
              </c:pt>
              <c:pt idx="514">
                <c:v>0.21350408075111266</c:v>
              </c:pt>
              <c:pt idx="515">
                <c:v>0.21350408075111266</c:v>
              </c:pt>
              <c:pt idx="516">
                <c:v>0.21384642381327498</c:v>
              </c:pt>
              <c:pt idx="517">
                <c:v>0.21384642381327498</c:v>
              </c:pt>
              <c:pt idx="518">
                <c:v>0.21418876687543739</c:v>
              </c:pt>
              <c:pt idx="519">
                <c:v>0.21418876687543739</c:v>
              </c:pt>
              <c:pt idx="520">
                <c:v>0.2145311099375998</c:v>
              </c:pt>
              <c:pt idx="521">
                <c:v>0.2145311099375998</c:v>
              </c:pt>
              <c:pt idx="522">
                <c:v>0.21487345299976218</c:v>
              </c:pt>
              <c:pt idx="523">
                <c:v>0.21487345299976218</c:v>
              </c:pt>
              <c:pt idx="524">
                <c:v>0.21521579606192465</c:v>
              </c:pt>
              <c:pt idx="525">
                <c:v>0.21521579606192465</c:v>
              </c:pt>
              <c:pt idx="526">
                <c:v>0.21555813912408694</c:v>
              </c:pt>
              <c:pt idx="527">
                <c:v>0.21555813912408694</c:v>
              </c:pt>
              <c:pt idx="528">
                <c:v>0.21590048218624946</c:v>
              </c:pt>
              <c:pt idx="529">
                <c:v>0.21590048218624946</c:v>
              </c:pt>
              <c:pt idx="530">
                <c:v>0.21624282524841174</c:v>
              </c:pt>
              <c:pt idx="531">
                <c:v>0.21624282524841174</c:v>
              </c:pt>
              <c:pt idx="532">
                <c:v>0.21658516831057414</c:v>
              </c:pt>
              <c:pt idx="533">
                <c:v>0.21658516831057414</c:v>
              </c:pt>
              <c:pt idx="534">
                <c:v>0.21692751137273658</c:v>
              </c:pt>
              <c:pt idx="535">
                <c:v>0.21692751137273658</c:v>
              </c:pt>
              <c:pt idx="536">
                <c:v>0.21726985443489899</c:v>
              </c:pt>
              <c:pt idx="537">
                <c:v>0.21726985443489899</c:v>
              </c:pt>
              <c:pt idx="538">
                <c:v>0.21761219749706145</c:v>
              </c:pt>
              <c:pt idx="539">
                <c:v>0.21761219749706145</c:v>
              </c:pt>
              <c:pt idx="540">
                <c:v>0.21795454055922384</c:v>
              </c:pt>
              <c:pt idx="541">
                <c:v>0.21795454055922384</c:v>
              </c:pt>
              <c:pt idx="542">
                <c:v>0.21829688362138625</c:v>
              </c:pt>
              <c:pt idx="543">
                <c:v>0.21829688362138625</c:v>
              </c:pt>
              <c:pt idx="544">
                <c:v>0.21863922668354852</c:v>
              </c:pt>
              <c:pt idx="545">
                <c:v>0.21863922668354852</c:v>
              </c:pt>
              <c:pt idx="546">
                <c:v>0.21898156974571092</c:v>
              </c:pt>
              <c:pt idx="547">
                <c:v>0.21898156974571092</c:v>
              </c:pt>
              <c:pt idx="548">
                <c:v>0.21932391280787339</c:v>
              </c:pt>
              <c:pt idx="549">
                <c:v>0.21932391280787339</c:v>
              </c:pt>
              <c:pt idx="550">
                <c:v>0.21966625587003577</c:v>
              </c:pt>
              <c:pt idx="551">
                <c:v>0.21966625587003577</c:v>
              </c:pt>
              <c:pt idx="552">
                <c:v>0.22000859893219818</c:v>
              </c:pt>
              <c:pt idx="553">
                <c:v>0.22000859893219818</c:v>
              </c:pt>
              <c:pt idx="554">
                <c:v>0.22035094199436053</c:v>
              </c:pt>
              <c:pt idx="555">
                <c:v>0.22035094199436053</c:v>
              </c:pt>
              <c:pt idx="556">
                <c:v>0.22069328505652291</c:v>
              </c:pt>
              <c:pt idx="557">
                <c:v>0.22069328505652291</c:v>
              </c:pt>
              <c:pt idx="558">
                <c:v>0.22103562811868527</c:v>
              </c:pt>
              <c:pt idx="559">
                <c:v>0.22103562811868527</c:v>
              </c:pt>
              <c:pt idx="560">
                <c:v>0.22137797118084768</c:v>
              </c:pt>
              <c:pt idx="561">
                <c:v>0.22137797118084768</c:v>
              </c:pt>
              <c:pt idx="562">
                <c:v>0.22172031424301006</c:v>
              </c:pt>
              <c:pt idx="563">
                <c:v>0.22172031424301006</c:v>
              </c:pt>
              <c:pt idx="564">
                <c:v>0.22206265730517252</c:v>
              </c:pt>
              <c:pt idx="565">
                <c:v>0.22206265730517252</c:v>
              </c:pt>
              <c:pt idx="566">
                <c:v>0.22240500036733496</c:v>
              </c:pt>
              <c:pt idx="567">
                <c:v>0.22240500036733496</c:v>
              </c:pt>
              <c:pt idx="568">
                <c:v>0.22274734342949745</c:v>
              </c:pt>
              <c:pt idx="569">
                <c:v>0.22274734342949745</c:v>
              </c:pt>
              <c:pt idx="570">
                <c:v>0.22308968649165972</c:v>
              </c:pt>
              <c:pt idx="571">
                <c:v>0.22308968649165972</c:v>
              </c:pt>
              <c:pt idx="572">
                <c:v>0.22343202955382219</c:v>
              </c:pt>
              <c:pt idx="573">
                <c:v>0.22343202955382219</c:v>
              </c:pt>
              <c:pt idx="574">
                <c:v>0.22377437261598446</c:v>
              </c:pt>
              <c:pt idx="575">
                <c:v>0.22377437261598446</c:v>
              </c:pt>
              <c:pt idx="576">
                <c:v>0.22411671567814687</c:v>
              </c:pt>
              <c:pt idx="577">
                <c:v>0.22411671567814687</c:v>
              </c:pt>
              <c:pt idx="578">
                <c:v>0.22445905874030936</c:v>
              </c:pt>
              <c:pt idx="579">
                <c:v>0.22445905874030936</c:v>
              </c:pt>
              <c:pt idx="580">
                <c:v>0.22480140180247177</c:v>
              </c:pt>
              <c:pt idx="581">
                <c:v>0.22480140180247177</c:v>
              </c:pt>
              <c:pt idx="582">
                <c:v>0.22514374486463418</c:v>
              </c:pt>
              <c:pt idx="583">
                <c:v>0.22514374486463418</c:v>
              </c:pt>
              <c:pt idx="584">
                <c:v>0.22548608792679656</c:v>
              </c:pt>
              <c:pt idx="585">
                <c:v>0.22548608792679656</c:v>
              </c:pt>
              <c:pt idx="586">
                <c:v>0.22582843098895888</c:v>
              </c:pt>
              <c:pt idx="587">
                <c:v>0.22582843098895888</c:v>
              </c:pt>
              <c:pt idx="588">
                <c:v>0.22597514944417141</c:v>
              </c:pt>
              <c:pt idx="589">
                <c:v>0.22597514944417141</c:v>
              </c:pt>
              <c:pt idx="590">
                <c:v>0.22597514944417141</c:v>
              </c:pt>
              <c:pt idx="591">
                <c:v>0.22597514944417141</c:v>
              </c:pt>
              <c:pt idx="592">
                <c:v>0.22597514944417141</c:v>
              </c:pt>
              <c:pt idx="593">
                <c:v>0.22597514944417141</c:v>
              </c:pt>
              <c:pt idx="594">
                <c:v>0.2263174925063339</c:v>
              </c:pt>
              <c:pt idx="595">
                <c:v>0.2263174925063339</c:v>
              </c:pt>
              <c:pt idx="596">
                <c:v>0.22665983556849623</c:v>
              </c:pt>
              <c:pt idx="597">
                <c:v>0.22665983556849623</c:v>
              </c:pt>
              <c:pt idx="598">
                <c:v>0.2270021786306585</c:v>
              </c:pt>
              <c:pt idx="599">
                <c:v>0.2270021786306585</c:v>
              </c:pt>
              <c:pt idx="600">
                <c:v>0.22734452169282096</c:v>
              </c:pt>
              <c:pt idx="601">
                <c:v>0.22734452169282096</c:v>
              </c:pt>
              <c:pt idx="602">
                <c:v>0.22768686475498329</c:v>
              </c:pt>
              <c:pt idx="603">
                <c:v>0.22768686475498329</c:v>
              </c:pt>
              <c:pt idx="604">
                <c:v>0.22802920781714581</c:v>
              </c:pt>
              <c:pt idx="605">
                <c:v>0.22802920781714581</c:v>
              </c:pt>
              <c:pt idx="606">
                <c:v>0.22837155087930816</c:v>
              </c:pt>
              <c:pt idx="607">
                <c:v>0.22837155087930816</c:v>
              </c:pt>
              <c:pt idx="608">
                <c:v>0.22871389394147063</c:v>
              </c:pt>
              <c:pt idx="609">
                <c:v>0.22871389394147063</c:v>
              </c:pt>
              <c:pt idx="610">
                <c:v>0.22905623700363295</c:v>
              </c:pt>
              <c:pt idx="611">
                <c:v>0.22905623700363295</c:v>
              </c:pt>
              <c:pt idx="612">
                <c:v>0.22939858006579539</c:v>
              </c:pt>
              <c:pt idx="613">
                <c:v>0.22939858006579539</c:v>
              </c:pt>
              <c:pt idx="614">
                <c:v>0.22974092312795774</c:v>
              </c:pt>
              <c:pt idx="615">
                <c:v>0.22974092312795774</c:v>
              </c:pt>
              <c:pt idx="616">
                <c:v>0.23008326619012023</c:v>
              </c:pt>
              <c:pt idx="617">
                <c:v>0.23008326619012023</c:v>
              </c:pt>
              <c:pt idx="618">
                <c:v>0.23042560925228253</c:v>
              </c:pt>
              <c:pt idx="619">
                <c:v>0.23042560925228253</c:v>
              </c:pt>
              <c:pt idx="620">
                <c:v>0.23076795231444494</c:v>
              </c:pt>
              <c:pt idx="621">
                <c:v>0.23076795231444494</c:v>
              </c:pt>
              <c:pt idx="622">
                <c:v>0.23111029537660741</c:v>
              </c:pt>
              <c:pt idx="623">
                <c:v>0.23111029537660741</c:v>
              </c:pt>
              <c:pt idx="624">
                <c:v>0.23145263843876973</c:v>
              </c:pt>
              <c:pt idx="625">
                <c:v>0.23145263843876973</c:v>
              </c:pt>
              <c:pt idx="626">
                <c:v>0.23179498150093225</c:v>
              </c:pt>
              <c:pt idx="627">
                <c:v>0.23179498150093225</c:v>
              </c:pt>
              <c:pt idx="628">
                <c:v>0.2321373245630946</c:v>
              </c:pt>
              <c:pt idx="629">
                <c:v>0.2321373245630946</c:v>
              </c:pt>
              <c:pt idx="630">
                <c:v>0.23247966762525688</c:v>
              </c:pt>
              <c:pt idx="631">
                <c:v>0.23247966762525688</c:v>
              </c:pt>
              <c:pt idx="632">
                <c:v>0.23282201068741934</c:v>
              </c:pt>
              <c:pt idx="633">
                <c:v>0.23282201068741934</c:v>
              </c:pt>
              <c:pt idx="634">
                <c:v>0.23316435374958175</c:v>
              </c:pt>
              <c:pt idx="635">
                <c:v>0.23316435374958175</c:v>
              </c:pt>
              <c:pt idx="636">
                <c:v>0.23350669681174419</c:v>
              </c:pt>
              <c:pt idx="637">
                <c:v>0.23350669681174419</c:v>
              </c:pt>
              <c:pt idx="638">
                <c:v>0.23384903987390662</c:v>
              </c:pt>
              <c:pt idx="639">
                <c:v>0.23384903987390662</c:v>
              </c:pt>
              <c:pt idx="640">
                <c:v>0.234191382936069</c:v>
              </c:pt>
              <c:pt idx="641">
                <c:v>0.234191382936069</c:v>
              </c:pt>
              <c:pt idx="642">
                <c:v>0.23453372599823133</c:v>
              </c:pt>
              <c:pt idx="643">
                <c:v>0.23453372599823133</c:v>
              </c:pt>
              <c:pt idx="644">
                <c:v>0.23487606906039374</c:v>
              </c:pt>
              <c:pt idx="645">
                <c:v>0.23487606906039374</c:v>
              </c:pt>
              <c:pt idx="646">
                <c:v>0.23521841212255623</c:v>
              </c:pt>
              <c:pt idx="647">
                <c:v>0.23521841212255623</c:v>
              </c:pt>
              <c:pt idx="648">
                <c:v>0.23556075518471853</c:v>
              </c:pt>
              <c:pt idx="649">
                <c:v>0.23556075518471853</c:v>
              </c:pt>
              <c:pt idx="650">
                <c:v>0.23590309824688094</c:v>
              </c:pt>
              <c:pt idx="651">
                <c:v>0.23590309824688094</c:v>
              </c:pt>
              <c:pt idx="652">
                <c:v>0.23624544130904343</c:v>
              </c:pt>
              <c:pt idx="653">
                <c:v>0.23624544130904343</c:v>
              </c:pt>
              <c:pt idx="654">
                <c:v>0.23658778437120578</c:v>
              </c:pt>
              <c:pt idx="655">
                <c:v>0.23658778437120578</c:v>
              </c:pt>
              <c:pt idx="656">
                <c:v>0.23693012743336822</c:v>
              </c:pt>
              <c:pt idx="657">
                <c:v>0.23693012743336822</c:v>
              </c:pt>
              <c:pt idx="658">
                <c:v>0.23727247049553057</c:v>
              </c:pt>
              <c:pt idx="659">
                <c:v>0.23727247049553057</c:v>
              </c:pt>
              <c:pt idx="660">
                <c:v>0.23761481355769298</c:v>
              </c:pt>
              <c:pt idx="661">
                <c:v>0.23761481355769298</c:v>
              </c:pt>
              <c:pt idx="662">
                <c:v>0.23795715661985534</c:v>
              </c:pt>
              <c:pt idx="663">
                <c:v>0.23795715661985534</c:v>
              </c:pt>
              <c:pt idx="664">
                <c:v>0.23829949968201783</c:v>
              </c:pt>
              <c:pt idx="665">
                <c:v>0.23829949968201783</c:v>
              </c:pt>
              <c:pt idx="666">
                <c:v>0.23864184274418018</c:v>
              </c:pt>
              <c:pt idx="667">
                <c:v>0.23864184274418018</c:v>
              </c:pt>
              <c:pt idx="668">
                <c:v>0.23898418580634265</c:v>
              </c:pt>
              <c:pt idx="669">
                <c:v>0.23898418580634265</c:v>
              </c:pt>
              <c:pt idx="670">
                <c:v>0.23932652886850486</c:v>
              </c:pt>
              <c:pt idx="671">
                <c:v>0.23932652886850486</c:v>
              </c:pt>
              <c:pt idx="672">
                <c:v>0.23966887193066733</c:v>
              </c:pt>
              <c:pt idx="673">
                <c:v>0.23966887193066733</c:v>
              </c:pt>
              <c:pt idx="674">
                <c:v>0.24001121499282979</c:v>
              </c:pt>
              <c:pt idx="675">
                <c:v>0.24001121499282979</c:v>
              </c:pt>
              <c:pt idx="676">
                <c:v>0.24035355805499214</c:v>
              </c:pt>
              <c:pt idx="677">
                <c:v>0.24035355805499214</c:v>
              </c:pt>
              <c:pt idx="678">
                <c:v>0.24069590111715458</c:v>
              </c:pt>
              <c:pt idx="679">
                <c:v>0.24069590111715458</c:v>
              </c:pt>
              <c:pt idx="680">
                <c:v>0.24103824417931696</c:v>
              </c:pt>
              <c:pt idx="681">
                <c:v>0.24103824417931696</c:v>
              </c:pt>
              <c:pt idx="682">
                <c:v>0.24138058724147934</c:v>
              </c:pt>
              <c:pt idx="683">
                <c:v>0.24138058724147934</c:v>
              </c:pt>
              <c:pt idx="684">
                <c:v>0.24172293030364173</c:v>
              </c:pt>
              <c:pt idx="685">
                <c:v>0.24172293030364173</c:v>
              </c:pt>
              <c:pt idx="686">
                <c:v>0.24206527336580419</c:v>
              </c:pt>
              <c:pt idx="687">
                <c:v>0.24206527336580419</c:v>
              </c:pt>
              <c:pt idx="688">
                <c:v>0.24240761642796663</c:v>
              </c:pt>
              <c:pt idx="689">
                <c:v>0.24240761642796663</c:v>
              </c:pt>
              <c:pt idx="690">
                <c:v>0.24274995949012904</c:v>
              </c:pt>
              <c:pt idx="691">
                <c:v>0.24274995949012904</c:v>
              </c:pt>
              <c:pt idx="692">
                <c:v>0.24309230255229147</c:v>
              </c:pt>
              <c:pt idx="693">
                <c:v>0.24309230255229147</c:v>
              </c:pt>
              <c:pt idx="694">
                <c:v>0.24343464561445374</c:v>
              </c:pt>
              <c:pt idx="695">
                <c:v>0.24343464561445374</c:v>
              </c:pt>
              <c:pt idx="696">
                <c:v>0.24377698867661618</c:v>
              </c:pt>
              <c:pt idx="697">
                <c:v>0.24377698867661618</c:v>
              </c:pt>
              <c:pt idx="698">
                <c:v>0.24411933173877856</c:v>
              </c:pt>
              <c:pt idx="699">
                <c:v>0.24411933173877856</c:v>
              </c:pt>
              <c:pt idx="700">
                <c:v>0.24446167480094091</c:v>
              </c:pt>
              <c:pt idx="701">
                <c:v>0.24446167480094091</c:v>
              </c:pt>
              <c:pt idx="702">
                <c:v>0.24480401786310338</c:v>
              </c:pt>
              <c:pt idx="703">
                <c:v>0.24480401786310338</c:v>
              </c:pt>
              <c:pt idx="704">
                <c:v>0.24514636092526576</c:v>
              </c:pt>
              <c:pt idx="705">
                <c:v>0.24514636092526576</c:v>
              </c:pt>
              <c:pt idx="706">
                <c:v>0.24548870398742825</c:v>
              </c:pt>
              <c:pt idx="707">
                <c:v>0.24548870398742825</c:v>
              </c:pt>
              <c:pt idx="708">
                <c:v>0.24583104704959058</c:v>
              </c:pt>
              <c:pt idx="709">
                <c:v>0.24583104704959058</c:v>
              </c:pt>
              <c:pt idx="710">
                <c:v>0.2461733901117529</c:v>
              </c:pt>
              <c:pt idx="711">
                <c:v>0.2461733901117529</c:v>
              </c:pt>
              <c:pt idx="712">
                <c:v>0.24651573317391537</c:v>
              </c:pt>
              <c:pt idx="713">
                <c:v>0.24651573317391537</c:v>
              </c:pt>
              <c:pt idx="714">
                <c:v>0.24685807623607769</c:v>
              </c:pt>
              <c:pt idx="715">
                <c:v>0.24685807623607769</c:v>
              </c:pt>
              <c:pt idx="716">
                <c:v>0.24720041929824016</c:v>
              </c:pt>
              <c:pt idx="717">
                <c:v>0.24720041929824016</c:v>
              </c:pt>
              <c:pt idx="718">
                <c:v>0.24754276236040257</c:v>
              </c:pt>
              <c:pt idx="719">
                <c:v>0.24754276236040257</c:v>
              </c:pt>
              <c:pt idx="720">
                <c:v>0.24788510542256498</c:v>
              </c:pt>
              <c:pt idx="721">
                <c:v>0.24788510542256498</c:v>
              </c:pt>
              <c:pt idx="722">
                <c:v>0.24822744848472741</c:v>
              </c:pt>
              <c:pt idx="723">
                <c:v>0.24822744848472741</c:v>
              </c:pt>
              <c:pt idx="724">
                <c:v>0.24856979154688977</c:v>
              </c:pt>
              <c:pt idx="725">
                <c:v>0.24856979154688977</c:v>
              </c:pt>
              <c:pt idx="726">
                <c:v>0.24891213460905218</c:v>
              </c:pt>
              <c:pt idx="727">
                <c:v>0.24891213460905218</c:v>
              </c:pt>
              <c:pt idx="728">
                <c:v>0.24925447767121456</c:v>
              </c:pt>
              <c:pt idx="729">
                <c:v>0.24925447767121456</c:v>
              </c:pt>
              <c:pt idx="730">
                <c:v>0.24959682073337691</c:v>
              </c:pt>
              <c:pt idx="731">
                <c:v>0.24959682073337691</c:v>
              </c:pt>
              <c:pt idx="732">
                <c:v>0.24993916379553938</c:v>
              </c:pt>
              <c:pt idx="733">
                <c:v>0.24993916379553938</c:v>
              </c:pt>
              <c:pt idx="734">
                <c:v>0.25028150685770167</c:v>
              </c:pt>
              <c:pt idx="735">
                <c:v>0.25028150685770167</c:v>
              </c:pt>
              <c:pt idx="736">
                <c:v>0.25042822531291437</c:v>
              </c:pt>
              <c:pt idx="737">
                <c:v>0.25042822531291437</c:v>
              </c:pt>
              <c:pt idx="738">
                <c:v>0.25042822531291437</c:v>
              </c:pt>
              <c:pt idx="739">
                <c:v>0.25042822531291437</c:v>
              </c:pt>
              <c:pt idx="740">
                <c:v>0.25042822531291437</c:v>
              </c:pt>
              <c:pt idx="741">
                <c:v>0.25042822531291437</c:v>
              </c:pt>
              <c:pt idx="742">
                <c:v>0.25077056837507666</c:v>
              </c:pt>
              <c:pt idx="743">
                <c:v>0.25077056837507666</c:v>
              </c:pt>
              <c:pt idx="744">
                <c:v>0.25111291143723896</c:v>
              </c:pt>
              <c:pt idx="745">
                <c:v>0.25111291143723896</c:v>
              </c:pt>
              <c:pt idx="746">
                <c:v>0.25145525449940126</c:v>
              </c:pt>
              <c:pt idx="747">
                <c:v>0.25145525449940126</c:v>
              </c:pt>
              <c:pt idx="748">
                <c:v>0.25179759756156361</c:v>
              </c:pt>
              <c:pt idx="749">
                <c:v>0.25179759756156361</c:v>
              </c:pt>
              <c:pt idx="750">
                <c:v>0.25213994062372597</c:v>
              </c:pt>
              <c:pt idx="751">
                <c:v>0.25213994062372597</c:v>
              </c:pt>
              <c:pt idx="752">
                <c:v>0.25248228368588876</c:v>
              </c:pt>
              <c:pt idx="753">
                <c:v>0.25248228368588876</c:v>
              </c:pt>
              <c:pt idx="754">
                <c:v>0.25282462674805106</c:v>
              </c:pt>
              <c:pt idx="755">
                <c:v>0.25282462674805106</c:v>
              </c:pt>
              <c:pt idx="756">
                <c:v>0.25316696981021347</c:v>
              </c:pt>
              <c:pt idx="757">
                <c:v>0.25316696981021347</c:v>
              </c:pt>
              <c:pt idx="758">
                <c:v>0.25350931287237571</c:v>
              </c:pt>
              <c:pt idx="759">
                <c:v>0.25350931287237571</c:v>
              </c:pt>
              <c:pt idx="760">
                <c:v>0.25385165593453812</c:v>
              </c:pt>
              <c:pt idx="761">
                <c:v>0.25385165593453812</c:v>
              </c:pt>
              <c:pt idx="762">
                <c:v>0.25419399899670053</c:v>
              </c:pt>
              <c:pt idx="763">
                <c:v>0.25419399899670053</c:v>
              </c:pt>
              <c:pt idx="764">
                <c:v>0.25453634205886294</c:v>
              </c:pt>
              <c:pt idx="765">
                <c:v>0.25453634205886294</c:v>
              </c:pt>
              <c:pt idx="766">
                <c:v>0.25487868512102546</c:v>
              </c:pt>
              <c:pt idx="767">
                <c:v>0.25487868512102546</c:v>
              </c:pt>
              <c:pt idx="768">
                <c:v>0.25522102818318765</c:v>
              </c:pt>
              <c:pt idx="769">
                <c:v>0.25522102818318765</c:v>
              </c:pt>
              <c:pt idx="770">
                <c:v>0.25556337124535022</c:v>
              </c:pt>
              <c:pt idx="771">
                <c:v>0.25556337124535022</c:v>
              </c:pt>
              <c:pt idx="772">
                <c:v>0.25590571430751252</c:v>
              </c:pt>
              <c:pt idx="773">
                <c:v>0.25590571430751252</c:v>
              </c:pt>
              <c:pt idx="774">
                <c:v>0.25624805736967504</c:v>
              </c:pt>
              <c:pt idx="775">
                <c:v>0.25624805736967504</c:v>
              </c:pt>
              <c:pt idx="776">
                <c:v>0.25659040043183723</c:v>
              </c:pt>
              <c:pt idx="777">
                <c:v>0.25659040043183723</c:v>
              </c:pt>
              <c:pt idx="778">
                <c:v>0.25693274349399975</c:v>
              </c:pt>
              <c:pt idx="779">
                <c:v>0.25693274349399975</c:v>
              </c:pt>
              <c:pt idx="780">
                <c:v>0.25727508655616199</c:v>
              </c:pt>
              <c:pt idx="781">
                <c:v>0.25727508655616199</c:v>
              </c:pt>
              <c:pt idx="782">
                <c:v>0.2576174296183244</c:v>
              </c:pt>
              <c:pt idx="783">
                <c:v>0.2576174296183244</c:v>
              </c:pt>
              <c:pt idx="784">
                <c:v>0.25795977268048692</c:v>
              </c:pt>
              <c:pt idx="785">
                <c:v>0.25795977268048692</c:v>
              </c:pt>
              <c:pt idx="786">
                <c:v>0.25830211574264955</c:v>
              </c:pt>
              <c:pt idx="787">
                <c:v>0.25830211574264955</c:v>
              </c:pt>
              <c:pt idx="788">
                <c:v>0.25864445880481185</c:v>
              </c:pt>
              <c:pt idx="789">
                <c:v>0.25864445880481185</c:v>
              </c:pt>
              <c:pt idx="790">
                <c:v>0.25898680186697437</c:v>
              </c:pt>
              <c:pt idx="791">
                <c:v>0.25898680186697437</c:v>
              </c:pt>
              <c:pt idx="792">
                <c:v>0.2593291449291365</c:v>
              </c:pt>
              <c:pt idx="793">
                <c:v>0.2593291449291365</c:v>
              </c:pt>
              <c:pt idx="794">
                <c:v>0.25967148799129891</c:v>
              </c:pt>
              <c:pt idx="795">
                <c:v>0.25967148799129891</c:v>
              </c:pt>
              <c:pt idx="796">
                <c:v>0.26001383105346132</c:v>
              </c:pt>
              <c:pt idx="797">
                <c:v>0.26001383105346132</c:v>
              </c:pt>
              <c:pt idx="798">
                <c:v>0.2603561741156239</c:v>
              </c:pt>
              <c:pt idx="799">
                <c:v>0.2603561741156239</c:v>
              </c:pt>
              <c:pt idx="800">
                <c:v>0.26069851717778625</c:v>
              </c:pt>
              <c:pt idx="801">
                <c:v>0.26069851717778625</c:v>
              </c:pt>
              <c:pt idx="802">
                <c:v>0.26104086023994877</c:v>
              </c:pt>
              <c:pt idx="803">
                <c:v>0.26104086023994877</c:v>
              </c:pt>
              <c:pt idx="804">
                <c:v>0.26138320330211101</c:v>
              </c:pt>
              <c:pt idx="805">
                <c:v>0.26138320330211101</c:v>
              </c:pt>
              <c:pt idx="806">
                <c:v>0.26172554636427331</c:v>
              </c:pt>
              <c:pt idx="807">
                <c:v>0.26172554636427331</c:v>
              </c:pt>
              <c:pt idx="808">
                <c:v>0.26206788942643572</c:v>
              </c:pt>
              <c:pt idx="809">
                <c:v>0.26206788942643572</c:v>
              </c:pt>
              <c:pt idx="810">
                <c:v>0.26241023248859813</c:v>
              </c:pt>
              <c:pt idx="811">
                <c:v>0.26241023248859813</c:v>
              </c:pt>
              <c:pt idx="812">
                <c:v>0.26275257555076065</c:v>
              </c:pt>
              <c:pt idx="813">
                <c:v>0.26275257555076065</c:v>
              </c:pt>
              <c:pt idx="814">
                <c:v>0.26309491861292289</c:v>
              </c:pt>
              <c:pt idx="815">
                <c:v>0.26309491861292289</c:v>
              </c:pt>
              <c:pt idx="816">
                <c:v>0.2634372616750853</c:v>
              </c:pt>
              <c:pt idx="817">
                <c:v>0.2634372616750853</c:v>
              </c:pt>
              <c:pt idx="818">
                <c:v>0.26377960473724782</c:v>
              </c:pt>
              <c:pt idx="819">
                <c:v>0.26377960473724782</c:v>
              </c:pt>
              <c:pt idx="820">
                <c:v>0.26412194779941023</c:v>
              </c:pt>
              <c:pt idx="821">
                <c:v>0.26412194779941023</c:v>
              </c:pt>
              <c:pt idx="822">
                <c:v>0.26446429086157258</c:v>
              </c:pt>
              <c:pt idx="823">
                <c:v>0.26446429086157258</c:v>
              </c:pt>
              <c:pt idx="824">
                <c:v>0.26480663392373505</c:v>
              </c:pt>
              <c:pt idx="825">
                <c:v>0.26480663392373505</c:v>
              </c:pt>
              <c:pt idx="826">
                <c:v>0.26514897698589746</c:v>
              </c:pt>
              <c:pt idx="827">
                <c:v>0.26514897698589746</c:v>
              </c:pt>
              <c:pt idx="828">
                <c:v>0.2654913200480597</c:v>
              </c:pt>
              <c:pt idx="829">
                <c:v>0.2654913200480597</c:v>
              </c:pt>
              <c:pt idx="830">
                <c:v>0.26583366311022222</c:v>
              </c:pt>
              <c:pt idx="831">
                <c:v>0.26583366311022222</c:v>
              </c:pt>
              <c:pt idx="832">
                <c:v>0.26617600617238452</c:v>
              </c:pt>
              <c:pt idx="833">
                <c:v>0.26617600617238452</c:v>
              </c:pt>
              <c:pt idx="834">
                <c:v>0.26651834923454715</c:v>
              </c:pt>
              <c:pt idx="835">
                <c:v>0.26651834923454715</c:v>
              </c:pt>
              <c:pt idx="836">
                <c:v>0.26686069229670945</c:v>
              </c:pt>
              <c:pt idx="837">
                <c:v>0.26686069229670945</c:v>
              </c:pt>
              <c:pt idx="838">
                <c:v>0.2672030353588718</c:v>
              </c:pt>
              <c:pt idx="839">
                <c:v>0.2672030353588718</c:v>
              </c:pt>
              <c:pt idx="840">
                <c:v>0.26754537842103399</c:v>
              </c:pt>
              <c:pt idx="841">
                <c:v>0.26754537842103399</c:v>
              </c:pt>
              <c:pt idx="842">
                <c:v>0.26788772148319651</c:v>
              </c:pt>
              <c:pt idx="843">
                <c:v>0.26788772148319651</c:v>
              </c:pt>
              <c:pt idx="844">
                <c:v>0.2682300645453588</c:v>
              </c:pt>
              <c:pt idx="845">
                <c:v>0.2682300645453588</c:v>
              </c:pt>
              <c:pt idx="846">
                <c:v>0.26857240760752132</c:v>
              </c:pt>
              <c:pt idx="847">
                <c:v>0.26857240760752132</c:v>
              </c:pt>
              <c:pt idx="848">
                <c:v>0.2689147506696839</c:v>
              </c:pt>
              <c:pt idx="849">
                <c:v>0.2689147506696839</c:v>
              </c:pt>
              <c:pt idx="850">
                <c:v>0.2692570937318462</c:v>
              </c:pt>
              <c:pt idx="851">
                <c:v>0.2692570937318462</c:v>
              </c:pt>
              <c:pt idx="852">
                <c:v>0.2695994367940085</c:v>
              </c:pt>
              <c:pt idx="853">
                <c:v>0.2695994367940085</c:v>
              </c:pt>
              <c:pt idx="854">
                <c:v>0.2699417798561709</c:v>
              </c:pt>
              <c:pt idx="855">
                <c:v>0.2699417798561709</c:v>
              </c:pt>
              <c:pt idx="856">
                <c:v>0.27028412291833326</c:v>
              </c:pt>
              <c:pt idx="857">
                <c:v>0.27028412291833326</c:v>
              </c:pt>
              <c:pt idx="858">
                <c:v>0.27062646598049594</c:v>
              </c:pt>
              <c:pt idx="859">
                <c:v>0.27062646598049594</c:v>
              </c:pt>
              <c:pt idx="860">
                <c:v>0.27096880904265835</c:v>
              </c:pt>
              <c:pt idx="861">
                <c:v>0.27096880904265835</c:v>
              </c:pt>
              <c:pt idx="862">
                <c:v>0.2713111521048206</c:v>
              </c:pt>
              <c:pt idx="863">
                <c:v>0.2713111521048206</c:v>
              </c:pt>
              <c:pt idx="864">
                <c:v>0.27165349516698289</c:v>
              </c:pt>
              <c:pt idx="865">
                <c:v>0.27165349516698289</c:v>
              </c:pt>
              <c:pt idx="866">
                <c:v>0.2719958382291453</c:v>
              </c:pt>
              <c:pt idx="867">
                <c:v>0.2719958382291453</c:v>
              </c:pt>
              <c:pt idx="868">
                <c:v>0.27233818129130782</c:v>
              </c:pt>
              <c:pt idx="869">
                <c:v>0.27233818129130782</c:v>
              </c:pt>
              <c:pt idx="870">
                <c:v>0.27268052435347023</c:v>
              </c:pt>
              <c:pt idx="871">
                <c:v>0.27268052435347023</c:v>
              </c:pt>
              <c:pt idx="872">
                <c:v>0.27302286741563264</c:v>
              </c:pt>
              <c:pt idx="873">
                <c:v>0.27302286741563264</c:v>
              </c:pt>
              <c:pt idx="874">
                <c:v>0.27336521047779483</c:v>
              </c:pt>
              <c:pt idx="875">
                <c:v>0.27336521047779483</c:v>
              </c:pt>
              <c:pt idx="876">
                <c:v>0.27370755353995735</c:v>
              </c:pt>
              <c:pt idx="877">
                <c:v>0.27370755353995735</c:v>
              </c:pt>
              <c:pt idx="878">
                <c:v>0.2740498966021197</c:v>
              </c:pt>
              <c:pt idx="879">
                <c:v>0.2740498966021197</c:v>
              </c:pt>
              <c:pt idx="880">
                <c:v>0.27439223966428222</c:v>
              </c:pt>
              <c:pt idx="881">
                <c:v>0.27439223966428222</c:v>
              </c:pt>
              <c:pt idx="882">
                <c:v>0.27473458272644447</c:v>
              </c:pt>
              <c:pt idx="883">
                <c:v>0.27473458272644447</c:v>
              </c:pt>
              <c:pt idx="884">
                <c:v>0.27488130118165721</c:v>
              </c:pt>
              <c:pt idx="885">
                <c:v>0.27488130118165721</c:v>
              </c:pt>
              <c:pt idx="886">
                <c:v>0.27488130118165721</c:v>
              </c:pt>
              <c:pt idx="887">
                <c:v>0.27488130118165721</c:v>
              </c:pt>
              <c:pt idx="888">
                <c:v>0.27488130118165721</c:v>
              </c:pt>
              <c:pt idx="889">
                <c:v>0.27488130118165721</c:v>
              </c:pt>
              <c:pt idx="890">
                <c:v>0.2752236442438194</c:v>
              </c:pt>
              <c:pt idx="891">
                <c:v>0.2752236442438194</c:v>
              </c:pt>
              <c:pt idx="892">
                <c:v>0.27556598730598192</c:v>
              </c:pt>
              <c:pt idx="893">
                <c:v>0.27556598730598192</c:v>
              </c:pt>
              <c:pt idx="894">
                <c:v>0.27590833036814427</c:v>
              </c:pt>
              <c:pt idx="895">
                <c:v>0.27590833036814427</c:v>
              </c:pt>
              <c:pt idx="896">
                <c:v>0.27625067343030657</c:v>
              </c:pt>
              <c:pt idx="897">
                <c:v>0.27625067343030657</c:v>
              </c:pt>
              <c:pt idx="898">
                <c:v>0.27659301649246887</c:v>
              </c:pt>
              <c:pt idx="899">
                <c:v>0.27659301649246887</c:v>
              </c:pt>
              <c:pt idx="900">
                <c:v>0.27693535955463139</c:v>
              </c:pt>
              <c:pt idx="901">
                <c:v>0.27693535955463139</c:v>
              </c:pt>
              <c:pt idx="902">
                <c:v>0.27727770261679374</c:v>
              </c:pt>
              <c:pt idx="903">
                <c:v>0.27727770261679374</c:v>
              </c:pt>
              <c:pt idx="904">
                <c:v>0.27762004567895632</c:v>
              </c:pt>
              <c:pt idx="905">
                <c:v>0.27762004567895632</c:v>
              </c:pt>
              <c:pt idx="906">
                <c:v>0.27796238874111856</c:v>
              </c:pt>
              <c:pt idx="907">
                <c:v>0.27796238874111856</c:v>
              </c:pt>
              <c:pt idx="908">
                <c:v>0.27830473180328108</c:v>
              </c:pt>
              <c:pt idx="909">
                <c:v>0.27830473180328108</c:v>
              </c:pt>
              <c:pt idx="910">
                <c:v>0.27864707486544338</c:v>
              </c:pt>
              <c:pt idx="911">
                <c:v>0.27864707486544338</c:v>
              </c:pt>
              <c:pt idx="912">
                <c:v>0.27898941792760606</c:v>
              </c:pt>
              <c:pt idx="913">
                <c:v>0.27898941792760606</c:v>
              </c:pt>
              <c:pt idx="914">
                <c:v>0.27933176098976836</c:v>
              </c:pt>
              <c:pt idx="915">
                <c:v>0.27933176098976836</c:v>
              </c:pt>
              <c:pt idx="916">
                <c:v>0.27967410405193061</c:v>
              </c:pt>
              <c:pt idx="917">
                <c:v>0.27967410405193061</c:v>
              </c:pt>
              <c:pt idx="918">
                <c:v>0.28001644711409307</c:v>
              </c:pt>
              <c:pt idx="919">
                <c:v>0.28001644711409307</c:v>
              </c:pt>
              <c:pt idx="920">
                <c:v>0.28035879017625548</c:v>
              </c:pt>
              <c:pt idx="921">
                <c:v>0.28035879017625548</c:v>
              </c:pt>
              <c:pt idx="922">
                <c:v>0.28070113323841778</c:v>
              </c:pt>
              <c:pt idx="923">
                <c:v>0.28070113323841778</c:v>
              </c:pt>
              <c:pt idx="924">
                <c:v>0.2810434763005803</c:v>
              </c:pt>
              <c:pt idx="925">
                <c:v>0.2810434763005803</c:v>
              </c:pt>
              <c:pt idx="926">
                <c:v>0.28138581936274293</c:v>
              </c:pt>
              <c:pt idx="927">
                <c:v>0.28138581936274293</c:v>
              </c:pt>
              <c:pt idx="928">
                <c:v>0.28172816242490506</c:v>
              </c:pt>
              <c:pt idx="929">
                <c:v>0.28172816242490506</c:v>
              </c:pt>
              <c:pt idx="930">
                <c:v>0.28207050548706747</c:v>
              </c:pt>
              <c:pt idx="931">
                <c:v>0.28207050548706747</c:v>
              </c:pt>
              <c:pt idx="932">
                <c:v>0.28241284854922982</c:v>
              </c:pt>
              <c:pt idx="933">
                <c:v>0.28241284854922982</c:v>
              </c:pt>
              <c:pt idx="934">
                <c:v>0.28275519161139206</c:v>
              </c:pt>
              <c:pt idx="935">
                <c:v>0.28275519161139206</c:v>
              </c:pt>
              <c:pt idx="936">
                <c:v>0.28309753467355459</c:v>
              </c:pt>
              <c:pt idx="937">
                <c:v>0.28309753467355459</c:v>
              </c:pt>
              <c:pt idx="938">
                <c:v>0.28343987773571711</c:v>
              </c:pt>
              <c:pt idx="939">
                <c:v>0.28343987773571711</c:v>
              </c:pt>
              <c:pt idx="940">
                <c:v>0.28378222079787946</c:v>
              </c:pt>
              <c:pt idx="941">
                <c:v>0.28378222079787946</c:v>
              </c:pt>
              <c:pt idx="942">
                <c:v>0.28412456386004203</c:v>
              </c:pt>
              <c:pt idx="943">
                <c:v>0.28412456386004203</c:v>
              </c:pt>
              <c:pt idx="944">
                <c:v>0.28446690692220439</c:v>
              </c:pt>
              <c:pt idx="945">
                <c:v>0.28446690692220439</c:v>
              </c:pt>
              <c:pt idx="946">
                <c:v>0.28480924998436674</c:v>
              </c:pt>
              <c:pt idx="947">
                <c:v>0.28480924998436674</c:v>
              </c:pt>
              <c:pt idx="948">
                <c:v>0.28515159304652893</c:v>
              </c:pt>
              <c:pt idx="949">
                <c:v>0.28515159304652893</c:v>
              </c:pt>
              <c:pt idx="950">
                <c:v>0.28549393610869139</c:v>
              </c:pt>
              <c:pt idx="951">
                <c:v>0.28549393610869139</c:v>
              </c:pt>
              <c:pt idx="952">
                <c:v>0.28583627917085402</c:v>
              </c:pt>
              <c:pt idx="953">
                <c:v>0.28583627917085402</c:v>
              </c:pt>
              <c:pt idx="954">
                <c:v>0.28617862223301627</c:v>
              </c:pt>
              <c:pt idx="955">
                <c:v>0.28617862223301627</c:v>
              </c:pt>
              <c:pt idx="956">
                <c:v>0.28652096529517879</c:v>
              </c:pt>
              <c:pt idx="957">
                <c:v>0.28652096529517879</c:v>
              </c:pt>
              <c:pt idx="958">
                <c:v>0.28686330835734114</c:v>
              </c:pt>
              <c:pt idx="959">
                <c:v>0.28686330835734114</c:v>
              </c:pt>
              <c:pt idx="960">
                <c:v>0.28720565141950333</c:v>
              </c:pt>
              <c:pt idx="961">
                <c:v>0.28720565141950333</c:v>
              </c:pt>
              <c:pt idx="962">
                <c:v>0.28754799448166585</c:v>
              </c:pt>
              <c:pt idx="963">
                <c:v>0.28754799448166585</c:v>
              </c:pt>
              <c:pt idx="964">
                <c:v>0.28789033754382826</c:v>
              </c:pt>
              <c:pt idx="965">
                <c:v>0.28789033754382826</c:v>
              </c:pt>
              <c:pt idx="966">
                <c:v>0.28823268060599055</c:v>
              </c:pt>
              <c:pt idx="967">
                <c:v>0.28823268060599055</c:v>
              </c:pt>
              <c:pt idx="968">
                <c:v>0.28857502366815296</c:v>
              </c:pt>
              <c:pt idx="969">
                <c:v>0.28857502366815296</c:v>
              </c:pt>
              <c:pt idx="970">
                <c:v>0.28891736673031537</c:v>
              </c:pt>
              <c:pt idx="971">
                <c:v>0.28891736673031537</c:v>
              </c:pt>
              <c:pt idx="972">
                <c:v>0.28925970979247789</c:v>
              </c:pt>
              <c:pt idx="973">
                <c:v>0.28925970979247789</c:v>
              </c:pt>
              <c:pt idx="974">
                <c:v>0.28960205285464036</c:v>
              </c:pt>
              <c:pt idx="975">
                <c:v>0.28960205285464036</c:v>
              </c:pt>
              <c:pt idx="976">
                <c:v>0.28994439591680277</c:v>
              </c:pt>
              <c:pt idx="977">
                <c:v>0.28994439591680277</c:v>
              </c:pt>
              <c:pt idx="978">
                <c:v>0.29028673897896506</c:v>
              </c:pt>
              <c:pt idx="979">
                <c:v>0.29028673897896506</c:v>
              </c:pt>
              <c:pt idx="980">
                <c:v>0.29062908204112725</c:v>
              </c:pt>
              <c:pt idx="981">
                <c:v>0.29062908204112725</c:v>
              </c:pt>
              <c:pt idx="982">
                <c:v>0.29097142510328988</c:v>
              </c:pt>
              <c:pt idx="983">
                <c:v>0.29097142510328988</c:v>
              </c:pt>
              <c:pt idx="984">
                <c:v>0.29131376816545246</c:v>
              </c:pt>
              <c:pt idx="985">
                <c:v>0.29131376816545246</c:v>
              </c:pt>
              <c:pt idx="986">
                <c:v>0.29165611122761476</c:v>
              </c:pt>
              <c:pt idx="987">
                <c:v>0.29165611122761476</c:v>
              </c:pt>
              <c:pt idx="988">
                <c:v>0.29199845428977705</c:v>
              </c:pt>
              <c:pt idx="989">
                <c:v>0.29199845428977705</c:v>
              </c:pt>
              <c:pt idx="990">
                <c:v>0.29234079735193946</c:v>
              </c:pt>
              <c:pt idx="991">
                <c:v>0.29234079735193946</c:v>
              </c:pt>
              <c:pt idx="992">
                <c:v>0.29268314041410176</c:v>
              </c:pt>
              <c:pt idx="993">
                <c:v>0.29268314041410176</c:v>
              </c:pt>
              <c:pt idx="994">
                <c:v>0.29302548347626434</c:v>
              </c:pt>
              <c:pt idx="995">
                <c:v>0.29302548347626434</c:v>
              </c:pt>
              <c:pt idx="996">
                <c:v>0.29336782653842652</c:v>
              </c:pt>
              <c:pt idx="997">
                <c:v>0.29336782653842652</c:v>
              </c:pt>
              <c:pt idx="998">
                <c:v>0.29371016960058904</c:v>
              </c:pt>
              <c:pt idx="999">
                <c:v>0.29371016960058904</c:v>
              </c:pt>
              <c:pt idx="1000">
                <c:v>0.29405251266275145</c:v>
              </c:pt>
              <c:pt idx="1001">
                <c:v>0.29405251266275145</c:v>
              </c:pt>
              <c:pt idx="1002">
                <c:v>0.29439485572491392</c:v>
              </c:pt>
              <c:pt idx="1003">
                <c:v>0.29439485572491392</c:v>
              </c:pt>
              <c:pt idx="1004">
                <c:v>0.29473719878707616</c:v>
              </c:pt>
              <c:pt idx="1005">
                <c:v>0.29473719878707616</c:v>
              </c:pt>
              <c:pt idx="1006">
                <c:v>0.29507954184923868</c:v>
              </c:pt>
              <c:pt idx="1007">
                <c:v>0.29507954184923868</c:v>
              </c:pt>
              <c:pt idx="1008">
                <c:v>0.29542188491140103</c:v>
              </c:pt>
              <c:pt idx="1009">
                <c:v>0.29542188491140103</c:v>
              </c:pt>
              <c:pt idx="1010">
                <c:v>0.29576422797356344</c:v>
              </c:pt>
              <c:pt idx="1011">
                <c:v>0.29576422797356344</c:v>
              </c:pt>
              <c:pt idx="1012">
                <c:v>0.29610657103572591</c:v>
              </c:pt>
              <c:pt idx="1013">
                <c:v>0.29610657103572591</c:v>
              </c:pt>
              <c:pt idx="1014">
                <c:v>0.29644891409788837</c:v>
              </c:pt>
              <c:pt idx="1015">
                <c:v>0.29644891409788837</c:v>
              </c:pt>
              <c:pt idx="1016">
                <c:v>0.29679125716005056</c:v>
              </c:pt>
              <c:pt idx="1017">
                <c:v>0.29679125716005056</c:v>
              </c:pt>
              <c:pt idx="1018">
                <c:v>0.29713360022221297</c:v>
              </c:pt>
              <c:pt idx="1019">
                <c:v>0.29713360022221297</c:v>
              </c:pt>
              <c:pt idx="1020">
                <c:v>0.29747594328437543</c:v>
              </c:pt>
              <c:pt idx="1021">
                <c:v>0.29747594328437543</c:v>
              </c:pt>
              <c:pt idx="1022">
                <c:v>0.2978182863465379</c:v>
              </c:pt>
              <c:pt idx="1023">
                <c:v>0.2978182863465379</c:v>
              </c:pt>
              <c:pt idx="1024">
                <c:v>0.29816062940870025</c:v>
              </c:pt>
              <c:pt idx="1025">
                <c:v>0.29816062940870025</c:v>
              </c:pt>
              <c:pt idx="1026">
                <c:v>0.29850297247086277</c:v>
              </c:pt>
              <c:pt idx="1027">
                <c:v>0.29850297247086277</c:v>
              </c:pt>
              <c:pt idx="1028">
                <c:v>0.29884531553302496</c:v>
              </c:pt>
              <c:pt idx="1029">
                <c:v>0.29884531553302496</c:v>
              </c:pt>
              <c:pt idx="1030">
                <c:v>0.29918765859518726</c:v>
              </c:pt>
              <c:pt idx="1031">
                <c:v>0.29918765859518726</c:v>
              </c:pt>
              <c:pt idx="1032">
                <c:v>0.29933437705039989</c:v>
              </c:pt>
              <c:pt idx="1033">
                <c:v>0.29933437705039989</c:v>
              </c:pt>
              <c:pt idx="1034">
                <c:v>0.29933437705039989</c:v>
              </c:pt>
              <c:pt idx="1035">
                <c:v>0.29933437705039989</c:v>
              </c:pt>
              <c:pt idx="1036">
                <c:v>0.29933437705039989</c:v>
              </c:pt>
              <c:pt idx="1037">
                <c:v>0.29933437705039989</c:v>
              </c:pt>
              <c:pt idx="1038">
                <c:v>0.29967672011256236</c:v>
              </c:pt>
              <c:pt idx="1039">
                <c:v>0.29967672011256236</c:v>
              </c:pt>
              <c:pt idx="1040">
                <c:v>0.30001906317472482</c:v>
              </c:pt>
              <c:pt idx="1041">
                <c:v>0.30001906317472482</c:v>
              </c:pt>
              <c:pt idx="1042">
                <c:v>0.30036140623688706</c:v>
              </c:pt>
              <c:pt idx="1043">
                <c:v>0.30036140623688706</c:v>
              </c:pt>
              <c:pt idx="1044">
                <c:v>0.30070374929904947</c:v>
              </c:pt>
              <c:pt idx="1045">
                <c:v>0.30070374929904947</c:v>
              </c:pt>
              <c:pt idx="1046">
                <c:v>0.30104609236121188</c:v>
              </c:pt>
              <c:pt idx="1047">
                <c:v>0.30104609236121188</c:v>
              </c:pt>
              <c:pt idx="1048">
                <c:v>0.30138843542337435</c:v>
              </c:pt>
              <c:pt idx="1049">
                <c:v>0.30138843542337435</c:v>
              </c:pt>
              <c:pt idx="1050">
                <c:v>0.30173077848553659</c:v>
              </c:pt>
              <c:pt idx="1051">
                <c:v>0.30173077848553659</c:v>
              </c:pt>
              <c:pt idx="1052">
                <c:v>0.30207312154769911</c:v>
              </c:pt>
              <c:pt idx="1053">
                <c:v>0.30207312154769911</c:v>
              </c:pt>
              <c:pt idx="1054">
                <c:v>0.30241546460986157</c:v>
              </c:pt>
              <c:pt idx="1055">
                <c:v>0.30241546460986157</c:v>
              </c:pt>
              <c:pt idx="1056">
                <c:v>0.30275780767202382</c:v>
              </c:pt>
              <c:pt idx="1057">
                <c:v>0.30275780767202382</c:v>
              </c:pt>
              <c:pt idx="1058">
                <c:v>0.30310015073418617</c:v>
              </c:pt>
              <c:pt idx="1059">
                <c:v>0.30310015073418617</c:v>
              </c:pt>
              <c:pt idx="1060">
                <c:v>0.30344249379634874</c:v>
              </c:pt>
              <c:pt idx="1061">
                <c:v>0.30344249379634874</c:v>
              </c:pt>
              <c:pt idx="1062">
                <c:v>0.3037848368585111</c:v>
              </c:pt>
              <c:pt idx="1063">
                <c:v>0.3037848368585111</c:v>
              </c:pt>
              <c:pt idx="1064">
                <c:v>0.30412717992067362</c:v>
              </c:pt>
              <c:pt idx="1065">
                <c:v>0.30412717992067362</c:v>
              </c:pt>
              <c:pt idx="1066">
                <c:v>0.30446952298283592</c:v>
              </c:pt>
              <c:pt idx="1067">
                <c:v>0.30446952298283592</c:v>
              </c:pt>
              <c:pt idx="1068">
                <c:v>0.30481186604499838</c:v>
              </c:pt>
              <c:pt idx="1069">
                <c:v>0.30481186604499838</c:v>
              </c:pt>
              <c:pt idx="1070">
                <c:v>0.30515420910716068</c:v>
              </c:pt>
              <c:pt idx="1071">
                <c:v>0.30515420910716068</c:v>
              </c:pt>
              <c:pt idx="1072">
                <c:v>0.30549655216932298</c:v>
              </c:pt>
              <c:pt idx="1073">
                <c:v>0.30549655216932298</c:v>
              </c:pt>
              <c:pt idx="1074">
                <c:v>0.30583889523148561</c:v>
              </c:pt>
              <c:pt idx="1075">
                <c:v>0.30583889523148561</c:v>
              </c:pt>
              <c:pt idx="1076">
                <c:v>0.30618123829364791</c:v>
              </c:pt>
              <c:pt idx="1077">
                <c:v>0.30618123829364791</c:v>
              </c:pt>
              <c:pt idx="1078">
                <c:v>0.30652358135581043</c:v>
              </c:pt>
              <c:pt idx="1079">
                <c:v>0.30652358135581043</c:v>
              </c:pt>
              <c:pt idx="1080">
                <c:v>0.30686592441797267</c:v>
              </c:pt>
              <c:pt idx="1081">
                <c:v>0.30686592441797267</c:v>
              </c:pt>
              <c:pt idx="1082">
                <c:v>0.30720826748013497</c:v>
              </c:pt>
              <c:pt idx="1083">
                <c:v>0.30720826748013497</c:v>
              </c:pt>
              <c:pt idx="1084">
                <c:v>0.30755061054229738</c:v>
              </c:pt>
              <c:pt idx="1085">
                <c:v>0.30755061054229738</c:v>
              </c:pt>
              <c:pt idx="1086">
                <c:v>0.30789295360446001</c:v>
              </c:pt>
              <c:pt idx="1087">
                <c:v>0.30789295360446001</c:v>
              </c:pt>
              <c:pt idx="1088">
                <c:v>0.30823529666662214</c:v>
              </c:pt>
              <c:pt idx="1089">
                <c:v>0.30823529666662214</c:v>
              </c:pt>
              <c:pt idx="1090">
                <c:v>0.30857763972878466</c:v>
              </c:pt>
              <c:pt idx="1091">
                <c:v>0.30857763972878466</c:v>
              </c:pt>
              <c:pt idx="1092">
                <c:v>0.30891998279094718</c:v>
              </c:pt>
              <c:pt idx="1093">
                <c:v>0.30891998279094718</c:v>
              </c:pt>
              <c:pt idx="1094">
                <c:v>0.30926232585310937</c:v>
              </c:pt>
              <c:pt idx="1095">
                <c:v>0.30926232585310937</c:v>
              </c:pt>
              <c:pt idx="1096">
                <c:v>0.309604668915272</c:v>
              </c:pt>
              <c:pt idx="1097">
                <c:v>0.309604668915272</c:v>
              </c:pt>
              <c:pt idx="1098">
                <c:v>0.30994701197743435</c:v>
              </c:pt>
              <c:pt idx="1099">
                <c:v>0.30994701197743435</c:v>
              </c:pt>
              <c:pt idx="1100">
                <c:v>0.31028935503959665</c:v>
              </c:pt>
              <c:pt idx="1101">
                <c:v>0.31028935503959665</c:v>
              </c:pt>
              <c:pt idx="1102">
                <c:v>0.31063169810175895</c:v>
              </c:pt>
              <c:pt idx="1103">
                <c:v>0.31063169810175895</c:v>
              </c:pt>
              <c:pt idx="1104">
                <c:v>0.31097404116392147</c:v>
              </c:pt>
              <c:pt idx="1105">
                <c:v>0.31097404116392147</c:v>
              </c:pt>
              <c:pt idx="1106">
                <c:v>0.31131638422608393</c:v>
              </c:pt>
              <c:pt idx="1107">
                <c:v>0.31131638422608393</c:v>
              </c:pt>
              <c:pt idx="1108">
                <c:v>0.3116587272882464</c:v>
              </c:pt>
              <c:pt idx="1109">
                <c:v>0.3116587272882464</c:v>
              </c:pt>
              <c:pt idx="1110">
                <c:v>0.31200107035040875</c:v>
              </c:pt>
              <c:pt idx="1111">
                <c:v>0.31200107035040875</c:v>
              </c:pt>
              <c:pt idx="1112">
                <c:v>0.31234341341257105</c:v>
              </c:pt>
              <c:pt idx="1113">
                <c:v>0.31234341341257105</c:v>
              </c:pt>
              <c:pt idx="1114">
                <c:v>0.31268575647473335</c:v>
              </c:pt>
              <c:pt idx="1115">
                <c:v>0.31268575647473335</c:v>
              </c:pt>
              <c:pt idx="1116">
                <c:v>0.31302809953689592</c:v>
              </c:pt>
              <c:pt idx="1117">
                <c:v>0.31302809953689592</c:v>
              </c:pt>
              <c:pt idx="1118">
                <c:v>0.31337044259905839</c:v>
              </c:pt>
              <c:pt idx="1119">
                <c:v>0.31337044259905839</c:v>
              </c:pt>
              <c:pt idx="1120">
                <c:v>0.31371278566122074</c:v>
              </c:pt>
              <c:pt idx="1121">
                <c:v>0.31371278566122074</c:v>
              </c:pt>
              <c:pt idx="1122">
                <c:v>0.31405512872338293</c:v>
              </c:pt>
              <c:pt idx="1123">
                <c:v>0.31405512872338293</c:v>
              </c:pt>
              <c:pt idx="1124">
                <c:v>0.31439747178554556</c:v>
              </c:pt>
              <c:pt idx="1125">
                <c:v>0.31439747178554556</c:v>
              </c:pt>
              <c:pt idx="1126">
                <c:v>0.3147398148477078</c:v>
              </c:pt>
              <c:pt idx="1127">
                <c:v>0.3147398148477078</c:v>
              </c:pt>
              <c:pt idx="1128">
                <c:v>0.31508215790987043</c:v>
              </c:pt>
              <c:pt idx="1129">
                <c:v>0.31508215790987043</c:v>
              </c:pt>
              <c:pt idx="1130">
                <c:v>0.31542450097203278</c:v>
              </c:pt>
              <c:pt idx="1131">
                <c:v>0.31542450097203278</c:v>
              </c:pt>
              <c:pt idx="1132">
                <c:v>0.31576684403419497</c:v>
              </c:pt>
              <c:pt idx="1133">
                <c:v>0.31576684403419497</c:v>
              </c:pt>
              <c:pt idx="1134">
                <c:v>0.31610918709635732</c:v>
              </c:pt>
              <c:pt idx="1135">
                <c:v>0.31610918709635732</c:v>
              </c:pt>
              <c:pt idx="1136">
                <c:v>0.31645153015851984</c:v>
              </c:pt>
              <c:pt idx="1137">
                <c:v>0.31645153015851984</c:v>
              </c:pt>
              <c:pt idx="1138">
                <c:v>0.31679387322068236</c:v>
              </c:pt>
              <c:pt idx="1139">
                <c:v>0.31679387322068236</c:v>
              </c:pt>
              <c:pt idx="1140">
                <c:v>0.31713621628284477</c:v>
              </c:pt>
              <c:pt idx="1141">
                <c:v>0.31713621628284477</c:v>
              </c:pt>
              <c:pt idx="1142">
                <c:v>0.31747855934500718</c:v>
              </c:pt>
              <c:pt idx="1143">
                <c:v>0.31747855934500718</c:v>
              </c:pt>
              <c:pt idx="1144">
                <c:v>0.31782090240716943</c:v>
              </c:pt>
              <c:pt idx="1145">
                <c:v>0.31782090240716943</c:v>
              </c:pt>
              <c:pt idx="1146">
                <c:v>0.31816324546933172</c:v>
              </c:pt>
              <c:pt idx="1147">
                <c:v>0.31816324546933172</c:v>
              </c:pt>
              <c:pt idx="1148">
                <c:v>0.31850558853149424</c:v>
              </c:pt>
              <c:pt idx="1149">
                <c:v>0.31850558853149424</c:v>
              </c:pt>
              <c:pt idx="1150">
                <c:v>0.31884793159365676</c:v>
              </c:pt>
              <c:pt idx="1151">
                <c:v>0.31884793159365676</c:v>
              </c:pt>
              <c:pt idx="1152">
                <c:v>0.31919027465581906</c:v>
              </c:pt>
              <c:pt idx="1153">
                <c:v>0.31919027465581906</c:v>
              </c:pt>
              <c:pt idx="1154">
                <c:v>0.31953261771798147</c:v>
              </c:pt>
              <c:pt idx="1155">
                <c:v>0.31953261771798147</c:v>
              </c:pt>
              <c:pt idx="1156">
                <c:v>0.31987496078014399</c:v>
              </c:pt>
              <c:pt idx="1157">
                <c:v>0.31987496078014399</c:v>
              </c:pt>
              <c:pt idx="1158">
                <c:v>0.32021730384230623</c:v>
              </c:pt>
              <c:pt idx="1159">
                <c:v>0.32021730384230623</c:v>
              </c:pt>
              <c:pt idx="1160">
                <c:v>0.32055964690446875</c:v>
              </c:pt>
              <c:pt idx="1161">
                <c:v>0.32055964690446875</c:v>
              </c:pt>
              <c:pt idx="1162">
                <c:v>0.32090198996663116</c:v>
              </c:pt>
              <c:pt idx="1163">
                <c:v>0.32090198996663116</c:v>
              </c:pt>
              <c:pt idx="1164">
                <c:v>0.32124433302879335</c:v>
              </c:pt>
              <c:pt idx="1165">
                <c:v>0.32124433302879335</c:v>
              </c:pt>
              <c:pt idx="1166">
                <c:v>0.32158667609095609</c:v>
              </c:pt>
              <c:pt idx="1167">
                <c:v>0.32158667609095609</c:v>
              </c:pt>
              <c:pt idx="1168">
                <c:v>0.32192901915311822</c:v>
              </c:pt>
              <c:pt idx="1169">
                <c:v>0.32192901915311822</c:v>
              </c:pt>
              <c:pt idx="1170">
                <c:v>0.32227136221528063</c:v>
              </c:pt>
              <c:pt idx="1171">
                <c:v>0.32227136221528063</c:v>
              </c:pt>
              <c:pt idx="1172">
                <c:v>0.32261370527744326</c:v>
              </c:pt>
              <c:pt idx="1173">
                <c:v>0.32261370527744326</c:v>
              </c:pt>
              <c:pt idx="1174">
                <c:v>0.32295604833960556</c:v>
              </c:pt>
              <c:pt idx="1175">
                <c:v>0.32295604833960556</c:v>
              </c:pt>
              <c:pt idx="1176">
                <c:v>0.3232983914017678</c:v>
              </c:pt>
              <c:pt idx="1177">
                <c:v>0.3232983914017678</c:v>
              </c:pt>
              <c:pt idx="1178">
                <c:v>0.32364073446393016</c:v>
              </c:pt>
              <c:pt idx="1179">
                <c:v>0.32364073446393016</c:v>
              </c:pt>
              <c:pt idx="1180">
                <c:v>0.32378745291914274</c:v>
              </c:pt>
              <c:pt idx="1181">
                <c:v>0.32378745291914274</c:v>
              </c:pt>
              <c:pt idx="1182">
                <c:v>0.32378745291914274</c:v>
              </c:pt>
              <c:pt idx="1183">
                <c:v>0.32378745291914274</c:v>
              </c:pt>
              <c:pt idx="1184">
                <c:v>0.32378745291914274</c:v>
              </c:pt>
              <c:pt idx="1185">
                <c:v>0.32378745291914274</c:v>
              </c:pt>
              <c:pt idx="1186">
                <c:v>0.32412979598130515</c:v>
              </c:pt>
              <c:pt idx="1187">
                <c:v>0.32412979598130515</c:v>
              </c:pt>
              <c:pt idx="1188">
                <c:v>0.32447213904346761</c:v>
              </c:pt>
              <c:pt idx="1189">
                <c:v>0.32447213904346761</c:v>
              </c:pt>
              <c:pt idx="1190">
                <c:v>0.32481448210563002</c:v>
              </c:pt>
              <c:pt idx="1191">
                <c:v>0.32481448210563002</c:v>
              </c:pt>
              <c:pt idx="1192">
                <c:v>0.32515682516779237</c:v>
              </c:pt>
              <c:pt idx="1193">
                <c:v>0.32515682516779237</c:v>
              </c:pt>
              <c:pt idx="1194">
                <c:v>0.32549916822995478</c:v>
              </c:pt>
              <c:pt idx="1195">
                <c:v>0.32549916822995478</c:v>
              </c:pt>
              <c:pt idx="1196">
                <c:v>0.32584151129211714</c:v>
              </c:pt>
              <c:pt idx="1197">
                <c:v>0.32584151129211714</c:v>
              </c:pt>
              <c:pt idx="1198">
                <c:v>0.32618385435427955</c:v>
              </c:pt>
              <c:pt idx="1199">
                <c:v>0.32618385435427955</c:v>
              </c:pt>
              <c:pt idx="1200">
                <c:v>0.32652619741644207</c:v>
              </c:pt>
              <c:pt idx="1201">
                <c:v>0.32652619741644207</c:v>
              </c:pt>
              <c:pt idx="1202">
                <c:v>0.32686854047860436</c:v>
              </c:pt>
              <c:pt idx="1203">
                <c:v>0.32686854047860436</c:v>
              </c:pt>
              <c:pt idx="1204">
                <c:v>0.32721088354076677</c:v>
              </c:pt>
              <c:pt idx="1205">
                <c:v>0.32721088354076677</c:v>
              </c:pt>
              <c:pt idx="1206">
                <c:v>0.32755322660292896</c:v>
              </c:pt>
              <c:pt idx="1207">
                <c:v>0.32755322660292896</c:v>
              </c:pt>
              <c:pt idx="1208">
                <c:v>0.32789556966509148</c:v>
              </c:pt>
              <c:pt idx="1209">
                <c:v>0.32789556966509148</c:v>
              </c:pt>
              <c:pt idx="1210">
                <c:v>0.32823791272725389</c:v>
              </c:pt>
              <c:pt idx="1211">
                <c:v>0.32823791272725389</c:v>
              </c:pt>
              <c:pt idx="1212">
                <c:v>0.32858025578941646</c:v>
              </c:pt>
              <c:pt idx="1213">
                <c:v>0.32858025578941646</c:v>
              </c:pt>
              <c:pt idx="1214">
                <c:v>0.32892259885157876</c:v>
              </c:pt>
              <c:pt idx="1215">
                <c:v>0.32892259885157876</c:v>
              </c:pt>
              <c:pt idx="1216">
                <c:v>0.32926494191374117</c:v>
              </c:pt>
              <c:pt idx="1217">
                <c:v>0.32926494191374117</c:v>
              </c:pt>
              <c:pt idx="1218">
                <c:v>0.32960728497590347</c:v>
              </c:pt>
              <c:pt idx="1219">
                <c:v>0.32960728497590347</c:v>
              </c:pt>
              <c:pt idx="1220">
                <c:v>0.32994962803806582</c:v>
              </c:pt>
              <c:pt idx="1221">
                <c:v>0.32994962803806582</c:v>
              </c:pt>
              <c:pt idx="1222">
                <c:v>0.33029197110022834</c:v>
              </c:pt>
              <c:pt idx="1223">
                <c:v>0.33029197110022834</c:v>
              </c:pt>
              <c:pt idx="1224">
                <c:v>0.33063431416239064</c:v>
              </c:pt>
              <c:pt idx="1225">
                <c:v>0.33063431416239064</c:v>
              </c:pt>
              <c:pt idx="1226">
                <c:v>0.33097665722455327</c:v>
              </c:pt>
              <c:pt idx="1227">
                <c:v>0.33097665722455327</c:v>
              </c:pt>
              <c:pt idx="1228">
                <c:v>0.33131900028671546</c:v>
              </c:pt>
              <c:pt idx="1229">
                <c:v>0.33131900028671546</c:v>
              </c:pt>
              <c:pt idx="1230">
                <c:v>0.33166134334887792</c:v>
              </c:pt>
              <c:pt idx="1231">
                <c:v>0.33166134334887792</c:v>
              </c:pt>
              <c:pt idx="1232">
                <c:v>0.33200368641104028</c:v>
              </c:pt>
              <c:pt idx="1233">
                <c:v>0.33200368641104028</c:v>
              </c:pt>
              <c:pt idx="1234">
                <c:v>0.33234602947320274</c:v>
              </c:pt>
              <c:pt idx="1235">
                <c:v>0.33234602947320274</c:v>
              </c:pt>
              <c:pt idx="1236">
                <c:v>0.33268837253536515</c:v>
              </c:pt>
              <c:pt idx="1237">
                <c:v>0.33268837253536515</c:v>
              </c:pt>
              <c:pt idx="1238">
                <c:v>0.33303071559752745</c:v>
              </c:pt>
              <c:pt idx="1239">
                <c:v>0.33303071559752745</c:v>
              </c:pt>
              <c:pt idx="1240">
                <c:v>0.33337305865968991</c:v>
              </c:pt>
              <c:pt idx="1241">
                <c:v>0.33337305865968991</c:v>
              </c:pt>
              <c:pt idx="1242">
                <c:v>0.33371540172185238</c:v>
              </c:pt>
              <c:pt idx="1243">
                <c:v>0.33371540172185238</c:v>
              </c:pt>
              <c:pt idx="1244">
                <c:v>0.33405774478401468</c:v>
              </c:pt>
              <c:pt idx="1245">
                <c:v>0.33405774478401468</c:v>
              </c:pt>
              <c:pt idx="1246">
                <c:v>0.33440008784617714</c:v>
              </c:pt>
              <c:pt idx="1247">
                <c:v>0.33440008784617714</c:v>
              </c:pt>
              <c:pt idx="1248">
                <c:v>0.33474243090833933</c:v>
              </c:pt>
              <c:pt idx="1249">
                <c:v>0.33474243090833933</c:v>
              </c:pt>
              <c:pt idx="1250">
                <c:v>0.33508477397050213</c:v>
              </c:pt>
              <c:pt idx="1251">
                <c:v>0.33508477397050213</c:v>
              </c:pt>
              <c:pt idx="1252">
                <c:v>0.33542711703266442</c:v>
              </c:pt>
              <c:pt idx="1253">
                <c:v>0.33542711703266442</c:v>
              </c:pt>
              <c:pt idx="1254">
                <c:v>0.33576946009482678</c:v>
              </c:pt>
              <c:pt idx="1255">
                <c:v>0.33576946009482678</c:v>
              </c:pt>
              <c:pt idx="1256">
                <c:v>0.33611180315698908</c:v>
              </c:pt>
              <c:pt idx="1257">
                <c:v>0.33611180315698908</c:v>
              </c:pt>
              <c:pt idx="1258">
                <c:v>0.33645414621915154</c:v>
              </c:pt>
              <c:pt idx="1259">
                <c:v>0.33645414621915154</c:v>
              </c:pt>
              <c:pt idx="1260">
                <c:v>0.33679648928131389</c:v>
              </c:pt>
              <c:pt idx="1261">
                <c:v>0.33679648928131389</c:v>
              </c:pt>
              <c:pt idx="1262">
                <c:v>0.33713883234347636</c:v>
              </c:pt>
              <c:pt idx="1263">
                <c:v>0.33713883234347636</c:v>
              </c:pt>
              <c:pt idx="1264">
                <c:v>0.33748117540563877</c:v>
              </c:pt>
              <c:pt idx="1265">
                <c:v>0.33748117540563877</c:v>
              </c:pt>
              <c:pt idx="1266">
                <c:v>0.33782351846780118</c:v>
              </c:pt>
              <c:pt idx="1267">
                <c:v>0.33782351846780118</c:v>
              </c:pt>
              <c:pt idx="1268">
                <c:v>0.33816586152996359</c:v>
              </c:pt>
              <c:pt idx="1269">
                <c:v>0.33816586152996359</c:v>
              </c:pt>
              <c:pt idx="1270">
                <c:v>0.33850820459212583</c:v>
              </c:pt>
              <c:pt idx="1271">
                <c:v>0.33850820459212583</c:v>
              </c:pt>
              <c:pt idx="1272">
                <c:v>0.33885054765428846</c:v>
              </c:pt>
              <c:pt idx="1273">
                <c:v>0.33885054765428846</c:v>
              </c:pt>
              <c:pt idx="1274">
                <c:v>0.33919289071645076</c:v>
              </c:pt>
              <c:pt idx="1275">
                <c:v>0.33919289071645076</c:v>
              </c:pt>
              <c:pt idx="1276">
                <c:v>0.33953523377861305</c:v>
              </c:pt>
              <c:pt idx="1277">
                <c:v>0.33953523377861305</c:v>
              </c:pt>
              <c:pt idx="1278">
                <c:v>0.33987757684077557</c:v>
              </c:pt>
              <c:pt idx="1279">
                <c:v>0.33987757684077557</c:v>
              </c:pt>
              <c:pt idx="1280">
                <c:v>0.34021991990293782</c:v>
              </c:pt>
              <c:pt idx="1281">
                <c:v>0.34021991990293782</c:v>
              </c:pt>
              <c:pt idx="1282">
                <c:v>0.34056226296510023</c:v>
              </c:pt>
              <c:pt idx="1283">
                <c:v>0.34056226296510023</c:v>
              </c:pt>
              <c:pt idx="1284">
                <c:v>0.34090460602726264</c:v>
              </c:pt>
              <c:pt idx="1285">
                <c:v>0.34090460602726264</c:v>
              </c:pt>
              <c:pt idx="1286">
                <c:v>0.34124694908942504</c:v>
              </c:pt>
              <c:pt idx="1287">
                <c:v>0.34124694908942504</c:v>
              </c:pt>
              <c:pt idx="1288">
                <c:v>0.34158929215158734</c:v>
              </c:pt>
              <c:pt idx="1289">
                <c:v>0.34158929215158734</c:v>
              </c:pt>
              <c:pt idx="1290">
                <c:v>0.34193163521374981</c:v>
              </c:pt>
              <c:pt idx="1291">
                <c:v>0.34193163521374981</c:v>
              </c:pt>
              <c:pt idx="1292">
                <c:v>0.34227397827591222</c:v>
              </c:pt>
              <c:pt idx="1293">
                <c:v>0.34227397827591222</c:v>
              </c:pt>
              <c:pt idx="1294">
                <c:v>0.34261632133807463</c:v>
              </c:pt>
              <c:pt idx="1295">
                <c:v>0.34261632133807463</c:v>
              </c:pt>
              <c:pt idx="1296">
                <c:v>0.34295866440023692</c:v>
              </c:pt>
              <c:pt idx="1297">
                <c:v>0.34295866440023692</c:v>
              </c:pt>
              <c:pt idx="1298">
                <c:v>0.34330100746239933</c:v>
              </c:pt>
              <c:pt idx="1299">
                <c:v>0.34330100746239933</c:v>
              </c:pt>
              <c:pt idx="1300">
                <c:v>0.34364335052456174</c:v>
              </c:pt>
              <c:pt idx="1301">
                <c:v>0.34364335052456174</c:v>
              </c:pt>
              <c:pt idx="1302">
                <c:v>0.34398569358672426</c:v>
              </c:pt>
              <c:pt idx="1303">
                <c:v>0.34398569358672426</c:v>
              </c:pt>
              <c:pt idx="1304">
                <c:v>0.34432803664888662</c:v>
              </c:pt>
              <c:pt idx="1305">
                <c:v>0.34432803664888662</c:v>
              </c:pt>
              <c:pt idx="1306">
                <c:v>0.34467037971104902</c:v>
              </c:pt>
              <c:pt idx="1307">
                <c:v>0.34467037971104902</c:v>
              </c:pt>
              <c:pt idx="1308">
                <c:v>0.34501272277321132</c:v>
              </c:pt>
              <c:pt idx="1309">
                <c:v>0.34501272277321132</c:v>
              </c:pt>
              <c:pt idx="1310">
                <c:v>0.3453550658353739</c:v>
              </c:pt>
              <c:pt idx="1311">
                <c:v>0.3453550658353739</c:v>
              </c:pt>
              <c:pt idx="1312">
                <c:v>0.34569740889753614</c:v>
              </c:pt>
              <c:pt idx="1313">
                <c:v>0.34569740889753614</c:v>
              </c:pt>
              <c:pt idx="1314">
                <c:v>0.34603975195969866</c:v>
              </c:pt>
              <c:pt idx="1315">
                <c:v>0.34603975195969866</c:v>
              </c:pt>
              <c:pt idx="1316">
                <c:v>0.34638209502186112</c:v>
              </c:pt>
              <c:pt idx="1317">
                <c:v>0.34638209502186112</c:v>
              </c:pt>
              <c:pt idx="1318">
                <c:v>0.34672443808402331</c:v>
              </c:pt>
              <c:pt idx="1319">
                <c:v>0.34672443808402331</c:v>
              </c:pt>
              <c:pt idx="1320">
                <c:v>0.34706678114618583</c:v>
              </c:pt>
              <c:pt idx="1321">
                <c:v>0.34706678114618583</c:v>
              </c:pt>
              <c:pt idx="1322">
                <c:v>0.34740912420834824</c:v>
              </c:pt>
              <c:pt idx="1323">
                <c:v>0.34740912420834824</c:v>
              </c:pt>
              <c:pt idx="1324">
                <c:v>0.34775146727051065</c:v>
              </c:pt>
              <c:pt idx="1325">
                <c:v>0.34775146727051065</c:v>
              </c:pt>
              <c:pt idx="1326">
                <c:v>0.34809381033267306</c:v>
              </c:pt>
              <c:pt idx="1327">
                <c:v>0.34809381033267306</c:v>
              </c:pt>
              <c:pt idx="1328">
                <c:v>0.34824052878788542</c:v>
              </c:pt>
              <c:pt idx="1329">
                <c:v>0.34824052878788542</c:v>
              </c:pt>
              <c:pt idx="1330">
                <c:v>0.34824052878788542</c:v>
              </c:pt>
              <c:pt idx="1331">
                <c:v>0.34824052878788542</c:v>
              </c:pt>
              <c:pt idx="1332">
                <c:v>0.34824052878788542</c:v>
              </c:pt>
              <c:pt idx="1333">
                <c:v>0.34824052878788542</c:v>
              </c:pt>
              <c:pt idx="1334">
                <c:v>0.34858287185004816</c:v>
              </c:pt>
              <c:pt idx="1335">
                <c:v>0.34858287185004816</c:v>
              </c:pt>
              <c:pt idx="1336">
                <c:v>0.3489252149122104</c:v>
              </c:pt>
              <c:pt idx="1337">
                <c:v>0.3489252149122104</c:v>
              </c:pt>
              <c:pt idx="1338">
                <c:v>0.3492675579743727</c:v>
              </c:pt>
              <c:pt idx="1339">
                <c:v>0.3492675579743727</c:v>
              </c:pt>
              <c:pt idx="1340">
                <c:v>0.349609901036535</c:v>
              </c:pt>
              <c:pt idx="1341">
                <c:v>0.349609901036535</c:v>
              </c:pt>
              <c:pt idx="1342">
                <c:v>0.34995224409869741</c:v>
              </c:pt>
              <c:pt idx="1343">
                <c:v>0.34995224409869741</c:v>
              </c:pt>
              <c:pt idx="1344">
                <c:v>0.35029458716085993</c:v>
              </c:pt>
              <c:pt idx="1345">
                <c:v>0.35029458716085993</c:v>
              </c:pt>
              <c:pt idx="1346">
                <c:v>0.35063693022302228</c:v>
              </c:pt>
              <c:pt idx="1347">
                <c:v>0.35063693022302228</c:v>
              </c:pt>
              <c:pt idx="1348">
                <c:v>0.35097927328518486</c:v>
              </c:pt>
              <c:pt idx="1349">
                <c:v>0.35097927328518486</c:v>
              </c:pt>
              <c:pt idx="1350">
                <c:v>0.35132161634734721</c:v>
              </c:pt>
              <c:pt idx="1351">
                <c:v>0.35132161634734721</c:v>
              </c:pt>
              <c:pt idx="1352">
                <c:v>0.3516639594095094</c:v>
              </c:pt>
              <c:pt idx="1353">
                <c:v>0.3516639594095094</c:v>
              </c:pt>
              <c:pt idx="1354">
                <c:v>0.35200630247167181</c:v>
              </c:pt>
              <c:pt idx="1355">
                <c:v>0.35200630247167181</c:v>
              </c:pt>
              <c:pt idx="1356">
                <c:v>0.35234864553383433</c:v>
              </c:pt>
              <c:pt idx="1357">
                <c:v>0.35234864553383433</c:v>
              </c:pt>
              <c:pt idx="1358">
                <c:v>0.35269098859599662</c:v>
              </c:pt>
              <c:pt idx="1359">
                <c:v>0.35269098859599662</c:v>
              </c:pt>
              <c:pt idx="1360">
                <c:v>0.35303333165815903</c:v>
              </c:pt>
              <c:pt idx="1361">
                <c:v>0.35303333165815903</c:v>
              </c:pt>
              <c:pt idx="1362">
                <c:v>0.3533756747203215</c:v>
              </c:pt>
              <c:pt idx="1363">
                <c:v>0.3533756747203215</c:v>
              </c:pt>
              <c:pt idx="1364">
                <c:v>0.35371801778248391</c:v>
              </c:pt>
              <c:pt idx="1365">
                <c:v>0.35371801778248391</c:v>
              </c:pt>
              <c:pt idx="1366">
                <c:v>0.35406036084464648</c:v>
              </c:pt>
              <c:pt idx="1367">
                <c:v>0.35406036084464648</c:v>
              </c:pt>
              <c:pt idx="1368">
                <c:v>0.35440270390680884</c:v>
              </c:pt>
              <c:pt idx="1369">
                <c:v>0.35440270390680884</c:v>
              </c:pt>
              <c:pt idx="1370">
                <c:v>0.35474504696897091</c:v>
              </c:pt>
              <c:pt idx="1371">
                <c:v>0.35474504696897091</c:v>
              </c:pt>
              <c:pt idx="1372">
                <c:v>0.35508739003113327</c:v>
              </c:pt>
              <c:pt idx="1373">
                <c:v>0.35508739003113327</c:v>
              </c:pt>
              <c:pt idx="1374">
                <c:v>0.35542973309329595</c:v>
              </c:pt>
              <c:pt idx="1375">
                <c:v>0.35542973309329595</c:v>
              </c:pt>
              <c:pt idx="1376">
                <c:v>0.35577207615545836</c:v>
              </c:pt>
              <c:pt idx="1377">
                <c:v>0.35577207615545836</c:v>
              </c:pt>
              <c:pt idx="1378">
                <c:v>0.35611441921762083</c:v>
              </c:pt>
              <c:pt idx="1379">
                <c:v>0.35611441921762083</c:v>
              </c:pt>
              <c:pt idx="1380">
                <c:v>0.35645676227978323</c:v>
              </c:pt>
              <c:pt idx="1381">
                <c:v>0.35645676227978323</c:v>
              </c:pt>
              <c:pt idx="1382">
                <c:v>0.35679910534194542</c:v>
              </c:pt>
              <c:pt idx="1383">
                <c:v>0.35679910534194542</c:v>
              </c:pt>
              <c:pt idx="1384">
                <c:v>0.35714144840410766</c:v>
              </c:pt>
              <c:pt idx="1385">
                <c:v>0.35714144840410766</c:v>
              </c:pt>
              <c:pt idx="1386">
                <c:v>0.35748379146627035</c:v>
              </c:pt>
              <c:pt idx="1387">
                <c:v>0.35748379146627035</c:v>
              </c:pt>
              <c:pt idx="1388">
                <c:v>0.3578261345284327</c:v>
              </c:pt>
              <c:pt idx="1389">
                <c:v>0.3578261345284327</c:v>
              </c:pt>
              <c:pt idx="1390">
                <c:v>0.35816847759059511</c:v>
              </c:pt>
              <c:pt idx="1391">
                <c:v>0.35816847759059511</c:v>
              </c:pt>
              <c:pt idx="1392">
                <c:v>0.35851082065275752</c:v>
              </c:pt>
              <c:pt idx="1393">
                <c:v>0.35851082065275752</c:v>
              </c:pt>
              <c:pt idx="1394">
                <c:v>0.35885316371491993</c:v>
              </c:pt>
              <c:pt idx="1395">
                <c:v>0.35885316371491993</c:v>
              </c:pt>
              <c:pt idx="1396">
                <c:v>0.35919550677708217</c:v>
              </c:pt>
              <c:pt idx="1397">
                <c:v>0.35919550677708217</c:v>
              </c:pt>
              <c:pt idx="1398">
                <c:v>0.35953784983924475</c:v>
              </c:pt>
              <c:pt idx="1399">
                <c:v>0.35953784983924475</c:v>
              </c:pt>
              <c:pt idx="1400">
                <c:v>0.35988019290140721</c:v>
              </c:pt>
              <c:pt idx="1401">
                <c:v>0.35988019290140721</c:v>
              </c:pt>
              <c:pt idx="1402">
                <c:v>0.36022253596356951</c:v>
              </c:pt>
              <c:pt idx="1403">
                <c:v>0.36022253596356951</c:v>
              </c:pt>
              <c:pt idx="1404">
                <c:v>0.36056487902573192</c:v>
              </c:pt>
              <c:pt idx="1405">
                <c:v>0.36056487902573192</c:v>
              </c:pt>
              <c:pt idx="1406">
                <c:v>0.36090722208789427</c:v>
              </c:pt>
              <c:pt idx="1407">
                <c:v>0.36090722208789427</c:v>
              </c:pt>
              <c:pt idx="1408">
                <c:v>0.36124956515005674</c:v>
              </c:pt>
              <c:pt idx="1409">
                <c:v>0.36124956515005674</c:v>
              </c:pt>
              <c:pt idx="1410">
                <c:v>0.36159190821221898</c:v>
              </c:pt>
              <c:pt idx="1411">
                <c:v>0.36159190821221898</c:v>
              </c:pt>
              <c:pt idx="1412">
                <c:v>0.3619342512743815</c:v>
              </c:pt>
              <c:pt idx="1413">
                <c:v>0.3619342512743815</c:v>
              </c:pt>
              <c:pt idx="1414">
                <c:v>0.36227659433654391</c:v>
              </c:pt>
              <c:pt idx="1415">
                <c:v>0.36227659433654391</c:v>
              </c:pt>
              <c:pt idx="1416">
                <c:v>0.36261893739870638</c:v>
              </c:pt>
              <c:pt idx="1417">
                <c:v>0.36261893739870638</c:v>
              </c:pt>
              <c:pt idx="1418">
                <c:v>0.36296128046086867</c:v>
              </c:pt>
              <c:pt idx="1419">
                <c:v>0.36296128046086867</c:v>
              </c:pt>
              <c:pt idx="1420">
                <c:v>0.36330362352303097</c:v>
              </c:pt>
              <c:pt idx="1421">
                <c:v>0.36330362352303097</c:v>
              </c:pt>
              <c:pt idx="1422">
                <c:v>0.36364596658519333</c:v>
              </c:pt>
              <c:pt idx="1423">
                <c:v>0.36364596658519333</c:v>
              </c:pt>
              <c:pt idx="1424">
                <c:v>0.36398830964735607</c:v>
              </c:pt>
              <c:pt idx="1425">
                <c:v>0.36398830964735607</c:v>
              </c:pt>
              <c:pt idx="1426">
                <c:v>0.36433065270951831</c:v>
              </c:pt>
              <c:pt idx="1427">
                <c:v>0.36433065270951831</c:v>
              </c:pt>
              <c:pt idx="1428">
                <c:v>0.36467299577168083</c:v>
              </c:pt>
              <c:pt idx="1429">
                <c:v>0.36467299577168083</c:v>
              </c:pt>
              <c:pt idx="1430">
                <c:v>0.36501533883384307</c:v>
              </c:pt>
              <c:pt idx="1431">
                <c:v>0.36501533883384307</c:v>
              </c:pt>
              <c:pt idx="1432">
                <c:v>0.36535768189600554</c:v>
              </c:pt>
              <c:pt idx="1433">
                <c:v>0.36535768189600554</c:v>
              </c:pt>
              <c:pt idx="1434">
                <c:v>0.36570002495816778</c:v>
              </c:pt>
              <c:pt idx="1435">
                <c:v>0.36570002495816778</c:v>
              </c:pt>
              <c:pt idx="1436">
                <c:v>0.3660423680203303</c:v>
              </c:pt>
              <c:pt idx="1437">
                <c:v>0.3660423680203303</c:v>
              </c:pt>
              <c:pt idx="1438">
                <c:v>0.36638471108249293</c:v>
              </c:pt>
              <c:pt idx="1439">
                <c:v>0.36638471108249293</c:v>
              </c:pt>
              <c:pt idx="1440">
                <c:v>0.36672705414465512</c:v>
              </c:pt>
              <c:pt idx="1441">
                <c:v>0.36672705414465512</c:v>
              </c:pt>
              <c:pt idx="1442">
                <c:v>0.36706939720681747</c:v>
              </c:pt>
              <c:pt idx="1443">
                <c:v>0.36706939720681747</c:v>
              </c:pt>
              <c:pt idx="1444">
                <c:v>0.36741174026897988</c:v>
              </c:pt>
              <c:pt idx="1445">
                <c:v>0.36741174026897988</c:v>
              </c:pt>
              <c:pt idx="1446">
                <c:v>0.36775408333114235</c:v>
              </c:pt>
              <c:pt idx="1447">
                <c:v>0.36775408333114235</c:v>
              </c:pt>
              <c:pt idx="1448">
                <c:v>0.3680964263933047</c:v>
              </c:pt>
              <c:pt idx="1449">
                <c:v>0.3680964263933047</c:v>
              </c:pt>
              <c:pt idx="1450">
                <c:v>0.36843876945546722</c:v>
              </c:pt>
              <c:pt idx="1451">
                <c:v>0.36843876945546722</c:v>
              </c:pt>
              <c:pt idx="1452">
                <c:v>0.36878111251762935</c:v>
              </c:pt>
              <c:pt idx="1453">
                <c:v>0.36878111251762935</c:v>
              </c:pt>
              <c:pt idx="1454">
                <c:v>0.36912345557979181</c:v>
              </c:pt>
              <c:pt idx="1455">
                <c:v>0.36912345557979181</c:v>
              </c:pt>
              <c:pt idx="1456">
                <c:v>0.36946579864195428</c:v>
              </c:pt>
              <c:pt idx="1457">
                <c:v>0.36946579864195428</c:v>
              </c:pt>
              <c:pt idx="1458">
                <c:v>0.36980814170411674</c:v>
              </c:pt>
              <c:pt idx="1459">
                <c:v>0.36980814170411674</c:v>
              </c:pt>
              <c:pt idx="1460">
                <c:v>0.3701504847662791</c:v>
              </c:pt>
              <c:pt idx="1461">
                <c:v>0.3701504847662791</c:v>
              </c:pt>
              <c:pt idx="1462">
                <c:v>0.37049282782844162</c:v>
              </c:pt>
              <c:pt idx="1463">
                <c:v>0.37049282782844162</c:v>
              </c:pt>
              <c:pt idx="1464">
                <c:v>0.37083517089060392</c:v>
              </c:pt>
              <c:pt idx="1465">
                <c:v>0.37083517089060392</c:v>
              </c:pt>
              <c:pt idx="1466">
                <c:v>0.37117751395276638</c:v>
              </c:pt>
              <c:pt idx="1467">
                <c:v>0.37117751395276638</c:v>
              </c:pt>
              <c:pt idx="1468">
                <c:v>0.37151985701492868</c:v>
              </c:pt>
              <c:pt idx="1469">
                <c:v>0.37151985701492868</c:v>
              </c:pt>
              <c:pt idx="1470">
                <c:v>0.37186220007709114</c:v>
              </c:pt>
              <c:pt idx="1471">
                <c:v>0.37186220007709114</c:v>
              </c:pt>
              <c:pt idx="1472">
                <c:v>0.37220454313925361</c:v>
              </c:pt>
              <c:pt idx="1473">
                <c:v>0.37220454313925361</c:v>
              </c:pt>
              <c:pt idx="1474">
                <c:v>0.37254688620141591</c:v>
              </c:pt>
              <c:pt idx="1475">
                <c:v>0.37254688620141591</c:v>
              </c:pt>
              <c:pt idx="1476">
                <c:v>0.37269360465662821</c:v>
              </c:pt>
              <c:pt idx="1477">
                <c:v>0.37269360465662821</c:v>
              </c:pt>
              <c:pt idx="1478">
                <c:v>0.37269360465662821</c:v>
              </c:pt>
              <c:pt idx="1479">
                <c:v>0.37269360465662821</c:v>
              </c:pt>
              <c:pt idx="1480">
                <c:v>0.37269360465662821</c:v>
              </c:pt>
              <c:pt idx="1481">
                <c:v>0.37269360465662821</c:v>
              </c:pt>
              <c:pt idx="1482">
                <c:v>0.37303594771879062</c:v>
              </c:pt>
              <c:pt idx="1483">
                <c:v>0.37303594771879062</c:v>
              </c:pt>
              <c:pt idx="1484">
                <c:v>0.37337829078095336</c:v>
              </c:pt>
              <c:pt idx="1485">
                <c:v>0.37337829078095336</c:v>
              </c:pt>
              <c:pt idx="1486">
                <c:v>0.37372063384311538</c:v>
              </c:pt>
              <c:pt idx="1487">
                <c:v>0.37372063384311538</c:v>
              </c:pt>
              <c:pt idx="1488">
                <c:v>0.37406297690527807</c:v>
              </c:pt>
              <c:pt idx="1489">
                <c:v>0.37406297690527807</c:v>
              </c:pt>
              <c:pt idx="1490">
                <c:v>0.37440531996744048</c:v>
              </c:pt>
              <c:pt idx="1491">
                <c:v>0.37440531996744048</c:v>
              </c:pt>
              <c:pt idx="1492">
                <c:v>0.37474766302960283</c:v>
              </c:pt>
              <c:pt idx="1493">
                <c:v>0.37474766302960283</c:v>
              </c:pt>
              <c:pt idx="1494">
                <c:v>0.37509000609176502</c:v>
              </c:pt>
              <c:pt idx="1495">
                <c:v>0.37509000609176502</c:v>
              </c:pt>
              <c:pt idx="1496">
                <c:v>0.37543234915392742</c:v>
              </c:pt>
              <c:pt idx="1497">
                <c:v>0.37543234915392742</c:v>
              </c:pt>
              <c:pt idx="1498">
                <c:v>0.37577469221608989</c:v>
              </c:pt>
              <c:pt idx="1499">
                <c:v>0.37577469221608989</c:v>
              </c:pt>
              <c:pt idx="1500">
                <c:v>0.37611703527825235</c:v>
              </c:pt>
              <c:pt idx="1501">
                <c:v>0.37611703527825235</c:v>
              </c:pt>
              <c:pt idx="1502">
                <c:v>0.37645937834041482</c:v>
              </c:pt>
              <c:pt idx="1503">
                <c:v>0.37645937834041482</c:v>
              </c:pt>
              <c:pt idx="1504">
                <c:v>0.37680172140257712</c:v>
              </c:pt>
              <c:pt idx="1505">
                <c:v>0.37680172140257712</c:v>
              </c:pt>
              <c:pt idx="1506">
                <c:v>0.37714406446473941</c:v>
              </c:pt>
              <c:pt idx="1507">
                <c:v>0.37714406446473941</c:v>
              </c:pt>
              <c:pt idx="1508">
                <c:v>0.37748640752690193</c:v>
              </c:pt>
              <c:pt idx="1509">
                <c:v>0.37748640752690193</c:v>
              </c:pt>
              <c:pt idx="1510">
                <c:v>0.37782875058906445</c:v>
              </c:pt>
              <c:pt idx="1511">
                <c:v>0.37782875058906445</c:v>
              </c:pt>
              <c:pt idx="1512">
                <c:v>0.3781710936512267</c:v>
              </c:pt>
              <c:pt idx="1513">
                <c:v>0.3781710936512267</c:v>
              </c:pt>
              <c:pt idx="1514">
                <c:v>0.378513436713389</c:v>
              </c:pt>
              <c:pt idx="1515">
                <c:v>0.378513436713389</c:v>
              </c:pt>
              <c:pt idx="1516">
                <c:v>0.37885577977555163</c:v>
              </c:pt>
              <c:pt idx="1517">
                <c:v>0.37885577977555163</c:v>
              </c:pt>
              <c:pt idx="1518">
                <c:v>0.37919812283771381</c:v>
              </c:pt>
              <c:pt idx="1519">
                <c:v>0.37919812283771381</c:v>
              </c:pt>
              <c:pt idx="1520">
                <c:v>0.3795404658998765</c:v>
              </c:pt>
              <c:pt idx="1521">
                <c:v>0.3795404658998765</c:v>
              </c:pt>
              <c:pt idx="1522">
                <c:v>0.37988280896203885</c:v>
              </c:pt>
              <c:pt idx="1523">
                <c:v>0.37988280896203885</c:v>
              </c:pt>
              <c:pt idx="1524">
                <c:v>0.3802251520242011</c:v>
              </c:pt>
              <c:pt idx="1525">
                <c:v>0.3802251520242011</c:v>
              </c:pt>
              <c:pt idx="1526">
                <c:v>0.38056749508636351</c:v>
              </c:pt>
              <c:pt idx="1527">
                <c:v>0.38056749508636351</c:v>
              </c:pt>
              <c:pt idx="1528">
                <c:v>0.3809098381485258</c:v>
              </c:pt>
              <c:pt idx="1529">
                <c:v>0.3809098381485258</c:v>
              </c:pt>
              <c:pt idx="1530">
                <c:v>0.38125218121068838</c:v>
              </c:pt>
              <c:pt idx="1531">
                <c:v>0.38125218121068838</c:v>
              </c:pt>
              <c:pt idx="1532">
                <c:v>0.38159452427285079</c:v>
              </c:pt>
              <c:pt idx="1533">
                <c:v>0.38159452427285079</c:v>
              </c:pt>
              <c:pt idx="1534">
                <c:v>0.38193686733501325</c:v>
              </c:pt>
              <c:pt idx="1535">
                <c:v>0.38193686733501325</c:v>
              </c:pt>
              <c:pt idx="1536">
                <c:v>0.38227921039717538</c:v>
              </c:pt>
              <c:pt idx="1537">
                <c:v>0.38227921039717538</c:v>
              </c:pt>
              <c:pt idx="1538">
                <c:v>0.38262155345933785</c:v>
              </c:pt>
              <c:pt idx="1539">
                <c:v>0.38262155345933785</c:v>
              </c:pt>
              <c:pt idx="1540">
                <c:v>0.38296389652150031</c:v>
              </c:pt>
              <c:pt idx="1541">
                <c:v>0.38296389652150031</c:v>
              </c:pt>
              <c:pt idx="1542">
                <c:v>0.38330623958366283</c:v>
              </c:pt>
              <c:pt idx="1543">
                <c:v>0.38330623958366283</c:v>
              </c:pt>
              <c:pt idx="1544">
                <c:v>0.38364858264582508</c:v>
              </c:pt>
              <c:pt idx="1545">
                <c:v>0.38364858264582508</c:v>
              </c:pt>
              <c:pt idx="1546">
                <c:v>0.38399092570798754</c:v>
              </c:pt>
              <c:pt idx="1547">
                <c:v>0.38399092570798754</c:v>
              </c:pt>
              <c:pt idx="1548">
                <c:v>0.38433326877014989</c:v>
              </c:pt>
              <c:pt idx="1549">
                <c:v>0.38433326877014989</c:v>
              </c:pt>
              <c:pt idx="1550">
                <c:v>0.38467561183231236</c:v>
              </c:pt>
              <c:pt idx="1551">
                <c:v>0.38467561183231236</c:v>
              </c:pt>
              <c:pt idx="1552">
                <c:v>0.38501795489447482</c:v>
              </c:pt>
              <c:pt idx="1553">
                <c:v>0.38501795489447482</c:v>
              </c:pt>
              <c:pt idx="1554">
                <c:v>0.38536029795663718</c:v>
              </c:pt>
              <c:pt idx="1555">
                <c:v>0.38536029795663718</c:v>
              </c:pt>
              <c:pt idx="1556">
                <c:v>0.38570264101879936</c:v>
              </c:pt>
              <c:pt idx="1557">
                <c:v>0.38570264101879936</c:v>
              </c:pt>
              <c:pt idx="1558">
                <c:v>0.38604498408096194</c:v>
              </c:pt>
              <c:pt idx="1559">
                <c:v>0.38604498408096194</c:v>
              </c:pt>
              <c:pt idx="1560">
                <c:v>0.38638732714312435</c:v>
              </c:pt>
              <c:pt idx="1561">
                <c:v>0.38638732714312435</c:v>
              </c:pt>
              <c:pt idx="1562">
                <c:v>0.38672967020528681</c:v>
              </c:pt>
              <c:pt idx="1563">
                <c:v>0.38672967020528681</c:v>
              </c:pt>
              <c:pt idx="1564">
                <c:v>0.38707201326744933</c:v>
              </c:pt>
              <c:pt idx="1565">
                <c:v>0.38707201326744933</c:v>
              </c:pt>
              <c:pt idx="1566">
                <c:v>0.38741435632961158</c:v>
              </c:pt>
              <c:pt idx="1567">
                <c:v>0.38741435632961158</c:v>
              </c:pt>
              <c:pt idx="1568">
                <c:v>0.38775669939177393</c:v>
              </c:pt>
              <c:pt idx="1569">
                <c:v>0.38775669939177393</c:v>
              </c:pt>
              <c:pt idx="1570">
                <c:v>0.38809904245393606</c:v>
              </c:pt>
              <c:pt idx="1571">
                <c:v>0.38809904245393606</c:v>
              </c:pt>
              <c:pt idx="1572">
                <c:v>0.38844138551609858</c:v>
              </c:pt>
              <c:pt idx="1573">
                <c:v>0.38844138551609858</c:v>
              </c:pt>
              <c:pt idx="1574">
                <c:v>0.3887837285782611</c:v>
              </c:pt>
              <c:pt idx="1575">
                <c:v>0.3887837285782611</c:v>
              </c:pt>
              <c:pt idx="1576">
                <c:v>0.38912607164042362</c:v>
              </c:pt>
              <c:pt idx="1577">
                <c:v>0.38912607164042362</c:v>
              </c:pt>
              <c:pt idx="1578">
                <c:v>0.38946841470258592</c:v>
              </c:pt>
              <c:pt idx="1579">
                <c:v>0.38946841470258592</c:v>
              </c:pt>
              <c:pt idx="1580">
                <c:v>0.38981075776474849</c:v>
              </c:pt>
              <c:pt idx="1581">
                <c:v>0.38981075776474849</c:v>
              </c:pt>
              <c:pt idx="1582">
                <c:v>0.39015310082691057</c:v>
              </c:pt>
              <c:pt idx="1583">
                <c:v>0.39015310082691057</c:v>
              </c:pt>
              <c:pt idx="1584">
                <c:v>0.39049544388907315</c:v>
              </c:pt>
              <c:pt idx="1585">
                <c:v>0.39049544388907315</c:v>
              </c:pt>
              <c:pt idx="1586">
                <c:v>0.3908377869512355</c:v>
              </c:pt>
              <c:pt idx="1587">
                <c:v>0.3908377869512355</c:v>
              </c:pt>
              <c:pt idx="1588">
                <c:v>0.3911801300133978</c:v>
              </c:pt>
              <c:pt idx="1589">
                <c:v>0.3911801300133978</c:v>
              </c:pt>
              <c:pt idx="1590">
                <c:v>0.39152247307556043</c:v>
              </c:pt>
              <c:pt idx="1591">
                <c:v>0.39152247307556043</c:v>
              </c:pt>
              <c:pt idx="1592">
                <c:v>0.39186481613772278</c:v>
              </c:pt>
              <c:pt idx="1593">
                <c:v>0.39186481613772278</c:v>
              </c:pt>
              <c:pt idx="1594">
                <c:v>0.39220715919988508</c:v>
              </c:pt>
              <c:pt idx="1595">
                <c:v>0.39220715919988508</c:v>
              </c:pt>
              <c:pt idx="1596">
                <c:v>0.39254950226204754</c:v>
              </c:pt>
              <c:pt idx="1597">
                <c:v>0.39254950226204754</c:v>
              </c:pt>
              <c:pt idx="1598">
                <c:v>0.39289184532421007</c:v>
              </c:pt>
              <c:pt idx="1599">
                <c:v>0.39289184532421007</c:v>
              </c:pt>
              <c:pt idx="1600">
                <c:v>0.39323418838637225</c:v>
              </c:pt>
              <c:pt idx="1601">
                <c:v>0.39323418838637225</c:v>
              </c:pt>
              <c:pt idx="1602">
                <c:v>0.39357653144853466</c:v>
              </c:pt>
              <c:pt idx="1603">
                <c:v>0.39357653144853466</c:v>
              </c:pt>
              <c:pt idx="1604">
                <c:v>0.39391887451069718</c:v>
              </c:pt>
              <c:pt idx="1605">
                <c:v>0.39391887451069718</c:v>
              </c:pt>
              <c:pt idx="1606">
                <c:v>0.39426121757285948</c:v>
              </c:pt>
              <c:pt idx="1607">
                <c:v>0.39426121757285948</c:v>
              </c:pt>
              <c:pt idx="1608">
                <c:v>0.39460356063502189</c:v>
              </c:pt>
              <c:pt idx="1609">
                <c:v>0.39460356063502189</c:v>
              </c:pt>
              <c:pt idx="1610">
                <c:v>0.39494590369718435</c:v>
              </c:pt>
              <c:pt idx="1611">
                <c:v>0.39494590369718435</c:v>
              </c:pt>
              <c:pt idx="1612">
                <c:v>0.39528824675934676</c:v>
              </c:pt>
              <c:pt idx="1613">
                <c:v>0.39528824675934676</c:v>
              </c:pt>
              <c:pt idx="1614">
                <c:v>0.39563058982150906</c:v>
              </c:pt>
              <c:pt idx="1615">
                <c:v>0.39563058982150906</c:v>
              </c:pt>
              <c:pt idx="1616">
                <c:v>0.39597293288367158</c:v>
              </c:pt>
              <c:pt idx="1617">
                <c:v>0.39597293288367158</c:v>
              </c:pt>
              <c:pt idx="1618">
                <c:v>0.3963152759458341</c:v>
              </c:pt>
              <c:pt idx="1619">
                <c:v>0.3963152759458341</c:v>
              </c:pt>
              <c:pt idx="1620">
                <c:v>0.39665761900799634</c:v>
              </c:pt>
              <c:pt idx="1621">
                <c:v>0.39665761900799634</c:v>
              </c:pt>
              <c:pt idx="1622">
                <c:v>0.39699996207015875</c:v>
              </c:pt>
              <c:pt idx="1623">
                <c:v>0.39699996207015875</c:v>
              </c:pt>
              <c:pt idx="1624">
                <c:v>0.39714668052537111</c:v>
              </c:pt>
              <c:pt idx="1625">
                <c:v>0.39714668052537111</c:v>
              </c:pt>
              <c:pt idx="1626">
                <c:v>0.39714668052537111</c:v>
              </c:pt>
              <c:pt idx="1627">
                <c:v>0.39714668052537111</c:v>
              </c:pt>
              <c:pt idx="1628">
                <c:v>0.39714668052537111</c:v>
              </c:pt>
              <c:pt idx="1629">
                <c:v>0.39714668052537111</c:v>
              </c:pt>
              <c:pt idx="1630">
                <c:v>0.39748902358753352</c:v>
              </c:pt>
              <c:pt idx="1631">
                <c:v>0.39748902358753352</c:v>
              </c:pt>
              <c:pt idx="1632">
                <c:v>0.39783136664969593</c:v>
              </c:pt>
              <c:pt idx="1633">
                <c:v>0.39783136664969593</c:v>
              </c:pt>
              <c:pt idx="1634">
                <c:v>0.39817370971185839</c:v>
              </c:pt>
              <c:pt idx="1635">
                <c:v>0.39817370971185839</c:v>
              </c:pt>
              <c:pt idx="1636">
                <c:v>0.39851605277402075</c:v>
              </c:pt>
              <c:pt idx="1637">
                <c:v>0.39851605277402075</c:v>
              </c:pt>
              <c:pt idx="1638">
                <c:v>0.39885839583618321</c:v>
              </c:pt>
              <c:pt idx="1639">
                <c:v>0.39885839583618321</c:v>
              </c:pt>
              <c:pt idx="1640">
                <c:v>0.39920073889834551</c:v>
              </c:pt>
              <c:pt idx="1641">
                <c:v>0.39920073889834551</c:v>
              </c:pt>
              <c:pt idx="1642">
                <c:v>0.39954308196050792</c:v>
              </c:pt>
              <c:pt idx="1643">
                <c:v>0.39954308196050792</c:v>
              </c:pt>
              <c:pt idx="1644">
                <c:v>0.39988542502267049</c:v>
              </c:pt>
              <c:pt idx="1645">
                <c:v>0.39988542502267049</c:v>
              </c:pt>
              <c:pt idx="1646">
                <c:v>0.40022776808483268</c:v>
              </c:pt>
              <c:pt idx="1647">
                <c:v>0.40022776808483268</c:v>
              </c:pt>
              <c:pt idx="1648">
                <c:v>0.40057011114699498</c:v>
              </c:pt>
              <c:pt idx="1649">
                <c:v>0.40057011114699498</c:v>
              </c:pt>
              <c:pt idx="1650">
                <c:v>0.4009124542091575</c:v>
              </c:pt>
              <c:pt idx="1651">
                <c:v>0.4009124542091575</c:v>
              </c:pt>
              <c:pt idx="1652">
                <c:v>0.4012547972713198</c:v>
              </c:pt>
              <c:pt idx="1653">
                <c:v>0.4012547972713198</c:v>
              </c:pt>
              <c:pt idx="1654">
                <c:v>0.40159714033348221</c:v>
              </c:pt>
              <c:pt idx="1655">
                <c:v>0.40159714033348221</c:v>
              </c:pt>
              <c:pt idx="1656">
                <c:v>0.40193948339564489</c:v>
              </c:pt>
              <c:pt idx="1657">
                <c:v>0.40193948339564489</c:v>
              </c:pt>
              <c:pt idx="1658">
                <c:v>0.40228182645780697</c:v>
              </c:pt>
              <c:pt idx="1659">
                <c:v>0.40228182645780697</c:v>
              </c:pt>
              <c:pt idx="1660">
                <c:v>0.40262416951996954</c:v>
              </c:pt>
              <c:pt idx="1661">
                <c:v>0.40262416951996954</c:v>
              </c:pt>
              <c:pt idx="1662">
                <c:v>0.40296651258213184</c:v>
              </c:pt>
              <c:pt idx="1663">
                <c:v>0.40296651258213184</c:v>
              </c:pt>
              <c:pt idx="1664">
                <c:v>0.40330885564429436</c:v>
              </c:pt>
              <c:pt idx="1665">
                <c:v>0.40330885564429436</c:v>
              </c:pt>
              <c:pt idx="1666">
                <c:v>0.4036511987064566</c:v>
              </c:pt>
              <c:pt idx="1667">
                <c:v>0.4036511987064566</c:v>
              </c:pt>
              <c:pt idx="1668">
                <c:v>0.40399354176861896</c:v>
              </c:pt>
              <c:pt idx="1669">
                <c:v>0.40399354176861896</c:v>
              </c:pt>
              <c:pt idx="1670">
                <c:v>0.40433588483078137</c:v>
              </c:pt>
              <c:pt idx="1671">
                <c:v>0.40433588483078137</c:v>
              </c:pt>
              <c:pt idx="1672">
                <c:v>0.404678227892944</c:v>
              </c:pt>
              <c:pt idx="1673">
                <c:v>0.404678227892944</c:v>
              </c:pt>
              <c:pt idx="1674">
                <c:v>0.40502057095510635</c:v>
              </c:pt>
              <c:pt idx="1675">
                <c:v>0.40502057095510635</c:v>
              </c:pt>
              <c:pt idx="1676">
                <c:v>0.40536291401726882</c:v>
              </c:pt>
              <c:pt idx="1677">
                <c:v>0.40536291401726882</c:v>
              </c:pt>
              <c:pt idx="1678">
                <c:v>0.405705257079431</c:v>
              </c:pt>
              <c:pt idx="1679">
                <c:v>0.405705257079431</c:v>
              </c:pt>
              <c:pt idx="1680">
                <c:v>0.40604760014159325</c:v>
              </c:pt>
              <c:pt idx="1681">
                <c:v>0.40604760014159325</c:v>
              </c:pt>
              <c:pt idx="1682">
                <c:v>0.40638994320375593</c:v>
              </c:pt>
              <c:pt idx="1683">
                <c:v>0.40638994320375593</c:v>
              </c:pt>
              <c:pt idx="1684">
                <c:v>0.40673228626591817</c:v>
              </c:pt>
              <c:pt idx="1685">
                <c:v>0.40673228626591817</c:v>
              </c:pt>
              <c:pt idx="1686">
                <c:v>0.40707462932808075</c:v>
              </c:pt>
              <c:pt idx="1687">
                <c:v>0.40707462932808075</c:v>
              </c:pt>
              <c:pt idx="1688">
                <c:v>0.40741697239024333</c:v>
              </c:pt>
              <c:pt idx="1689">
                <c:v>0.40741697239024333</c:v>
              </c:pt>
              <c:pt idx="1690">
                <c:v>0.4077593154524054</c:v>
              </c:pt>
              <c:pt idx="1691">
                <c:v>0.4077593154524054</c:v>
              </c:pt>
              <c:pt idx="1692">
                <c:v>0.40810165851456776</c:v>
              </c:pt>
              <c:pt idx="1693">
                <c:v>0.40810165851456776</c:v>
              </c:pt>
              <c:pt idx="1694">
                <c:v>0.40844400157673016</c:v>
              </c:pt>
              <c:pt idx="1695">
                <c:v>0.40844400157673016</c:v>
              </c:pt>
              <c:pt idx="1696">
                <c:v>0.40878634463889257</c:v>
              </c:pt>
              <c:pt idx="1697">
                <c:v>0.40878634463889257</c:v>
              </c:pt>
              <c:pt idx="1698">
                <c:v>0.40912868770105515</c:v>
              </c:pt>
              <c:pt idx="1699">
                <c:v>0.40912868770105515</c:v>
              </c:pt>
              <c:pt idx="1700">
                <c:v>0.40947103076321739</c:v>
              </c:pt>
              <c:pt idx="1701">
                <c:v>0.40947103076321739</c:v>
              </c:pt>
              <c:pt idx="1702">
                <c:v>0.40981337382537991</c:v>
              </c:pt>
              <c:pt idx="1703">
                <c:v>0.40981337382537991</c:v>
              </c:pt>
              <c:pt idx="1704">
                <c:v>0.41015571688754227</c:v>
              </c:pt>
              <c:pt idx="1705">
                <c:v>0.41015571688754227</c:v>
              </c:pt>
              <c:pt idx="1706">
                <c:v>0.41049805994970467</c:v>
              </c:pt>
              <c:pt idx="1707">
                <c:v>0.41049805994970467</c:v>
              </c:pt>
              <c:pt idx="1708">
                <c:v>0.41084040301186714</c:v>
              </c:pt>
              <c:pt idx="1709">
                <c:v>0.41084040301186714</c:v>
              </c:pt>
              <c:pt idx="1710">
                <c:v>0.41118274607402938</c:v>
              </c:pt>
              <c:pt idx="1711">
                <c:v>0.41118274607402938</c:v>
              </c:pt>
              <c:pt idx="1712">
                <c:v>0.41152508913619185</c:v>
              </c:pt>
              <c:pt idx="1713">
                <c:v>0.41152508913619185</c:v>
              </c:pt>
              <c:pt idx="1714">
                <c:v>0.41186743219835426</c:v>
              </c:pt>
              <c:pt idx="1715">
                <c:v>0.41186743219835426</c:v>
              </c:pt>
              <c:pt idx="1716">
                <c:v>0.41220977526051666</c:v>
              </c:pt>
              <c:pt idx="1717">
                <c:v>0.41220977526051666</c:v>
              </c:pt>
              <c:pt idx="1718">
                <c:v>0.41255211832267907</c:v>
              </c:pt>
              <c:pt idx="1719">
                <c:v>0.41255211832267907</c:v>
              </c:pt>
              <c:pt idx="1720">
                <c:v>0.41289446138484176</c:v>
              </c:pt>
              <c:pt idx="1721">
                <c:v>0.41289446138484176</c:v>
              </c:pt>
              <c:pt idx="1722">
                <c:v>0.41323680444700378</c:v>
              </c:pt>
              <c:pt idx="1723">
                <c:v>0.41323680444700378</c:v>
              </c:pt>
              <c:pt idx="1724">
                <c:v>0.4135791475091663</c:v>
              </c:pt>
              <c:pt idx="1725">
                <c:v>0.4135791475091663</c:v>
              </c:pt>
              <c:pt idx="1726">
                <c:v>0.41392149057132854</c:v>
              </c:pt>
              <c:pt idx="1727">
                <c:v>0.41392149057132854</c:v>
              </c:pt>
              <c:pt idx="1728">
                <c:v>0.41426383363349095</c:v>
              </c:pt>
              <c:pt idx="1729">
                <c:v>0.41426383363349095</c:v>
              </c:pt>
              <c:pt idx="1730">
                <c:v>0.41460617669565347</c:v>
              </c:pt>
              <c:pt idx="1731">
                <c:v>0.41460617669565347</c:v>
              </c:pt>
              <c:pt idx="1732">
                <c:v>0.41494851975781594</c:v>
              </c:pt>
              <c:pt idx="1733">
                <c:v>0.41494851975781594</c:v>
              </c:pt>
              <c:pt idx="1734">
                <c:v>0.41529086281997835</c:v>
              </c:pt>
              <c:pt idx="1735">
                <c:v>0.41529086281997835</c:v>
              </c:pt>
              <c:pt idx="1736">
                <c:v>0.4156332058821407</c:v>
              </c:pt>
              <c:pt idx="1737">
                <c:v>0.4156332058821407</c:v>
              </c:pt>
              <c:pt idx="1738">
                <c:v>0.41597554894430305</c:v>
              </c:pt>
              <c:pt idx="1739">
                <c:v>0.41597554894430305</c:v>
              </c:pt>
              <c:pt idx="1740">
                <c:v>0.41631789200646546</c:v>
              </c:pt>
              <c:pt idx="1741">
                <c:v>0.41631789200646546</c:v>
              </c:pt>
              <c:pt idx="1742">
                <c:v>0.41666023506862782</c:v>
              </c:pt>
              <c:pt idx="1743">
                <c:v>0.41666023506862782</c:v>
              </c:pt>
              <c:pt idx="1744">
                <c:v>0.41700257813079028</c:v>
              </c:pt>
              <c:pt idx="1745">
                <c:v>0.41700257813079028</c:v>
              </c:pt>
              <c:pt idx="1746">
                <c:v>0.41734492119295286</c:v>
              </c:pt>
              <c:pt idx="1747">
                <c:v>0.41734492119295286</c:v>
              </c:pt>
              <c:pt idx="1748">
                <c:v>0.41768726425511504</c:v>
              </c:pt>
              <c:pt idx="1749">
                <c:v>0.41768726425511504</c:v>
              </c:pt>
              <c:pt idx="1750">
                <c:v>0.41802960731727756</c:v>
              </c:pt>
              <c:pt idx="1751">
                <c:v>0.41802960731727756</c:v>
              </c:pt>
              <c:pt idx="1752">
                <c:v>0.41837195037943992</c:v>
              </c:pt>
              <c:pt idx="1753">
                <c:v>0.41837195037943992</c:v>
              </c:pt>
              <c:pt idx="1754">
                <c:v>0.41871429344160227</c:v>
              </c:pt>
              <c:pt idx="1755">
                <c:v>0.41871429344160227</c:v>
              </c:pt>
              <c:pt idx="1756">
                <c:v>0.41905663650376457</c:v>
              </c:pt>
              <c:pt idx="1757">
                <c:v>0.41905663650376457</c:v>
              </c:pt>
              <c:pt idx="1758">
                <c:v>0.41939897956592714</c:v>
              </c:pt>
              <c:pt idx="1759">
                <c:v>0.41939897956592714</c:v>
              </c:pt>
              <c:pt idx="1760">
                <c:v>0.41974132262808922</c:v>
              </c:pt>
              <c:pt idx="1761">
                <c:v>0.41974132262808922</c:v>
              </c:pt>
              <c:pt idx="1762">
                <c:v>0.42008366569025202</c:v>
              </c:pt>
              <c:pt idx="1763">
                <c:v>0.42008366569025202</c:v>
              </c:pt>
              <c:pt idx="1764">
                <c:v>0.42042600875241437</c:v>
              </c:pt>
              <c:pt idx="1765">
                <c:v>0.42042600875241437</c:v>
              </c:pt>
              <c:pt idx="1766">
                <c:v>0.42076835181457667</c:v>
              </c:pt>
              <c:pt idx="1767">
                <c:v>0.42076835181457667</c:v>
              </c:pt>
              <c:pt idx="1768">
                <c:v>0.42111069487673897</c:v>
              </c:pt>
              <c:pt idx="1769">
                <c:v>0.42111069487673897</c:v>
              </c:pt>
              <c:pt idx="1770">
                <c:v>0.42145303793890132</c:v>
              </c:pt>
              <c:pt idx="1771">
                <c:v>0.42145303793890132</c:v>
              </c:pt>
              <c:pt idx="1772">
                <c:v>0.42159975639411384</c:v>
              </c:pt>
              <c:pt idx="1773">
                <c:v>0.42159975639411384</c:v>
              </c:pt>
              <c:pt idx="1774">
                <c:v>0.42159975639411384</c:v>
              </c:pt>
              <c:pt idx="1775">
                <c:v>0.42159975639411384</c:v>
              </c:pt>
              <c:pt idx="1776">
                <c:v>0.42159975639411384</c:v>
              </c:pt>
              <c:pt idx="1777">
                <c:v>0.42159975639411384</c:v>
              </c:pt>
              <c:pt idx="1778">
                <c:v>0.42194209945627631</c:v>
              </c:pt>
              <c:pt idx="1779">
                <c:v>0.42194209945627631</c:v>
              </c:pt>
              <c:pt idx="1780">
                <c:v>0.42228444251843861</c:v>
              </c:pt>
              <c:pt idx="1781">
                <c:v>0.42228444251843861</c:v>
              </c:pt>
              <c:pt idx="1782">
                <c:v>0.42262678558060118</c:v>
              </c:pt>
              <c:pt idx="1783">
                <c:v>0.42262678558060118</c:v>
              </c:pt>
              <c:pt idx="1784">
                <c:v>0.42296912864276337</c:v>
              </c:pt>
              <c:pt idx="1785">
                <c:v>0.42296912864276337</c:v>
              </c:pt>
              <c:pt idx="1786">
                <c:v>0.423311471704926</c:v>
              </c:pt>
              <c:pt idx="1787">
                <c:v>0.423311471704926</c:v>
              </c:pt>
              <c:pt idx="1788">
                <c:v>0.4236538147670883</c:v>
              </c:pt>
              <c:pt idx="1789">
                <c:v>0.4236538147670883</c:v>
              </c:pt>
              <c:pt idx="1790">
                <c:v>0.42399615782925082</c:v>
              </c:pt>
              <c:pt idx="1791">
                <c:v>0.42399615782925082</c:v>
              </c:pt>
              <c:pt idx="1792">
                <c:v>0.42433850089141312</c:v>
              </c:pt>
              <c:pt idx="1793">
                <c:v>0.42433850089141312</c:v>
              </c:pt>
              <c:pt idx="1794">
                <c:v>0.42468084395357547</c:v>
              </c:pt>
              <c:pt idx="1795">
                <c:v>0.42468084395357547</c:v>
              </c:pt>
              <c:pt idx="1796">
                <c:v>0.42502318701573782</c:v>
              </c:pt>
              <c:pt idx="1797">
                <c:v>0.42502318701573782</c:v>
              </c:pt>
              <c:pt idx="1798">
                <c:v>0.42536553007790034</c:v>
              </c:pt>
              <c:pt idx="1799">
                <c:v>0.42536553007790034</c:v>
              </c:pt>
              <c:pt idx="1800">
                <c:v>0.42570787314006281</c:v>
              </c:pt>
              <c:pt idx="1801">
                <c:v>0.42570787314006281</c:v>
              </c:pt>
              <c:pt idx="1802">
                <c:v>0.42605021620222511</c:v>
              </c:pt>
              <c:pt idx="1803">
                <c:v>0.42605021620222511</c:v>
              </c:pt>
              <c:pt idx="1804">
                <c:v>0.42639255926438752</c:v>
              </c:pt>
              <c:pt idx="1805">
                <c:v>0.42639255926438752</c:v>
              </c:pt>
              <c:pt idx="1806">
                <c:v>0.42673490232654981</c:v>
              </c:pt>
              <c:pt idx="1807">
                <c:v>0.42673490232654981</c:v>
              </c:pt>
              <c:pt idx="1808">
                <c:v>0.42707724538871228</c:v>
              </c:pt>
              <c:pt idx="1809">
                <c:v>0.42707724538871228</c:v>
              </c:pt>
              <c:pt idx="1810">
                <c:v>0.42741958845087474</c:v>
              </c:pt>
              <c:pt idx="1811">
                <c:v>0.42741958845087474</c:v>
              </c:pt>
              <c:pt idx="1812">
                <c:v>0.42776193151303699</c:v>
              </c:pt>
              <c:pt idx="1813">
                <c:v>0.42776193151303699</c:v>
              </c:pt>
              <c:pt idx="1814">
                <c:v>0.42810427457519939</c:v>
              </c:pt>
              <c:pt idx="1815">
                <c:v>0.42810427457519939</c:v>
              </c:pt>
              <c:pt idx="1816">
                <c:v>0.42844661763736192</c:v>
              </c:pt>
              <c:pt idx="1817">
                <c:v>0.42844661763736192</c:v>
              </c:pt>
              <c:pt idx="1818">
                <c:v>0.42878896069952438</c:v>
              </c:pt>
              <c:pt idx="1819">
                <c:v>0.42878896069952438</c:v>
              </c:pt>
              <c:pt idx="1820">
                <c:v>0.42913130376168657</c:v>
              </c:pt>
              <c:pt idx="1821">
                <c:v>0.42913130376168657</c:v>
              </c:pt>
              <c:pt idx="1822">
                <c:v>0.42947364682384914</c:v>
              </c:pt>
              <c:pt idx="1823">
                <c:v>0.42947364682384914</c:v>
              </c:pt>
              <c:pt idx="1824">
                <c:v>0.42981598988601155</c:v>
              </c:pt>
              <c:pt idx="1825">
                <c:v>0.42981598988601155</c:v>
              </c:pt>
              <c:pt idx="1826">
                <c:v>0.43015833294817385</c:v>
              </c:pt>
              <c:pt idx="1827">
                <c:v>0.43015833294817385</c:v>
              </c:pt>
              <c:pt idx="1828">
                <c:v>0.43050067601033626</c:v>
              </c:pt>
              <c:pt idx="1829">
                <c:v>0.43050067601033626</c:v>
              </c:pt>
              <c:pt idx="1830">
                <c:v>0.43084301907249867</c:v>
              </c:pt>
              <c:pt idx="1831">
                <c:v>0.43084301907249867</c:v>
              </c:pt>
              <c:pt idx="1832">
                <c:v>0.43118536213466119</c:v>
              </c:pt>
              <c:pt idx="1833">
                <c:v>0.43118536213466119</c:v>
              </c:pt>
              <c:pt idx="1834">
                <c:v>0.43152770519682354</c:v>
              </c:pt>
              <c:pt idx="1835">
                <c:v>0.43152770519682354</c:v>
              </c:pt>
              <c:pt idx="1836">
                <c:v>0.43187004825898589</c:v>
              </c:pt>
              <c:pt idx="1837">
                <c:v>0.43187004825898589</c:v>
              </c:pt>
              <c:pt idx="1838">
                <c:v>0.43221239132114836</c:v>
              </c:pt>
              <c:pt idx="1839">
                <c:v>0.43221239132114836</c:v>
              </c:pt>
              <c:pt idx="1840">
                <c:v>0.43255473438331066</c:v>
              </c:pt>
              <c:pt idx="1841">
                <c:v>0.43255473438331066</c:v>
              </c:pt>
              <c:pt idx="1842">
                <c:v>0.43289707744547307</c:v>
              </c:pt>
              <c:pt idx="1843">
                <c:v>0.43289707744547307</c:v>
              </c:pt>
              <c:pt idx="1844">
                <c:v>0.43323942050763525</c:v>
              </c:pt>
              <c:pt idx="1845">
                <c:v>0.43323942050763525</c:v>
              </c:pt>
              <c:pt idx="1846">
                <c:v>0.43358176356979794</c:v>
              </c:pt>
              <c:pt idx="1847">
                <c:v>0.43358176356979794</c:v>
              </c:pt>
              <c:pt idx="1848">
                <c:v>0.43392410663196035</c:v>
              </c:pt>
              <c:pt idx="1849">
                <c:v>0.43392410663196035</c:v>
              </c:pt>
              <c:pt idx="1850">
                <c:v>0.43426644969412265</c:v>
              </c:pt>
              <c:pt idx="1851">
                <c:v>0.43426644969412265</c:v>
              </c:pt>
              <c:pt idx="1852">
                <c:v>0.43460879275628506</c:v>
              </c:pt>
              <c:pt idx="1853">
                <c:v>0.43460879275628506</c:v>
              </c:pt>
              <c:pt idx="1854">
                <c:v>0.43495113581844747</c:v>
              </c:pt>
              <c:pt idx="1855">
                <c:v>0.43495113581844747</c:v>
              </c:pt>
              <c:pt idx="1856">
                <c:v>0.43529347888060982</c:v>
              </c:pt>
              <c:pt idx="1857">
                <c:v>0.43529347888060982</c:v>
              </c:pt>
              <c:pt idx="1858">
                <c:v>0.43563582194277234</c:v>
              </c:pt>
              <c:pt idx="1859">
                <c:v>0.43563582194277234</c:v>
              </c:pt>
              <c:pt idx="1860">
                <c:v>0.43597816500493486</c:v>
              </c:pt>
              <c:pt idx="1861">
                <c:v>0.43597816500493486</c:v>
              </c:pt>
              <c:pt idx="1862">
                <c:v>0.43632050806709716</c:v>
              </c:pt>
              <c:pt idx="1863">
                <c:v>0.43632050806709716</c:v>
              </c:pt>
              <c:pt idx="1864">
                <c:v>0.43666285112925957</c:v>
              </c:pt>
              <c:pt idx="1865">
                <c:v>0.43666285112925957</c:v>
              </c:pt>
              <c:pt idx="1866">
                <c:v>0.43700519419142181</c:v>
              </c:pt>
              <c:pt idx="1867">
                <c:v>0.43700519419142181</c:v>
              </c:pt>
              <c:pt idx="1868">
                <c:v>0.43734753725358427</c:v>
              </c:pt>
              <c:pt idx="1869">
                <c:v>0.43734753725358427</c:v>
              </c:pt>
              <c:pt idx="1870">
                <c:v>0.43768988031574679</c:v>
              </c:pt>
              <c:pt idx="1871">
                <c:v>0.43768988031574679</c:v>
              </c:pt>
              <c:pt idx="1872">
                <c:v>0.43803222337790915</c:v>
              </c:pt>
              <c:pt idx="1873">
                <c:v>0.43803222337790915</c:v>
              </c:pt>
              <c:pt idx="1874">
                <c:v>0.43837456644007156</c:v>
              </c:pt>
              <c:pt idx="1875">
                <c:v>0.43837456644007156</c:v>
              </c:pt>
              <c:pt idx="1876">
                <c:v>0.43871690950223391</c:v>
              </c:pt>
              <c:pt idx="1877">
                <c:v>0.43871690950223391</c:v>
              </c:pt>
              <c:pt idx="1878">
                <c:v>0.43905925256439615</c:v>
              </c:pt>
              <c:pt idx="1879">
                <c:v>0.43905925256439615</c:v>
              </c:pt>
              <c:pt idx="1880">
                <c:v>0.43940159562655867</c:v>
              </c:pt>
              <c:pt idx="1881">
                <c:v>0.43940159562655867</c:v>
              </c:pt>
              <c:pt idx="1882">
                <c:v>0.43974393868872086</c:v>
              </c:pt>
              <c:pt idx="1883">
                <c:v>0.43974393868872086</c:v>
              </c:pt>
              <c:pt idx="1884">
                <c:v>0.44008628175088355</c:v>
              </c:pt>
              <c:pt idx="1885">
                <c:v>0.44008628175088355</c:v>
              </c:pt>
              <c:pt idx="1886">
                <c:v>0.4404286248130459</c:v>
              </c:pt>
              <c:pt idx="1887">
                <c:v>0.4404286248130459</c:v>
              </c:pt>
              <c:pt idx="1888">
                <c:v>0.44077096787520836</c:v>
              </c:pt>
              <c:pt idx="1889">
                <c:v>0.44077096787520836</c:v>
              </c:pt>
              <c:pt idx="1890">
                <c:v>0.44111331093737055</c:v>
              </c:pt>
              <c:pt idx="1891">
                <c:v>0.44111331093737055</c:v>
              </c:pt>
              <c:pt idx="1892">
                <c:v>0.44145565399953296</c:v>
              </c:pt>
              <c:pt idx="1893">
                <c:v>0.44145565399953296</c:v>
              </c:pt>
              <c:pt idx="1894">
                <c:v>0.44179799706169526</c:v>
              </c:pt>
              <c:pt idx="1895">
                <c:v>0.44179799706169526</c:v>
              </c:pt>
              <c:pt idx="1896">
                <c:v>0.44214034012385772</c:v>
              </c:pt>
              <c:pt idx="1897">
                <c:v>0.44214034012385772</c:v>
              </c:pt>
              <c:pt idx="1898">
                <c:v>0.44248268318602035</c:v>
              </c:pt>
              <c:pt idx="1899">
                <c:v>0.44248268318602035</c:v>
              </c:pt>
              <c:pt idx="1900">
                <c:v>0.44282502624818254</c:v>
              </c:pt>
              <c:pt idx="1901">
                <c:v>0.44282502624818254</c:v>
              </c:pt>
              <c:pt idx="1902">
                <c:v>0.44316736931034506</c:v>
              </c:pt>
              <c:pt idx="1903">
                <c:v>0.44316736931034506</c:v>
              </c:pt>
              <c:pt idx="1904">
                <c:v>0.44350971237250736</c:v>
              </c:pt>
              <c:pt idx="1905">
                <c:v>0.44350971237250736</c:v>
              </c:pt>
              <c:pt idx="1906">
                <c:v>0.44385205543466982</c:v>
              </c:pt>
              <c:pt idx="1907">
                <c:v>0.44385205543466982</c:v>
              </c:pt>
              <c:pt idx="1908">
                <c:v>0.44419439849683201</c:v>
              </c:pt>
              <c:pt idx="1909">
                <c:v>0.44419439849683201</c:v>
              </c:pt>
              <c:pt idx="1910">
                <c:v>0.44453674155899453</c:v>
              </c:pt>
              <c:pt idx="1911">
                <c:v>0.44453674155899453</c:v>
              </c:pt>
              <c:pt idx="1912">
                <c:v>0.44487908462115694</c:v>
              </c:pt>
              <c:pt idx="1913">
                <c:v>0.44487908462115694</c:v>
              </c:pt>
              <c:pt idx="1914">
                <c:v>0.44522142768331929</c:v>
              </c:pt>
              <c:pt idx="1915">
                <c:v>0.44522142768331929</c:v>
              </c:pt>
              <c:pt idx="1916">
                <c:v>0.44556377074548181</c:v>
              </c:pt>
              <c:pt idx="1917">
                <c:v>0.44556377074548181</c:v>
              </c:pt>
              <c:pt idx="1918">
                <c:v>0.44590611380764433</c:v>
              </c:pt>
              <c:pt idx="1919">
                <c:v>0.44590611380764433</c:v>
              </c:pt>
              <c:pt idx="1920">
                <c:v>0.44605283226285686</c:v>
              </c:pt>
              <c:pt idx="1921">
                <c:v>0.44605283226285686</c:v>
              </c:pt>
              <c:pt idx="1922">
                <c:v>0.44605283226285686</c:v>
              </c:pt>
              <c:pt idx="1923">
                <c:v>0.44605283226285686</c:v>
              </c:pt>
              <c:pt idx="1924">
                <c:v>0.44605283226285686</c:v>
              </c:pt>
              <c:pt idx="1925">
                <c:v>0.44605283226285686</c:v>
              </c:pt>
              <c:pt idx="1926">
                <c:v>0.44639517532501916</c:v>
              </c:pt>
              <c:pt idx="1927">
                <c:v>0.44639517532501916</c:v>
              </c:pt>
              <c:pt idx="1928">
                <c:v>0.44673751838718134</c:v>
              </c:pt>
              <c:pt idx="1929">
                <c:v>0.44673751838718134</c:v>
              </c:pt>
              <c:pt idx="1930">
                <c:v>0.44707986144934392</c:v>
              </c:pt>
              <c:pt idx="1931">
                <c:v>0.44707986144934392</c:v>
              </c:pt>
              <c:pt idx="1932">
                <c:v>0.44742220451150622</c:v>
              </c:pt>
              <c:pt idx="1933">
                <c:v>0.44742220451150622</c:v>
              </c:pt>
              <c:pt idx="1934">
                <c:v>0.44776454757366868</c:v>
              </c:pt>
              <c:pt idx="1935">
                <c:v>0.44776454757366868</c:v>
              </c:pt>
              <c:pt idx="1936">
                <c:v>0.44810689063583115</c:v>
              </c:pt>
              <c:pt idx="1937">
                <c:v>0.44810689063583115</c:v>
              </c:pt>
              <c:pt idx="1938">
                <c:v>0.44844923369799344</c:v>
              </c:pt>
              <c:pt idx="1939">
                <c:v>0.44844923369799344</c:v>
              </c:pt>
              <c:pt idx="1940">
                <c:v>0.44879157676015574</c:v>
              </c:pt>
              <c:pt idx="1941">
                <c:v>0.44879157676015574</c:v>
              </c:pt>
              <c:pt idx="1942">
                <c:v>0.44913391982231821</c:v>
              </c:pt>
              <c:pt idx="1943">
                <c:v>0.44913391982231821</c:v>
              </c:pt>
              <c:pt idx="1944">
                <c:v>0.44947626288448089</c:v>
              </c:pt>
              <c:pt idx="1945">
                <c:v>0.44947626288448089</c:v>
              </c:pt>
              <c:pt idx="1946">
                <c:v>0.4498186059466433</c:v>
              </c:pt>
              <c:pt idx="1947">
                <c:v>0.4498186059466433</c:v>
              </c:pt>
              <c:pt idx="1948">
                <c:v>0.45016094900880554</c:v>
              </c:pt>
              <c:pt idx="1949">
                <c:v>0.45016094900880554</c:v>
              </c:pt>
              <c:pt idx="1950">
                <c:v>0.45050329207096784</c:v>
              </c:pt>
              <c:pt idx="1951">
                <c:v>0.45050329207096784</c:v>
              </c:pt>
              <c:pt idx="1952">
                <c:v>0.45084563513313025</c:v>
              </c:pt>
              <c:pt idx="1953">
                <c:v>0.45084563513313025</c:v>
              </c:pt>
              <c:pt idx="1954">
                <c:v>0.45118797819529272</c:v>
              </c:pt>
              <c:pt idx="1955">
                <c:v>0.45118797819529272</c:v>
              </c:pt>
              <c:pt idx="1956">
                <c:v>0.45153032125745513</c:v>
              </c:pt>
              <c:pt idx="1957">
                <c:v>0.45153032125745513</c:v>
              </c:pt>
              <c:pt idx="1958">
                <c:v>0.4518726643196177</c:v>
              </c:pt>
              <c:pt idx="1959">
                <c:v>0.4518726643196177</c:v>
              </c:pt>
              <c:pt idx="1960">
                <c:v>0.45221500738177983</c:v>
              </c:pt>
              <c:pt idx="1961">
                <c:v>0.45221500738177983</c:v>
              </c:pt>
              <c:pt idx="1962">
                <c:v>0.45255735044394224</c:v>
              </c:pt>
              <c:pt idx="1963">
                <c:v>0.45255735044394224</c:v>
              </c:pt>
              <c:pt idx="1964">
                <c:v>0.45289969350610459</c:v>
              </c:pt>
              <c:pt idx="1965">
                <c:v>0.45289969350610459</c:v>
              </c:pt>
              <c:pt idx="1966">
                <c:v>0.45324203656826689</c:v>
              </c:pt>
              <c:pt idx="1967">
                <c:v>0.45324203656826689</c:v>
              </c:pt>
              <c:pt idx="1968">
                <c:v>0.45358437963042952</c:v>
              </c:pt>
              <c:pt idx="1969">
                <c:v>0.45358437963042952</c:v>
              </c:pt>
              <c:pt idx="1970">
                <c:v>0.45392672269259182</c:v>
              </c:pt>
              <c:pt idx="1971">
                <c:v>0.45392672269259182</c:v>
              </c:pt>
              <c:pt idx="1972">
                <c:v>0.4542690657547544</c:v>
              </c:pt>
              <c:pt idx="1973">
                <c:v>0.4542690657547544</c:v>
              </c:pt>
              <c:pt idx="1974">
                <c:v>0.45461140881691664</c:v>
              </c:pt>
              <c:pt idx="1975">
                <c:v>0.45461140881691664</c:v>
              </c:pt>
              <c:pt idx="1976">
                <c:v>0.4549537518790791</c:v>
              </c:pt>
              <c:pt idx="1977">
                <c:v>0.4549537518790791</c:v>
              </c:pt>
              <c:pt idx="1978">
                <c:v>0.4552960949412414</c:v>
              </c:pt>
              <c:pt idx="1979">
                <c:v>0.4552960949412414</c:v>
              </c:pt>
              <c:pt idx="1980">
                <c:v>0.45563843800340376</c:v>
              </c:pt>
              <c:pt idx="1981">
                <c:v>0.45563843800340376</c:v>
              </c:pt>
              <c:pt idx="1982">
                <c:v>0.45598078106556644</c:v>
              </c:pt>
              <c:pt idx="1983">
                <c:v>0.45598078106556644</c:v>
              </c:pt>
              <c:pt idx="1984">
                <c:v>0.45632312412772874</c:v>
              </c:pt>
              <c:pt idx="1985">
                <c:v>0.45632312412772874</c:v>
              </c:pt>
              <c:pt idx="1986">
                <c:v>0.45666546718989126</c:v>
              </c:pt>
              <c:pt idx="1987">
                <c:v>0.45666546718989126</c:v>
              </c:pt>
              <c:pt idx="1988">
                <c:v>0.4570078102520535</c:v>
              </c:pt>
              <c:pt idx="1989">
                <c:v>0.4570078102520535</c:v>
              </c:pt>
              <c:pt idx="1990">
                <c:v>0.45735015331421591</c:v>
              </c:pt>
              <c:pt idx="1991">
                <c:v>0.45735015331421591</c:v>
              </c:pt>
              <c:pt idx="1992">
                <c:v>0.45769249637637821</c:v>
              </c:pt>
              <c:pt idx="1993">
                <c:v>0.45769249637637821</c:v>
              </c:pt>
              <c:pt idx="1994">
                <c:v>0.45803483943854062</c:v>
              </c:pt>
              <c:pt idx="1995">
                <c:v>0.45803483943854062</c:v>
              </c:pt>
              <c:pt idx="1996">
                <c:v>0.45837718250070308</c:v>
              </c:pt>
              <c:pt idx="1997">
                <c:v>0.45837718250070308</c:v>
              </c:pt>
              <c:pt idx="1998">
                <c:v>0.45871952556286555</c:v>
              </c:pt>
              <c:pt idx="1999">
                <c:v>0.45871952556286555</c:v>
              </c:pt>
              <c:pt idx="2000">
                <c:v>0.45906186862502785</c:v>
              </c:pt>
              <c:pt idx="2001">
                <c:v>0.45906186862502785</c:v>
              </c:pt>
              <c:pt idx="2002">
                <c:v>0.45940421168719031</c:v>
              </c:pt>
              <c:pt idx="2003">
                <c:v>0.45940421168719031</c:v>
              </c:pt>
              <c:pt idx="2004">
                <c:v>0.45974655474935261</c:v>
              </c:pt>
              <c:pt idx="2005">
                <c:v>0.45974655474935261</c:v>
              </c:pt>
              <c:pt idx="2006">
                <c:v>0.46008889781151513</c:v>
              </c:pt>
              <c:pt idx="2007">
                <c:v>0.46008889781151513</c:v>
              </c:pt>
              <c:pt idx="2008">
                <c:v>0.46043124087367743</c:v>
              </c:pt>
              <c:pt idx="2009">
                <c:v>0.46043124087367743</c:v>
              </c:pt>
              <c:pt idx="2010">
                <c:v>0.46077358393583989</c:v>
              </c:pt>
              <c:pt idx="2011">
                <c:v>0.46077358393583989</c:v>
              </c:pt>
              <c:pt idx="2012">
                <c:v>0.4611159269980023</c:v>
              </c:pt>
              <c:pt idx="2013">
                <c:v>0.4611159269980023</c:v>
              </c:pt>
              <c:pt idx="2014">
                <c:v>0.46145827006016471</c:v>
              </c:pt>
              <c:pt idx="2015">
                <c:v>0.46145827006016471</c:v>
              </c:pt>
              <c:pt idx="2016">
                <c:v>0.46180061312232712</c:v>
              </c:pt>
              <c:pt idx="2017">
                <c:v>0.46180061312232712</c:v>
              </c:pt>
              <c:pt idx="2018">
                <c:v>0.46214295618448942</c:v>
              </c:pt>
              <c:pt idx="2019">
                <c:v>0.46214295618448942</c:v>
              </c:pt>
              <c:pt idx="2020">
                <c:v>0.46248529924665205</c:v>
              </c:pt>
              <c:pt idx="2021">
                <c:v>0.46248529924665205</c:v>
              </c:pt>
              <c:pt idx="2022">
                <c:v>0.46282764230881435</c:v>
              </c:pt>
              <c:pt idx="2023">
                <c:v>0.46282764230881435</c:v>
              </c:pt>
              <c:pt idx="2024">
                <c:v>0.46316998537097681</c:v>
              </c:pt>
              <c:pt idx="2025">
                <c:v>0.46316998537097681</c:v>
              </c:pt>
              <c:pt idx="2026">
                <c:v>0.46351232843313889</c:v>
              </c:pt>
              <c:pt idx="2027">
                <c:v>0.46351232843313889</c:v>
              </c:pt>
              <c:pt idx="2028">
                <c:v>0.46385467149530152</c:v>
              </c:pt>
              <c:pt idx="2029">
                <c:v>0.46385467149530152</c:v>
              </c:pt>
              <c:pt idx="2030">
                <c:v>0.46419701455746376</c:v>
              </c:pt>
              <c:pt idx="2031">
                <c:v>0.46419701455746376</c:v>
              </c:pt>
              <c:pt idx="2032">
                <c:v>0.46453935761962617</c:v>
              </c:pt>
              <c:pt idx="2033">
                <c:v>0.46453935761962617</c:v>
              </c:pt>
              <c:pt idx="2034">
                <c:v>0.46488170068178858</c:v>
              </c:pt>
              <c:pt idx="2035">
                <c:v>0.46488170068178858</c:v>
              </c:pt>
              <c:pt idx="2036">
                <c:v>0.4652240437439511</c:v>
              </c:pt>
              <c:pt idx="2037">
                <c:v>0.4652240437439511</c:v>
              </c:pt>
              <c:pt idx="2038">
                <c:v>0.4655663868061134</c:v>
              </c:pt>
              <c:pt idx="2039">
                <c:v>0.4655663868061134</c:v>
              </c:pt>
              <c:pt idx="2040">
                <c:v>0.46590872986827592</c:v>
              </c:pt>
              <c:pt idx="2041">
                <c:v>0.46590872986827592</c:v>
              </c:pt>
              <c:pt idx="2042">
                <c:v>0.46625107293043822</c:v>
              </c:pt>
              <c:pt idx="2043">
                <c:v>0.46625107293043822</c:v>
              </c:pt>
              <c:pt idx="2044">
                <c:v>0.46659341599260068</c:v>
              </c:pt>
              <c:pt idx="2045">
                <c:v>0.46659341599260068</c:v>
              </c:pt>
              <c:pt idx="2046">
                <c:v>0.46693575905476298</c:v>
              </c:pt>
              <c:pt idx="2047">
                <c:v>0.46693575905476298</c:v>
              </c:pt>
              <c:pt idx="2048">
                <c:v>0.46727810211692539</c:v>
              </c:pt>
              <c:pt idx="2049">
                <c:v>0.46727810211692539</c:v>
              </c:pt>
              <c:pt idx="2050">
                <c:v>0.46762044517908791</c:v>
              </c:pt>
              <c:pt idx="2051">
                <c:v>0.46762044517908791</c:v>
              </c:pt>
              <c:pt idx="2052">
                <c:v>0.46796278824125037</c:v>
              </c:pt>
              <c:pt idx="2053">
                <c:v>0.46796278824125037</c:v>
              </c:pt>
              <c:pt idx="2054">
                <c:v>0.46830513130341272</c:v>
              </c:pt>
              <c:pt idx="2055">
                <c:v>0.46830513130341272</c:v>
              </c:pt>
              <c:pt idx="2056">
                <c:v>0.46864747436557497</c:v>
              </c:pt>
              <c:pt idx="2057">
                <c:v>0.46864747436557497</c:v>
              </c:pt>
              <c:pt idx="2058">
                <c:v>0.46898981742773738</c:v>
              </c:pt>
              <c:pt idx="2059">
                <c:v>0.46898981742773738</c:v>
              </c:pt>
              <c:pt idx="2060">
                <c:v>0.46933216048989995</c:v>
              </c:pt>
              <c:pt idx="2061">
                <c:v>0.46933216048989995</c:v>
              </c:pt>
              <c:pt idx="2062">
                <c:v>0.46967450355206236</c:v>
              </c:pt>
              <c:pt idx="2063">
                <c:v>0.46967450355206236</c:v>
              </c:pt>
              <c:pt idx="2064">
                <c:v>0.47001684661422471</c:v>
              </c:pt>
              <c:pt idx="2065">
                <c:v>0.47001684661422471</c:v>
              </c:pt>
              <c:pt idx="2066">
                <c:v>0.47035918967638701</c:v>
              </c:pt>
              <c:pt idx="2067">
                <c:v>0.47035918967638701</c:v>
              </c:pt>
              <c:pt idx="2068">
                <c:v>0.47050590813159943</c:v>
              </c:pt>
              <c:pt idx="2069">
                <c:v>0.47050590813159943</c:v>
              </c:pt>
              <c:pt idx="2070">
                <c:v>0.47050590813159943</c:v>
              </c:pt>
              <c:pt idx="2071">
                <c:v>0.47050590813159943</c:v>
              </c:pt>
              <c:pt idx="2072">
                <c:v>0.47050590813159943</c:v>
              </c:pt>
              <c:pt idx="2073">
                <c:v>0.47050590813159943</c:v>
              </c:pt>
              <c:pt idx="2074">
                <c:v>0.47084825119376195</c:v>
              </c:pt>
              <c:pt idx="2075">
                <c:v>0.47084825119376195</c:v>
              </c:pt>
              <c:pt idx="2076">
                <c:v>0.4711905942559243</c:v>
              </c:pt>
              <c:pt idx="2077">
                <c:v>0.4711905942559243</c:v>
              </c:pt>
              <c:pt idx="2078">
                <c:v>0.47153293731808671</c:v>
              </c:pt>
              <c:pt idx="2079">
                <c:v>0.47153293731808671</c:v>
              </c:pt>
              <c:pt idx="2080">
                <c:v>0.47187528038024923</c:v>
              </c:pt>
              <c:pt idx="2081">
                <c:v>0.47187528038024923</c:v>
              </c:pt>
              <c:pt idx="2082">
                <c:v>0.47221762344241142</c:v>
              </c:pt>
              <c:pt idx="2083">
                <c:v>0.47221762344241142</c:v>
              </c:pt>
              <c:pt idx="2084">
                <c:v>0.47255996650457388</c:v>
              </c:pt>
              <c:pt idx="2085">
                <c:v>0.47255996650457388</c:v>
              </c:pt>
              <c:pt idx="2086">
                <c:v>0.47290230956673635</c:v>
              </c:pt>
              <c:pt idx="2087">
                <c:v>0.47290230956673635</c:v>
              </c:pt>
              <c:pt idx="2088">
                <c:v>0.47324465262889864</c:v>
              </c:pt>
              <c:pt idx="2089">
                <c:v>0.47324465262889864</c:v>
              </c:pt>
              <c:pt idx="2090">
                <c:v>0.47358699569106122</c:v>
              </c:pt>
              <c:pt idx="2091">
                <c:v>0.47358699569106122</c:v>
              </c:pt>
              <c:pt idx="2092">
                <c:v>0.47392933875322341</c:v>
              </c:pt>
              <c:pt idx="2093">
                <c:v>0.47392933875322341</c:v>
              </c:pt>
              <c:pt idx="2094">
                <c:v>0.47427168181538581</c:v>
              </c:pt>
              <c:pt idx="2095">
                <c:v>0.47427168181538581</c:v>
              </c:pt>
              <c:pt idx="2096">
                <c:v>0.47461402487754834</c:v>
              </c:pt>
              <c:pt idx="2097">
                <c:v>0.47461402487754834</c:v>
              </c:pt>
              <c:pt idx="2098">
                <c:v>0.47495636793971091</c:v>
              </c:pt>
              <c:pt idx="2099">
                <c:v>0.47495636793971091</c:v>
              </c:pt>
              <c:pt idx="2100">
                <c:v>0.47529871100187315</c:v>
              </c:pt>
              <c:pt idx="2101">
                <c:v>0.47529871100187315</c:v>
              </c:pt>
              <c:pt idx="2102">
                <c:v>0.47564105406403528</c:v>
              </c:pt>
              <c:pt idx="2103">
                <c:v>0.47564105406403528</c:v>
              </c:pt>
              <c:pt idx="2104">
                <c:v>0.4759833971261978</c:v>
              </c:pt>
              <c:pt idx="2105">
                <c:v>0.4759833971261978</c:v>
              </c:pt>
              <c:pt idx="2106">
                <c:v>0.47632574018836032</c:v>
              </c:pt>
              <c:pt idx="2107">
                <c:v>0.47632574018836032</c:v>
              </c:pt>
              <c:pt idx="2108">
                <c:v>0.47666808325052273</c:v>
              </c:pt>
              <c:pt idx="2109">
                <c:v>0.47666808325052273</c:v>
              </c:pt>
              <c:pt idx="2110">
                <c:v>0.47701042631268525</c:v>
              </c:pt>
              <c:pt idx="2111">
                <c:v>0.47701042631268525</c:v>
              </c:pt>
              <c:pt idx="2112">
                <c:v>0.47735276937484783</c:v>
              </c:pt>
              <c:pt idx="2113">
                <c:v>0.47735276937484783</c:v>
              </c:pt>
              <c:pt idx="2114">
                <c:v>0.47769511243700979</c:v>
              </c:pt>
              <c:pt idx="2115">
                <c:v>0.47769511243700979</c:v>
              </c:pt>
              <c:pt idx="2116">
                <c:v>0.4780374554991722</c:v>
              </c:pt>
              <c:pt idx="2117">
                <c:v>0.4780374554991722</c:v>
              </c:pt>
              <c:pt idx="2118">
                <c:v>0.47837979856133461</c:v>
              </c:pt>
              <c:pt idx="2119">
                <c:v>0.47837979856133461</c:v>
              </c:pt>
              <c:pt idx="2120">
                <c:v>0.47872214162349702</c:v>
              </c:pt>
              <c:pt idx="2121">
                <c:v>0.47872214162349702</c:v>
              </c:pt>
              <c:pt idx="2122">
                <c:v>0.47906448468565965</c:v>
              </c:pt>
              <c:pt idx="2123">
                <c:v>0.47906448468565965</c:v>
              </c:pt>
              <c:pt idx="2124">
                <c:v>0.47940682774782201</c:v>
              </c:pt>
              <c:pt idx="2125">
                <c:v>0.47940682774782201</c:v>
              </c:pt>
              <c:pt idx="2126">
                <c:v>0.4797491708099843</c:v>
              </c:pt>
              <c:pt idx="2127">
                <c:v>0.4797491708099843</c:v>
              </c:pt>
              <c:pt idx="2128">
                <c:v>0.48009151387214671</c:v>
              </c:pt>
              <c:pt idx="2129">
                <c:v>0.48009151387214671</c:v>
              </c:pt>
              <c:pt idx="2130">
                <c:v>0.48043385693430901</c:v>
              </c:pt>
              <c:pt idx="2131">
                <c:v>0.48043385693430901</c:v>
              </c:pt>
              <c:pt idx="2132">
                <c:v>0.48077619999647153</c:v>
              </c:pt>
              <c:pt idx="2133">
                <c:v>0.48077619999647153</c:v>
              </c:pt>
              <c:pt idx="2134">
                <c:v>0.48111854305863394</c:v>
              </c:pt>
              <c:pt idx="2135">
                <c:v>0.48111854305863394</c:v>
              </c:pt>
              <c:pt idx="2136">
                <c:v>0.48146088612079635</c:v>
              </c:pt>
              <c:pt idx="2137">
                <c:v>0.48146088612079635</c:v>
              </c:pt>
              <c:pt idx="2138">
                <c:v>0.48180322918295881</c:v>
              </c:pt>
              <c:pt idx="2139">
                <c:v>0.48180322918295881</c:v>
              </c:pt>
              <c:pt idx="2140">
                <c:v>0.482145572245121</c:v>
              </c:pt>
              <c:pt idx="2141">
                <c:v>0.482145572245121</c:v>
              </c:pt>
              <c:pt idx="2142">
                <c:v>0.48248791530728363</c:v>
              </c:pt>
              <c:pt idx="2143">
                <c:v>0.48248791530728363</c:v>
              </c:pt>
              <c:pt idx="2144">
                <c:v>0.48283025836944593</c:v>
              </c:pt>
              <c:pt idx="2145">
                <c:v>0.48283025836944593</c:v>
              </c:pt>
              <c:pt idx="2146">
                <c:v>0.4831726014316084</c:v>
              </c:pt>
              <c:pt idx="2147">
                <c:v>0.4831726014316084</c:v>
              </c:pt>
              <c:pt idx="2148">
                <c:v>0.48351494449377058</c:v>
              </c:pt>
              <c:pt idx="2149">
                <c:v>0.48351494449377058</c:v>
              </c:pt>
              <c:pt idx="2150">
                <c:v>0.4838572875559331</c:v>
              </c:pt>
              <c:pt idx="2151">
                <c:v>0.4838572875559331</c:v>
              </c:pt>
              <c:pt idx="2152">
                <c:v>0.48419963061809529</c:v>
              </c:pt>
              <c:pt idx="2153">
                <c:v>0.48419963061809529</c:v>
              </c:pt>
              <c:pt idx="2154">
                <c:v>0.48454197368025792</c:v>
              </c:pt>
              <c:pt idx="2155">
                <c:v>0.48454197368025792</c:v>
              </c:pt>
              <c:pt idx="2156">
                <c:v>0.48488431674242044</c:v>
              </c:pt>
              <c:pt idx="2157">
                <c:v>0.48488431674242044</c:v>
              </c:pt>
              <c:pt idx="2158">
                <c:v>0.48522665980458274</c:v>
              </c:pt>
              <c:pt idx="2159">
                <c:v>0.48522665980458274</c:v>
              </c:pt>
              <c:pt idx="2160">
                <c:v>0.48556900286674498</c:v>
              </c:pt>
              <c:pt idx="2161">
                <c:v>0.48556900286674498</c:v>
              </c:pt>
              <c:pt idx="2162">
                <c:v>0.4859113459289075</c:v>
              </c:pt>
              <c:pt idx="2163">
                <c:v>0.4859113459289075</c:v>
              </c:pt>
              <c:pt idx="2164">
                <c:v>0.4862536889910698</c:v>
              </c:pt>
              <c:pt idx="2165">
                <c:v>0.4862536889910698</c:v>
              </c:pt>
              <c:pt idx="2166">
                <c:v>0.48659603205323221</c:v>
              </c:pt>
              <c:pt idx="2167">
                <c:v>0.48659603205323221</c:v>
              </c:pt>
              <c:pt idx="2168">
                <c:v>0.48693837511539473</c:v>
              </c:pt>
              <c:pt idx="2169">
                <c:v>0.48693837511539473</c:v>
              </c:pt>
              <c:pt idx="2170">
                <c:v>0.48728071817755714</c:v>
              </c:pt>
              <c:pt idx="2171">
                <c:v>0.48728071817755714</c:v>
              </c:pt>
              <c:pt idx="2172">
                <c:v>0.48762306123971955</c:v>
              </c:pt>
              <c:pt idx="2173">
                <c:v>0.48762306123971955</c:v>
              </c:pt>
              <c:pt idx="2174">
                <c:v>0.48796540430188196</c:v>
              </c:pt>
              <c:pt idx="2175">
                <c:v>0.48796540430188196</c:v>
              </c:pt>
              <c:pt idx="2176">
                <c:v>0.48830774736404448</c:v>
              </c:pt>
              <c:pt idx="2177">
                <c:v>0.48830774736404448</c:v>
              </c:pt>
              <c:pt idx="2178">
                <c:v>0.48865009042620661</c:v>
              </c:pt>
              <c:pt idx="2179">
                <c:v>0.48865009042620661</c:v>
              </c:pt>
              <c:pt idx="2180">
                <c:v>0.48899243348836896</c:v>
              </c:pt>
              <c:pt idx="2181">
                <c:v>0.48899243348836896</c:v>
              </c:pt>
              <c:pt idx="2182">
                <c:v>0.48933477655053137</c:v>
              </c:pt>
              <c:pt idx="2183">
                <c:v>0.48933477655053137</c:v>
              </c:pt>
              <c:pt idx="2184">
                <c:v>0.48967711961269389</c:v>
              </c:pt>
              <c:pt idx="2185">
                <c:v>0.48967711961269389</c:v>
              </c:pt>
              <c:pt idx="2186">
                <c:v>0.49001946267485647</c:v>
              </c:pt>
              <c:pt idx="2187">
                <c:v>0.49001946267485647</c:v>
              </c:pt>
              <c:pt idx="2188">
                <c:v>0.49036180573701882</c:v>
              </c:pt>
              <c:pt idx="2189">
                <c:v>0.49036180573701882</c:v>
              </c:pt>
              <c:pt idx="2190">
                <c:v>0.49070414879918101</c:v>
              </c:pt>
              <c:pt idx="2191">
                <c:v>0.49070414879918101</c:v>
              </c:pt>
              <c:pt idx="2192">
                <c:v>0.49104649186134347</c:v>
              </c:pt>
              <c:pt idx="2193">
                <c:v>0.49104649186134347</c:v>
              </c:pt>
              <c:pt idx="2194">
                <c:v>0.49138883492350593</c:v>
              </c:pt>
              <c:pt idx="2195">
                <c:v>0.49138883492350593</c:v>
              </c:pt>
              <c:pt idx="2196">
                <c:v>0.49173117798566834</c:v>
              </c:pt>
              <c:pt idx="2197">
                <c:v>0.49173117798566834</c:v>
              </c:pt>
              <c:pt idx="2198">
                <c:v>0.49207352104783081</c:v>
              </c:pt>
              <c:pt idx="2199">
                <c:v>0.49207352104783081</c:v>
              </c:pt>
              <c:pt idx="2200">
                <c:v>0.49241586410999322</c:v>
              </c:pt>
              <c:pt idx="2201">
                <c:v>0.49241586410999322</c:v>
              </c:pt>
              <c:pt idx="2202">
                <c:v>0.49275820717215552</c:v>
              </c:pt>
              <c:pt idx="2203">
                <c:v>0.49275820717215552</c:v>
              </c:pt>
              <c:pt idx="2204">
                <c:v>0.49310055023431781</c:v>
              </c:pt>
              <c:pt idx="2205">
                <c:v>0.49310055023431781</c:v>
              </c:pt>
              <c:pt idx="2206">
                <c:v>0.49344289329648039</c:v>
              </c:pt>
              <c:pt idx="2207">
                <c:v>0.49344289329648039</c:v>
              </c:pt>
              <c:pt idx="2208">
                <c:v>0.49378523635864274</c:v>
              </c:pt>
              <c:pt idx="2209">
                <c:v>0.49378523635864274</c:v>
              </c:pt>
              <c:pt idx="2210">
                <c:v>0.49412757942080521</c:v>
              </c:pt>
              <c:pt idx="2211">
                <c:v>0.49412757942080521</c:v>
              </c:pt>
              <c:pt idx="2212">
                <c:v>0.49446992248296751</c:v>
              </c:pt>
              <c:pt idx="2213">
                <c:v>0.49446992248296751</c:v>
              </c:pt>
              <c:pt idx="2214">
                <c:v>0.49481226554512991</c:v>
              </c:pt>
              <c:pt idx="2215">
                <c:v>0.49481226554512991</c:v>
              </c:pt>
              <c:pt idx="2216">
                <c:v>0.49495898400034244</c:v>
              </c:pt>
              <c:pt idx="2217">
                <c:v>0.49495898400034244</c:v>
              </c:pt>
              <c:pt idx="2218">
                <c:v>0.49495898400034244</c:v>
              </c:pt>
              <c:pt idx="2219">
                <c:v>0.49495898400034244</c:v>
              </c:pt>
              <c:pt idx="2220">
                <c:v>0.49495898400034244</c:v>
              </c:pt>
              <c:pt idx="2221">
                <c:v>0.49495898400034244</c:v>
              </c:pt>
              <c:pt idx="2222">
                <c:v>0.49530132706250485</c:v>
              </c:pt>
              <c:pt idx="2223">
                <c:v>0.49530132706250485</c:v>
              </c:pt>
              <c:pt idx="2224">
                <c:v>0.49564367012466726</c:v>
              </c:pt>
              <c:pt idx="2225">
                <c:v>0.49564367012466726</c:v>
              </c:pt>
              <c:pt idx="2226">
                <c:v>0.49598601318682961</c:v>
              </c:pt>
              <c:pt idx="2227">
                <c:v>0.49598601318682961</c:v>
              </c:pt>
              <c:pt idx="2228">
                <c:v>0.49632835624899191</c:v>
              </c:pt>
              <c:pt idx="2229">
                <c:v>0.49632835624899191</c:v>
              </c:pt>
              <c:pt idx="2230">
                <c:v>0.49667069931115437</c:v>
              </c:pt>
              <c:pt idx="2231">
                <c:v>0.49667069931115437</c:v>
              </c:pt>
              <c:pt idx="2232">
                <c:v>0.49701304237331662</c:v>
              </c:pt>
              <c:pt idx="2233">
                <c:v>0.49701304237331662</c:v>
              </c:pt>
              <c:pt idx="2234">
                <c:v>0.49735538543547914</c:v>
              </c:pt>
              <c:pt idx="2235">
                <c:v>0.49735538543547914</c:v>
              </c:pt>
              <c:pt idx="2236">
                <c:v>0.49769772849764154</c:v>
              </c:pt>
              <c:pt idx="2237">
                <c:v>0.49769772849764154</c:v>
              </c:pt>
              <c:pt idx="2238">
                <c:v>0.49804007155980407</c:v>
              </c:pt>
              <c:pt idx="2239">
                <c:v>0.49804007155980407</c:v>
              </c:pt>
              <c:pt idx="2240">
                <c:v>0.49838241462196636</c:v>
              </c:pt>
              <c:pt idx="2241">
                <c:v>0.49838241462196636</c:v>
              </c:pt>
              <c:pt idx="2242">
                <c:v>0.49872475768412872</c:v>
              </c:pt>
              <c:pt idx="2243">
                <c:v>0.49872475768412872</c:v>
              </c:pt>
              <c:pt idx="2244">
                <c:v>0.49906710074629101</c:v>
              </c:pt>
              <c:pt idx="2245">
                <c:v>0.49906710074629101</c:v>
              </c:pt>
              <c:pt idx="2246">
                <c:v>0.49940944380845353</c:v>
              </c:pt>
              <c:pt idx="2247">
                <c:v>0.49940944380845353</c:v>
              </c:pt>
              <c:pt idx="2248">
                <c:v>0.49975178687061594</c:v>
              </c:pt>
              <c:pt idx="2249">
                <c:v>0.49975178687061594</c:v>
              </c:pt>
              <c:pt idx="2250">
                <c:v>0.50009412993277802</c:v>
              </c:pt>
              <c:pt idx="2251">
                <c:v>0.50009412993277802</c:v>
              </c:pt>
              <c:pt idx="2252">
                <c:v>0.50043647299494032</c:v>
              </c:pt>
              <c:pt idx="2253">
                <c:v>0.50043647299494032</c:v>
              </c:pt>
              <c:pt idx="2254">
                <c:v>0.5007788160571035</c:v>
              </c:pt>
              <c:pt idx="2255">
                <c:v>0.5007788160571035</c:v>
              </c:pt>
              <c:pt idx="2256">
                <c:v>0.50112115911926536</c:v>
              </c:pt>
              <c:pt idx="2257">
                <c:v>0.50112115911926536</c:v>
              </c:pt>
              <c:pt idx="2258">
                <c:v>0.50146350218142755</c:v>
              </c:pt>
              <c:pt idx="2259">
                <c:v>0.50146350218142755</c:v>
              </c:pt>
              <c:pt idx="2260">
                <c:v>0.50180584524359062</c:v>
              </c:pt>
              <c:pt idx="2261">
                <c:v>0.50180584524359062</c:v>
              </c:pt>
              <c:pt idx="2262">
                <c:v>0.50214818830575259</c:v>
              </c:pt>
              <c:pt idx="2263">
                <c:v>0.50214818830575259</c:v>
              </c:pt>
              <c:pt idx="2264">
                <c:v>0.50249053136791477</c:v>
              </c:pt>
              <c:pt idx="2265">
                <c:v>0.50249053136791477</c:v>
              </c:pt>
              <c:pt idx="2266">
                <c:v>0.50283287443007763</c:v>
              </c:pt>
              <c:pt idx="2267">
                <c:v>0.50283287443007763</c:v>
              </c:pt>
              <c:pt idx="2268">
                <c:v>0.50317521749223981</c:v>
              </c:pt>
              <c:pt idx="2269">
                <c:v>0.50317521749223981</c:v>
              </c:pt>
              <c:pt idx="2270">
                <c:v>0.503517560554402</c:v>
              </c:pt>
              <c:pt idx="2271">
                <c:v>0.503517560554402</c:v>
              </c:pt>
              <c:pt idx="2272">
                <c:v>0.50385990361656463</c:v>
              </c:pt>
              <c:pt idx="2273">
                <c:v>0.50385990361656463</c:v>
              </c:pt>
              <c:pt idx="2274">
                <c:v>0.50420224667872704</c:v>
              </c:pt>
              <c:pt idx="2275">
                <c:v>0.50420224667872704</c:v>
              </c:pt>
              <c:pt idx="2276">
                <c:v>0.50454458974088923</c:v>
              </c:pt>
              <c:pt idx="2277">
                <c:v>0.50454458974088923</c:v>
              </c:pt>
              <c:pt idx="2278">
                <c:v>0.50488693280305152</c:v>
              </c:pt>
              <c:pt idx="2279">
                <c:v>0.50488693280305152</c:v>
              </c:pt>
              <c:pt idx="2280">
                <c:v>0.50522927586521416</c:v>
              </c:pt>
              <c:pt idx="2281">
                <c:v>0.50522927586521416</c:v>
              </c:pt>
              <c:pt idx="2282">
                <c:v>0.50557161892737668</c:v>
              </c:pt>
              <c:pt idx="2283">
                <c:v>0.50557161892737668</c:v>
              </c:pt>
              <c:pt idx="2284">
                <c:v>0.50591396198953875</c:v>
              </c:pt>
              <c:pt idx="2285">
                <c:v>0.50591396198953875</c:v>
              </c:pt>
              <c:pt idx="2286">
                <c:v>0.50625630505170116</c:v>
              </c:pt>
              <c:pt idx="2287">
                <c:v>0.50625630505170116</c:v>
              </c:pt>
              <c:pt idx="2288">
                <c:v>0.50659864811386379</c:v>
              </c:pt>
              <c:pt idx="2289">
                <c:v>0.50659864811386379</c:v>
              </c:pt>
              <c:pt idx="2290">
                <c:v>0.5069409911760262</c:v>
              </c:pt>
              <c:pt idx="2291">
                <c:v>0.5069409911760262</c:v>
              </c:pt>
              <c:pt idx="2292">
                <c:v>0.50728333423818861</c:v>
              </c:pt>
              <c:pt idx="2293">
                <c:v>0.50728333423818861</c:v>
              </c:pt>
              <c:pt idx="2294">
                <c:v>0.50762567730035124</c:v>
              </c:pt>
              <c:pt idx="2295">
                <c:v>0.50762567730035124</c:v>
              </c:pt>
              <c:pt idx="2296">
                <c:v>0.50796802036251343</c:v>
              </c:pt>
              <c:pt idx="2297">
                <c:v>0.50796802036251343</c:v>
              </c:pt>
              <c:pt idx="2298">
                <c:v>0.50831036342467562</c:v>
              </c:pt>
              <c:pt idx="2299">
                <c:v>0.50831036342467562</c:v>
              </c:pt>
              <c:pt idx="2300">
                <c:v>0.50865270648683814</c:v>
              </c:pt>
              <c:pt idx="2301">
                <c:v>0.50865270648683814</c:v>
              </c:pt>
              <c:pt idx="2302">
                <c:v>0.50899504954900077</c:v>
              </c:pt>
              <c:pt idx="2303">
                <c:v>0.50899504954900077</c:v>
              </c:pt>
              <c:pt idx="2304">
                <c:v>0.50933739261116273</c:v>
              </c:pt>
              <c:pt idx="2305">
                <c:v>0.50933739261116273</c:v>
              </c:pt>
              <c:pt idx="2306">
                <c:v>0.50967973567332581</c:v>
              </c:pt>
              <c:pt idx="2307">
                <c:v>0.50967973567332581</c:v>
              </c:pt>
              <c:pt idx="2308">
                <c:v>0.51002207873548777</c:v>
              </c:pt>
              <c:pt idx="2309">
                <c:v>0.51002207873548777</c:v>
              </c:pt>
              <c:pt idx="2310">
                <c:v>0.51036442179764974</c:v>
              </c:pt>
              <c:pt idx="2311">
                <c:v>0.51036442179764974</c:v>
              </c:pt>
              <c:pt idx="2312">
                <c:v>0.51070676485981259</c:v>
              </c:pt>
              <c:pt idx="2313">
                <c:v>0.51070676485981259</c:v>
              </c:pt>
              <c:pt idx="2314">
                <c:v>0.511049107921975</c:v>
              </c:pt>
              <c:pt idx="2315">
                <c:v>0.511049107921975</c:v>
              </c:pt>
              <c:pt idx="2316">
                <c:v>0.51139145098413763</c:v>
              </c:pt>
              <c:pt idx="2317">
                <c:v>0.51139145098413763</c:v>
              </c:pt>
              <c:pt idx="2318">
                <c:v>0.51173379404629959</c:v>
              </c:pt>
              <c:pt idx="2319">
                <c:v>0.51173379404629959</c:v>
              </c:pt>
              <c:pt idx="2320">
                <c:v>0.51207613710846223</c:v>
              </c:pt>
              <c:pt idx="2321">
                <c:v>0.51207613710846223</c:v>
              </c:pt>
              <c:pt idx="2322">
                <c:v>0.5124184801706243</c:v>
              </c:pt>
              <c:pt idx="2323">
                <c:v>0.5124184801706243</c:v>
              </c:pt>
              <c:pt idx="2324">
                <c:v>0.51276082323278693</c:v>
              </c:pt>
              <c:pt idx="2325">
                <c:v>0.51276082323278693</c:v>
              </c:pt>
              <c:pt idx="2326">
                <c:v>0.51310316629494912</c:v>
              </c:pt>
              <c:pt idx="2327">
                <c:v>0.51310316629494912</c:v>
              </c:pt>
              <c:pt idx="2328">
                <c:v>0.51344550935711153</c:v>
              </c:pt>
              <c:pt idx="2329">
                <c:v>0.51344550935711153</c:v>
              </c:pt>
              <c:pt idx="2330">
                <c:v>0.5137878524192746</c:v>
              </c:pt>
              <c:pt idx="2331">
                <c:v>0.5137878524192746</c:v>
              </c:pt>
              <c:pt idx="2332">
                <c:v>0.51413019548143657</c:v>
              </c:pt>
              <c:pt idx="2333">
                <c:v>0.51413019548143657</c:v>
              </c:pt>
              <c:pt idx="2334">
                <c:v>0.5144725385435992</c:v>
              </c:pt>
              <c:pt idx="2335">
                <c:v>0.5144725385435992</c:v>
              </c:pt>
              <c:pt idx="2336">
                <c:v>0.51481488160576139</c:v>
              </c:pt>
              <c:pt idx="2337">
                <c:v>0.51481488160576139</c:v>
              </c:pt>
              <c:pt idx="2338">
                <c:v>0.51515722466792357</c:v>
              </c:pt>
              <c:pt idx="2339">
                <c:v>0.51515722466792357</c:v>
              </c:pt>
              <c:pt idx="2340">
                <c:v>0.51549956773008621</c:v>
              </c:pt>
              <c:pt idx="2341">
                <c:v>0.51549956773008621</c:v>
              </c:pt>
              <c:pt idx="2342">
                <c:v>0.5158419107922485</c:v>
              </c:pt>
              <c:pt idx="2343">
                <c:v>0.5158419107922485</c:v>
              </c:pt>
              <c:pt idx="2344">
                <c:v>0.51618425385441102</c:v>
              </c:pt>
              <c:pt idx="2345">
                <c:v>0.51618425385441102</c:v>
              </c:pt>
              <c:pt idx="2346">
                <c:v>0.51652659691657332</c:v>
              </c:pt>
              <c:pt idx="2347">
                <c:v>0.51652659691657332</c:v>
              </c:pt>
              <c:pt idx="2348">
                <c:v>0.51686893997873551</c:v>
              </c:pt>
              <c:pt idx="2349">
                <c:v>0.51686893997873551</c:v>
              </c:pt>
              <c:pt idx="2350">
                <c:v>0.51721128304089814</c:v>
              </c:pt>
              <c:pt idx="2351">
                <c:v>0.51721128304089814</c:v>
              </c:pt>
              <c:pt idx="2352">
                <c:v>0.51755362610306055</c:v>
              </c:pt>
              <c:pt idx="2353">
                <c:v>0.51755362610306055</c:v>
              </c:pt>
              <c:pt idx="2354">
                <c:v>0.51789596916522296</c:v>
              </c:pt>
              <c:pt idx="2355">
                <c:v>0.51789596916522296</c:v>
              </c:pt>
              <c:pt idx="2356">
                <c:v>0.51823831222738559</c:v>
              </c:pt>
              <c:pt idx="2357">
                <c:v>0.51823831222738559</c:v>
              </c:pt>
              <c:pt idx="2358">
                <c:v>0.51858065528954778</c:v>
              </c:pt>
              <c:pt idx="2359">
                <c:v>0.51858065528954778</c:v>
              </c:pt>
              <c:pt idx="2360">
                <c:v>0.51892299835171019</c:v>
              </c:pt>
              <c:pt idx="2361">
                <c:v>0.51892299835171019</c:v>
              </c:pt>
              <c:pt idx="2362">
                <c:v>0.51926534141387271</c:v>
              </c:pt>
              <c:pt idx="2363">
                <c:v>0.51926534141387271</c:v>
              </c:pt>
              <c:pt idx="2364">
                <c:v>0.51941205986908479</c:v>
              </c:pt>
              <c:pt idx="2365">
                <c:v>0.51941205986908479</c:v>
              </c:pt>
              <c:pt idx="2366">
                <c:v>0.51941205986908479</c:v>
              </c:pt>
              <c:pt idx="2367">
                <c:v>0.51941205986908479</c:v>
              </c:pt>
              <c:pt idx="2368">
                <c:v>0.51941205986908479</c:v>
              </c:pt>
              <c:pt idx="2369">
                <c:v>0.51941205986908479</c:v>
              </c:pt>
              <c:pt idx="2370">
                <c:v>0.51975440293124742</c:v>
              </c:pt>
              <c:pt idx="2371">
                <c:v>0.51975440293124742</c:v>
              </c:pt>
              <c:pt idx="2372">
                <c:v>0.5200967459934096</c:v>
              </c:pt>
              <c:pt idx="2373">
                <c:v>0.5200967459934096</c:v>
              </c:pt>
              <c:pt idx="2374">
                <c:v>0.52043908905557223</c:v>
              </c:pt>
              <c:pt idx="2375">
                <c:v>0.52043908905557223</c:v>
              </c:pt>
              <c:pt idx="2376">
                <c:v>0.52078143211773464</c:v>
              </c:pt>
              <c:pt idx="2377">
                <c:v>0.52078143211773464</c:v>
              </c:pt>
              <c:pt idx="2378">
                <c:v>0.52112377517989705</c:v>
              </c:pt>
              <c:pt idx="2379">
                <c:v>0.52112377517989705</c:v>
              </c:pt>
              <c:pt idx="2380">
                <c:v>0.52146611824205891</c:v>
              </c:pt>
              <c:pt idx="2381">
                <c:v>0.52146611824205891</c:v>
              </c:pt>
              <c:pt idx="2382">
                <c:v>0.52180846130422176</c:v>
              </c:pt>
              <c:pt idx="2383">
                <c:v>0.52180846130422176</c:v>
              </c:pt>
              <c:pt idx="2384">
                <c:v>0.52215080436638439</c:v>
              </c:pt>
              <c:pt idx="2385">
                <c:v>0.52215080436638439</c:v>
              </c:pt>
              <c:pt idx="2386">
                <c:v>0.52249314742854669</c:v>
              </c:pt>
              <c:pt idx="2387">
                <c:v>0.52249314742854669</c:v>
              </c:pt>
              <c:pt idx="2388">
                <c:v>0.52283549049070921</c:v>
              </c:pt>
              <c:pt idx="2389">
                <c:v>0.52283549049070921</c:v>
              </c:pt>
              <c:pt idx="2390">
                <c:v>0.52317783355287173</c:v>
              </c:pt>
              <c:pt idx="2391">
                <c:v>0.52317783355287173</c:v>
              </c:pt>
              <c:pt idx="2392">
                <c:v>0.52352017661503381</c:v>
              </c:pt>
              <c:pt idx="2393">
                <c:v>0.52352017661503381</c:v>
              </c:pt>
              <c:pt idx="2394">
                <c:v>0.52386251967719621</c:v>
              </c:pt>
              <c:pt idx="2395">
                <c:v>0.52386251967719621</c:v>
              </c:pt>
              <c:pt idx="2396">
                <c:v>0.52420486273935851</c:v>
              </c:pt>
              <c:pt idx="2397">
                <c:v>0.52420486273935851</c:v>
              </c:pt>
              <c:pt idx="2398">
                <c:v>0.52454720580152081</c:v>
              </c:pt>
              <c:pt idx="2399">
                <c:v>0.52454720580152081</c:v>
              </c:pt>
              <c:pt idx="2400">
                <c:v>0.52488954886368344</c:v>
              </c:pt>
              <c:pt idx="2401">
                <c:v>0.52488954886368344</c:v>
              </c:pt>
              <c:pt idx="2402">
                <c:v>0.52523189192584563</c:v>
              </c:pt>
              <c:pt idx="2403">
                <c:v>0.52523189192584563</c:v>
              </c:pt>
              <c:pt idx="2404">
                <c:v>0.52557423498800815</c:v>
              </c:pt>
              <c:pt idx="2405">
                <c:v>0.52557423498800815</c:v>
              </c:pt>
              <c:pt idx="2406">
                <c:v>0.52591657805017067</c:v>
              </c:pt>
              <c:pt idx="2407">
                <c:v>0.52591657805017067</c:v>
              </c:pt>
              <c:pt idx="2408">
                <c:v>0.52625892111233274</c:v>
              </c:pt>
              <c:pt idx="2409">
                <c:v>0.52625892111233274</c:v>
              </c:pt>
              <c:pt idx="2410">
                <c:v>0.52660126417449571</c:v>
              </c:pt>
              <c:pt idx="2411">
                <c:v>0.52660126417449571</c:v>
              </c:pt>
              <c:pt idx="2412">
                <c:v>0.52694360723665779</c:v>
              </c:pt>
              <c:pt idx="2413">
                <c:v>0.52694360723665779</c:v>
              </c:pt>
              <c:pt idx="2414">
                <c:v>0.52728595029882042</c:v>
              </c:pt>
              <c:pt idx="2415">
                <c:v>0.52728595029882042</c:v>
              </c:pt>
              <c:pt idx="2416">
                <c:v>0.52762829336098283</c:v>
              </c:pt>
              <c:pt idx="2417">
                <c:v>0.52762829336098283</c:v>
              </c:pt>
              <c:pt idx="2418">
                <c:v>0.52797063642314546</c:v>
              </c:pt>
              <c:pt idx="2419">
                <c:v>0.52797063642314546</c:v>
              </c:pt>
              <c:pt idx="2420">
                <c:v>0.5283129794853072</c:v>
              </c:pt>
              <c:pt idx="2421">
                <c:v>0.5283129794853072</c:v>
              </c:pt>
              <c:pt idx="2422">
                <c:v>0.52865532254746983</c:v>
              </c:pt>
              <c:pt idx="2423">
                <c:v>0.52865532254746983</c:v>
              </c:pt>
              <c:pt idx="2424">
                <c:v>0.52899766560963224</c:v>
              </c:pt>
              <c:pt idx="2425">
                <c:v>0.52899766560963224</c:v>
              </c:pt>
              <c:pt idx="2426">
                <c:v>0.52934000867179465</c:v>
              </c:pt>
              <c:pt idx="2427">
                <c:v>0.52934000867179465</c:v>
              </c:pt>
              <c:pt idx="2428">
                <c:v>0.5296823517339565</c:v>
              </c:pt>
              <c:pt idx="2429">
                <c:v>0.5296823517339565</c:v>
              </c:pt>
              <c:pt idx="2430">
                <c:v>0.53002469479611958</c:v>
              </c:pt>
              <c:pt idx="2431">
                <c:v>0.53002469479611958</c:v>
              </c:pt>
              <c:pt idx="2432">
                <c:v>0.53036703785828176</c:v>
              </c:pt>
              <c:pt idx="2433">
                <c:v>0.53036703785828176</c:v>
              </c:pt>
              <c:pt idx="2434">
                <c:v>0.53070938092044417</c:v>
              </c:pt>
              <c:pt idx="2435">
                <c:v>0.53070938092044417</c:v>
              </c:pt>
              <c:pt idx="2436">
                <c:v>0.53105172398260658</c:v>
              </c:pt>
              <c:pt idx="2437">
                <c:v>0.53105172398260658</c:v>
              </c:pt>
              <c:pt idx="2438">
                <c:v>0.53139406704476899</c:v>
              </c:pt>
              <c:pt idx="2439">
                <c:v>0.53139406704476899</c:v>
              </c:pt>
              <c:pt idx="2440">
                <c:v>0.5317364101069314</c:v>
              </c:pt>
              <c:pt idx="2441">
                <c:v>0.5317364101069314</c:v>
              </c:pt>
              <c:pt idx="2442">
                <c:v>0.53207875316909403</c:v>
              </c:pt>
              <c:pt idx="2443">
                <c:v>0.53207875316909403</c:v>
              </c:pt>
              <c:pt idx="2444">
                <c:v>0.53242109623125622</c:v>
              </c:pt>
              <c:pt idx="2445">
                <c:v>0.53242109623125622</c:v>
              </c:pt>
              <c:pt idx="2446">
                <c:v>0.53276343929341863</c:v>
              </c:pt>
              <c:pt idx="2447">
                <c:v>0.53276343929341863</c:v>
              </c:pt>
              <c:pt idx="2448">
                <c:v>0.53310578235558115</c:v>
              </c:pt>
              <c:pt idx="2449">
                <c:v>0.53310578235558115</c:v>
              </c:pt>
              <c:pt idx="2450">
                <c:v>0.53344812541774311</c:v>
              </c:pt>
              <c:pt idx="2451">
                <c:v>0.53344812541774311</c:v>
              </c:pt>
              <c:pt idx="2452">
                <c:v>0.53379046847990574</c:v>
              </c:pt>
              <c:pt idx="2453">
                <c:v>0.53379046847990574</c:v>
              </c:pt>
              <c:pt idx="2454">
                <c:v>0.53413281154206793</c:v>
              </c:pt>
              <c:pt idx="2455">
                <c:v>0.53413281154206793</c:v>
              </c:pt>
              <c:pt idx="2456">
                <c:v>0.53447515460423067</c:v>
              </c:pt>
              <c:pt idx="2457">
                <c:v>0.53447515460423067</c:v>
              </c:pt>
              <c:pt idx="2458">
                <c:v>0.53481749766639319</c:v>
              </c:pt>
              <c:pt idx="2459">
                <c:v>0.53481749766639319</c:v>
              </c:pt>
              <c:pt idx="2460">
                <c:v>0.5351598407285556</c:v>
              </c:pt>
              <c:pt idx="2461">
                <c:v>0.5351598407285556</c:v>
              </c:pt>
              <c:pt idx="2462">
                <c:v>0.53550218379071746</c:v>
              </c:pt>
              <c:pt idx="2463">
                <c:v>0.53550218379071746</c:v>
              </c:pt>
              <c:pt idx="2464">
                <c:v>0.53584452685288042</c:v>
              </c:pt>
              <c:pt idx="2465">
                <c:v>0.53584452685288042</c:v>
              </c:pt>
              <c:pt idx="2466">
                <c:v>0.53618686991504227</c:v>
              </c:pt>
              <c:pt idx="2467">
                <c:v>0.53618686991504227</c:v>
              </c:pt>
              <c:pt idx="2468">
                <c:v>0.53652921297720502</c:v>
              </c:pt>
              <c:pt idx="2469">
                <c:v>0.53652921297720502</c:v>
              </c:pt>
              <c:pt idx="2470">
                <c:v>0.53687155603936765</c:v>
              </c:pt>
              <c:pt idx="2471">
                <c:v>0.53687155603936765</c:v>
              </c:pt>
              <c:pt idx="2472">
                <c:v>0.5372138991015295</c:v>
              </c:pt>
              <c:pt idx="2473">
                <c:v>0.5372138991015295</c:v>
              </c:pt>
              <c:pt idx="2474">
                <c:v>0.53755624216369213</c:v>
              </c:pt>
              <c:pt idx="2475">
                <c:v>0.53755624216369213</c:v>
              </c:pt>
              <c:pt idx="2476">
                <c:v>0.53789858522585454</c:v>
              </c:pt>
              <c:pt idx="2477">
                <c:v>0.53789858522585454</c:v>
              </c:pt>
              <c:pt idx="2478">
                <c:v>0.53824092828801695</c:v>
              </c:pt>
              <c:pt idx="2479">
                <c:v>0.53824092828801695</c:v>
              </c:pt>
              <c:pt idx="2480">
                <c:v>0.53858327135017958</c:v>
              </c:pt>
              <c:pt idx="2481">
                <c:v>0.53858327135017958</c:v>
              </c:pt>
              <c:pt idx="2482">
                <c:v>0.53892561441234199</c:v>
              </c:pt>
              <c:pt idx="2483">
                <c:v>0.53892561441234199</c:v>
              </c:pt>
              <c:pt idx="2484">
                <c:v>0.5392679574745044</c:v>
              </c:pt>
              <c:pt idx="2485">
                <c:v>0.5392679574745044</c:v>
              </c:pt>
              <c:pt idx="2486">
                <c:v>0.53961030053666659</c:v>
              </c:pt>
              <c:pt idx="2487">
                <c:v>0.53961030053666659</c:v>
              </c:pt>
              <c:pt idx="2488">
                <c:v>0.53995264359882922</c:v>
              </c:pt>
              <c:pt idx="2489">
                <c:v>0.53995264359882922</c:v>
              </c:pt>
              <c:pt idx="2490">
                <c:v>0.54029498666099163</c:v>
              </c:pt>
              <c:pt idx="2491">
                <c:v>0.54029498666099163</c:v>
              </c:pt>
              <c:pt idx="2492">
                <c:v>0.54063732972315359</c:v>
              </c:pt>
              <c:pt idx="2493">
                <c:v>0.54063732972315359</c:v>
              </c:pt>
              <c:pt idx="2494">
                <c:v>0.54097967278531633</c:v>
              </c:pt>
              <c:pt idx="2495">
                <c:v>0.54097967278531633</c:v>
              </c:pt>
              <c:pt idx="2496">
                <c:v>0.54132201584747852</c:v>
              </c:pt>
              <c:pt idx="2497">
                <c:v>0.54132201584747852</c:v>
              </c:pt>
              <c:pt idx="2498">
                <c:v>0.54166435890964071</c:v>
              </c:pt>
              <c:pt idx="2499">
                <c:v>0.54166435890964071</c:v>
              </c:pt>
              <c:pt idx="2500">
                <c:v>0.54200670197180312</c:v>
              </c:pt>
              <c:pt idx="2501">
                <c:v>0.54200670197180312</c:v>
              </c:pt>
              <c:pt idx="2502">
                <c:v>0.54234904503396553</c:v>
              </c:pt>
              <c:pt idx="2503">
                <c:v>0.54234904503396553</c:v>
              </c:pt>
              <c:pt idx="2504">
                <c:v>0.54269138809612838</c:v>
              </c:pt>
              <c:pt idx="2505">
                <c:v>0.54269138809612838</c:v>
              </c:pt>
              <c:pt idx="2506">
                <c:v>0.54303373115829068</c:v>
              </c:pt>
              <c:pt idx="2507">
                <c:v>0.54303373115829068</c:v>
              </c:pt>
              <c:pt idx="2508">
                <c:v>0.54337607422045298</c:v>
              </c:pt>
              <c:pt idx="2509">
                <c:v>0.54337607422045298</c:v>
              </c:pt>
              <c:pt idx="2510">
                <c:v>0.54371841728261561</c:v>
              </c:pt>
              <c:pt idx="2511">
                <c:v>0.54371841728261561</c:v>
              </c:pt>
              <c:pt idx="2512">
                <c:v>0.54386513573782758</c:v>
              </c:pt>
              <c:pt idx="2513">
                <c:v>0.54386513573782758</c:v>
              </c:pt>
              <c:pt idx="2514">
                <c:v>0.54386513573782758</c:v>
              </c:pt>
              <c:pt idx="2515">
                <c:v>0.54386513573782758</c:v>
              </c:pt>
              <c:pt idx="2516">
                <c:v>0.54386513573782758</c:v>
              </c:pt>
              <c:pt idx="2517">
                <c:v>0.54386513573782758</c:v>
              </c:pt>
              <c:pt idx="2518">
                <c:v>0.54420747879999021</c:v>
              </c:pt>
              <c:pt idx="2519">
                <c:v>0.54420747879999021</c:v>
              </c:pt>
              <c:pt idx="2520">
                <c:v>0.54454982186215251</c:v>
              </c:pt>
              <c:pt idx="2521">
                <c:v>0.54454982186215251</c:v>
              </c:pt>
              <c:pt idx="2522">
                <c:v>0.5448921649243148</c:v>
              </c:pt>
              <c:pt idx="2523">
                <c:v>0.5448921649243148</c:v>
              </c:pt>
              <c:pt idx="2524">
                <c:v>0.54523450798647743</c:v>
              </c:pt>
              <c:pt idx="2525">
                <c:v>0.54523450798647743</c:v>
              </c:pt>
              <c:pt idx="2526">
                <c:v>0.54557685104863962</c:v>
              </c:pt>
              <c:pt idx="2527">
                <c:v>0.54557685104863962</c:v>
              </c:pt>
              <c:pt idx="2528">
                <c:v>0.54591919411080214</c:v>
              </c:pt>
              <c:pt idx="2529">
                <c:v>0.54591919411080214</c:v>
              </c:pt>
              <c:pt idx="2530">
                <c:v>0.54626153717296433</c:v>
              </c:pt>
              <c:pt idx="2531">
                <c:v>0.54626153717296433</c:v>
              </c:pt>
              <c:pt idx="2532">
                <c:v>0.54660388023512718</c:v>
              </c:pt>
              <c:pt idx="2533">
                <c:v>0.54660388023512718</c:v>
              </c:pt>
              <c:pt idx="2534">
                <c:v>0.54694622329728959</c:v>
              </c:pt>
              <c:pt idx="2535">
                <c:v>0.54694622329728959</c:v>
              </c:pt>
              <c:pt idx="2536">
                <c:v>0.54728856635945178</c:v>
              </c:pt>
              <c:pt idx="2537">
                <c:v>0.54728856635945178</c:v>
              </c:pt>
              <c:pt idx="2538">
                <c:v>0.54763090942161419</c:v>
              </c:pt>
              <c:pt idx="2539">
                <c:v>0.54763090942161419</c:v>
              </c:pt>
              <c:pt idx="2540">
                <c:v>0.54797325248377704</c:v>
              </c:pt>
              <c:pt idx="2541">
                <c:v>0.54797325248377704</c:v>
              </c:pt>
              <c:pt idx="2542">
                <c:v>0.54831559554593878</c:v>
              </c:pt>
              <c:pt idx="2543">
                <c:v>0.54831559554593878</c:v>
              </c:pt>
              <c:pt idx="2544">
                <c:v>0.54865793860810175</c:v>
              </c:pt>
              <c:pt idx="2545">
                <c:v>0.54865793860810175</c:v>
              </c:pt>
              <c:pt idx="2546">
                <c:v>0.5490002816702636</c:v>
              </c:pt>
              <c:pt idx="2547">
                <c:v>0.5490002816702636</c:v>
              </c:pt>
              <c:pt idx="2548">
                <c:v>0.54934262473242601</c:v>
              </c:pt>
              <c:pt idx="2549">
                <c:v>0.54934262473242601</c:v>
              </c:pt>
              <c:pt idx="2550">
                <c:v>0.54968496779458864</c:v>
              </c:pt>
              <c:pt idx="2551">
                <c:v>0.54968496779458864</c:v>
              </c:pt>
              <c:pt idx="2552">
                <c:v>0.55002731085675072</c:v>
              </c:pt>
              <c:pt idx="2553">
                <c:v>0.55002731085675072</c:v>
              </c:pt>
              <c:pt idx="2554">
                <c:v>0.55036965391891335</c:v>
              </c:pt>
              <c:pt idx="2555">
                <c:v>0.55036965391891335</c:v>
              </c:pt>
              <c:pt idx="2556">
                <c:v>0.55071199698107598</c:v>
              </c:pt>
              <c:pt idx="2557">
                <c:v>0.55071199698107598</c:v>
              </c:pt>
              <c:pt idx="2558">
                <c:v>0.55105434004323817</c:v>
              </c:pt>
              <c:pt idx="2559">
                <c:v>0.55105434004323817</c:v>
              </c:pt>
              <c:pt idx="2560">
                <c:v>0.55139668310540069</c:v>
              </c:pt>
              <c:pt idx="2561">
                <c:v>0.55139668310540069</c:v>
              </c:pt>
              <c:pt idx="2562">
                <c:v>0.55173902616756321</c:v>
              </c:pt>
              <c:pt idx="2563">
                <c:v>0.55173902616756321</c:v>
              </c:pt>
              <c:pt idx="2564">
                <c:v>0.55208136922972539</c:v>
              </c:pt>
              <c:pt idx="2565">
                <c:v>0.55208136922972539</c:v>
              </c:pt>
              <c:pt idx="2566">
                <c:v>0.55242371229188802</c:v>
              </c:pt>
              <c:pt idx="2567">
                <c:v>0.55242371229188802</c:v>
              </c:pt>
              <c:pt idx="2568">
                <c:v>0.55276605535405021</c:v>
              </c:pt>
              <c:pt idx="2569">
                <c:v>0.55276605535405021</c:v>
              </c:pt>
              <c:pt idx="2570">
                <c:v>0.55310839841621251</c:v>
              </c:pt>
              <c:pt idx="2571">
                <c:v>0.55310839841621251</c:v>
              </c:pt>
              <c:pt idx="2572">
                <c:v>0.55345074147837503</c:v>
              </c:pt>
              <c:pt idx="2573">
                <c:v>0.55345074147837503</c:v>
              </c:pt>
              <c:pt idx="2574">
                <c:v>0.55379308454053755</c:v>
              </c:pt>
              <c:pt idx="2575">
                <c:v>0.55379308454053755</c:v>
              </c:pt>
              <c:pt idx="2576">
                <c:v>0.55413542760269974</c:v>
              </c:pt>
              <c:pt idx="2577">
                <c:v>0.55413542760269974</c:v>
              </c:pt>
              <c:pt idx="2578">
                <c:v>0.55447777066486215</c:v>
              </c:pt>
              <c:pt idx="2579">
                <c:v>0.55447777066486215</c:v>
              </c:pt>
              <c:pt idx="2580">
                <c:v>0.55482011372702467</c:v>
              </c:pt>
              <c:pt idx="2581">
                <c:v>0.55482011372702467</c:v>
              </c:pt>
              <c:pt idx="2582">
                <c:v>0.55516245678918719</c:v>
              </c:pt>
              <c:pt idx="2583">
                <c:v>0.55516245678918719</c:v>
              </c:pt>
              <c:pt idx="2584">
                <c:v>0.55550479985134915</c:v>
              </c:pt>
              <c:pt idx="2585">
                <c:v>0.55550479985134915</c:v>
              </c:pt>
              <c:pt idx="2586">
                <c:v>0.555847142913512</c:v>
              </c:pt>
              <c:pt idx="2587">
                <c:v>0.555847142913512</c:v>
              </c:pt>
              <c:pt idx="2588">
                <c:v>0.55618948597567419</c:v>
              </c:pt>
              <c:pt idx="2589">
                <c:v>0.55618948597567419</c:v>
              </c:pt>
              <c:pt idx="2590">
                <c:v>0.55653182903783649</c:v>
              </c:pt>
              <c:pt idx="2591">
                <c:v>0.55653182903783649</c:v>
              </c:pt>
              <c:pt idx="2592">
                <c:v>0.55687417209999923</c:v>
              </c:pt>
              <c:pt idx="2593">
                <c:v>0.55687417209999923</c:v>
              </c:pt>
              <c:pt idx="2594">
                <c:v>0.5572165151621612</c:v>
              </c:pt>
              <c:pt idx="2595">
                <c:v>0.5572165151621612</c:v>
              </c:pt>
              <c:pt idx="2596">
                <c:v>0.55755885822432372</c:v>
              </c:pt>
              <c:pt idx="2597">
                <c:v>0.55755885822432372</c:v>
              </c:pt>
              <c:pt idx="2598">
                <c:v>0.55790120128648635</c:v>
              </c:pt>
              <c:pt idx="2599">
                <c:v>0.55790120128648635</c:v>
              </c:pt>
              <c:pt idx="2600">
                <c:v>0.55824354434864853</c:v>
              </c:pt>
              <c:pt idx="2601">
                <c:v>0.55824354434864853</c:v>
              </c:pt>
              <c:pt idx="2602">
                <c:v>0.55858588741081094</c:v>
              </c:pt>
              <c:pt idx="2603">
                <c:v>0.55858588741081094</c:v>
              </c:pt>
              <c:pt idx="2604">
                <c:v>0.55892823047297369</c:v>
              </c:pt>
              <c:pt idx="2605">
                <c:v>0.55892823047297369</c:v>
              </c:pt>
              <c:pt idx="2606">
                <c:v>0.55927057353513598</c:v>
              </c:pt>
              <c:pt idx="2607">
                <c:v>0.55927057353513598</c:v>
              </c:pt>
              <c:pt idx="2608">
                <c:v>0.55961291659729839</c:v>
              </c:pt>
              <c:pt idx="2609">
                <c:v>0.55961291659729839</c:v>
              </c:pt>
              <c:pt idx="2610">
                <c:v>0.55995525965946091</c:v>
              </c:pt>
              <c:pt idx="2611">
                <c:v>0.55995525965946091</c:v>
              </c:pt>
              <c:pt idx="2612">
                <c:v>0.56029760272162299</c:v>
              </c:pt>
              <c:pt idx="2613">
                <c:v>0.56029760272162299</c:v>
              </c:pt>
              <c:pt idx="2614">
                <c:v>0.56063994578378562</c:v>
              </c:pt>
              <c:pt idx="2615">
                <c:v>0.56063994578378562</c:v>
              </c:pt>
              <c:pt idx="2616">
                <c:v>0.56098228884594747</c:v>
              </c:pt>
              <c:pt idx="2617">
                <c:v>0.56098228884594747</c:v>
              </c:pt>
              <c:pt idx="2618">
                <c:v>0.56132463190811044</c:v>
              </c:pt>
              <c:pt idx="2619">
                <c:v>0.56132463190811044</c:v>
              </c:pt>
              <c:pt idx="2620">
                <c:v>0.56166697497027251</c:v>
              </c:pt>
              <c:pt idx="2621">
                <c:v>0.56166697497027251</c:v>
              </c:pt>
              <c:pt idx="2622">
                <c:v>0.56200931803243492</c:v>
              </c:pt>
              <c:pt idx="2623">
                <c:v>0.56200931803243492</c:v>
              </c:pt>
              <c:pt idx="2624">
                <c:v>0.56235166109459755</c:v>
              </c:pt>
              <c:pt idx="2625">
                <c:v>0.56235166109459755</c:v>
              </c:pt>
              <c:pt idx="2626">
                <c:v>0.56269400415675974</c:v>
              </c:pt>
              <c:pt idx="2627">
                <c:v>0.56269400415675974</c:v>
              </c:pt>
              <c:pt idx="2628">
                <c:v>0.56303634721892193</c:v>
              </c:pt>
              <c:pt idx="2629">
                <c:v>0.56303634721892193</c:v>
              </c:pt>
              <c:pt idx="2630">
                <c:v>0.56337869028108489</c:v>
              </c:pt>
              <c:pt idx="2631">
                <c:v>0.56337869028108489</c:v>
              </c:pt>
              <c:pt idx="2632">
                <c:v>0.56372103334324741</c:v>
              </c:pt>
              <c:pt idx="2633">
                <c:v>0.56372103334324741</c:v>
              </c:pt>
              <c:pt idx="2634">
                <c:v>0.5640633764054096</c:v>
              </c:pt>
              <c:pt idx="2635">
                <c:v>0.5640633764054096</c:v>
              </c:pt>
              <c:pt idx="2636">
                <c:v>0.56440571946757201</c:v>
              </c:pt>
              <c:pt idx="2637">
                <c:v>0.56440571946757201</c:v>
              </c:pt>
              <c:pt idx="2638">
                <c:v>0.56474806252973464</c:v>
              </c:pt>
              <c:pt idx="2639">
                <c:v>0.56474806252973464</c:v>
              </c:pt>
              <c:pt idx="2640">
                <c:v>0.56509040559189683</c:v>
              </c:pt>
              <c:pt idx="2641">
                <c:v>0.56509040559189683</c:v>
              </c:pt>
              <c:pt idx="2642">
                <c:v>0.56543274865405868</c:v>
              </c:pt>
              <c:pt idx="2643">
                <c:v>0.56543274865405868</c:v>
              </c:pt>
              <c:pt idx="2644">
                <c:v>0.56577509171622131</c:v>
              </c:pt>
              <c:pt idx="2645">
                <c:v>0.56577509171622131</c:v>
              </c:pt>
              <c:pt idx="2646">
                <c:v>0.56611743477838372</c:v>
              </c:pt>
              <c:pt idx="2647">
                <c:v>0.56611743477838372</c:v>
              </c:pt>
              <c:pt idx="2648">
                <c:v>0.56645977784054613</c:v>
              </c:pt>
              <c:pt idx="2649">
                <c:v>0.56645977784054613</c:v>
              </c:pt>
              <c:pt idx="2650">
                <c:v>0.56680212090270832</c:v>
              </c:pt>
              <c:pt idx="2651">
                <c:v>0.56680212090270832</c:v>
              </c:pt>
              <c:pt idx="2652">
                <c:v>0.56714446396487128</c:v>
              </c:pt>
              <c:pt idx="2653">
                <c:v>0.56714446396487128</c:v>
              </c:pt>
              <c:pt idx="2654">
                <c:v>0.56748680702703336</c:v>
              </c:pt>
              <c:pt idx="2655">
                <c:v>0.56748680702703336</c:v>
              </c:pt>
              <c:pt idx="2656">
                <c:v>0.56782915008919621</c:v>
              </c:pt>
              <c:pt idx="2657">
                <c:v>0.56782915008919621</c:v>
              </c:pt>
              <c:pt idx="2658">
                <c:v>0.5681714931513584</c:v>
              </c:pt>
              <c:pt idx="2659">
                <c:v>0.5681714931513584</c:v>
              </c:pt>
              <c:pt idx="2660">
                <c:v>0.56831821160657092</c:v>
              </c:pt>
              <c:pt idx="2661">
                <c:v>0.56831821160657092</c:v>
              </c:pt>
              <c:pt idx="2662">
                <c:v>0.56831821160657092</c:v>
              </c:pt>
              <c:pt idx="2663">
                <c:v>0.56831821160657092</c:v>
              </c:pt>
              <c:pt idx="2664">
                <c:v>0.56831821160657092</c:v>
              </c:pt>
              <c:pt idx="2665">
                <c:v>0.56831821160657092</c:v>
              </c:pt>
              <c:pt idx="2666">
                <c:v>0.56866055466873333</c:v>
              </c:pt>
              <c:pt idx="2667">
                <c:v>0.56866055466873333</c:v>
              </c:pt>
              <c:pt idx="2668">
                <c:v>0.56900289773089563</c:v>
              </c:pt>
              <c:pt idx="2669">
                <c:v>0.56900289773089563</c:v>
              </c:pt>
              <c:pt idx="2670">
                <c:v>0.56934524079305793</c:v>
              </c:pt>
              <c:pt idx="2671">
                <c:v>0.56934524079305793</c:v>
              </c:pt>
              <c:pt idx="2672">
                <c:v>0.56968758385522011</c:v>
              </c:pt>
              <c:pt idx="2673">
                <c:v>0.56968758385522011</c:v>
              </c:pt>
              <c:pt idx="2674">
                <c:v>0.57002992691738275</c:v>
              </c:pt>
              <c:pt idx="2675">
                <c:v>0.57002992691738275</c:v>
              </c:pt>
              <c:pt idx="2676">
                <c:v>0.57037226997954482</c:v>
              </c:pt>
              <c:pt idx="2677">
                <c:v>0.57037226997954482</c:v>
              </c:pt>
              <c:pt idx="2678">
                <c:v>0.57071461304170779</c:v>
              </c:pt>
              <c:pt idx="2679">
                <c:v>0.57071461304170779</c:v>
              </c:pt>
              <c:pt idx="2680">
                <c:v>0.57105695610387008</c:v>
              </c:pt>
              <c:pt idx="2681">
                <c:v>0.57105695610387008</c:v>
              </c:pt>
              <c:pt idx="2682">
                <c:v>0.57139929916603249</c:v>
              </c:pt>
              <c:pt idx="2683">
                <c:v>0.57139929916603249</c:v>
              </c:pt>
              <c:pt idx="2684">
                <c:v>0.57174164222819535</c:v>
              </c:pt>
              <c:pt idx="2685">
                <c:v>0.57174164222819535</c:v>
              </c:pt>
              <c:pt idx="2686">
                <c:v>0.57208398529035687</c:v>
              </c:pt>
              <c:pt idx="2687">
                <c:v>0.57208398529035687</c:v>
              </c:pt>
              <c:pt idx="2688">
                <c:v>0.5724263283525195</c:v>
              </c:pt>
              <c:pt idx="2689">
                <c:v>0.5724263283525195</c:v>
              </c:pt>
              <c:pt idx="2690">
                <c:v>0.57276867141468213</c:v>
              </c:pt>
              <c:pt idx="2691">
                <c:v>0.57276867141468213</c:v>
              </c:pt>
              <c:pt idx="2692">
                <c:v>0.57311101447684454</c:v>
              </c:pt>
              <c:pt idx="2693">
                <c:v>0.57311101447684454</c:v>
              </c:pt>
              <c:pt idx="2694">
                <c:v>0.57345335753900673</c:v>
              </c:pt>
              <c:pt idx="2695">
                <c:v>0.57345335753900673</c:v>
              </c:pt>
              <c:pt idx="2696">
                <c:v>0.57379570060116936</c:v>
              </c:pt>
              <c:pt idx="2697">
                <c:v>0.57379570060116936</c:v>
              </c:pt>
              <c:pt idx="2698">
                <c:v>0.57413804366333165</c:v>
              </c:pt>
              <c:pt idx="2699">
                <c:v>0.57413804366333165</c:v>
              </c:pt>
              <c:pt idx="2700">
                <c:v>0.57448038672549362</c:v>
              </c:pt>
              <c:pt idx="2701">
                <c:v>0.57448038672549362</c:v>
              </c:pt>
              <c:pt idx="2702">
                <c:v>0.57482272978765581</c:v>
              </c:pt>
              <c:pt idx="2703">
                <c:v>0.57482272978765581</c:v>
              </c:pt>
              <c:pt idx="2704">
                <c:v>0.57516507284981888</c:v>
              </c:pt>
              <c:pt idx="2705">
                <c:v>0.57516507284981888</c:v>
              </c:pt>
              <c:pt idx="2706">
                <c:v>0.57550741591198107</c:v>
              </c:pt>
              <c:pt idx="2707">
                <c:v>0.57550741591198107</c:v>
              </c:pt>
              <c:pt idx="2708">
                <c:v>0.57584975897414381</c:v>
              </c:pt>
              <c:pt idx="2709">
                <c:v>0.57584975897414381</c:v>
              </c:pt>
              <c:pt idx="2710">
                <c:v>0.57619210203630589</c:v>
              </c:pt>
              <c:pt idx="2711">
                <c:v>0.57619210203630589</c:v>
              </c:pt>
              <c:pt idx="2712">
                <c:v>0.5765344450984683</c:v>
              </c:pt>
              <c:pt idx="2713">
                <c:v>0.5765344450984683</c:v>
              </c:pt>
              <c:pt idx="2714">
                <c:v>0.57687678816063059</c:v>
              </c:pt>
              <c:pt idx="2715">
                <c:v>0.57687678816063059</c:v>
              </c:pt>
              <c:pt idx="2716">
                <c:v>0.57721913122279311</c:v>
              </c:pt>
              <c:pt idx="2717">
                <c:v>0.57721913122279311</c:v>
              </c:pt>
              <c:pt idx="2718">
                <c:v>0.57756147428495552</c:v>
              </c:pt>
              <c:pt idx="2719">
                <c:v>0.57756147428495552</c:v>
              </c:pt>
              <c:pt idx="2720">
                <c:v>0.57790381734711815</c:v>
              </c:pt>
              <c:pt idx="2721">
                <c:v>0.57790381734711815</c:v>
              </c:pt>
              <c:pt idx="2722">
                <c:v>0.57824616040928023</c:v>
              </c:pt>
              <c:pt idx="2723">
                <c:v>0.57824616040928023</c:v>
              </c:pt>
              <c:pt idx="2724">
                <c:v>0.57858850347144253</c:v>
              </c:pt>
              <c:pt idx="2725">
                <c:v>0.57858850347144253</c:v>
              </c:pt>
              <c:pt idx="2726">
                <c:v>0.57893084653360538</c:v>
              </c:pt>
              <c:pt idx="2727">
                <c:v>0.57893084653360538</c:v>
              </c:pt>
              <c:pt idx="2728">
                <c:v>0.57927318959576746</c:v>
              </c:pt>
              <c:pt idx="2729">
                <c:v>0.57927318959576746</c:v>
              </c:pt>
              <c:pt idx="2730">
                <c:v>0.57961553265793009</c:v>
              </c:pt>
              <c:pt idx="2731">
                <c:v>0.57961553265793009</c:v>
              </c:pt>
              <c:pt idx="2732">
                <c:v>0.5799578757200925</c:v>
              </c:pt>
              <c:pt idx="2733">
                <c:v>0.5799578757200925</c:v>
              </c:pt>
              <c:pt idx="2734">
                <c:v>0.58030021878225435</c:v>
              </c:pt>
              <c:pt idx="2735">
                <c:v>0.58030021878225435</c:v>
              </c:pt>
              <c:pt idx="2736">
                <c:v>0.58064256184441687</c:v>
              </c:pt>
              <c:pt idx="2737">
                <c:v>0.58064256184441687</c:v>
              </c:pt>
              <c:pt idx="2738">
                <c:v>0.5809849049065795</c:v>
              </c:pt>
              <c:pt idx="2739">
                <c:v>0.5809849049065795</c:v>
              </c:pt>
              <c:pt idx="2740">
                <c:v>0.58132724796874169</c:v>
              </c:pt>
              <c:pt idx="2741">
                <c:v>0.58132724796874169</c:v>
              </c:pt>
              <c:pt idx="2742">
                <c:v>0.5816695910309041</c:v>
              </c:pt>
              <c:pt idx="2743">
                <c:v>0.5816695910309041</c:v>
              </c:pt>
              <c:pt idx="2744">
                <c:v>0.58201193409306651</c:v>
              </c:pt>
              <c:pt idx="2745">
                <c:v>0.58201193409306651</c:v>
              </c:pt>
              <c:pt idx="2746">
                <c:v>0.58235427715522881</c:v>
              </c:pt>
              <c:pt idx="2747">
                <c:v>0.58235427715522881</c:v>
              </c:pt>
              <c:pt idx="2748">
                <c:v>0.58269662021739144</c:v>
              </c:pt>
              <c:pt idx="2749">
                <c:v>0.58269662021739144</c:v>
              </c:pt>
              <c:pt idx="2750">
                <c:v>0.58303896327955362</c:v>
              </c:pt>
              <c:pt idx="2751">
                <c:v>0.58303896327955362</c:v>
              </c:pt>
              <c:pt idx="2752">
                <c:v>0.58338130634171603</c:v>
              </c:pt>
              <c:pt idx="2753">
                <c:v>0.58338130634171603</c:v>
              </c:pt>
              <c:pt idx="2754">
                <c:v>0.58372364940387889</c:v>
              </c:pt>
              <c:pt idx="2755">
                <c:v>0.58372364940387889</c:v>
              </c:pt>
              <c:pt idx="2756">
                <c:v>0.58406599246604107</c:v>
              </c:pt>
              <c:pt idx="2757">
                <c:v>0.58406599246604107</c:v>
              </c:pt>
              <c:pt idx="2758">
                <c:v>0.58440833552820348</c:v>
              </c:pt>
              <c:pt idx="2759">
                <c:v>0.58440833552820348</c:v>
              </c:pt>
              <c:pt idx="2760">
                <c:v>0.58475067859036589</c:v>
              </c:pt>
              <c:pt idx="2761">
                <c:v>0.58475067859036589</c:v>
              </c:pt>
              <c:pt idx="2762">
                <c:v>0.5850930216525283</c:v>
              </c:pt>
              <c:pt idx="2763">
                <c:v>0.5850930216525283</c:v>
              </c:pt>
              <c:pt idx="2764">
                <c:v>0.58543536471469038</c:v>
              </c:pt>
              <c:pt idx="2765">
                <c:v>0.58543536471469038</c:v>
              </c:pt>
              <c:pt idx="2766">
                <c:v>0.5857777077768529</c:v>
              </c:pt>
              <c:pt idx="2767">
                <c:v>0.5857777077768529</c:v>
              </c:pt>
              <c:pt idx="2768">
                <c:v>0.58612005083901542</c:v>
              </c:pt>
              <c:pt idx="2769">
                <c:v>0.58612005083901542</c:v>
              </c:pt>
              <c:pt idx="2770">
                <c:v>0.58646239390117738</c:v>
              </c:pt>
              <c:pt idx="2771">
                <c:v>0.58646239390117738</c:v>
              </c:pt>
              <c:pt idx="2772">
                <c:v>0.58680473696334023</c:v>
              </c:pt>
              <c:pt idx="2773">
                <c:v>0.58680473696334023</c:v>
              </c:pt>
              <c:pt idx="2774">
                <c:v>0.58714708002550253</c:v>
              </c:pt>
              <c:pt idx="2775">
                <c:v>0.58714708002550253</c:v>
              </c:pt>
              <c:pt idx="2776">
                <c:v>0.58748942308766461</c:v>
              </c:pt>
              <c:pt idx="2777">
                <c:v>0.58748942308766461</c:v>
              </c:pt>
              <c:pt idx="2778">
                <c:v>0.58783176614982768</c:v>
              </c:pt>
              <c:pt idx="2779">
                <c:v>0.58783176614982768</c:v>
              </c:pt>
              <c:pt idx="2780">
                <c:v>0.58817410921198965</c:v>
              </c:pt>
              <c:pt idx="2781">
                <c:v>0.58817410921198965</c:v>
              </c:pt>
              <c:pt idx="2782">
                <c:v>0.58851645227415228</c:v>
              </c:pt>
              <c:pt idx="2783">
                <c:v>0.58851645227415228</c:v>
              </c:pt>
              <c:pt idx="2784">
                <c:v>0.58885879533631458</c:v>
              </c:pt>
              <c:pt idx="2785">
                <c:v>0.58885879533631458</c:v>
              </c:pt>
              <c:pt idx="2786">
                <c:v>0.58920113839847732</c:v>
              </c:pt>
              <c:pt idx="2787">
                <c:v>0.58920113839847732</c:v>
              </c:pt>
              <c:pt idx="2788">
                <c:v>0.58954348146063928</c:v>
              </c:pt>
              <c:pt idx="2789">
                <c:v>0.58954348146063928</c:v>
              </c:pt>
              <c:pt idx="2790">
                <c:v>0.5898858245228018</c:v>
              </c:pt>
              <c:pt idx="2791">
                <c:v>0.5898858245228018</c:v>
              </c:pt>
              <c:pt idx="2792">
                <c:v>0.59022816758496399</c:v>
              </c:pt>
              <c:pt idx="2793">
                <c:v>0.59022816758496399</c:v>
              </c:pt>
              <c:pt idx="2794">
                <c:v>0.59057051064712651</c:v>
              </c:pt>
              <c:pt idx="2795">
                <c:v>0.59057051064712651</c:v>
              </c:pt>
              <c:pt idx="2796">
                <c:v>0.59091285370928881</c:v>
              </c:pt>
              <c:pt idx="2797">
                <c:v>0.59091285370928881</c:v>
              </c:pt>
              <c:pt idx="2798">
                <c:v>0.59125519677145122</c:v>
              </c:pt>
              <c:pt idx="2799">
                <c:v>0.59125519677145122</c:v>
              </c:pt>
              <c:pt idx="2800">
                <c:v>0.59159753983361341</c:v>
              </c:pt>
              <c:pt idx="2801">
                <c:v>0.59159753983361341</c:v>
              </c:pt>
              <c:pt idx="2802">
                <c:v>0.59193988289577648</c:v>
              </c:pt>
              <c:pt idx="2803">
                <c:v>0.59193988289577648</c:v>
              </c:pt>
              <c:pt idx="2804">
                <c:v>0.592282225957938</c:v>
              </c:pt>
              <c:pt idx="2805">
                <c:v>0.592282225957938</c:v>
              </c:pt>
              <c:pt idx="2806">
                <c:v>0.59262456902010108</c:v>
              </c:pt>
              <c:pt idx="2807">
                <c:v>0.59262456902010108</c:v>
              </c:pt>
              <c:pt idx="2808">
                <c:v>0.5927712874753136</c:v>
              </c:pt>
              <c:pt idx="2809">
                <c:v>0.5927712874753136</c:v>
              </c:pt>
              <c:pt idx="2810">
                <c:v>0.5927712874753136</c:v>
              </c:pt>
              <c:pt idx="2811">
                <c:v>0.5927712874753136</c:v>
              </c:pt>
              <c:pt idx="2812">
                <c:v>0.5927712874753136</c:v>
              </c:pt>
              <c:pt idx="2813">
                <c:v>0.5927712874753136</c:v>
              </c:pt>
              <c:pt idx="2814">
                <c:v>0.5931136305374759</c:v>
              </c:pt>
              <c:pt idx="2815">
                <c:v>0.5931136305374759</c:v>
              </c:pt>
              <c:pt idx="2816">
                <c:v>0.59345597359963831</c:v>
              </c:pt>
              <c:pt idx="2817">
                <c:v>0.59345597359963831</c:v>
              </c:pt>
              <c:pt idx="2818">
                <c:v>0.59379831666180094</c:v>
              </c:pt>
              <c:pt idx="2819">
                <c:v>0.59379831666180094</c:v>
              </c:pt>
              <c:pt idx="2820">
                <c:v>0.59414065972396291</c:v>
              </c:pt>
              <c:pt idx="2821">
                <c:v>0.59414065972396291</c:v>
              </c:pt>
              <c:pt idx="2822">
                <c:v>0.59448300278612531</c:v>
              </c:pt>
              <c:pt idx="2823">
                <c:v>0.59448300278612531</c:v>
              </c:pt>
              <c:pt idx="2824">
                <c:v>0.59482534584828761</c:v>
              </c:pt>
              <c:pt idx="2825">
                <c:v>0.59482534584828761</c:v>
              </c:pt>
              <c:pt idx="2826">
                <c:v>0.5951676889104498</c:v>
              </c:pt>
              <c:pt idx="2827">
                <c:v>0.5951676889104498</c:v>
              </c:pt>
              <c:pt idx="2828">
                <c:v>0.5955100319726121</c:v>
              </c:pt>
              <c:pt idx="2829">
                <c:v>0.5955100319726121</c:v>
              </c:pt>
              <c:pt idx="2830">
                <c:v>0.59585237503477506</c:v>
              </c:pt>
              <c:pt idx="2831">
                <c:v>0.59585237503477506</c:v>
              </c:pt>
              <c:pt idx="2832">
                <c:v>0.59619471809693747</c:v>
              </c:pt>
              <c:pt idx="2833">
                <c:v>0.59619471809693747</c:v>
              </c:pt>
              <c:pt idx="2834">
                <c:v>0.59653706115909966</c:v>
              </c:pt>
              <c:pt idx="2835">
                <c:v>0.59653706115909966</c:v>
              </c:pt>
              <c:pt idx="2836">
                <c:v>0.59687940422126229</c:v>
              </c:pt>
              <c:pt idx="2837">
                <c:v>0.59687940422126229</c:v>
              </c:pt>
              <c:pt idx="2838">
                <c:v>0.5972217472834247</c:v>
              </c:pt>
              <c:pt idx="2839">
                <c:v>0.5972217472834247</c:v>
              </c:pt>
              <c:pt idx="2840">
                <c:v>0.59756409034558711</c:v>
              </c:pt>
              <c:pt idx="2841">
                <c:v>0.59756409034558711</c:v>
              </c:pt>
              <c:pt idx="2842">
                <c:v>0.59790643340774952</c:v>
              </c:pt>
              <c:pt idx="2843">
                <c:v>0.59790643340774952</c:v>
              </c:pt>
              <c:pt idx="2844">
                <c:v>0.59824877646991192</c:v>
              </c:pt>
              <c:pt idx="2845">
                <c:v>0.59824877646991192</c:v>
              </c:pt>
              <c:pt idx="2846">
                <c:v>0.59859111953207433</c:v>
              </c:pt>
              <c:pt idx="2847">
                <c:v>0.59859111953207433</c:v>
              </c:pt>
              <c:pt idx="2848">
                <c:v>0.59893346259423652</c:v>
              </c:pt>
              <c:pt idx="2849">
                <c:v>0.59893346259423652</c:v>
              </c:pt>
              <c:pt idx="2850">
                <c:v>0.59927580565639904</c:v>
              </c:pt>
              <c:pt idx="2851">
                <c:v>0.59927580565639904</c:v>
              </c:pt>
              <c:pt idx="2852">
                <c:v>0.59961814871856123</c:v>
              </c:pt>
              <c:pt idx="2853">
                <c:v>0.59961814871856123</c:v>
              </c:pt>
              <c:pt idx="2854">
                <c:v>0.59996049178072353</c:v>
              </c:pt>
              <c:pt idx="2855">
                <c:v>0.59996049178072353</c:v>
              </c:pt>
              <c:pt idx="2856">
                <c:v>0.60030283484288649</c:v>
              </c:pt>
              <c:pt idx="2857">
                <c:v>0.60030283484288649</c:v>
              </c:pt>
              <c:pt idx="2858">
                <c:v>0.6006451779050489</c:v>
              </c:pt>
              <c:pt idx="2859">
                <c:v>0.6006451779050489</c:v>
              </c:pt>
              <c:pt idx="2860">
                <c:v>0.60098752096721086</c:v>
              </c:pt>
              <c:pt idx="2861">
                <c:v>0.60098752096721086</c:v>
              </c:pt>
              <c:pt idx="2862">
                <c:v>0.60132986402937383</c:v>
              </c:pt>
              <c:pt idx="2863">
                <c:v>0.60132986402937383</c:v>
              </c:pt>
              <c:pt idx="2864">
                <c:v>0.60167220709153613</c:v>
              </c:pt>
              <c:pt idx="2865">
                <c:v>0.60167220709153613</c:v>
              </c:pt>
              <c:pt idx="2866">
                <c:v>0.60201455015369854</c:v>
              </c:pt>
              <c:pt idx="2867">
                <c:v>0.60201455015369854</c:v>
              </c:pt>
              <c:pt idx="2868">
                <c:v>0.60235689321586072</c:v>
              </c:pt>
              <c:pt idx="2869">
                <c:v>0.60235689321586072</c:v>
              </c:pt>
              <c:pt idx="2870">
                <c:v>0.60269923627802369</c:v>
              </c:pt>
              <c:pt idx="2871">
                <c:v>0.60269923627802369</c:v>
              </c:pt>
              <c:pt idx="2872">
                <c:v>0.60304157934018576</c:v>
              </c:pt>
              <c:pt idx="2873">
                <c:v>0.60304157934018576</c:v>
              </c:pt>
              <c:pt idx="2874">
                <c:v>0.60338392240234762</c:v>
              </c:pt>
              <c:pt idx="2875">
                <c:v>0.60338392240234762</c:v>
              </c:pt>
              <c:pt idx="2876">
                <c:v>0.60372626546451058</c:v>
              </c:pt>
              <c:pt idx="2877">
                <c:v>0.60372626546451058</c:v>
              </c:pt>
              <c:pt idx="2878">
                <c:v>0.60406860852667288</c:v>
              </c:pt>
              <c:pt idx="2879">
                <c:v>0.60406860852667288</c:v>
              </c:pt>
              <c:pt idx="2880">
                <c:v>0.60441095158883529</c:v>
              </c:pt>
              <c:pt idx="2881">
                <c:v>0.60441095158883529</c:v>
              </c:pt>
              <c:pt idx="2882">
                <c:v>0.60475329465099781</c:v>
              </c:pt>
              <c:pt idx="2883">
                <c:v>0.60475329465099781</c:v>
              </c:pt>
              <c:pt idx="2884">
                <c:v>0.60509563771316033</c:v>
              </c:pt>
              <c:pt idx="2885">
                <c:v>0.60509563771316033</c:v>
              </c:pt>
              <c:pt idx="2886">
                <c:v>0.60543798077532207</c:v>
              </c:pt>
              <c:pt idx="2887">
                <c:v>0.60543798077532207</c:v>
              </c:pt>
              <c:pt idx="2888">
                <c:v>0.6057803238374847</c:v>
              </c:pt>
              <c:pt idx="2889">
                <c:v>0.6057803238374847</c:v>
              </c:pt>
              <c:pt idx="2890">
                <c:v>0.60612266689964711</c:v>
              </c:pt>
              <c:pt idx="2891">
                <c:v>0.60612266689964711</c:v>
              </c:pt>
              <c:pt idx="2892">
                <c:v>0.60646500996180941</c:v>
              </c:pt>
              <c:pt idx="2893">
                <c:v>0.60646500996180941</c:v>
              </c:pt>
              <c:pt idx="2894">
                <c:v>0.60680735302397204</c:v>
              </c:pt>
              <c:pt idx="2895">
                <c:v>0.60680735302397204</c:v>
              </c:pt>
              <c:pt idx="2896">
                <c:v>0.60714969608613467</c:v>
              </c:pt>
              <c:pt idx="2897">
                <c:v>0.60714969608613467</c:v>
              </c:pt>
              <c:pt idx="2898">
                <c:v>0.60749203914829664</c:v>
              </c:pt>
              <c:pt idx="2899">
                <c:v>0.60749203914829664</c:v>
              </c:pt>
              <c:pt idx="2900">
                <c:v>0.60783438221045905</c:v>
              </c:pt>
              <c:pt idx="2901">
                <c:v>0.60783438221045905</c:v>
              </c:pt>
              <c:pt idx="2902">
                <c:v>0.60817672527262123</c:v>
              </c:pt>
              <c:pt idx="2903">
                <c:v>0.60817672527262123</c:v>
              </c:pt>
              <c:pt idx="2904">
                <c:v>0.60851906833478409</c:v>
              </c:pt>
              <c:pt idx="2905">
                <c:v>0.60851906833478409</c:v>
              </c:pt>
              <c:pt idx="2906">
                <c:v>0.60886141139694649</c:v>
              </c:pt>
              <c:pt idx="2907">
                <c:v>0.60886141139694649</c:v>
              </c:pt>
              <c:pt idx="2908">
                <c:v>0.6092037544591089</c:v>
              </c:pt>
              <c:pt idx="2909">
                <c:v>0.6092037544591089</c:v>
              </c:pt>
              <c:pt idx="2910">
                <c:v>0.60954609752127131</c:v>
              </c:pt>
              <c:pt idx="2911">
                <c:v>0.60954609752127131</c:v>
              </c:pt>
              <c:pt idx="2912">
                <c:v>0.60988844058343383</c:v>
              </c:pt>
              <c:pt idx="2913">
                <c:v>0.60988844058343383</c:v>
              </c:pt>
              <c:pt idx="2914">
                <c:v>0.61023078364559613</c:v>
              </c:pt>
              <c:pt idx="2915">
                <c:v>0.61023078364559613</c:v>
              </c:pt>
              <c:pt idx="2916">
                <c:v>0.61057312670775798</c:v>
              </c:pt>
              <c:pt idx="2917">
                <c:v>0.61057312670775798</c:v>
              </c:pt>
              <c:pt idx="2918">
                <c:v>0.6109154697699205</c:v>
              </c:pt>
              <c:pt idx="2919">
                <c:v>0.6109154697699205</c:v>
              </c:pt>
              <c:pt idx="2920">
                <c:v>0.61125781283208325</c:v>
              </c:pt>
              <c:pt idx="2921">
                <c:v>0.61125781283208325</c:v>
              </c:pt>
              <c:pt idx="2922">
                <c:v>0.61160015589424543</c:v>
              </c:pt>
              <c:pt idx="2923">
                <c:v>0.61160015589424543</c:v>
              </c:pt>
              <c:pt idx="2924">
                <c:v>0.61194249895640784</c:v>
              </c:pt>
              <c:pt idx="2925">
                <c:v>0.61194249895640784</c:v>
              </c:pt>
              <c:pt idx="2926">
                <c:v>0.61228484201857081</c:v>
              </c:pt>
              <c:pt idx="2927">
                <c:v>0.61228484201857081</c:v>
              </c:pt>
              <c:pt idx="2928">
                <c:v>0.61262718508073266</c:v>
              </c:pt>
              <c:pt idx="2929">
                <c:v>0.61262718508073266</c:v>
              </c:pt>
              <c:pt idx="2930">
                <c:v>0.61296952814289529</c:v>
              </c:pt>
              <c:pt idx="2931">
                <c:v>0.61296952814289529</c:v>
              </c:pt>
              <c:pt idx="2932">
                <c:v>0.6133118712050577</c:v>
              </c:pt>
              <c:pt idx="2933">
                <c:v>0.6133118712050577</c:v>
              </c:pt>
              <c:pt idx="2934">
                <c:v>0.61365421426722011</c:v>
              </c:pt>
              <c:pt idx="2935">
                <c:v>0.61365421426722011</c:v>
              </c:pt>
              <c:pt idx="2936">
                <c:v>0.61399655732938274</c:v>
              </c:pt>
              <c:pt idx="2937">
                <c:v>0.61399655732938274</c:v>
              </c:pt>
              <c:pt idx="2938">
                <c:v>0.6143389003915446</c:v>
              </c:pt>
              <c:pt idx="2939">
                <c:v>0.6143389003915446</c:v>
              </c:pt>
              <c:pt idx="2940">
                <c:v>0.61468124345370745</c:v>
              </c:pt>
              <c:pt idx="2941">
                <c:v>0.61468124345370745</c:v>
              </c:pt>
              <c:pt idx="2942">
                <c:v>0.61502358651586964</c:v>
              </c:pt>
              <c:pt idx="2943">
                <c:v>0.61502358651586964</c:v>
              </c:pt>
              <c:pt idx="2944">
                <c:v>0.61536592957803182</c:v>
              </c:pt>
              <c:pt idx="2945">
                <c:v>0.61536592957803182</c:v>
              </c:pt>
              <c:pt idx="2946">
                <c:v>0.61570827264019501</c:v>
              </c:pt>
              <c:pt idx="2947">
                <c:v>0.61570827264019501</c:v>
              </c:pt>
              <c:pt idx="2948">
                <c:v>0.61605061570235653</c:v>
              </c:pt>
              <c:pt idx="2949">
                <c:v>0.61605061570235653</c:v>
              </c:pt>
              <c:pt idx="2950">
                <c:v>0.61639295876451905</c:v>
              </c:pt>
              <c:pt idx="2951">
                <c:v>0.61639295876451905</c:v>
              </c:pt>
              <c:pt idx="2952">
                <c:v>0.61673530182668168</c:v>
              </c:pt>
              <c:pt idx="2953">
                <c:v>0.61673530182668168</c:v>
              </c:pt>
              <c:pt idx="2954">
                <c:v>0.61707764488884409</c:v>
              </c:pt>
              <c:pt idx="2955">
                <c:v>0.61707764488884409</c:v>
              </c:pt>
              <c:pt idx="2956">
                <c:v>0.6172243633440565</c:v>
              </c:pt>
              <c:pt idx="2957">
                <c:v>0.6172243633440565</c:v>
              </c:pt>
              <c:pt idx="2958">
                <c:v>0.6172243633440565</c:v>
              </c:pt>
              <c:pt idx="2959">
                <c:v>0.6172243633440565</c:v>
              </c:pt>
              <c:pt idx="2960">
                <c:v>0.6172243633440565</c:v>
              </c:pt>
              <c:pt idx="2961">
                <c:v>0.6172243633440565</c:v>
              </c:pt>
              <c:pt idx="2962">
                <c:v>0.61756670640621858</c:v>
              </c:pt>
              <c:pt idx="2963">
                <c:v>0.61756670640621858</c:v>
              </c:pt>
              <c:pt idx="2964">
                <c:v>0.61790904946838154</c:v>
              </c:pt>
              <c:pt idx="2965">
                <c:v>0.61790904946838154</c:v>
              </c:pt>
              <c:pt idx="2966">
                <c:v>0.61825139253054384</c:v>
              </c:pt>
              <c:pt idx="2967">
                <c:v>0.61825139253054384</c:v>
              </c:pt>
              <c:pt idx="2968">
                <c:v>0.61859373559270592</c:v>
              </c:pt>
              <c:pt idx="2969">
                <c:v>0.61859373559270592</c:v>
              </c:pt>
              <c:pt idx="2970">
                <c:v>0.61893607865486855</c:v>
              </c:pt>
              <c:pt idx="2971">
                <c:v>0.61893607865486855</c:v>
              </c:pt>
              <c:pt idx="2972">
                <c:v>0.61927842171703051</c:v>
              </c:pt>
              <c:pt idx="2973">
                <c:v>0.61927842171703051</c:v>
              </c:pt>
              <c:pt idx="2974">
                <c:v>0.61962076477919326</c:v>
              </c:pt>
              <c:pt idx="2975">
                <c:v>0.61962076477919326</c:v>
              </c:pt>
              <c:pt idx="2976">
                <c:v>0.61996310784135522</c:v>
              </c:pt>
              <c:pt idx="2977">
                <c:v>0.61996310784135522</c:v>
              </c:pt>
              <c:pt idx="2978">
                <c:v>0.62030545090351819</c:v>
              </c:pt>
              <c:pt idx="2979">
                <c:v>0.62030545090351819</c:v>
              </c:pt>
              <c:pt idx="2980">
                <c:v>0.62064779396568071</c:v>
              </c:pt>
              <c:pt idx="2981">
                <c:v>0.62064779396568071</c:v>
              </c:pt>
              <c:pt idx="2982">
                <c:v>0.62099013702784289</c:v>
              </c:pt>
              <c:pt idx="2983">
                <c:v>0.62099013702784289</c:v>
              </c:pt>
              <c:pt idx="2984">
                <c:v>0.62133248009000508</c:v>
              </c:pt>
              <c:pt idx="2985">
                <c:v>0.62133248009000508</c:v>
              </c:pt>
              <c:pt idx="2986">
                <c:v>0.62167482315216782</c:v>
              </c:pt>
              <c:pt idx="2987">
                <c:v>0.62167482315216782</c:v>
              </c:pt>
              <c:pt idx="2988">
                <c:v>0.6220171662143299</c:v>
              </c:pt>
              <c:pt idx="2989">
                <c:v>0.6220171662143299</c:v>
              </c:pt>
              <c:pt idx="2990">
                <c:v>0.62235950927649253</c:v>
              </c:pt>
              <c:pt idx="2991">
                <c:v>0.62235950927649253</c:v>
              </c:pt>
              <c:pt idx="2992">
                <c:v>0.62270185233865516</c:v>
              </c:pt>
              <c:pt idx="2993">
                <c:v>0.62270185233865516</c:v>
              </c:pt>
              <c:pt idx="2994">
                <c:v>0.62304419540081735</c:v>
              </c:pt>
              <c:pt idx="2995">
                <c:v>0.62304419540081735</c:v>
              </c:pt>
              <c:pt idx="2996">
                <c:v>0.62338653846297942</c:v>
              </c:pt>
              <c:pt idx="2997">
                <c:v>0.62338653846297942</c:v>
              </c:pt>
              <c:pt idx="2998">
                <c:v>0.62372888152514205</c:v>
              </c:pt>
              <c:pt idx="2999">
                <c:v>0.62372888152514205</c:v>
              </c:pt>
              <c:pt idx="3000">
                <c:v>0.62407122458730446</c:v>
              </c:pt>
              <c:pt idx="3001">
                <c:v>0.62407122458730446</c:v>
              </c:pt>
              <c:pt idx="3002">
                <c:v>0.62441356764946654</c:v>
              </c:pt>
              <c:pt idx="3003">
                <c:v>0.62441356764946654</c:v>
              </c:pt>
              <c:pt idx="3004">
                <c:v>0.62475591071162928</c:v>
              </c:pt>
              <c:pt idx="3005">
                <c:v>0.62475591071162928</c:v>
              </c:pt>
              <c:pt idx="3006">
                <c:v>0.62509825377379202</c:v>
              </c:pt>
              <c:pt idx="3007">
                <c:v>0.62509825377379202</c:v>
              </c:pt>
              <c:pt idx="3008">
                <c:v>0.62544059683595388</c:v>
              </c:pt>
              <c:pt idx="3009">
                <c:v>0.62544059683595388</c:v>
              </c:pt>
              <c:pt idx="3010">
                <c:v>0.62578293989811651</c:v>
              </c:pt>
              <c:pt idx="3011">
                <c:v>0.62578293989811651</c:v>
              </c:pt>
              <c:pt idx="3012">
                <c:v>0.62612528296027892</c:v>
              </c:pt>
              <c:pt idx="3013">
                <c:v>0.62612528296027892</c:v>
              </c:pt>
              <c:pt idx="3014">
                <c:v>0.6264676260224411</c:v>
              </c:pt>
              <c:pt idx="3015">
                <c:v>0.6264676260224411</c:v>
              </c:pt>
              <c:pt idx="3016">
                <c:v>0.62680996908460362</c:v>
              </c:pt>
              <c:pt idx="3017">
                <c:v>0.62680996908460362</c:v>
              </c:pt>
              <c:pt idx="3018">
                <c:v>0.62715231214676581</c:v>
              </c:pt>
              <c:pt idx="3019">
                <c:v>0.62715231214676581</c:v>
              </c:pt>
              <c:pt idx="3020">
                <c:v>0.62749465520892844</c:v>
              </c:pt>
              <c:pt idx="3021">
                <c:v>0.62749465520892844</c:v>
              </c:pt>
              <c:pt idx="3022">
                <c:v>0.62783699827109063</c:v>
              </c:pt>
              <c:pt idx="3023">
                <c:v>0.62783699827109063</c:v>
              </c:pt>
              <c:pt idx="3024">
                <c:v>0.62817934133325304</c:v>
              </c:pt>
              <c:pt idx="3025">
                <c:v>0.62817934133325304</c:v>
              </c:pt>
              <c:pt idx="3026">
                <c:v>0.62852168439541578</c:v>
              </c:pt>
              <c:pt idx="3027">
                <c:v>0.62852168439541578</c:v>
              </c:pt>
              <c:pt idx="3028">
                <c:v>0.6288640274575783</c:v>
              </c:pt>
              <c:pt idx="3029">
                <c:v>0.6288640274575783</c:v>
              </c:pt>
              <c:pt idx="3030">
                <c:v>0.62920637051974049</c:v>
              </c:pt>
              <c:pt idx="3031">
                <c:v>0.62920637051974049</c:v>
              </c:pt>
              <c:pt idx="3032">
                <c:v>0.6295487135819029</c:v>
              </c:pt>
              <c:pt idx="3033">
                <c:v>0.6295487135819029</c:v>
              </c:pt>
              <c:pt idx="3034">
                <c:v>0.62989105664406575</c:v>
              </c:pt>
              <c:pt idx="3035">
                <c:v>0.62989105664406575</c:v>
              </c:pt>
              <c:pt idx="3036">
                <c:v>0.63023339970622727</c:v>
              </c:pt>
              <c:pt idx="3037">
                <c:v>0.63023339970622727</c:v>
              </c:pt>
              <c:pt idx="3038">
                <c:v>0.63057574276839012</c:v>
              </c:pt>
              <c:pt idx="3039">
                <c:v>0.63057574276839012</c:v>
              </c:pt>
              <c:pt idx="3040">
                <c:v>0.6309180858305522</c:v>
              </c:pt>
              <c:pt idx="3041">
                <c:v>0.6309180858305522</c:v>
              </c:pt>
              <c:pt idx="3042">
                <c:v>0.6312604288927145</c:v>
              </c:pt>
              <c:pt idx="3043">
                <c:v>0.6312604288927145</c:v>
              </c:pt>
              <c:pt idx="3044">
                <c:v>0.63160277195487724</c:v>
              </c:pt>
              <c:pt idx="3045">
                <c:v>0.63160277195487724</c:v>
              </c:pt>
              <c:pt idx="3046">
                <c:v>0.63194511501703965</c:v>
              </c:pt>
              <c:pt idx="3047">
                <c:v>0.63194511501703965</c:v>
              </c:pt>
              <c:pt idx="3048">
                <c:v>0.63228745807920184</c:v>
              </c:pt>
              <c:pt idx="3049">
                <c:v>0.63228745807920184</c:v>
              </c:pt>
              <c:pt idx="3050">
                <c:v>0.63262980114136458</c:v>
              </c:pt>
              <c:pt idx="3051">
                <c:v>0.63262980114136458</c:v>
              </c:pt>
              <c:pt idx="3052">
                <c:v>0.63297214420352665</c:v>
              </c:pt>
              <c:pt idx="3053">
                <c:v>0.63297214420352665</c:v>
              </c:pt>
              <c:pt idx="3054">
                <c:v>0.63331448726568929</c:v>
              </c:pt>
              <c:pt idx="3055">
                <c:v>0.63331448726568929</c:v>
              </c:pt>
              <c:pt idx="3056">
                <c:v>0.63365683032785181</c:v>
              </c:pt>
              <c:pt idx="3057">
                <c:v>0.63365683032785181</c:v>
              </c:pt>
              <c:pt idx="3058">
                <c:v>0.63399917339001433</c:v>
              </c:pt>
              <c:pt idx="3059">
                <c:v>0.63399917339001433</c:v>
              </c:pt>
              <c:pt idx="3060">
                <c:v>0.63434151645217685</c:v>
              </c:pt>
              <c:pt idx="3061">
                <c:v>0.63434151645217685</c:v>
              </c:pt>
              <c:pt idx="3062">
                <c:v>0.63468385951433892</c:v>
              </c:pt>
              <c:pt idx="3063">
                <c:v>0.63468385951433892</c:v>
              </c:pt>
              <c:pt idx="3064">
                <c:v>0.63502620257650144</c:v>
              </c:pt>
              <c:pt idx="3065">
                <c:v>0.63502620257650144</c:v>
              </c:pt>
              <c:pt idx="3066">
                <c:v>0.63536854563866341</c:v>
              </c:pt>
              <c:pt idx="3067">
                <c:v>0.63536854563866341</c:v>
              </c:pt>
              <c:pt idx="3068">
                <c:v>0.63571088870082582</c:v>
              </c:pt>
              <c:pt idx="3069">
                <c:v>0.63571088870082582</c:v>
              </c:pt>
              <c:pt idx="3070">
                <c:v>0.63605323176298822</c:v>
              </c:pt>
              <c:pt idx="3071">
                <c:v>0.63605323176298822</c:v>
              </c:pt>
              <c:pt idx="3072">
                <c:v>0.63639557482515063</c:v>
              </c:pt>
              <c:pt idx="3073">
                <c:v>0.63639557482515063</c:v>
              </c:pt>
              <c:pt idx="3074">
                <c:v>0.63673791788731304</c:v>
              </c:pt>
              <c:pt idx="3075">
                <c:v>0.63673791788731304</c:v>
              </c:pt>
              <c:pt idx="3076">
                <c:v>0.63708026094947579</c:v>
              </c:pt>
              <c:pt idx="3077">
                <c:v>0.63708026094947579</c:v>
              </c:pt>
              <c:pt idx="3078">
                <c:v>0.63742260401163786</c:v>
              </c:pt>
              <c:pt idx="3079">
                <c:v>0.63742260401163786</c:v>
              </c:pt>
              <c:pt idx="3080">
                <c:v>0.63776494707380071</c:v>
              </c:pt>
              <c:pt idx="3081">
                <c:v>0.63776494707380071</c:v>
              </c:pt>
              <c:pt idx="3082">
                <c:v>0.63810729013596268</c:v>
              </c:pt>
              <c:pt idx="3083">
                <c:v>0.63810729013596268</c:v>
              </c:pt>
              <c:pt idx="3084">
                <c:v>0.63844963319812575</c:v>
              </c:pt>
              <c:pt idx="3085">
                <c:v>0.63844963319812575</c:v>
              </c:pt>
              <c:pt idx="3086">
                <c:v>0.63879197626028794</c:v>
              </c:pt>
              <c:pt idx="3087">
                <c:v>0.63879197626028794</c:v>
              </c:pt>
              <c:pt idx="3088">
                <c:v>0.6391343193224498</c:v>
              </c:pt>
              <c:pt idx="3089">
                <c:v>0.6391343193224498</c:v>
              </c:pt>
              <c:pt idx="3090">
                <c:v>0.63947666238461243</c:v>
              </c:pt>
              <c:pt idx="3091">
                <c:v>0.63947666238461243</c:v>
              </c:pt>
              <c:pt idx="3092">
                <c:v>0.63981900544677484</c:v>
              </c:pt>
              <c:pt idx="3093">
                <c:v>0.63981900544677484</c:v>
              </c:pt>
              <c:pt idx="3094">
                <c:v>0.64016134850893702</c:v>
              </c:pt>
              <c:pt idx="3095">
                <c:v>0.64016134850893702</c:v>
              </c:pt>
              <c:pt idx="3096">
                <c:v>0.64050369157109965</c:v>
              </c:pt>
              <c:pt idx="3097">
                <c:v>0.64050369157109965</c:v>
              </c:pt>
              <c:pt idx="3098">
                <c:v>0.64084603463326206</c:v>
              </c:pt>
              <c:pt idx="3099">
                <c:v>0.64084603463326206</c:v>
              </c:pt>
              <c:pt idx="3100">
                <c:v>0.64118837769542458</c:v>
              </c:pt>
              <c:pt idx="3101">
                <c:v>0.64118837769542458</c:v>
              </c:pt>
              <c:pt idx="3102">
                <c:v>0.64153072075758666</c:v>
              </c:pt>
              <c:pt idx="3103">
                <c:v>0.64153072075758666</c:v>
              </c:pt>
              <c:pt idx="3104">
                <c:v>0.64167743921279952</c:v>
              </c:pt>
              <c:pt idx="3105">
                <c:v>0.64167743921279952</c:v>
              </c:pt>
              <c:pt idx="3106">
                <c:v>0.64167743921279952</c:v>
              </c:pt>
            </c:numLit>
          </c:xVal>
          <c:yVal>
            <c:numLit>
              <c:formatCode>General</c:formatCode>
              <c:ptCount val="3107"/>
              <c:pt idx="0">
                <c:v>0</c:v>
              </c:pt>
              <c:pt idx="1">
                <c:v>0.14722074308049357</c:v>
              </c:pt>
              <c:pt idx="2">
                <c:v>0.14722074308049357</c:v>
              </c:pt>
              <c:pt idx="3">
                <c:v>0</c:v>
              </c:pt>
              <c:pt idx="4">
                <c:v>0</c:v>
              </c:pt>
              <c:pt idx="5">
                <c:v>0.14722074308049357</c:v>
              </c:pt>
              <c:pt idx="6">
                <c:v>0.14722074308049357</c:v>
              </c:pt>
              <c:pt idx="7">
                <c:v>0</c:v>
              </c:pt>
              <c:pt idx="8">
                <c:v>0</c:v>
              </c:pt>
              <c:pt idx="9">
                <c:v>0.14722074308049357</c:v>
              </c:pt>
              <c:pt idx="10">
                <c:v>0.14722074308049357</c:v>
              </c:pt>
              <c:pt idx="11">
                <c:v>0</c:v>
              </c:pt>
              <c:pt idx="12">
                <c:v>0</c:v>
              </c:pt>
              <c:pt idx="13">
                <c:v>0.14722074308049357</c:v>
              </c:pt>
              <c:pt idx="14">
                <c:v>0.14722074308049357</c:v>
              </c:pt>
              <c:pt idx="15">
                <c:v>0</c:v>
              </c:pt>
              <c:pt idx="16">
                <c:v>0</c:v>
              </c:pt>
              <c:pt idx="17">
                <c:v>0.14722074308049357</c:v>
              </c:pt>
              <c:pt idx="18">
                <c:v>0.14722074308049357</c:v>
              </c:pt>
              <c:pt idx="19">
                <c:v>0</c:v>
              </c:pt>
              <c:pt idx="20">
                <c:v>0</c:v>
              </c:pt>
              <c:pt idx="21">
                <c:v>0.14722074308049357</c:v>
              </c:pt>
              <c:pt idx="22">
                <c:v>0.14722074308049357</c:v>
              </c:pt>
              <c:pt idx="23">
                <c:v>0</c:v>
              </c:pt>
              <c:pt idx="24">
                <c:v>0</c:v>
              </c:pt>
              <c:pt idx="25">
                <c:v>0.14722074308049357</c:v>
              </c:pt>
              <c:pt idx="26">
                <c:v>0.14722074308049357</c:v>
              </c:pt>
              <c:pt idx="27">
                <c:v>0</c:v>
              </c:pt>
              <c:pt idx="28">
                <c:v>0</c:v>
              </c:pt>
              <c:pt idx="29">
                <c:v>0.14722074308049357</c:v>
              </c:pt>
              <c:pt idx="30">
                <c:v>0.14722074308049357</c:v>
              </c:pt>
              <c:pt idx="31">
                <c:v>0</c:v>
              </c:pt>
              <c:pt idx="32">
                <c:v>0</c:v>
              </c:pt>
              <c:pt idx="33">
                <c:v>0.14722074308049357</c:v>
              </c:pt>
              <c:pt idx="34">
                <c:v>0.14722074308049357</c:v>
              </c:pt>
              <c:pt idx="35">
                <c:v>0</c:v>
              </c:pt>
              <c:pt idx="36">
                <c:v>0</c:v>
              </c:pt>
              <c:pt idx="37">
                <c:v>0.14722074308049357</c:v>
              </c:pt>
              <c:pt idx="38">
                <c:v>0.14722074308049357</c:v>
              </c:pt>
              <c:pt idx="39">
                <c:v>0</c:v>
              </c:pt>
              <c:pt idx="40">
                <c:v>0</c:v>
              </c:pt>
              <c:pt idx="41">
                <c:v>0.14722074308049357</c:v>
              </c:pt>
              <c:pt idx="42">
                <c:v>0.14722074308049357</c:v>
              </c:pt>
              <c:pt idx="43">
                <c:v>0</c:v>
              </c:pt>
              <c:pt idx="44">
                <c:v>0</c:v>
              </c:pt>
              <c:pt idx="45">
                <c:v>0.14722074308049357</c:v>
              </c:pt>
              <c:pt idx="46">
                <c:v>0.14722074308049357</c:v>
              </c:pt>
              <c:pt idx="47">
                <c:v>0</c:v>
              </c:pt>
              <c:pt idx="48">
                <c:v>0</c:v>
              </c:pt>
              <c:pt idx="49">
                <c:v>0.14722074308049357</c:v>
              </c:pt>
              <c:pt idx="50">
                <c:v>0.14722074308049357</c:v>
              </c:pt>
              <c:pt idx="51">
                <c:v>0</c:v>
              </c:pt>
              <c:pt idx="52">
                <c:v>0</c:v>
              </c:pt>
              <c:pt idx="53">
                <c:v>0.14722074308049357</c:v>
              </c:pt>
              <c:pt idx="54">
                <c:v>0.14722074308049357</c:v>
              </c:pt>
              <c:pt idx="55">
                <c:v>0</c:v>
              </c:pt>
              <c:pt idx="56">
                <c:v>0</c:v>
              </c:pt>
              <c:pt idx="57">
                <c:v>0.14722074308049357</c:v>
              </c:pt>
              <c:pt idx="58">
                <c:v>0.14722074308049357</c:v>
              </c:pt>
              <c:pt idx="59">
                <c:v>0</c:v>
              </c:pt>
              <c:pt idx="60">
                <c:v>0</c:v>
              </c:pt>
              <c:pt idx="61">
                <c:v>0.14722074308049357</c:v>
              </c:pt>
              <c:pt idx="62">
                <c:v>0.14722074308049357</c:v>
              </c:pt>
              <c:pt idx="63">
                <c:v>0</c:v>
              </c:pt>
              <c:pt idx="64">
                <c:v>0</c:v>
              </c:pt>
              <c:pt idx="65">
                <c:v>0.14722074308049357</c:v>
              </c:pt>
              <c:pt idx="66">
                <c:v>0.14722074308049357</c:v>
              </c:pt>
              <c:pt idx="67">
                <c:v>0</c:v>
              </c:pt>
              <c:pt idx="68">
                <c:v>0</c:v>
              </c:pt>
              <c:pt idx="69">
                <c:v>0.14722074308049357</c:v>
              </c:pt>
              <c:pt idx="70">
                <c:v>0.14722074308049357</c:v>
              </c:pt>
              <c:pt idx="71">
                <c:v>0</c:v>
              </c:pt>
              <c:pt idx="72">
                <c:v>0</c:v>
              </c:pt>
              <c:pt idx="73">
                <c:v>0.14722074308049357</c:v>
              </c:pt>
              <c:pt idx="74">
                <c:v>0.14722074308049357</c:v>
              </c:pt>
              <c:pt idx="75">
                <c:v>0</c:v>
              </c:pt>
              <c:pt idx="76">
                <c:v>0</c:v>
              </c:pt>
              <c:pt idx="77">
                <c:v>0.14722074308049357</c:v>
              </c:pt>
              <c:pt idx="78">
                <c:v>0.14722074308049357</c:v>
              </c:pt>
              <c:pt idx="79">
                <c:v>0</c:v>
              </c:pt>
              <c:pt idx="80">
                <c:v>0</c:v>
              </c:pt>
              <c:pt idx="81">
                <c:v>0.14722074308049357</c:v>
              </c:pt>
              <c:pt idx="82">
                <c:v>0.14722074308049357</c:v>
              </c:pt>
              <c:pt idx="83">
                <c:v>0</c:v>
              </c:pt>
              <c:pt idx="84">
                <c:v>0</c:v>
              </c:pt>
              <c:pt idx="85">
                <c:v>0.14722074308049357</c:v>
              </c:pt>
              <c:pt idx="86">
                <c:v>0.14722074308049357</c:v>
              </c:pt>
              <c:pt idx="87">
                <c:v>0</c:v>
              </c:pt>
              <c:pt idx="88">
                <c:v>0</c:v>
              </c:pt>
              <c:pt idx="89">
                <c:v>0.14722074308049357</c:v>
              </c:pt>
              <c:pt idx="90">
                <c:v>0.14722074308049357</c:v>
              </c:pt>
              <c:pt idx="91">
                <c:v>0</c:v>
              </c:pt>
              <c:pt idx="92">
                <c:v>0</c:v>
              </c:pt>
              <c:pt idx="93">
                <c:v>0.14722074308049357</c:v>
              </c:pt>
              <c:pt idx="94">
                <c:v>0.14722074308049357</c:v>
              </c:pt>
              <c:pt idx="95">
                <c:v>0</c:v>
              </c:pt>
              <c:pt idx="96">
                <c:v>0</c:v>
              </c:pt>
              <c:pt idx="97">
                <c:v>0.14722074308049357</c:v>
              </c:pt>
              <c:pt idx="98">
                <c:v>0.14722074308049357</c:v>
              </c:pt>
              <c:pt idx="99">
                <c:v>0</c:v>
              </c:pt>
              <c:pt idx="100">
                <c:v>0</c:v>
              </c:pt>
              <c:pt idx="101">
                <c:v>0.14722074308049357</c:v>
              </c:pt>
              <c:pt idx="102">
                <c:v>0.14722074308049357</c:v>
              </c:pt>
              <c:pt idx="103">
                <c:v>0</c:v>
              </c:pt>
              <c:pt idx="104">
                <c:v>0</c:v>
              </c:pt>
              <c:pt idx="105">
                <c:v>0.14722074308049357</c:v>
              </c:pt>
              <c:pt idx="106">
                <c:v>0.14722074308049357</c:v>
              </c:pt>
              <c:pt idx="107">
                <c:v>0</c:v>
              </c:pt>
              <c:pt idx="108">
                <c:v>0</c:v>
              </c:pt>
              <c:pt idx="109">
                <c:v>0.14722074308049357</c:v>
              </c:pt>
              <c:pt idx="110">
                <c:v>0.14722074308049357</c:v>
              </c:pt>
              <c:pt idx="111">
                <c:v>0</c:v>
              </c:pt>
              <c:pt idx="112">
                <c:v>0</c:v>
              </c:pt>
              <c:pt idx="113">
                <c:v>0.14722074308049357</c:v>
              </c:pt>
              <c:pt idx="114">
                <c:v>0.14722074308049357</c:v>
              </c:pt>
              <c:pt idx="115">
                <c:v>0</c:v>
              </c:pt>
              <c:pt idx="116">
                <c:v>0</c:v>
              </c:pt>
              <c:pt idx="117">
                <c:v>0.14722074308049357</c:v>
              </c:pt>
              <c:pt idx="118">
                <c:v>0.14722074308049357</c:v>
              </c:pt>
              <c:pt idx="119">
                <c:v>0</c:v>
              </c:pt>
              <c:pt idx="120">
                <c:v>0</c:v>
              </c:pt>
              <c:pt idx="121">
                <c:v>0.14722074308049357</c:v>
              </c:pt>
              <c:pt idx="122">
                <c:v>0.14722074308049357</c:v>
              </c:pt>
              <c:pt idx="123">
                <c:v>0</c:v>
              </c:pt>
              <c:pt idx="124">
                <c:v>0</c:v>
              </c:pt>
              <c:pt idx="125">
                <c:v>0.14722074308049357</c:v>
              </c:pt>
              <c:pt idx="126">
                <c:v>0.14722074308049357</c:v>
              </c:pt>
              <c:pt idx="127">
                <c:v>0</c:v>
              </c:pt>
              <c:pt idx="128">
                <c:v>0</c:v>
              </c:pt>
              <c:pt idx="129">
                <c:v>0.14722074308049357</c:v>
              </c:pt>
              <c:pt idx="130">
                <c:v>0.14722074308049357</c:v>
              </c:pt>
              <c:pt idx="131">
                <c:v>0</c:v>
              </c:pt>
              <c:pt idx="132">
                <c:v>0</c:v>
              </c:pt>
              <c:pt idx="133">
                <c:v>0.14722074308049357</c:v>
              </c:pt>
              <c:pt idx="134">
                <c:v>0.14722074308049357</c:v>
              </c:pt>
              <c:pt idx="135">
                <c:v>0</c:v>
              </c:pt>
              <c:pt idx="136">
                <c:v>0</c:v>
              </c:pt>
              <c:pt idx="137">
                <c:v>0.14722074308049357</c:v>
              </c:pt>
              <c:pt idx="138">
                <c:v>0.14722074308049357</c:v>
              </c:pt>
              <c:pt idx="139">
                <c:v>0</c:v>
              </c:pt>
              <c:pt idx="140">
                <c:v>0</c:v>
              </c:pt>
              <c:pt idx="141">
                <c:v>0.14722074308049357</c:v>
              </c:pt>
              <c:pt idx="142">
                <c:v>0.14722074308049357</c:v>
              </c:pt>
              <c:pt idx="143">
                <c:v>0</c:v>
              </c:pt>
              <c:pt idx="144">
                <c:v>0.14722074308049357</c:v>
              </c:pt>
              <c:pt idx="145">
                <c:v>0</c:v>
              </c:pt>
              <c:pt idx="148">
                <c:v>0</c:v>
              </c:pt>
              <c:pt idx="149">
                <c:v>0.35169399735895684</c:v>
              </c:pt>
              <c:pt idx="150">
                <c:v>0.35169399735895684</c:v>
              </c:pt>
              <c:pt idx="151">
                <c:v>0</c:v>
              </c:pt>
              <c:pt idx="152">
                <c:v>0</c:v>
              </c:pt>
              <c:pt idx="153">
                <c:v>0.35169399735895684</c:v>
              </c:pt>
              <c:pt idx="154">
                <c:v>0.35169399735895684</c:v>
              </c:pt>
              <c:pt idx="155">
                <c:v>0</c:v>
              </c:pt>
              <c:pt idx="156">
                <c:v>0</c:v>
              </c:pt>
              <c:pt idx="157">
                <c:v>0.35169399735895684</c:v>
              </c:pt>
              <c:pt idx="158">
                <c:v>0.35169399735895684</c:v>
              </c:pt>
              <c:pt idx="159">
                <c:v>0</c:v>
              </c:pt>
              <c:pt idx="160">
                <c:v>0</c:v>
              </c:pt>
              <c:pt idx="161">
                <c:v>0.35169399735895684</c:v>
              </c:pt>
              <c:pt idx="162">
                <c:v>0.35169399735895684</c:v>
              </c:pt>
              <c:pt idx="163">
                <c:v>0</c:v>
              </c:pt>
              <c:pt idx="164">
                <c:v>0</c:v>
              </c:pt>
              <c:pt idx="165">
                <c:v>0.35169399735895684</c:v>
              </c:pt>
              <c:pt idx="166">
                <c:v>0.35169399735895684</c:v>
              </c:pt>
              <c:pt idx="167">
                <c:v>0</c:v>
              </c:pt>
              <c:pt idx="168">
                <c:v>0</c:v>
              </c:pt>
              <c:pt idx="169">
                <c:v>0.35169399735895684</c:v>
              </c:pt>
              <c:pt idx="170">
                <c:v>0.35169399735895684</c:v>
              </c:pt>
              <c:pt idx="171">
                <c:v>0</c:v>
              </c:pt>
              <c:pt idx="172">
                <c:v>0</c:v>
              </c:pt>
              <c:pt idx="173">
                <c:v>0.35169399735895684</c:v>
              </c:pt>
              <c:pt idx="174">
                <c:v>0.35169399735895684</c:v>
              </c:pt>
              <c:pt idx="175">
                <c:v>0</c:v>
              </c:pt>
              <c:pt idx="176">
                <c:v>0</c:v>
              </c:pt>
              <c:pt idx="177">
                <c:v>0.35169399735895684</c:v>
              </c:pt>
              <c:pt idx="178">
                <c:v>0.35169399735895684</c:v>
              </c:pt>
              <c:pt idx="179">
                <c:v>0</c:v>
              </c:pt>
              <c:pt idx="180">
                <c:v>0</c:v>
              </c:pt>
              <c:pt idx="181">
                <c:v>0.35169399735895684</c:v>
              </c:pt>
              <c:pt idx="182">
                <c:v>0.35169399735895684</c:v>
              </c:pt>
              <c:pt idx="183">
                <c:v>0</c:v>
              </c:pt>
              <c:pt idx="184">
                <c:v>0</c:v>
              </c:pt>
              <c:pt idx="185">
                <c:v>0.35169399735895684</c:v>
              </c:pt>
              <c:pt idx="186">
                <c:v>0.35169399735895684</c:v>
              </c:pt>
              <c:pt idx="187">
                <c:v>0</c:v>
              </c:pt>
              <c:pt idx="188">
                <c:v>0</c:v>
              </c:pt>
              <c:pt idx="189">
                <c:v>0.35169399735895684</c:v>
              </c:pt>
              <c:pt idx="190">
                <c:v>0.35169399735895684</c:v>
              </c:pt>
              <c:pt idx="191">
                <c:v>0</c:v>
              </c:pt>
              <c:pt idx="192">
                <c:v>0</c:v>
              </c:pt>
              <c:pt idx="193">
                <c:v>0.35169399735895684</c:v>
              </c:pt>
              <c:pt idx="194">
                <c:v>0.35169399735895684</c:v>
              </c:pt>
              <c:pt idx="195">
                <c:v>0</c:v>
              </c:pt>
              <c:pt idx="196">
                <c:v>0</c:v>
              </c:pt>
              <c:pt idx="197">
                <c:v>0.35169399735895684</c:v>
              </c:pt>
              <c:pt idx="198">
                <c:v>0.35169399735895684</c:v>
              </c:pt>
              <c:pt idx="199">
                <c:v>0</c:v>
              </c:pt>
              <c:pt idx="200">
                <c:v>0</c:v>
              </c:pt>
              <c:pt idx="201">
                <c:v>0.35169399735895684</c:v>
              </c:pt>
              <c:pt idx="202">
                <c:v>0.35169399735895684</c:v>
              </c:pt>
              <c:pt idx="203">
                <c:v>0</c:v>
              </c:pt>
              <c:pt idx="204">
                <c:v>0</c:v>
              </c:pt>
              <c:pt idx="205">
                <c:v>0.35169399735895684</c:v>
              </c:pt>
              <c:pt idx="206">
                <c:v>0.35169399735895684</c:v>
              </c:pt>
              <c:pt idx="207">
                <c:v>0</c:v>
              </c:pt>
              <c:pt idx="208">
                <c:v>0</c:v>
              </c:pt>
              <c:pt idx="209">
                <c:v>0.35169399735895684</c:v>
              </c:pt>
              <c:pt idx="210">
                <c:v>0.35169399735895684</c:v>
              </c:pt>
              <c:pt idx="211">
                <c:v>0</c:v>
              </c:pt>
              <c:pt idx="212">
                <c:v>0</c:v>
              </c:pt>
              <c:pt idx="213">
                <c:v>0.35169399735895684</c:v>
              </c:pt>
              <c:pt idx="214">
                <c:v>0.35169399735895684</c:v>
              </c:pt>
              <c:pt idx="215">
                <c:v>0</c:v>
              </c:pt>
              <c:pt idx="216">
                <c:v>0</c:v>
              </c:pt>
              <c:pt idx="217">
                <c:v>0.35169399735895684</c:v>
              </c:pt>
              <c:pt idx="218">
                <c:v>0.35169399735895684</c:v>
              </c:pt>
              <c:pt idx="219">
                <c:v>0</c:v>
              </c:pt>
              <c:pt idx="220">
                <c:v>0</c:v>
              </c:pt>
              <c:pt idx="221">
                <c:v>0.35169399735895684</c:v>
              </c:pt>
              <c:pt idx="222">
                <c:v>0.35169399735895684</c:v>
              </c:pt>
              <c:pt idx="223">
                <c:v>0</c:v>
              </c:pt>
              <c:pt idx="224">
                <c:v>0</c:v>
              </c:pt>
              <c:pt idx="225">
                <c:v>0.35169399735895684</c:v>
              </c:pt>
              <c:pt idx="226">
                <c:v>0.35169399735895684</c:v>
              </c:pt>
              <c:pt idx="227">
                <c:v>0</c:v>
              </c:pt>
              <c:pt idx="228">
                <c:v>0</c:v>
              </c:pt>
              <c:pt idx="229">
                <c:v>0.35169399735895684</c:v>
              </c:pt>
              <c:pt idx="230">
                <c:v>0.35169399735895684</c:v>
              </c:pt>
              <c:pt idx="231">
                <c:v>0</c:v>
              </c:pt>
              <c:pt idx="232">
                <c:v>0</c:v>
              </c:pt>
              <c:pt idx="233">
                <c:v>0.35169399735895684</c:v>
              </c:pt>
              <c:pt idx="234">
                <c:v>0.35169399735895684</c:v>
              </c:pt>
              <c:pt idx="235">
                <c:v>0</c:v>
              </c:pt>
              <c:pt idx="236">
                <c:v>0</c:v>
              </c:pt>
              <c:pt idx="237">
                <c:v>0.35169399735895684</c:v>
              </c:pt>
              <c:pt idx="238">
                <c:v>0.35169399735895684</c:v>
              </c:pt>
              <c:pt idx="239">
                <c:v>0</c:v>
              </c:pt>
              <c:pt idx="240">
                <c:v>0</c:v>
              </c:pt>
              <c:pt idx="241">
                <c:v>0.35169399735895684</c:v>
              </c:pt>
              <c:pt idx="242">
                <c:v>0.35169399735895684</c:v>
              </c:pt>
              <c:pt idx="243">
                <c:v>0</c:v>
              </c:pt>
              <c:pt idx="244">
                <c:v>0</c:v>
              </c:pt>
              <c:pt idx="245">
                <c:v>0.35169399735895684</c:v>
              </c:pt>
              <c:pt idx="246">
                <c:v>0.35169399735895684</c:v>
              </c:pt>
              <c:pt idx="247">
                <c:v>0</c:v>
              </c:pt>
              <c:pt idx="248">
                <c:v>0</c:v>
              </c:pt>
              <c:pt idx="249">
                <c:v>0.35169399735895684</c:v>
              </c:pt>
              <c:pt idx="250">
                <c:v>0.35169399735895684</c:v>
              </c:pt>
              <c:pt idx="251">
                <c:v>0</c:v>
              </c:pt>
              <c:pt idx="252">
                <c:v>0</c:v>
              </c:pt>
              <c:pt idx="253">
                <c:v>0.35169399735895684</c:v>
              </c:pt>
              <c:pt idx="254">
                <c:v>0.35169399735895684</c:v>
              </c:pt>
              <c:pt idx="255">
                <c:v>0</c:v>
              </c:pt>
              <c:pt idx="256">
                <c:v>0</c:v>
              </c:pt>
              <c:pt idx="257">
                <c:v>0.35169399735895684</c:v>
              </c:pt>
              <c:pt idx="258">
                <c:v>0.35169399735895684</c:v>
              </c:pt>
              <c:pt idx="259">
                <c:v>0</c:v>
              </c:pt>
              <c:pt idx="260">
                <c:v>0</c:v>
              </c:pt>
              <c:pt idx="261">
                <c:v>0.35169399735895684</c:v>
              </c:pt>
              <c:pt idx="262">
                <c:v>0.35169399735895684</c:v>
              </c:pt>
              <c:pt idx="263">
                <c:v>0</c:v>
              </c:pt>
              <c:pt idx="264">
                <c:v>0</c:v>
              </c:pt>
              <c:pt idx="265">
                <c:v>0.35169399735895684</c:v>
              </c:pt>
              <c:pt idx="266">
                <c:v>0.35169399735895684</c:v>
              </c:pt>
              <c:pt idx="267">
                <c:v>0</c:v>
              </c:pt>
              <c:pt idx="268">
                <c:v>0</c:v>
              </c:pt>
              <c:pt idx="269">
                <c:v>0.35169399735895684</c:v>
              </c:pt>
              <c:pt idx="270">
                <c:v>0.35169399735895684</c:v>
              </c:pt>
              <c:pt idx="271">
                <c:v>0</c:v>
              </c:pt>
              <c:pt idx="272">
                <c:v>0</c:v>
              </c:pt>
              <c:pt idx="273">
                <c:v>0.35169399735895684</c:v>
              </c:pt>
              <c:pt idx="274">
                <c:v>0.35169399735895684</c:v>
              </c:pt>
              <c:pt idx="275">
                <c:v>0</c:v>
              </c:pt>
              <c:pt idx="276">
                <c:v>0</c:v>
              </c:pt>
              <c:pt idx="277">
                <c:v>0.35169399735895684</c:v>
              </c:pt>
              <c:pt idx="278">
                <c:v>0.35169399735895684</c:v>
              </c:pt>
              <c:pt idx="279">
                <c:v>0</c:v>
              </c:pt>
              <c:pt idx="280">
                <c:v>0</c:v>
              </c:pt>
              <c:pt idx="281">
                <c:v>0.35169399735895684</c:v>
              </c:pt>
              <c:pt idx="282">
                <c:v>0.35169399735895684</c:v>
              </c:pt>
              <c:pt idx="283">
                <c:v>0</c:v>
              </c:pt>
              <c:pt idx="284">
                <c:v>0</c:v>
              </c:pt>
              <c:pt idx="285">
                <c:v>0.35169399735895684</c:v>
              </c:pt>
              <c:pt idx="286">
                <c:v>0.35169399735895684</c:v>
              </c:pt>
              <c:pt idx="287">
                <c:v>0</c:v>
              </c:pt>
              <c:pt idx="288">
                <c:v>0</c:v>
              </c:pt>
              <c:pt idx="289">
                <c:v>0.35169399735895684</c:v>
              </c:pt>
              <c:pt idx="290">
                <c:v>0.35169399735895684</c:v>
              </c:pt>
              <c:pt idx="291">
                <c:v>0</c:v>
              </c:pt>
              <c:pt idx="292">
                <c:v>0.35169399735895684</c:v>
              </c:pt>
              <c:pt idx="293">
                <c:v>0</c:v>
              </c:pt>
              <c:pt idx="296">
                <c:v>0</c:v>
              </c:pt>
              <c:pt idx="297">
                <c:v>1.0141873412211779</c:v>
              </c:pt>
              <c:pt idx="298">
                <c:v>1.0141873412211779</c:v>
              </c:pt>
              <c:pt idx="299">
                <c:v>0</c:v>
              </c:pt>
              <c:pt idx="300">
                <c:v>0</c:v>
              </c:pt>
              <c:pt idx="301">
                <c:v>1.0141873412211779</c:v>
              </c:pt>
              <c:pt idx="302">
                <c:v>1.0141873412211779</c:v>
              </c:pt>
              <c:pt idx="303">
                <c:v>0</c:v>
              </c:pt>
              <c:pt idx="304">
                <c:v>0</c:v>
              </c:pt>
              <c:pt idx="305">
                <c:v>1.0141873412211779</c:v>
              </c:pt>
              <c:pt idx="306">
                <c:v>1.0141873412211779</c:v>
              </c:pt>
              <c:pt idx="307">
                <c:v>0</c:v>
              </c:pt>
              <c:pt idx="308">
                <c:v>0</c:v>
              </c:pt>
              <c:pt idx="309">
                <c:v>1.0141873412211779</c:v>
              </c:pt>
              <c:pt idx="310">
                <c:v>1.0141873412211779</c:v>
              </c:pt>
              <c:pt idx="311">
                <c:v>0</c:v>
              </c:pt>
              <c:pt idx="312">
                <c:v>0</c:v>
              </c:pt>
              <c:pt idx="313">
                <c:v>1.0141873412211779</c:v>
              </c:pt>
              <c:pt idx="314">
                <c:v>1.0141873412211779</c:v>
              </c:pt>
              <c:pt idx="315">
                <c:v>0</c:v>
              </c:pt>
              <c:pt idx="316">
                <c:v>0</c:v>
              </c:pt>
              <c:pt idx="317">
                <c:v>1.0141873412211779</c:v>
              </c:pt>
              <c:pt idx="318">
                <c:v>1.0141873412211779</c:v>
              </c:pt>
              <c:pt idx="319">
                <c:v>0</c:v>
              </c:pt>
              <c:pt idx="320">
                <c:v>0</c:v>
              </c:pt>
              <c:pt idx="321">
                <c:v>1.0141873412211779</c:v>
              </c:pt>
              <c:pt idx="322">
                <c:v>1.0141873412211779</c:v>
              </c:pt>
              <c:pt idx="323">
                <c:v>0</c:v>
              </c:pt>
              <c:pt idx="324">
                <c:v>0</c:v>
              </c:pt>
              <c:pt idx="325">
                <c:v>1.0141873412211779</c:v>
              </c:pt>
              <c:pt idx="326">
                <c:v>1.0141873412211779</c:v>
              </c:pt>
              <c:pt idx="327">
                <c:v>0</c:v>
              </c:pt>
              <c:pt idx="328">
                <c:v>0</c:v>
              </c:pt>
              <c:pt idx="329">
                <c:v>1.0141873412211779</c:v>
              </c:pt>
              <c:pt idx="330">
                <c:v>1.0141873412211779</c:v>
              </c:pt>
              <c:pt idx="331">
                <c:v>0</c:v>
              </c:pt>
              <c:pt idx="332">
                <c:v>0</c:v>
              </c:pt>
              <c:pt idx="333">
                <c:v>1.0141873412211779</c:v>
              </c:pt>
              <c:pt idx="334">
                <c:v>1.0141873412211779</c:v>
              </c:pt>
              <c:pt idx="335">
                <c:v>0</c:v>
              </c:pt>
              <c:pt idx="336">
                <c:v>0</c:v>
              </c:pt>
              <c:pt idx="337">
                <c:v>1.0141873412211779</c:v>
              </c:pt>
              <c:pt idx="338">
                <c:v>1.0141873412211779</c:v>
              </c:pt>
              <c:pt idx="339">
                <c:v>0</c:v>
              </c:pt>
              <c:pt idx="340">
                <c:v>0</c:v>
              </c:pt>
              <c:pt idx="341">
                <c:v>1.0141873412211779</c:v>
              </c:pt>
              <c:pt idx="342">
                <c:v>1.0141873412211779</c:v>
              </c:pt>
              <c:pt idx="343">
                <c:v>0</c:v>
              </c:pt>
              <c:pt idx="344">
                <c:v>0</c:v>
              </c:pt>
              <c:pt idx="345">
                <c:v>1.0141873412211779</c:v>
              </c:pt>
              <c:pt idx="346">
                <c:v>1.0141873412211779</c:v>
              </c:pt>
              <c:pt idx="347">
                <c:v>0</c:v>
              </c:pt>
              <c:pt idx="348">
                <c:v>0</c:v>
              </c:pt>
              <c:pt idx="349">
                <c:v>1.0141873412211779</c:v>
              </c:pt>
              <c:pt idx="350">
                <c:v>1.0141873412211779</c:v>
              </c:pt>
              <c:pt idx="351">
                <c:v>0</c:v>
              </c:pt>
              <c:pt idx="352">
                <c:v>0</c:v>
              </c:pt>
              <c:pt idx="353">
                <c:v>1.0141873412211779</c:v>
              </c:pt>
              <c:pt idx="354">
                <c:v>1.0141873412211779</c:v>
              </c:pt>
              <c:pt idx="355">
                <c:v>0</c:v>
              </c:pt>
              <c:pt idx="356">
                <c:v>0</c:v>
              </c:pt>
              <c:pt idx="357">
                <c:v>1.0141873412211779</c:v>
              </c:pt>
              <c:pt idx="358">
                <c:v>1.0141873412211779</c:v>
              </c:pt>
              <c:pt idx="359">
                <c:v>0</c:v>
              </c:pt>
              <c:pt idx="360">
                <c:v>0</c:v>
              </c:pt>
              <c:pt idx="361">
                <c:v>1.0141873412211779</c:v>
              </c:pt>
              <c:pt idx="362">
                <c:v>1.0141873412211779</c:v>
              </c:pt>
              <c:pt idx="363">
                <c:v>0</c:v>
              </c:pt>
              <c:pt idx="364">
                <c:v>0</c:v>
              </c:pt>
              <c:pt idx="365">
                <c:v>1.0141873412211779</c:v>
              </c:pt>
              <c:pt idx="366">
                <c:v>1.0141873412211779</c:v>
              </c:pt>
              <c:pt idx="367">
                <c:v>0</c:v>
              </c:pt>
              <c:pt idx="368">
                <c:v>0</c:v>
              </c:pt>
              <c:pt idx="369">
                <c:v>1.0141873412211779</c:v>
              </c:pt>
              <c:pt idx="370">
                <c:v>1.0141873412211779</c:v>
              </c:pt>
              <c:pt idx="371">
                <c:v>0</c:v>
              </c:pt>
              <c:pt idx="372">
                <c:v>0</c:v>
              </c:pt>
              <c:pt idx="373">
                <c:v>1.0141873412211779</c:v>
              </c:pt>
              <c:pt idx="374">
                <c:v>1.0141873412211779</c:v>
              </c:pt>
              <c:pt idx="375">
                <c:v>0</c:v>
              </c:pt>
              <c:pt idx="376">
                <c:v>0</c:v>
              </c:pt>
              <c:pt idx="377">
                <c:v>1.0141873412211779</c:v>
              </c:pt>
              <c:pt idx="378">
                <c:v>1.0141873412211779</c:v>
              </c:pt>
              <c:pt idx="379">
                <c:v>0</c:v>
              </c:pt>
              <c:pt idx="380">
                <c:v>0</c:v>
              </c:pt>
              <c:pt idx="381">
                <c:v>1.0141873412211779</c:v>
              </c:pt>
              <c:pt idx="382">
                <c:v>1.0141873412211779</c:v>
              </c:pt>
              <c:pt idx="383">
                <c:v>0</c:v>
              </c:pt>
              <c:pt idx="384">
                <c:v>0</c:v>
              </c:pt>
              <c:pt idx="385">
                <c:v>1.0141873412211779</c:v>
              </c:pt>
              <c:pt idx="386">
                <c:v>1.0141873412211779</c:v>
              </c:pt>
              <c:pt idx="387">
                <c:v>0</c:v>
              </c:pt>
              <c:pt idx="388">
                <c:v>0</c:v>
              </c:pt>
              <c:pt idx="389">
                <c:v>1.0141873412211779</c:v>
              </c:pt>
              <c:pt idx="390">
                <c:v>1.0141873412211779</c:v>
              </c:pt>
              <c:pt idx="391">
                <c:v>0</c:v>
              </c:pt>
              <c:pt idx="392">
                <c:v>0</c:v>
              </c:pt>
              <c:pt idx="393">
                <c:v>1.0141873412211779</c:v>
              </c:pt>
              <c:pt idx="394">
                <c:v>1.0141873412211779</c:v>
              </c:pt>
              <c:pt idx="395">
                <c:v>0</c:v>
              </c:pt>
              <c:pt idx="396">
                <c:v>0</c:v>
              </c:pt>
              <c:pt idx="397">
                <c:v>1.0141873412211779</c:v>
              </c:pt>
              <c:pt idx="398">
                <c:v>1.0141873412211779</c:v>
              </c:pt>
              <c:pt idx="399">
                <c:v>0</c:v>
              </c:pt>
              <c:pt idx="400">
                <c:v>0</c:v>
              </c:pt>
              <c:pt idx="401">
                <c:v>1.0141873412211779</c:v>
              </c:pt>
              <c:pt idx="402">
                <c:v>1.0141873412211779</c:v>
              </c:pt>
              <c:pt idx="403">
                <c:v>0</c:v>
              </c:pt>
              <c:pt idx="404">
                <c:v>0</c:v>
              </c:pt>
              <c:pt idx="405">
                <c:v>1.0141873412211779</c:v>
              </c:pt>
              <c:pt idx="406">
                <c:v>1.0141873412211779</c:v>
              </c:pt>
              <c:pt idx="407">
                <c:v>0</c:v>
              </c:pt>
              <c:pt idx="408">
                <c:v>0</c:v>
              </c:pt>
              <c:pt idx="409">
                <c:v>1.0141873412211779</c:v>
              </c:pt>
              <c:pt idx="410">
                <c:v>1.0141873412211779</c:v>
              </c:pt>
              <c:pt idx="411">
                <c:v>0</c:v>
              </c:pt>
              <c:pt idx="412">
                <c:v>0</c:v>
              </c:pt>
              <c:pt idx="413">
                <c:v>1.0141873412211779</c:v>
              </c:pt>
              <c:pt idx="414">
                <c:v>1.0141873412211779</c:v>
              </c:pt>
              <c:pt idx="415">
                <c:v>0</c:v>
              </c:pt>
              <c:pt idx="416">
                <c:v>0</c:v>
              </c:pt>
              <c:pt idx="417">
                <c:v>1.0141873412211779</c:v>
              </c:pt>
              <c:pt idx="418">
                <c:v>1.0141873412211779</c:v>
              </c:pt>
              <c:pt idx="419">
                <c:v>0</c:v>
              </c:pt>
              <c:pt idx="420">
                <c:v>0</c:v>
              </c:pt>
              <c:pt idx="421">
                <c:v>1.0141873412211779</c:v>
              </c:pt>
              <c:pt idx="422">
                <c:v>1.0141873412211779</c:v>
              </c:pt>
              <c:pt idx="423">
                <c:v>0</c:v>
              </c:pt>
              <c:pt idx="424">
                <c:v>0</c:v>
              </c:pt>
              <c:pt idx="425">
                <c:v>1.0141873412211779</c:v>
              </c:pt>
              <c:pt idx="426">
                <c:v>1.0141873412211779</c:v>
              </c:pt>
              <c:pt idx="427">
                <c:v>0</c:v>
              </c:pt>
              <c:pt idx="428">
                <c:v>0</c:v>
              </c:pt>
              <c:pt idx="429">
                <c:v>1.0141873412211779</c:v>
              </c:pt>
              <c:pt idx="430">
                <c:v>1.0141873412211779</c:v>
              </c:pt>
              <c:pt idx="431">
                <c:v>0</c:v>
              </c:pt>
              <c:pt idx="432">
                <c:v>0</c:v>
              </c:pt>
              <c:pt idx="433">
                <c:v>1.0141873412211779</c:v>
              </c:pt>
              <c:pt idx="434">
                <c:v>1.0141873412211779</c:v>
              </c:pt>
              <c:pt idx="435">
                <c:v>0</c:v>
              </c:pt>
              <c:pt idx="436">
                <c:v>0</c:v>
              </c:pt>
              <c:pt idx="437">
                <c:v>1.0141873412211779</c:v>
              </c:pt>
              <c:pt idx="438">
                <c:v>1.0141873412211779</c:v>
              </c:pt>
              <c:pt idx="439">
                <c:v>0</c:v>
              </c:pt>
              <c:pt idx="440">
                <c:v>1.0141873412211779</c:v>
              </c:pt>
              <c:pt idx="441">
                <c:v>0</c:v>
              </c:pt>
              <c:pt idx="444">
                <c:v>0</c:v>
              </c:pt>
              <c:pt idx="445">
                <c:v>1.5294599420029042</c:v>
              </c:pt>
              <c:pt idx="446">
                <c:v>1.5294599420029042</c:v>
              </c:pt>
              <c:pt idx="447">
                <c:v>0</c:v>
              </c:pt>
              <c:pt idx="448">
                <c:v>0</c:v>
              </c:pt>
              <c:pt idx="449">
                <c:v>1.5294599420029042</c:v>
              </c:pt>
              <c:pt idx="450">
                <c:v>1.5294599420029042</c:v>
              </c:pt>
              <c:pt idx="451">
                <c:v>0</c:v>
              </c:pt>
              <c:pt idx="452">
                <c:v>0</c:v>
              </c:pt>
              <c:pt idx="453">
                <c:v>1.5294599420029042</c:v>
              </c:pt>
              <c:pt idx="454">
                <c:v>1.5294599420029042</c:v>
              </c:pt>
              <c:pt idx="455">
                <c:v>0</c:v>
              </c:pt>
              <c:pt idx="456">
                <c:v>0</c:v>
              </c:pt>
              <c:pt idx="457">
                <c:v>1.5294599420029042</c:v>
              </c:pt>
              <c:pt idx="458">
                <c:v>1.5294599420029042</c:v>
              </c:pt>
              <c:pt idx="459">
                <c:v>0</c:v>
              </c:pt>
              <c:pt idx="460">
                <c:v>0</c:v>
              </c:pt>
              <c:pt idx="461">
                <c:v>1.5294599420029042</c:v>
              </c:pt>
              <c:pt idx="462">
                <c:v>1.5294599420029042</c:v>
              </c:pt>
              <c:pt idx="463">
                <c:v>0</c:v>
              </c:pt>
              <c:pt idx="464">
                <c:v>0</c:v>
              </c:pt>
              <c:pt idx="465">
                <c:v>1.5294599420029042</c:v>
              </c:pt>
              <c:pt idx="466">
                <c:v>1.5294599420029042</c:v>
              </c:pt>
              <c:pt idx="467">
                <c:v>0</c:v>
              </c:pt>
              <c:pt idx="468">
                <c:v>0</c:v>
              </c:pt>
              <c:pt idx="469">
                <c:v>1.5294599420029042</c:v>
              </c:pt>
              <c:pt idx="470">
                <c:v>1.5294599420029042</c:v>
              </c:pt>
              <c:pt idx="471">
                <c:v>0</c:v>
              </c:pt>
              <c:pt idx="472">
                <c:v>0</c:v>
              </c:pt>
              <c:pt idx="473">
                <c:v>1.5294599420029042</c:v>
              </c:pt>
              <c:pt idx="474">
                <c:v>1.5294599420029042</c:v>
              </c:pt>
              <c:pt idx="475">
                <c:v>0</c:v>
              </c:pt>
              <c:pt idx="476">
                <c:v>0</c:v>
              </c:pt>
              <c:pt idx="477">
                <c:v>1.5294599420029042</c:v>
              </c:pt>
              <c:pt idx="478">
                <c:v>1.5294599420029042</c:v>
              </c:pt>
              <c:pt idx="479">
                <c:v>0</c:v>
              </c:pt>
              <c:pt idx="480">
                <c:v>0</c:v>
              </c:pt>
              <c:pt idx="481">
                <c:v>1.5294599420029042</c:v>
              </c:pt>
              <c:pt idx="482">
                <c:v>1.5294599420029042</c:v>
              </c:pt>
              <c:pt idx="483">
                <c:v>0</c:v>
              </c:pt>
              <c:pt idx="484">
                <c:v>0</c:v>
              </c:pt>
              <c:pt idx="485">
                <c:v>1.5294599420029042</c:v>
              </c:pt>
              <c:pt idx="486">
                <c:v>1.5294599420029042</c:v>
              </c:pt>
              <c:pt idx="487">
                <c:v>0</c:v>
              </c:pt>
              <c:pt idx="488">
                <c:v>0</c:v>
              </c:pt>
              <c:pt idx="489">
                <c:v>1.5294599420029042</c:v>
              </c:pt>
              <c:pt idx="490">
                <c:v>1.5294599420029042</c:v>
              </c:pt>
              <c:pt idx="491">
                <c:v>0</c:v>
              </c:pt>
              <c:pt idx="492">
                <c:v>0</c:v>
              </c:pt>
              <c:pt idx="493">
                <c:v>1.5294599420029042</c:v>
              </c:pt>
              <c:pt idx="494">
                <c:v>1.5294599420029042</c:v>
              </c:pt>
              <c:pt idx="495">
                <c:v>0</c:v>
              </c:pt>
              <c:pt idx="496">
                <c:v>0</c:v>
              </c:pt>
              <c:pt idx="497">
                <c:v>1.5294599420029042</c:v>
              </c:pt>
              <c:pt idx="498">
                <c:v>1.5294599420029042</c:v>
              </c:pt>
              <c:pt idx="499">
                <c:v>0</c:v>
              </c:pt>
              <c:pt idx="500">
                <c:v>0</c:v>
              </c:pt>
              <c:pt idx="501">
                <c:v>1.5294599420029042</c:v>
              </c:pt>
              <c:pt idx="502">
                <c:v>1.5294599420029042</c:v>
              </c:pt>
              <c:pt idx="503">
                <c:v>0</c:v>
              </c:pt>
              <c:pt idx="504">
                <c:v>0</c:v>
              </c:pt>
              <c:pt idx="505">
                <c:v>1.5294599420029042</c:v>
              </c:pt>
              <c:pt idx="506">
                <c:v>1.5294599420029042</c:v>
              </c:pt>
              <c:pt idx="507">
                <c:v>0</c:v>
              </c:pt>
              <c:pt idx="508">
                <c:v>0</c:v>
              </c:pt>
              <c:pt idx="509">
                <c:v>1.5294599420029042</c:v>
              </c:pt>
              <c:pt idx="510">
                <c:v>1.5294599420029042</c:v>
              </c:pt>
              <c:pt idx="511">
                <c:v>0</c:v>
              </c:pt>
              <c:pt idx="512">
                <c:v>0</c:v>
              </c:pt>
              <c:pt idx="513">
                <c:v>1.5294599420029042</c:v>
              </c:pt>
              <c:pt idx="514">
                <c:v>1.5294599420029042</c:v>
              </c:pt>
              <c:pt idx="515">
                <c:v>0</c:v>
              </c:pt>
              <c:pt idx="516">
                <c:v>0</c:v>
              </c:pt>
              <c:pt idx="517">
                <c:v>1.5294599420029042</c:v>
              </c:pt>
              <c:pt idx="518">
                <c:v>1.5294599420029042</c:v>
              </c:pt>
              <c:pt idx="519">
                <c:v>0</c:v>
              </c:pt>
              <c:pt idx="520">
                <c:v>0</c:v>
              </c:pt>
              <c:pt idx="521">
                <c:v>1.5294599420029042</c:v>
              </c:pt>
              <c:pt idx="522">
                <c:v>1.5294599420029042</c:v>
              </c:pt>
              <c:pt idx="523">
                <c:v>0</c:v>
              </c:pt>
              <c:pt idx="524">
                <c:v>0</c:v>
              </c:pt>
              <c:pt idx="525">
                <c:v>1.5294599420029042</c:v>
              </c:pt>
              <c:pt idx="526">
                <c:v>1.5294599420029042</c:v>
              </c:pt>
              <c:pt idx="527">
                <c:v>0</c:v>
              </c:pt>
              <c:pt idx="528">
                <c:v>0</c:v>
              </c:pt>
              <c:pt idx="529">
                <c:v>1.5294599420029042</c:v>
              </c:pt>
              <c:pt idx="530">
                <c:v>1.5294599420029042</c:v>
              </c:pt>
              <c:pt idx="531">
                <c:v>0</c:v>
              </c:pt>
              <c:pt idx="532">
                <c:v>0</c:v>
              </c:pt>
              <c:pt idx="533">
                <c:v>1.5294599420029042</c:v>
              </c:pt>
              <c:pt idx="534">
                <c:v>1.5294599420029042</c:v>
              </c:pt>
              <c:pt idx="535">
                <c:v>0</c:v>
              </c:pt>
              <c:pt idx="536">
                <c:v>0</c:v>
              </c:pt>
              <c:pt idx="537">
                <c:v>1.5294599420029042</c:v>
              </c:pt>
              <c:pt idx="538">
                <c:v>1.5294599420029042</c:v>
              </c:pt>
              <c:pt idx="539">
                <c:v>0</c:v>
              </c:pt>
              <c:pt idx="540">
                <c:v>0</c:v>
              </c:pt>
              <c:pt idx="541">
                <c:v>1.5294599420029042</c:v>
              </c:pt>
              <c:pt idx="542">
                <c:v>1.5294599420029042</c:v>
              </c:pt>
              <c:pt idx="543">
                <c:v>0</c:v>
              </c:pt>
              <c:pt idx="544">
                <c:v>0</c:v>
              </c:pt>
              <c:pt idx="545">
                <c:v>1.5294599420029042</c:v>
              </c:pt>
              <c:pt idx="546">
                <c:v>1.5294599420029042</c:v>
              </c:pt>
              <c:pt idx="547">
                <c:v>0</c:v>
              </c:pt>
              <c:pt idx="548">
                <c:v>0</c:v>
              </c:pt>
              <c:pt idx="549">
                <c:v>1.5294599420029042</c:v>
              </c:pt>
              <c:pt idx="550">
                <c:v>1.5294599420029042</c:v>
              </c:pt>
              <c:pt idx="551">
                <c:v>0</c:v>
              </c:pt>
              <c:pt idx="552">
                <c:v>0</c:v>
              </c:pt>
              <c:pt idx="553">
                <c:v>1.5294599420029042</c:v>
              </c:pt>
              <c:pt idx="554">
                <c:v>1.5294599420029042</c:v>
              </c:pt>
              <c:pt idx="555">
                <c:v>0</c:v>
              </c:pt>
              <c:pt idx="556">
                <c:v>0</c:v>
              </c:pt>
              <c:pt idx="557">
                <c:v>1.5294599420029042</c:v>
              </c:pt>
              <c:pt idx="558">
                <c:v>1.5294599420029042</c:v>
              </c:pt>
              <c:pt idx="559">
                <c:v>0</c:v>
              </c:pt>
              <c:pt idx="560">
                <c:v>0</c:v>
              </c:pt>
              <c:pt idx="561">
                <c:v>1.5294599420029042</c:v>
              </c:pt>
              <c:pt idx="562">
                <c:v>1.5294599420029042</c:v>
              </c:pt>
              <c:pt idx="563">
                <c:v>0</c:v>
              </c:pt>
              <c:pt idx="564">
                <c:v>0</c:v>
              </c:pt>
              <c:pt idx="565">
                <c:v>1.5294599420029042</c:v>
              </c:pt>
              <c:pt idx="566">
                <c:v>1.5294599420029042</c:v>
              </c:pt>
              <c:pt idx="567">
                <c:v>0</c:v>
              </c:pt>
              <c:pt idx="568">
                <c:v>0</c:v>
              </c:pt>
              <c:pt idx="569">
                <c:v>1.5294599420029042</c:v>
              </c:pt>
              <c:pt idx="570">
                <c:v>1.5294599420029042</c:v>
              </c:pt>
              <c:pt idx="571">
                <c:v>0</c:v>
              </c:pt>
              <c:pt idx="572">
                <c:v>0</c:v>
              </c:pt>
              <c:pt idx="573">
                <c:v>1.5294599420029042</c:v>
              </c:pt>
              <c:pt idx="574">
                <c:v>1.5294599420029042</c:v>
              </c:pt>
              <c:pt idx="575">
                <c:v>0</c:v>
              </c:pt>
              <c:pt idx="576">
                <c:v>0</c:v>
              </c:pt>
              <c:pt idx="577">
                <c:v>1.5294599420029042</c:v>
              </c:pt>
              <c:pt idx="578">
                <c:v>1.5294599420029042</c:v>
              </c:pt>
              <c:pt idx="579">
                <c:v>0</c:v>
              </c:pt>
              <c:pt idx="580">
                <c:v>0</c:v>
              </c:pt>
              <c:pt idx="581">
                <c:v>1.5294599420029042</c:v>
              </c:pt>
              <c:pt idx="582">
                <c:v>1.5294599420029042</c:v>
              </c:pt>
              <c:pt idx="583">
                <c:v>0</c:v>
              </c:pt>
              <c:pt idx="584">
                <c:v>0</c:v>
              </c:pt>
              <c:pt idx="585">
                <c:v>1.5294599420029042</c:v>
              </c:pt>
              <c:pt idx="586">
                <c:v>1.5294599420029042</c:v>
              </c:pt>
              <c:pt idx="587">
                <c:v>0</c:v>
              </c:pt>
              <c:pt idx="588">
                <c:v>1.5294599420029042</c:v>
              </c:pt>
              <c:pt idx="589">
                <c:v>0</c:v>
              </c:pt>
              <c:pt idx="592">
                <c:v>0</c:v>
              </c:pt>
              <c:pt idx="593">
                <c:v>2.1755954255228471</c:v>
              </c:pt>
              <c:pt idx="594">
                <c:v>2.1755954255228471</c:v>
              </c:pt>
              <c:pt idx="595">
                <c:v>0</c:v>
              </c:pt>
              <c:pt idx="596">
                <c:v>0</c:v>
              </c:pt>
              <c:pt idx="597">
                <c:v>2.1755954255228471</c:v>
              </c:pt>
              <c:pt idx="598">
                <c:v>2.1755954255228471</c:v>
              </c:pt>
              <c:pt idx="599">
                <c:v>0</c:v>
              </c:pt>
              <c:pt idx="600">
                <c:v>0</c:v>
              </c:pt>
              <c:pt idx="601">
                <c:v>2.1755954255228471</c:v>
              </c:pt>
              <c:pt idx="602">
                <c:v>2.1755954255228471</c:v>
              </c:pt>
              <c:pt idx="603">
                <c:v>0</c:v>
              </c:pt>
              <c:pt idx="604">
                <c:v>0</c:v>
              </c:pt>
              <c:pt idx="605">
                <c:v>2.1755954255228471</c:v>
              </c:pt>
              <c:pt idx="606">
                <c:v>2.1755954255228471</c:v>
              </c:pt>
              <c:pt idx="607">
                <c:v>0</c:v>
              </c:pt>
              <c:pt idx="608">
                <c:v>0</c:v>
              </c:pt>
              <c:pt idx="609">
                <c:v>2.1755954255228471</c:v>
              </c:pt>
              <c:pt idx="610">
                <c:v>2.1755954255228471</c:v>
              </c:pt>
              <c:pt idx="611">
                <c:v>0</c:v>
              </c:pt>
              <c:pt idx="612">
                <c:v>0</c:v>
              </c:pt>
              <c:pt idx="613">
                <c:v>2.1755954255228471</c:v>
              </c:pt>
              <c:pt idx="614">
                <c:v>2.1755954255228471</c:v>
              </c:pt>
              <c:pt idx="615">
                <c:v>0</c:v>
              </c:pt>
              <c:pt idx="616">
                <c:v>0</c:v>
              </c:pt>
              <c:pt idx="617">
                <c:v>2.1755954255228471</c:v>
              </c:pt>
              <c:pt idx="618">
                <c:v>2.1755954255228471</c:v>
              </c:pt>
              <c:pt idx="619">
                <c:v>0</c:v>
              </c:pt>
              <c:pt idx="620">
                <c:v>0</c:v>
              </c:pt>
              <c:pt idx="621">
                <c:v>2.1755954255228471</c:v>
              </c:pt>
              <c:pt idx="622">
                <c:v>2.1755954255228471</c:v>
              </c:pt>
              <c:pt idx="623">
                <c:v>0</c:v>
              </c:pt>
              <c:pt idx="624">
                <c:v>0</c:v>
              </c:pt>
              <c:pt idx="625">
                <c:v>2.1755954255228471</c:v>
              </c:pt>
              <c:pt idx="626">
                <c:v>2.1755954255228471</c:v>
              </c:pt>
              <c:pt idx="627">
                <c:v>0</c:v>
              </c:pt>
              <c:pt idx="628">
                <c:v>0</c:v>
              </c:pt>
              <c:pt idx="629">
                <c:v>2.1755954255228471</c:v>
              </c:pt>
              <c:pt idx="630">
                <c:v>2.1755954255228471</c:v>
              </c:pt>
              <c:pt idx="631">
                <c:v>0</c:v>
              </c:pt>
              <c:pt idx="632">
                <c:v>0</c:v>
              </c:pt>
              <c:pt idx="633">
                <c:v>2.1755954255228471</c:v>
              </c:pt>
              <c:pt idx="634">
                <c:v>2.1755954255228471</c:v>
              </c:pt>
              <c:pt idx="635">
                <c:v>0</c:v>
              </c:pt>
              <c:pt idx="636">
                <c:v>0</c:v>
              </c:pt>
              <c:pt idx="637">
                <c:v>2.1755954255228471</c:v>
              </c:pt>
              <c:pt idx="638">
                <c:v>2.1755954255228471</c:v>
              </c:pt>
              <c:pt idx="639">
                <c:v>0</c:v>
              </c:pt>
              <c:pt idx="640">
                <c:v>0</c:v>
              </c:pt>
              <c:pt idx="641">
                <c:v>2.1755954255228471</c:v>
              </c:pt>
              <c:pt idx="642">
                <c:v>2.1755954255228471</c:v>
              </c:pt>
              <c:pt idx="643">
                <c:v>0</c:v>
              </c:pt>
              <c:pt idx="644">
                <c:v>0</c:v>
              </c:pt>
              <c:pt idx="645">
                <c:v>2.1755954255228471</c:v>
              </c:pt>
              <c:pt idx="646">
                <c:v>2.1755954255228471</c:v>
              </c:pt>
              <c:pt idx="647">
                <c:v>0</c:v>
              </c:pt>
              <c:pt idx="648">
                <c:v>0</c:v>
              </c:pt>
              <c:pt idx="649">
                <c:v>2.1755954255228471</c:v>
              </c:pt>
              <c:pt idx="650">
                <c:v>2.1755954255228471</c:v>
              </c:pt>
              <c:pt idx="651">
                <c:v>0</c:v>
              </c:pt>
              <c:pt idx="652">
                <c:v>0</c:v>
              </c:pt>
              <c:pt idx="653">
                <c:v>2.1755954255228471</c:v>
              </c:pt>
              <c:pt idx="654">
                <c:v>2.1755954255228471</c:v>
              </c:pt>
              <c:pt idx="655">
                <c:v>0</c:v>
              </c:pt>
              <c:pt idx="656">
                <c:v>0</c:v>
              </c:pt>
              <c:pt idx="657">
                <c:v>2.1755954255228471</c:v>
              </c:pt>
              <c:pt idx="658">
                <c:v>2.1755954255228471</c:v>
              </c:pt>
              <c:pt idx="659">
                <c:v>0</c:v>
              </c:pt>
              <c:pt idx="660">
                <c:v>0</c:v>
              </c:pt>
              <c:pt idx="661">
                <c:v>2.1755954255228471</c:v>
              </c:pt>
              <c:pt idx="662">
                <c:v>2.1755954255228471</c:v>
              </c:pt>
              <c:pt idx="663">
                <c:v>0</c:v>
              </c:pt>
              <c:pt idx="664">
                <c:v>0</c:v>
              </c:pt>
              <c:pt idx="665">
                <c:v>2.1755954255228471</c:v>
              </c:pt>
              <c:pt idx="666">
                <c:v>2.1755954255228471</c:v>
              </c:pt>
              <c:pt idx="667">
                <c:v>0</c:v>
              </c:pt>
              <c:pt idx="668">
                <c:v>0</c:v>
              </c:pt>
              <c:pt idx="669">
                <c:v>2.1755954255228471</c:v>
              </c:pt>
              <c:pt idx="670">
                <c:v>2.1755954255228471</c:v>
              </c:pt>
              <c:pt idx="671">
                <c:v>0</c:v>
              </c:pt>
              <c:pt idx="672">
                <c:v>0</c:v>
              </c:pt>
              <c:pt idx="673">
                <c:v>2.1755954255228471</c:v>
              </c:pt>
              <c:pt idx="674">
                <c:v>2.1755954255228471</c:v>
              </c:pt>
              <c:pt idx="675">
                <c:v>0</c:v>
              </c:pt>
              <c:pt idx="676">
                <c:v>0</c:v>
              </c:pt>
              <c:pt idx="677">
                <c:v>2.1755954255228471</c:v>
              </c:pt>
              <c:pt idx="678">
                <c:v>2.1755954255228471</c:v>
              </c:pt>
              <c:pt idx="679">
                <c:v>0</c:v>
              </c:pt>
              <c:pt idx="680">
                <c:v>0</c:v>
              </c:pt>
              <c:pt idx="681">
                <c:v>2.1755954255228471</c:v>
              </c:pt>
              <c:pt idx="682">
                <c:v>2.1755954255228471</c:v>
              </c:pt>
              <c:pt idx="683">
                <c:v>0</c:v>
              </c:pt>
              <c:pt idx="684">
                <c:v>0</c:v>
              </c:pt>
              <c:pt idx="685">
                <c:v>2.1755954255228471</c:v>
              </c:pt>
              <c:pt idx="686">
                <c:v>2.1755954255228471</c:v>
              </c:pt>
              <c:pt idx="687">
                <c:v>0</c:v>
              </c:pt>
              <c:pt idx="688">
                <c:v>0</c:v>
              </c:pt>
              <c:pt idx="689">
                <c:v>2.1755954255228471</c:v>
              </c:pt>
              <c:pt idx="690">
                <c:v>2.1755954255228471</c:v>
              </c:pt>
              <c:pt idx="691">
                <c:v>0</c:v>
              </c:pt>
              <c:pt idx="692">
                <c:v>0</c:v>
              </c:pt>
              <c:pt idx="693">
                <c:v>2.1755954255228471</c:v>
              </c:pt>
              <c:pt idx="694">
                <c:v>2.1755954255228471</c:v>
              </c:pt>
              <c:pt idx="695">
                <c:v>0</c:v>
              </c:pt>
              <c:pt idx="696">
                <c:v>0</c:v>
              </c:pt>
              <c:pt idx="697">
                <c:v>2.1755954255228471</c:v>
              </c:pt>
              <c:pt idx="698">
                <c:v>2.1755954255228471</c:v>
              </c:pt>
              <c:pt idx="699">
                <c:v>0</c:v>
              </c:pt>
              <c:pt idx="700">
                <c:v>0</c:v>
              </c:pt>
              <c:pt idx="701">
                <c:v>2.1755954255228471</c:v>
              </c:pt>
              <c:pt idx="702">
                <c:v>2.1755954255228471</c:v>
              </c:pt>
              <c:pt idx="703">
                <c:v>0</c:v>
              </c:pt>
              <c:pt idx="704">
                <c:v>0</c:v>
              </c:pt>
              <c:pt idx="705">
                <c:v>2.1755954255228471</c:v>
              </c:pt>
              <c:pt idx="706">
                <c:v>2.1755954255228471</c:v>
              </c:pt>
              <c:pt idx="707">
                <c:v>0</c:v>
              </c:pt>
              <c:pt idx="708">
                <c:v>0</c:v>
              </c:pt>
              <c:pt idx="709">
                <c:v>2.1755954255228471</c:v>
              </c:pt>
              <c:pt idx="710">
                <c:v>2.1755954255228471</c:v>
              </c:pt>
              <c:pt idx="711">
                <c:v>0</c:v>
              </c:pt>
              <c:pt idx="712">
                <c:v>0</c:v>
              </c:pt>
              <c:pt idx="713">
                <c:v>2.1755954255228471</c:v>
              </c:pt>
              <c:pt idx="714">
                <c:v>2.1755954255228471</c:v>
              </c:pt>
              <c:pt idx="715">
                <c:v>0</c:v>
              </c:pt>
              <c:pt idx="716">
                <c:v>0</c:v>
              </c:pt>
              <c:pt idx="717">
                <c:v>2.1755954255228471</c:v>
              </c:pt>
              <c:pt idx="718">
                <c:v>2.1755954255228471</c:v>
              </c:pt>
              <c:pt idx="719">
                <c:v>0</c:v>
              </c:pt>
              <c:pt idx="720">
                <c:v>0</c:v>
              </c:pt>
              <c:pt idx="721">
                <c:v>2.1755954255228471</c:v>
              </c:pt>
              <c:pt idx="722">
                <c:v>2.1755954255228471</c:v>
              </c:pt>
              <c:pt idx="723">
                <c:v>0</c:v>
              </c:pt>
              <c:pt idx="724">
                <c:v>0</c:v>
              </c:pt>
              <c:pt idx="725">
                <c:v>2.1755954255228471</c:v>
              </c:pt>
              <c:pt idx="726">
                <c:v>2.1755954255228471</c:v>
              </c:pt>
              <c:pt idx="727">
                <c:v>0</c:v>
              </c:pt>
              <c:pt idx="728">
                <c:v>0</c:v>
              </c:pt>
              <c:pt idx="729">
                <c:v>2.1755954255228471</c:v>
              </c:pt>
              <c:pt idx="730">
                <c:v>2.1755954255228471</c:v>
              </c:pt>
              <c:pt idx="731">
                <c:v>0</c:v>
              </c:pt>
              <c:pt idx="732">
                <c:v>0</c:v>
              </c:pt>
              <c:pt idx="733">
                <c:v>2.1755954255228471</c:v>
              </c:pt>
              <c:pt idx="734">
                <c:v>2.1755954255228471</c:v>
              </c:pt>
              <c:pt idx="735">
                <c:v>0</c:v>
              </c:pt>
              <c:pt idx="736">
                <c:v>2.1755954255228471</c:v>
              </c:pt>
              <c:pt idx="737">
                <c:v>0</c:v>
              </c:pt>
              <c:pt idx="740">
                <c:v>0</c:v>
              </c:pt>
              <c:pt idx="741">
                <c:v>2.7890151883582379</c:v>
              </c:pt>
              <c:pt idx="742">
                <c:v>2.7890151883582379</c:v>
              </c:pt>
              <c:pt idx="743">
                <c:v>0</c:v>
              </c:pt>
              <c:pt idx="744">
                <c:v>0</c:v>
              </c:pt>
              <c:pt idx="745">
                <c:v>2.7890151883582379</c:v>
              </c:pt>
              <c:pt idx="746">
                <c:v>2.7890151883582379</c:v>
              </c:pt>
              <c:pt idx="747">
                <c:v>0</c:v>
              </c:pt>
              <c:pt idx="748">
                <c:v>0</c:v>
              </c:pt>
              <c:pt idx="749">
                <c:v>2.7890151883582379</c:v>
              </c:pt>
              <c:pt idx="750">
                <c:v>2.7890151883582379</c:v>
              </c:pt>
              <c:pt idx="751">
                <c:v>0</c:v>
              </c:pt>
              <c:pt idx="752">
                <c:v>0</c:v>
              </c:pt>
              <c:pt idx="753">
                <c:v>2.7890151883582379</c:v>
              </c:pt>
              <c:pt idx="754">
                <c:v>2.7890151883582379</c:v>
              </c:pt>
              <c:pt idx="755">
                <c:v>0</c:v>
              </c:pt>
              <c:pt idx="756">
                <c:v>0</c:v>
              </c:pt>
              <c:pt idx="757">
                <c:v>2.7890151883582379</c:v>
              </c:pt>
              <c:pt idx="758">
                <c:v>2.7890151883582379</c:v>
              </c:pt>
              <c:pt idx="759">
                <c:v>0</c:v>
              </c:pt>
              <c:pt idx="760">
                <c:v>0</c:v>
              </c:pt>
              <c:pt idx="761">
                <c:v>2.7890151883582379</c:v>
              </c:pt>
              <c:pt idx="762">
                <c:v>2.7890151883582379</c:v>
              </c:pt>
              <c:pt idx="763">
                <c:v>0</c:v>
              </c:pt>
              <c:pt idx="764">
                <c:v>0</c:v>
              </c:pt>
              <c:pt idx="765">
                <c:v>2.7890151883582379</c:v>
              </c:pt>
              <c:pt idx="766">
                <c:v>2.7890151883582379</c:v>
              </c:pt>
              <c:pt idx="767">
                <c:v>0</c:v>
              </c:pt>
              <c:pt idx="768">
                <c:v>0</c:v>
              </c:pt>
              <c:pt idx="769">
                <c:v>2.7890151883582379</c:v>
              </c:pt>
              <c:pt idx="770">
                <c:v>2.7890151883582379</c:v>
              </c:pt>
              <c:pt idx="771">
                <c:v>0</c:v>
              </c:pt>
              <c:pt idx="772">
                <c:v>0</c:v>
              </c:pt>
              <c:pt idx="773">
                <c:v>2.7890151883582379</c:v>
              </c:pt>
              <c:pt idx="774">
                <c:v>2.7890151883582379</c:v>
              </c:pt>
              <c:pt idx="775">
                <c:v>0</c:v>
              </c:pt>
              <c:pt idx="776">
                <c:v>0</c:v>
              </c:pt>
              <c:pt idx="777">
                <c:v>2.7890151883582379</c:v>
              </c:pt>
              <c:pt idx="778">
                <c:v>2.7890151883582379</c:v>
              </c:pt>
              <c:pt idx="779">
                <c:v>0</c:v>
              </c:pt>
              <c:pt idx="780">
                <c:v>0</c:v>
              </c:pt>
              <c:pt idx="781">
                <c:v>2.7890151883582379</c:v>
              </c:pt>
              <c:pt idx="782">
                <c:v>2.7890151883582379</c:v>
              </c:pt>
              <c:pt idx="783">
                <c:v>0</c:v>
              </c:pt>
              <c:pt idx="784">
                <c:v>0</c:v>
              </c:pt>
              <c:pt idx="785">
                <c:v>2.7890151883582379</c:v>
              </c:pt>
              <c:pt idx="786">
                <c:v>2.7890151883582379</c:v>
              </c:pt>
              <c:pt idx="787">
                <c:v>0</c:v>
              </c:pt>
              <c:pt idx="788">
                <c:v>0</c:v>
              </c:pt>
              <c:pt idx="789">
                <c:v>2.7890151883582379</c:v>
              </c:pt>
              <c:pt idx="790">
                <c:v>2.7890151883582379</c:v>
              </c:pt>
              <c:pt idx="791">
                <c:v>0</c:v>
              </c:pt>
              <c:pt idx="792">
                <c:v>0</c:v>
              </c:pt>
              <c:pt idx="793">
                <c:v>2.7890151883582379</c:v>
              </c:pt>
              <c:pt idx="794">
                <c:v>2.7890151883582379</c:v>
              </c:pt>
              <c:pt idx="795">
                <c:v>0</c:v>
              </c:pt>
              <c:pt idx="796">
                <c:v>0</c:v>
              </c:pt>
              <c:pt idx="797">
                <c:v>2.7890151883582379</c:v>
              </c:pt>
              <c:pt idx="798">
                <c:v>2.7890151883582379</c:v>
              </c:pt>
              <c:pt idx="799">
                <c:v>0</c:v>
              </c:pt>
              <c:pt idx="800">
                <c:v>0</c:v>
              </c:pt>
              <c:pt idx="801">
                <c:v>2.7890151883582379</c:v>
              </c:pt>
              <c:pt idx="802">
                <c:v>2.7890151883582379</c:v>
              </c:pt>
              <c:pt idx="803">
                <c:v>0</c:v>
              </c:pt>
              <c:pt idx="804">
                <c:v>0</c:v>
              </c:pt>
              <c:pt idx="805">
                <c:v>2.7890151883582379</c:v>
              </c:pt>
              <c:pt idx="806">
                <c:v>2.7890151883582379</c:v>
              </c:pt>
              <c:pt idx="807">
                <c:v>0</c:v>
              </c:pt>
              <c:pt idx="808">
                <c:v>0</c:v>
              </c:pt>
              <c:pt idx="809">
                <c:v>2.7890151883582379</c:v>
              </c:pt>
              <c:pt idx="810">
                <c:v>2.7890151883582379</c:v>
              </c:pt>
              <c:pt idx="811">
                <c:v>0</c:v>
              </c:pt>
              <c:pt idx="812">
                <c:v>0</c:v>
              </c:pt>
              <c:pt idx="813">
                <c:v>2.7890151883582379</c:v>
              </c:pt>
              <c:pt idx="814">
                <c:v>2.7890151883582379</c:v>
              </c:pt>
              <c:pt idx="815">
                <c:v>0</c:v>
              </c:pt>
              <c:pt idx="816">
                <c:v>0</c:v>
              </c:pt>
              <c:pt idx="817">
                <c:v>2.7890151883582379</c:v>
              </c:pt>
              <c:pt idx="818">
                <c:v>2.7890151883582379</c:v>
              </c:pt>
              <c:pt idx="819">
                <c:v>0</c:v>
              </c:pt>
              <c:pt idx="820">
                <c:v>0</c:v>
              </c:pt>
              <c:pt idx="821">
                <c:v>2.7890151883582379</c:v>
              </c:pt>
              <c:pt idx="822">
                <c:v>2.7890151883582379</c:v>
              </c:pt>
              <c:pt idx="823">
                <c:v>0</c:v>
              </c:pt>
              <c:pt idx="824">
                <c:v>0</c:v>
              </c:pt>
              <c:pt idx="825">
                <c:v>2.7890151883582379</c:v>
              </c:pt>
              <c:pt idx="826">
                <c:v>2.7890151883582379</c:v>
              </c:pt>
              <c:pt idx="827">
                <c:v>0</c:v>
              </c:pt>
              <c:pt idx="828">
                <c:v>0</c:v>
              </c:pt>
              <c:pt idx="829">
                <c:v>2.7890151883582379</c:v>
              </c:pt>
              <c:pt idx="830">
                <c:v>2.7890151883582379</c:v>
              </c:pt>
              <c:pt idx="831">
                <c:v>0</c:v>
              </c:pt>
              <c:pt idx="832">
                <c:v>0</c:v>
              </c:pt>
              <c:pt idx="833">
                <c:v>2.7890151883582379</c:v>
              </c:pt>
              <c:pt idx="834">
                <c:v>2.7890151883582379</c:v>
              </c:pt>
              <c:pt idx="835">
                <c:v>0</c:v>
              </c:pt>
              <c:pt idx="836">
                <c:v>0</c:v>
              </c:pt>
              <c:pt idx="837">
                <c:v>2.7890151883582379</c:v>
              </c:pt>
              <c:pt idx="838">
                <c:v>2.7890151883582379</c:v>
              </c:pt>
              <c:pt idx="839">
                <c:v>0</c:v>
              </c:pt>
              <c:pt idx="840">
                <c:v>0</c:v>
              </c:pt>
              <c:pt idx="841">
                <c:v>2.7890151883582379</c:v>
              </c:pt>
              <c:pt idx="842">
                <c:v>2.7890151883582379</c:v>
              </c:pt>
              <c:pt idx="843">
                <c:v>0</c:v>
              </c:pt>
              <c:pt idx="844">
                <c:v>0</c:v>
              </c:pt>
              <c:pt idx="845">
                <c:v>2.7890151883582379</c:v>
              </c:pt>
              <c:pt idx="846">
                <c:v>2.7890151883582379</c:v>
              </c:pt>
              <c:pt idx="847">
                <c:v>0</c:v>
              </c:pt>
              <c:pt idx="848">
                <c:v>0</c:v>
              </c:pt>
              <c:pt idx="849">
                <c:v>2.7890151883582379</c:v>
              </c:pt>
              <c:pt idx="850">
                <c:v>2.7890151883582379</c:v>
              </c:pt>
              <c:pt idx="851">
                <c:v>0</c:v>
              </c:pt>
              <c:pt idx="852">
                <c:v>0</c:v>
              </c:pt>
              <c:pt idx="853">
                <c:v>2.7890151883582379</c:v>
              </c:pt>
              <c:pt idx="854">
                <c:v>2.7890151883582379</c:v>
              </c:pt>
              <c:pt idx="855">
                <c:v>0</c:v>
              </c:pt>
              <c:pt idx="856">
                <c:v>0</c:v>
              </c:pt>
              <c:pt idx="857">
                <c:v>2.7890151883582379</c:v>
              </c:pt>
              <c:pt idx="858">
                <c:v>2.7890151883582379</c:v>
              </c:pt>
              <c:pt idx="859">
                <c:v>0</c:v>
              </c:pt>
              <c:pt idx="860">
                <c:v>0</c:v>
              </c:pt>
              <c:pt idx="861">
                <c:v>2.7890151883582379</c:v>
              </c:pt>
              <c:pt idx="862">
                <c:v>2.7890151883582379</c:v>
              </c:pt>
              <c:pt idx="863">
                <c:v>0</c:v>
              </c:pt>
              <c:pt idx="864">
                <c:v>0</c:v>
              </c:pt>
              <c:pt idx="865">
                <c:v>2.7890151883582379</c:v>
              </c:pt>
              <c:pt idx="866">
                <c:v>2.7890151883582379</c:v>
              </c:pt>
              <c:pt idx="867">
                <c:v>0</c:v>
              </c:pt>
              <c:pt idx="868">
                <c:v>0</c:v>
              </c:pt>
              <c:pt idx="869">
                <c:v>2.7890151883582379</c:v>
              </c:pt>
              <c:pt idx="870">
                <c:v>2.7890151883582379</c:v>
              </c:pt>
              <c:pt idx="871">
                <c:v>0</c:v>
              </c:pt>
              <c:pt idx="872">
                <c:v>0</c:v>
              </c:pt>
              <c:pt idx="873">
                <c:v>2.7890151883582379</c:v>
              </c:pt>
              <c:pt idx="874">
                <c:v>2.7890151883582379</c:v>
              </c:pt>
              <c:pt idx="875">
                <c:v>0</c:v>
              </c:pt>
              <c:pt idx="876">
                <c:v>0</c:v>
              </c:pt>
              <c:pt idx="877">
                <c:v>2.7890151883582379</c:v>
              </c:pt>
              <c:pt idx="878">
                <c:v>2.7890151883582379</c:v>
              </c:pt>
              <c:pt idx="879">
                <c:v>0</c:v>
              </c:pt>
              <c:pt idx="880">
                <c:v>0</c:v>
              </c:pt>
              <c:pt idx="881">
                <c:v>2.7890151883582379</c:v>
              </c:pt>
              <c:pt idx="882">
                <c:v>2.7890151883582379</c:v>
              </c:pt>
              <c:pt idx="883">
                <c:v>0</c:v>
              </c:pt>
              <c:pt idx="884">
                <c:v>2.7890151883582379</c:v>
              </c:pt>
              <c:pt idx="885">
                <c:v>0</c:v>
              </c:pt>
              <c:pt idx="888">
                <c:v>0</c:v>
              </c:pt>
              <c:pt idx="889">
                <c:v>3.5251189037607045</c:v>
              </c:pt>
              <c:pt idx="890">
                <c:v>3.5251189037607045</c:v>
              </c:pt>
              <c:pt idx="891">
                <c:v>0</c:v>
              </c:pt>
              <c:pt idx="892">
                <c:v>0</c:v>
              </c:pt>
              <c:pt idx="893">
                <c:v>3.5251189037607045</c:v>
              </c:pt>
              <c:pt idx="894">
                <c:v>3.5251189037607045</c:v>
              </c:pt>
              <c:pt idx="895">
                <c:v>0</c:v>
              </c:pt>
              <c:pt idx="896">
                <c:v>0</c:v>
              </c:pt>
              <c:pt idx="897">
                <c:v>3.5251189037607045</c:v>
              </c:pt>
              <c:pt idx="898">
                <c:v>3.5251189037607045</c:v>
              </c:pt>
              <c:pt idx="899">
                <c:v>0</c:v>
              </c:pt>
              <c:pt idx="900">
                <c:v>0</c:v>
              </c:pt>
              <c:pt idx="901">
                <c:v>3.5251189037607045</c:v>
              </c:pt>
              <c:pt idx="902">
                <c:v>3.5251189037607045</c:v>
              </c:pt>
              <c:pt idx="903">
                <c:v>0</c:v>
              </c:pt>
              <c:pt idx="904">
                <c:v>0</c:v>
              </c:pt>
              <c:pt idx="905">
                <c:v>3.5251189037607045</c:v>
              </c:pt>
              <c:pt idx="906">
                <c:v>3.5251189037607045</c:v>
              </c:pt>
              <c:pt idx="907">
                <c:v>0</c:v>
              </c:pt>
              <c:pt idx="908">
                <c:v>0</c:v>
              </c:pt>
              <c:pt idx="909">
                <c:v>3.5251189037607045</c:v>
              </c:pt>
              <c:pt idx="910">
                <c:v>3.5251189037607045</c:v>
              </c:pt>
              <c:pt idx="911">
                <c:v>0</c:v>
              </c:pt>
              <c:pt idx="912">
                <c:v>0</c:v>
              </c:pt>
              <c:pt idx="913">
                <c:v>3.5251189037607045</c:v>
              </c:pt>
              <c:pt idx="914">
                <c:v>3.5251189037607045</c:v>
              </c:pt>
              <c:pt idx="915">
                <c:v>0</c:v>
              </c:pt>
              <c:pt idx="916">
                <c:v>0</c:v>
              </c:pt>
              <c:pt idx="917">
                <c:v>3.5251189037607045</c:v>
              </c:pt>
              <c:pt idx="918">
                <c:v>3.5251189037607045</c:v>
              </c:pt>
              <c:pt idx="919">
                <c:v>0</c:v>
              </c:pt>
              <c:pt idx="920">
                <c:v>0</c:v>
              </c:pt>
              <c:pt idx="921">
                <c:v>3.5251189037607045</c:v>
              </c:pt>
              <c:pt idx="922">
                <c:v>3.5251189037607045</c:v>
              </c:pt>
              <c:pt idx="923">
                <c:v>0</c:v>
              </c:pt>
              <c:pt idx="924">
                <c:v>0</c:v>
              </c:pt>
              <c:pt idx="925">
                <c:v>3.5251189037607045</c:v>
              </c:pt>
              <c:pt idx="926">
                <c:v>3.5251189037607045</c:v>
              </c:pt>
              <c:pt idx="927">
                <c:v>0</c:v>
              </c:pt>
              <c:pt idx="928">
                <c:v>0</c:v>
              </c:pt>
              <c:pt idx="929">
                <c:v>3.5251189037607045</c:v>
              </c:pt>
              <c:pt idx="930">
                <c:v>3.5251189037607045</c:v>
              </c:pt>
              <c:pt idx="931">
                <c:v>0</c:v>
              </c:pt>
              <c:pt idx="932">
                <c:v>0</c:v>
              </c:pt>
              <c:pt idx="933">
                <c:v>3.5251189037607045</c:v>
              </c:pt>
              <c:pt idx="934">
                <c:v>3.5251189037607045</c:v>
              </c:pt>
              <c:pt idx="935">
                <c:v>0</c:v>
              </c:pt>
              <c:pt idx="936">
                <c:v>0</c:v>
              </c:pt>
              <c:pt idx="937">
                <c:v>3.5251189037607045</c:v>
              </c:pt>
              <c:pt idx="938">
                <c:v>3.5251189037607045</c:v>
              </c:pt>
              <c:pt idx="939">
                <c:v>0</c:v>
              </c:pt>
              <c:pt idx="940">
                <c:v>0</c:v>
              </c:pt>
              <c:pt idx="941">
                <c:v>3.5251189037607045</c:v>
              </c:pt>
              <c:pt idx="942">
                <c:v>3.5251189037607045</c:v>
              </c:pt>
              <c:pt idx="943">
                <c:v>0</c:v>
              </c:pt>
              <c:pt idx="944">
                <c:v>0</c:v>
              </c:pt>
              <c:pt idx="945">
                <c:v>3.5251189037607045</c:v>
              </c:pt>
              <c:pt idx="946">
                <c:v>3.5251189037607045</c:v>
              </c:pt>
              <c:pt idx="947">
                <c:v>0</c:v>
              </c:pt>
              <c:pt idx="948">
                <c:v>0</c:v>
              </c:pt>
              <c:pt idx="949">
                <c:v>3.5251189037607045</c:v>
              </c:pt>
              <c:pt idx="950">
                <c:v>3.5251189037607045</c:v>
              </c:pt>
              <c:pt idx="951">
                <c:v>0</c:v>
              </c:pt>
              <c:pt idx="952">
                <c:v>0</c:v>
              </c:pt>
              <c:pt idx="953">
                <c:v>3.5251189037607045</c:v>
              </c:pt>
              <c:pt idx="954">
                <c:v>3.5251189037607045</c:v>
              </c:pt>
              <c:pt idx="955">
                <c:v>0</c:v>
              </c:pt>
              <c:pt idx="956">
                <c:v>0</c:v>
              </c:pt>
              <c:pt idx="957">
                <c:v>3.5251189037607045</c:v>
              </c:pt>
              <c:pt idx="958">
                <c:v>3.5251189037607045</c:v>
              </c:pt>
              <c:pt idx="959">
                <c:v>0</c:v>
              </c:pt>
              <c:pt idx="960">
                <c:v>0</c:v>
              </c:pt>
              <c:pt idx="961">
                <c:v>3.5251189037607045</c:v>
              </c:pt>
              <c:pt idx="962">
                <c:v>3.5251189037607045</c:v>
              </c:pt>
              <c:pt idx="963">
                <c:v>0</c:v>
              </c:pt>
              <c:pt idx="964">
                <c:v>0</c:v>
              </c:pt>
              <c:pt idx="965">
                <c:v>3.5251189037607045</c:v>
              </c:pt>
              <c:pt idx="966">
                <c:v>3.5251189037607045</c:v>
              </c:pt>
              <c:pt idx="967">
                <c:v>0</c:v>
              </c:pt>
              <c:pt idx="968">
                <c:v>0</c:v>
              </c:pt>
              <c:pt idx="969">
                <c:v>3.5251189037607045</c:v>
              </c:pt>
              <c:pt idx="970">
                <c:v>3.5251189037607045</c:v>
              </c:pt>
              <c:pt idx="971">
                <c:v>0</c:v>
              </c:pt>
              <c:pt idx="972">
                <c:v>0</c:v>
              </c:pt>
              <c:pt idx="973">
                <c:v>3.5251189037607045</c:v>
              </c:pt>
              <c:pt idx="974">
                <c:v>3.5251189037607045</c:v>
              </c:pt>
              <c:pt idx="975">
                <c:v>0</c:v>
              </c:pt>
              <c:pt idx="976">
                <c:v>0</c:v>
              </c:pt>
              <c:pt idx="977">
                <c:v>3.5251189037607045</c:v>
              </c:pt>
              <c:pt idx="978">
                <c:v>3.5251189037607045</c:v>
              </c:pt>
              <c:pt idx="979">
                <c:v>0</c:v>
              </c:pt>
              <c:pt idx="980">
                <c:v>0</c:v>
              </c:pt>
              <c:pt idx="981">
                <c:v>3.5251189037607045</c:v>
              </c:pt>
              <c:pt idx="982">
                <c:v>3.5251189037607045</c:v>
              </c:pt>
              <c:pt idx="983">
                <c:v>0</c:v>
              </c:pt>
              <c:pt idx="984">
                <c:v>0</c:v>
              </c:pt>
              <c:pt idx="985">
                <c:v>3.5251189037607045</c:v>
              </c:pt>
              <c:pt idx="986">
                <c:v>3.5251189037607045</c:v>
              </c:pt>
              <c:pt idx="987">
                <c:v>0</c:v>
              </c:pt>
              <c:pt idx="988">
                <c:v>0</c:v>
              </c:pt>
              <c:pt idx="989">
                <c:v>3.5251189037607045</c:v>
              </c:pt>
              <c:pt idx="990">
                <c:v>3.5251189037607045</c:v>
              </c:pt>
              <c:pt idx="991">
                <c:v>0</c:v>
              </c:pt>
              <c:pt idx="992">
                <c:v>0</c:v>
              </c:pt>
              <c:pt idx="993">
                <c:v>3.5251189037607045</c:v>
              </c:pt>
              <c:pt idx="994">
                <c:v>3.5251189037607045</c:v>
              </c:pt>
              <c:pt idx="995">
                <c:v>0</c:v>
              </c:pt>
              <c:pt idx="996">
                <c:v>0</c:v>
              </c:pt>
              <c:pt idx="997">
                <c:v>3.5251189037607045</c:v>
              </c:pt>
              <c:pt idx="998">
                <c:v>3.5251189037607045</c:v>
              </c:pt>
              <c:pt idx="999">
                <c:v>0</c:v>
              </c:pt>
              <c:pt idx="1000">
                <c:v>0</c:v>
              </c:pt>
              <c:pt idx="1001">
                <c:v>3.5251189037607045</c:v>
              </c:pt>
              <c:pt idx="1002">
                <c:v>3.5251189037607045</c:v>
              </c:pt>
              <c:pt idx="1003">
                <c:v>0</c:v>
              </c:pt>
              <c:pt idx="1004">
                <c:v>0</c:v>
              </c:pt>
              <c:pt idx="1005">
                <c:v>3.5251189037607045</c:v>
              </c:pt>
              <c:pt idx="1006">
                <c:v>3.5251189037607045</c:v>
              </c:pt>
              <c:pt idx="1007">
                <c:v>0</c:v>
              </c:pt>
              <c:pt idx="1008">
                <c:v>0</c:v>
              </c:pt>
              <c:pt idx="1009">
                <c:v>3.5251189037607045</c:v>
              </c:pt>
              <c:pt idx="1010">
                <c:v>3.5251189037607045</c:v>
              </c:pt>
              <c:pt idx="1011">
                <c:v>0</c:v>
              </c:pt>
              <c:pt idx="1012">
                <c:v>0</c:v>
              </c:pt>
              <c:pt idx="1013">
                <c:v>3.5251189037607045</c:v>
              </c:pt>
              <c:pt idx="1014">
                <c:v>3.5251189037607045</c:v>
              </c:pt>
              <c:pt idx="1015">
                <c:v>0</c:v>
              </c:pt>
              <c:pt idx="1016">
                <c:v>0</c:v>
              </c:pt>
              <c:pt idx="1017">
                <c:v>3.5251189037607045</c:v>
              </c:pt>
              <c:pt idx="1018">
                <c:v>3.5251189037607045</c:v>
              </c:pt>
              <c:pt idx="1019">
                <c:v>0</c:v>
              </c:pt>
              <c:pt idx="1020">
                <c:v>0</c:v>
              </c:pt>
              <c:pt idx="1021">
                <c:v>3.5251189037607045</c:v>
              </c:pt>
              <c:pt idx="1022">
                <c:v>3.5251189037607045</c:v>
              </c:pt>
              <c:pt idx="1023">
                <c:v>0</c:v>
              </c:pt>
              <c:pt idx="1024">
                <c:v>0</c:v>
              </c:pt>
              <c:pt idx="1025">
                <c:v>3.5251189037607045</c:v>
              </c:pt>
              <c:pt idx="1026">
                <c:v>3.5251189037607045</c:v>
              </c:pt>
              <c:pt idx="1027">
                <c:v>0</c:v>
              </c:pt>
              <c:pt idx="1028">
                <c:v>0</c:v>
              </c:pt>
              <c:pt idx="1029">
                <c:v>3.5251189037607045</c:v>
              </c:pt>
              <c:pt idx="1030">
                <c:v>3.5251189037607045</c:v>
              </c:pt>
              <c:pt idx="1031">
                <c:v>0</c:v>
              </c:pt>
              <c:pt idx="1032">
                <c:v>3.5251189037607045</c:v>
              </c:pt>
              <c:pt idx="1033">
                <c:v>0</c:v>
              </c:pt>
              <c:pt idx="1036">
                <c:v>0</c:v>
              </c:pt>
              <c:pt idx="1037">
                <c:v>3.8359182502639682</c:v>
              </c:pt>
              <c:pt idx="1038">
                <c:v>3.8359182502639682</c:v>
              </c:pt>
              <c:pt idx="1039">
                <c:v>0</c:v>
              </c:pt>
              <c:pt idx="1040">
                <c:v>0</c:v>
              </c:pt>
              <c:pt idx="1041">
                <c:v>3.8359182502639682</c:v>
              </c:pt>
              <c:pt idx="1042">
                <c:v>3.8359182502639682</c:v>
              </c:pt>
              <c:pt idx="1043">
                <c:v>0</c:v>
              </c:pt>
              <c:pt idx="1044">
                <c:v>0</c:v>
              </c:pt>
              <c:pt idx="1045">
                <c:v>3.8359182502639682</c:v>
              </c:pt>
              <c:pt idx="1046">
                <c:v>3.8359182502639682</c:v>
              </c:pt>
              <c:pt idx="1047">
                <c:v>0</c:v>
              </c:pt>
              <c:pt idx="1048">
                <c:v>0</c:v>
              </c:pt>
              <c:pt idx="1049">
                <c:v>3.8359182502639682</c:v>
              </c:pt>
              <c:pt idx="1050">
                <c:v>3.8359182502639682</c:v>
              </c:pt>
              <c:pt idx="1051">
                <c:v>0</c:v>
              </c:pt>
              <c:pt idx="1052">
                <c:v>0</c:v>
              </c:pt>
              <c:pt idx="1053">
                <c:v>3.8359182502639682</c:v>
              </c:pt>
              <c:pt idx="1054">
                <c:v>3.8359182502639682</c:v>
              </c:pt>
              <c:pt idx="1055">
                <c:v>0</c:v>
              </c:pt>
              <c:pt idx="1056">
                <c:v>0</c:v>
              </c:pt>
              <c:pt idx="1057">
                <c:v>3.8359182502639682</c:v>
              </c:pt>
              <c:pt idx="1058">
                <c:v>3.8359182502639682</c:v>
              </c:pt>
              <c:pt idx="1059">
                <c:v>0</c:v>
              </c:pt>
              <c:pt idx="1060">
                <c:v>0</c:v>
              </c:pt>
              <c:pt idx="1061">
                <c:v>3.8359182502639682</c:v>
              </c:pt>
              <c:pt idx="1062">
                <c:v>3.8359182502639682</c:v>
              </c:pt>
              <c:pt idx="1063">
                <c:v>0</c:v>
              </c:pt>
              <c:pt idx="1064">
                <c:v>0</c:v>
              </c:pt>
              <c:pt idx="1065">
                <c:v>3.8359182502639682</c:v>
              </c:pt>
              <c:pt idx="1066">
                <c:v>3.8359182502639682</c:v>
              </c:pt>
              <c:pt idx="1067">
                <c:v>0</c:v>
              </c:pt>
              <c:pt idx="1068">
                <c:v>0</c:v>
              </c:pt>
              <c:pt idx="1069">
                <c:v>3.8359182502639682</c:v>
              </c:pt>
              <c:pt idx="1070">
                <c:v>3.8359182502639682</c:v>
              </c:pt>
              <c:pt idx="1071">
                <c:v>0</c:v>
              </c:pt>
              <c:pt idx="1072">
                <c:v>0</c:v>
              </c:pt>
              <c:pt idx="1073">
                <c:v>3.8359182502639682</c:v>
              </c:pt>
              <c:pt idx="1074">
                <c:v>3.8359182502639682</c:v>
              </c:pt>
              <c:pt idx="1075">
                <c:v>0</c:v>
              </c:pt>
              <c:pt idx="1076">
                <c:v>0</c:v>
              </c:pt>
              <c:pt idx="1077">
                <c:v>3.8359182502639682</c:v>
              </c:pt>
              <c:pt idx="1078">
                <c:v>3.8359182502639682</c:v>
              </c:pt>
              <c:pt idx="1079">
                <c:v>0</c:v>
              </c:pt>
              <c:pt idx="1080">
                <c:v>0</c:v>
              </c:pt>
              <c:pt idx="1081">
                <c:v>3.8359182502639682</c:v>
              </c:pt>
              <c:pt idx="1082">
                <c:v>3.8359182502639682</c:v>
              </c:pt>
              <c:pt idx="1083">
                <c:v>0</c:v>
              </c:pt>
              <c:pt idx="1084">
                <c:v>0</c:v>
              </c:pt>
              <c:pt idx="1085">
                <c:v>3.8359182502639682</c:v>
              </c:pt>
              <c:pt idx="1086">
                <c:v>3.8359182502639682</c:v>
              </c:pt>
              <c:pt idx="1087">
                <c:v>0</c:v>
              </c:pt>
              <c:pt idx="1088">
                <c:v>0</c:v>
              </c:pt>
              <c:pt idx="1089">
                <c:v>3.8359182502639682</c:v>
              </c:pt>
              <c:pt idx="1090">
                <c:v>3.8359182502639682</c:v>
              </c:pt>
              <c:pt idx="1091">
                <c:v>0</c:v>
              </c:pt>
              <c:pt idx="1092">
                <c:v>0</c:v>
              </c:pt>
              <c:pt idx="1093">
                <c:v>3.8359182502639682</c:v>
              </c:pt>
              <c:pt idx="1094">
                <c:v>3.8359182502639682</c:v>
              </c:pt>
              <c:pt idx="1095">
                <c:v>0</c:v>
              </c:pt>
              <c:pt idx="1096">
                <c:v>0</c:v>
              </c:pt>
              <c:pt idx="1097">
                <c:v>3.8359182502639682</c:v>
              </c:pt>
              <c:pt idx="1098">
                <c:v>3.8359182502639682</c:v>
              </c:pt>
              <c:pt idx="1099">
                <c:v>0</c:v>
              </c:pt>
              <c:pt idx="1100">
                <c:v>0</c:v>
              </c:pt>
              <c:pt idx="1101">
                <c:v>3.8359182502639682</c:v>
              </c:pt>
              <c:pt idx="1102">
                <c:v>3.8359182502639682</c:v>
              </c:pt>
              <c:pt idx="1103">
                <c:v>0</c:v>
              </c:pt>
              <c:pt idx="1104">
                <c:v>0</c:v>
              </c:pt>
              <c:pt idx="1105">
                <c:v>3.8359182502639682</c:v>
              </c:pt>
              <c:pt idx="1106">
                <c:v>3.8359182502639682</c:v>
              </c:pt>
              <c:pt idx="1107">
                <c:v>0</c:v>
              </c:pt>
              <c:pt idx="1108">
                <c:v>0</c:v>
              </c:pt>
              <c:pt idx="1109">
                <c:v>3.8359182502639682</c:v>
              </c:pt>
              <c:pt idx="1110">
                <c:v>3.8359182502639682</c:v>
              </c:pt>
              <c:pt idx="1111">
                <c:v>0</c:v>
              </c:pt>
              <c:pt idx="1112">
                <c:v>0</c:v>
              </c:pt>
              <c:pt idx="1113">
                <c:v>3.8359182502639682</c:v>
              </c:pt>
              <c:pt idx="1114">
                <c:v>3.8359182502639682</c:v>
              </c:pt>
              <c:pt idx="1115">
                <c:v>0</c:v>
              </c:pt>
              <c:pt idx="1116">
                <c:v>0</c:v>
              </c:pt>
              <c:pt idx="1117">
                <c:v>3.8359182502639682</c:v>
              </c:pt>
              <c:pt idx="1118">
                <c:v>3.8359182502639682</c:v>
              </c:pt>
              <c:pt idx="1119">
                <c:v>0</c:v>
              </c:pt>
              <c:pt idx="1120">
                <c:v>0</c:v>
              </c:pt>
              <c:pt idx="1121">
                <c:v>3.8359182502639682</c:v>
              </c:pt>
              <c:pt idx="1122">
                <c:v>3.8359182502639682</c:v>
              </c:pt>
              <c:pt idx="1123">
                <c:v>0</c:v>
              </c:pt>
              <c:pt idx="1124">
                <c:v>0</c:v>
              </c:pt>
              <c:pt idx="1125">
                <c:v>3.8359182502639682</c:v>
              </c:pt>
              <c:pt idx="1126">
                <c:v>3.8359182502639682</c:v>
              </c:pt>
              <c:pt idx="1127">
                <c:v>0</c:v>
              </c:pt>
              <c:pt idx="1128">
                <c:v>0</c:v>
              </c:pt>
              <c:pt idx="1129">
                <c:v>3.8359182502639682</c:v>
              </c:pt>
              <c:pt idx="1130">
                <c:v>3.8359182502639682</c:v>
              </c:pt>
              <c:pt idx="1131">
                <c:v>0</c:v>
              </c:pt>
              <c:pt idx="1132">
                <c:v>0</c:v>
              </c:pt>
              <c:pt idx="1133">
                <c:v>3.8359182502639682</c:v>
              </c:pt>
              <c:pt idx="1134">
                <c:v>3.8359182502639682</c:v>
              </c:pt>
              <c:pt idx="1135">
                <c:v>0</c:v>
              </c:pt>
              <c:pt idx="1136">
                <c:v>0</c:v>
              </c:pt>
              <c:pt idx="1137">
                <c:v>3.8359182502639682</c:v>
              </c:pt>
              <c:pt idx="1138">
                <c:v>3.8359182502639682</c:v>
              </c:pt>
              <c:pt idx="1139">
                <c:v>0</c:v>
              </c:pt>
              <c:pt idx="1140">
                <c:v>0</c:v>
              </c:pt>
              <c:pt idx="1141">
                <c:v>3.8359182502639682</c:v>
              </c:pt>
              <c:pt idx="1142">
                <c:v>3.8359182502639682</c:v>
              </c:pt>
              <c:pt idx="1143">
                <c:v>0</c:v>
              </c:pt>
              <c:pt idx="1144">
                <c:v>0</c:v>
              </c:pt>
              <c:pt idx="1145">
                <c:v>3.8359182502639682</c:v>
              </c:pt>
              <c:pt idx="1146">
                <c:v>3.8359182502639682</c:v>
              </c:pt>
              <c:pt idx="1147">
                <c:v>0</c:v>
              </c:pt>
              <c:pt idx="1148">
                <c:v>0</c:v>
              </c:pt>
              <c:pt idx="1149">
                <c:v>3.8359182502639682</c:v>
              </c:pt>
              <c:pt idx="1150">
                <c:v>3.8359182502639682</c:v>
              </c:pt>
              <c:pt idx="1151">
                <c:v>0</c:v>
              </c:pt>
              <c:pt idx="1152">
                <c:v>0</c:v>
              </c:pt>
              <c:pt idx="1153">
                <c:v>3.8359182502639682</c:v>
              </c:pt>
              <c:pt idx="1154">
                <c:v>3.8359182502639682</c:v>
              </c:pt>
              <c:pt idx="1155">
                <c:v>0</c:v>
              </c:pt>
              <c:pt idx="1156">
                <c:v>0</c:v>
              </c:pt>
              <c:pt idx="1157">
                <c:v>3.8359182502639682</c:v>
              </c:pt>
              <c:pt idx="1158">
                <c:v>3.8359182502639682</c:v>
              </c:pt>
              <c:pt idx="1159">
                <c:v>0</c:v>
              </c:pt>
              <c:pt idx="1160">
                <c:v>0</c:v>
              </c:pt>
              <c:pt idx="1161">
                <c:v>3.8359182502639682</c:v>
              </c:pt>
              <c:pt idx="1162">
                <c:v>3.8359182502639682</c:v>
              </c:pt>
              <c:pt idx="1163">
                <c:v>0</c:v>
              </c:pt>
              <c:pt idx="1164">
                <c:v>0</c:v>
              </c:pt>
              <c:pt idx="1165">
                <c:v>3.8359182502639682</c:v>
              </c:pt>
              <c:pt idx="1166">
                <c:v>3.8359182502639682</c:v>
              </c:pt>
              <c:pt idx="1167">
                <c:v>0</c:v>
              </c:pt>
              <c:pt idx="1168">
                <c:v>0</c:v>
              </c:pt>
              <c:pt idx="1169">
                <c:v>3.8359182502639682</c:v>
              </c:pt>
              <c:pt idx="1170">
                <c:v>3.8359182502639682</c:v>
              </c:pt>
              <c:pt idx="1171">
                <c:v>0</c:v>
              </c:pt>
              <c:pt idx="1172">
                <c:v>0</c:v>
              </c:pt>
              <c:pt idx="1173">
                <c:v>3.8359182502639682</c:v>
              </c:pt>
              <c:pt idx="1174">
                <c:v>3.8359182502639682</c:v>
              </c:pt>
              <c:pt idx="1175">
                <c:v>0</c:v>
              </c:pt>
              <c:pt idx="1176">
                <c:v>0</c:v>
              </c:pt>
              <c:pt idx="1177">
                <c:v>3.8359182502639682</c:v>
              </c:pt>
              <c:pt idx="1178">
                <c:v>3.8359182502639682</c:v>
              </c:pt>
              <c:pt idx="1179">
                <c:v>0</c:v>
              </c:pt>
              <c:pt idx="1180">
                <c:v>3.8359182502639682</c:v>
              </c:pt>
              <c:pt idx="1181">
                <c:v>0</c:v>
              </c:pt>
              <c:pt idx="1184">
                <c:v>0</c:v>
              </c:pt>
              <c:pt idx="1185">
                <c:v>4.4248012225859403</c:v>
              </c:pt>
              <c:pt idx="1186">
                <c:v>4.4248012225859403</c:v>
              </c:pt>
              <c:pt idx="1187">
                <c:v>0</c:v>
              </c:pt>
              <c:pt idx="1188">
                <c:v>0</c:v>
              </c:pt>
              <c:pt idx="1189">
                <c:v>4.4248012225859403</c:v>
              </c:pt>
              <c:pt idx="1190">
                <c:v>4.4248012225859403</c:v>
              </c:pt>
              <c:pt idx="1191">
                <c:v>0</c:v>
              </c:pt>
              <c:pt idx="1192">
                <c:v>0</c:v>
              </c:pt>
              <c:pt idx="1193">
                <c:v>4.4248012225859403</c:v>
              </c:pt>
              <c:pt idx="1194">
                <c:v>4.4248012225859403</c:v>
              </c:pt>
              <c:pt idx="1195">
                <c:v>0</c:v>
              </c:pt>
              <c:pt idx="1196">
                <c:v>0</c:v>
              </c:pt>
              <c:pt idx="1197">
                <c:v>4.4248012225859403</c:v>
              </c:pt>
              <c:pt idx="1198">
                <c:v>4.4248012225859403</c:v>
              </c:pt>
              <c:pt idx="1199">
                <c:v>0</c:v>
              </c:pt>
              <c:pt idx="1200">
                <c:v>0</c:v>
              </c:pt>
              <c:pt idx="1201">
                <c:v>4.4248012225859403</c:v>
              </c:pt>
              <c:pt idx="1202">
                <c:v>4.4248012225859403</c:v>
              </c:pt>
              <c:pt idx="1203">
                <c:v>0</c:v>
              </c:pt>
              <c:pt idx="1204">
                <c:v>0</c:v>
              </c:pt>
              <c:pt idx="1205">
                <c:v>4.4248012225859403</c:v>
              </c:pt>
              <c:pt idx="1206">
                <c:v>4.4248012225859403</c:v>
              </c:pt>
              <c:pt idx="1207">
                <c:v>0</c:v>
              </c:pt>
              <c:pt idx="1208">
                <c:v>0</c:v>
              </c:pt>
              <c:pt idx="1209">
                <c:v>4.4248012225859403</c:v>
              </c:pt>
              <c:pt idx="1210">
                <c:v>4.4248012225859403</c:v>
              </c:pt>
              <c:pt idx="1211">
                <c:v>0</c:v>
              </c:pt>
              <c:pt idx="1212">
                <c:v>0</c:v>
              </c:pt>
              <c:pt idx="1213">
                <c:v>4.4248012225859403</c:v>
              </c:pt>
              <c:pt idx="1214">
                <c:v>4.4248012225859403</c:v>
              </c:pt>
              <c:pt idx="1215">
                <c:v>0</c:v>
              </c:pt>
              <c:pt idx="1216">
                <c:v>0</c:v>
              </c:pt>
              <c:pt idx="1217">
                <c:v>4.4248012225859403</c:v>
              </c:pt>
              <c:pt idx="1218">
                <c:v>4.4248012225859403</c:v>
              </c:pt>
              <c:pt idx="1219">
                <c:v>0</c:v>
              </c:pt>
              <c:pt idx="1220">
                <c:v>0</c:v>
              </c:pt>
              <c:pt idx="1221">
                <c:v>4.4248012225859403</c:v>
              </c:pt>
              <c:pt idx="1222">
                <c:v>4.4248012225859403</c:v>
              </c:pt>
              <c:pt idx="1223">
                <c:v>0</c:v>
              </c:pt>
              <c:pt idx="1224">
                <c:v>0</c:v>
              </c:pt>
              <c:pt idx="1225">
                <c:v>4.4248012225859403</c:v>
              </c:pt>
              <c:pt idx="1226">
                <c:v>4.4248012225859403</c:v>
              </c:pt>
              <c:pt idx="1227">
                <c:v>0</c:v>
              </c:pt>
              <c:pt idx="1228">
                <c:v>0</c:v>
              </c:pt>
              <c:pt idx="1229">
                <c:v>4.4248012225859403</c:v>
              </c:pt>
              <c:pt idx="1230">
                <c:v>4.4248012225859403</c:v>
              </c:pt>
              <c:pt idx="1231">
                <c:v>0</c:v>
              </c:pt>
              <c:pt idx="1232">
                <c:v>0</c:v>
              </c:pt>
              <c:pt idx="1233">
                <c:v>4.4248012225859403</c:v>
              </c:pt>
              <c:pt idx="1234">
                <c:v>4.4248012225859403</c:v>
              </c:pt>
              <c:pt idx="1235">
                <c:v>0</c:v>
              </c:pt>
              <c:pt idx="1236">
                <c:v>0</c:v>
              </c:pt>
              <c:pt idx="1237">
                <c:v>4.4248012225859403</c:v>
              </c:pt>
              <c:pt idx="1238">
                <c:v>4.4248012225859403</c:v>
              </c:pt>
              <c:pt idx="1239">
                <c:v>0</c:v>
              </c:pt>
              <c:pt idx="1240">
                <c:v>0</c:v>
              </c:pt>
              <c:pt idx="1241">
                <c:v>4.4248012225859403</c:v>
              </c:pt>
              <c:pt idx="1242">
                <c:v>4.4248012225859403</c:v>
              </c:pt>
              <c:pt idx="1243">
                <c:v>0</c:v>
              </c:pt>
              <c:pt idx="1244">
                <c:v>0</c:v>
              </c:pt>
              <c:pt idx="1245">
                <c:v>4.4248012225859403</c:v>
              </c:pt>
              <c:pt idx="1246">
                <c:v>4.4248012225859403</c:v>
              </c:pt>
              <c:pt idx="1247">
                <c:v>0</c:v>
              </c:pt>
              <c:pt idx="1248">
                <c:v>0</c:v>
              </c:pt>
              <c:pt idx="1249">
                <c:v>4.4248012225859403</c:v>
              </c:pt>
              <c:pt idx="1250">
                <c:v>4.4248012225859403</c:v>
              </c:pt>
              <c:pt idx="1251">
                <c:v>0</c:v>
              </c:pt>
              <c:pt idx="1252">
                <c:v>0</c:v>
              </c:pt>
              <c:pt idx="1253">
                <c:v>4.4248012225859403</c:v>
              </c:pt>
              <c:pt idx="1254">
                <c:v>4.4248012225859403</c:v>
              </c:pt>
              <c:pt idx="1255">
                <c:v>0</c:v>
              </c:pt>
              <c:pt idx="1256">
                <c:v>0</c:v>
              </c:pt>
              <c:pt idx="1257">
                <c:v>4.4248012225859403</c:v>
              </c:pt>
              <c:pt idx="1258">
                <c:v>4.4248012225859403</c:v>
              </c:pt>
              <c:pt idx="1259">
                <c:v>0</c:v>
              </c:pt>
              <c:pt idx="1260">
                <c:v>0</c:v>
              </c:pt>
              <c:pt idx="1261">
                <c:v>4.4248012225859403</c:v>
              </c:pt>
              <c:pt idx="1262">
                <c:v>4.4248012225859403</c:v>
              </c:pt>
              <c:pt idx="1263">
                <c:v>0</c:v>
              </c:pt>
              <c:pt idx="1264">
                <c:v>0</c:v>
              </c:pt>
              <c:pt idx="1265">
                <c:v>4.4248012225859403</c:v>
              </c:pt>
              <c:pt idx="1266">
                <c:v>4.4248012225859403</c:v>
              </c:pt>
              <c:pt idx="1267">
                <c:v>0</c:v>
              </c:pt>
              <c:pt idx="1268">
                <c:v>0</c:v>
              </c:pt>
              <c:pt idx="1269">
                <c:v>4.4248012225859403</c:v>
              </c:pt>
              <c:pt idx="1270">
                <c:v>4.4248012225859403</c:v>
              </c:pt>
              <c:pt idx="1271">
                <c:v>0</c:v>
              </c:pt>
              <c:pt idx="1272">
                <c:v>0</c:v>
              </c:pt>
              <c:pt idx="1273">
                <c:v>4.4248012225859403</c:v>
              </c:pt>
              <c:pt idx="1274">
                <c:v>4.4248012225859403</c:v>
              </c:pt>
              <c:pt idx="1275">
                <c:v>0</c:v>
              </c:pt>
              <c:pt idx="1276">
                <c:v>0</c:v>
              </c:pt>
              <c:pt idx="1277">
                <c:v>4.4248012225859403</c:v>
              </c:pt>
              <c:pt idx="1278">
                <c:v>4.4248012225859403</c:v>
              </c:pt>
              <c:pt idx="1279">
                <c:v>0</c:v>
              </c:pt>
              <c:pt idx="1280">
                <c:v>0</c:v>
              </c:pt>
              <c:pt idx="1281">
                <c:v>4.4248012225859403</c:v>
              </c:pt>
              <c:pt idx="1282">
                <c:v>4.4248012225859403</c:v>
              </c:pt>
              <c:pt idx="1283">
                <c:v>0</c:v>
              </c:pt>
              <c:pt idx="1284">
                <c:v>0</c:v>
              </c:pt>
              <c:pt idx="1285">
                <c:v>4.4248012225859403</c:v>
              </c:pt>
              <c:pt idx="1286">
                <c:v>4.4248012225859403</c:v>
              </c:pt>
              <c:pt idx="1287">
                <c:v>0</c:v>
              </c:pt>
              <c:pt idx="1288">
                <c:v>0</c:v>
              </c:pt>
              <c:pt idx="1289">
                <c:v>4.4248012225859403</c:v>
              </c:pt>
              <c:pt idx="1290">
                <c:v>4.4248012225859403</c:v>
              </c:pt>
              <c:pt idx="1291">
                <c:v>0</c:v>
              </c:pt>
              <c:pt idx="1292">
                <c:v>0</c:v>
              </c:pt>
              <c:pt idx="1293">
                <c:v>4.4248012225859403</c:v>
              </c:pt>
              <c:pt idx="1294">
                <c:v>4.4248012225859403</c:v>
              </c:pt>
              <c:pt idx="1295">
                <c:v>0</c:v>
              </c:pt>
              <c:pt idx="1296">
                <c:v>0</c:v>
              </c:pt>
              <c:pt idx="1297">
                <c:v>4.4248012225859403</c:v>
              </c:pt>
              <c:pt idx="1298">
                <c:v>4.4248012225859403</c:v>
              </c:pt>
              <c:pt idx="1299">
                <c:v>0</c:v>
              </c:pt>
              <c:pt idx="1300">
                <c:v>0</c:v>
              </c:pt>
              <c:pt idx="1301">
                <c:v>4.4248012225859403</c:v>
              </c:pt>
              <c:pt idx="1302">
                <c:v>4.4248012225859403</c:v>
              </c:pt>
              <c:pt idx="1303">
                <c:v>0</c:v>
              </c:pt>
              <c:pt idx="1304">
                <c:v>0</c:v>
              </c:pt>
              <c:pt idx="1305">
                <c:v>4.4248012225859403</c:v>
              </c:pt>
              <c:pt idx="1306">
                <c:v>4.4248012225859403</c:v>
              </c:pt>
              <c:pt idx="1307">
                <c:v>0</c:v>
              </c:pt>
              <c:pt idx="1308">
                <c:v>0</c:v>
              </c:pt>
              <c:pt idx="1309">
                <c:v>4.4248012225859403</c:v>
              </c:pt>
              <c:pt idx="1310">
                <c:v>4.4248012225859403</c:v>
              </c:pt>
              <c:pt idx="1311">
                <c:v>0</c:v>
              </c:pt>
              <c:pt idx="1312">
                <c:v>0</c:v>
              </c:pt>
              <c:pt idx="1313">
                <c:v>4.4248012225859403</c:v>
              </c:pt>
              <c:pt idx="1314">
                <c:v>4.4248012225859403</c:v>
              </c:pt>
              <c:pt idx="1315">
                <c:v>0</c:v>
              </c:pt>
              <c:pt idx="1316">
                <c:v>0</c:v>
              </c:pt>
              <c:pt idx="1317">
                <c:v>4.4248012225859403</c:v>
              </c:pt>
              <c:pt idx="1318">
                <c:v>4.4248012225859403</c:v>
              </c:pt>
              <c:pt idx="1319">
                <c:v>0</c:v>
              </c:pt>
              <c:pt idx="1320">
                <c:v>0</c:v>
              </c:pt>
              <c:pt idx="1321">
                <c:v>4.4248012225859403</c:v>
              </c:pt>
              <c:pt idx="1322">
                <c:v>4.4248012225859403</c:v>
              </c:pt>
              <c:pt idx="1323">
                <c:v>0</c:v>
              </c:pt>
              <c:pt idx="1324">
                <c:v>0</c:v>
              </c:pt>
              <c:pt idx="1325">
                <c:v>4.4248012225859403</c:v>
              </c:pt>
              <c:pt idx="1326">
                <c:v>4.4248012225859403</c:v>
              </c:pt>
              <c:pt idx="1327">
                <c:v>0</c:v>
              </c:pt>
              <c:pt idx="1328">
                <c:v>4.4248012225859403</c:v>
              </c:pt>
              <c:pt idx="1329">
                <c:v>0</c:v>
              </c:pt>
              <c:pt idx="1332">
                <c:v>0</c:v>
              </c:pt>
              <c:pt idx="1333">
                <c:v>4.49841159412619</c:v>
              </c:pt>
              <c:pt idx="1334">
                <c:v>4.49841159412619</c:v>
              </c:pt>
              <c:pt idx="1335">
                <c:v>0</c:v>
              </c:pt>
              <c:pt idx="1336">
                <c:v>0</c:v>
              </c:pt>
              <c:pt idx="1337">
                <c:v>4.49841159412619</c:v>
              </c:pt>
              <c:pt idx="1338">
                <c:v>4.49841159412619</c:v>
              </c:pt>
              <c:pt idx="1339">
                <c:v>0</c:v>
              </c:pt>
              <c:pt idx="1340">
                <c:v>0</c:v>
              </c:pt>
              <c:pt idx="1341">
                <c:v>4.49841159412619</c:v>
              </c:pt>
              <c:pt idx="1342">
                <c:v>4.49841159412619</c:v>
              </c:pt>
              <c:pt idx="1343">
                <c:v>0</c:v>
              </c:pt>
              <c:pt idx="1344">
                <c:v>0</c:v>
              </c:pt>
              <c:pt idx="1345">
                <c:v>4.49841159412619</c:v>
              </c:pt>
              <c:pt idx="1346">
                <c:v>4.49841159412619</c:v>
              </c:pt>
              <c:pt idx="1347">
                <c:v>0</c:v>
              </c:pt>
              <c:pt idx="1348">
                <c:v>0</c:v>
              </c:pt>
              <c:pt idx="1349">
                <c:v>4.49841159412619</c:v>
              </c:pt>
              <c:pt idx="1350">
                <c:v>4.49841159412619</c:v>
              </c:pt>
              <c:pt idx="1351">
                <c:v>0</c:v>
              </c:pt>
              <c:pt idx="1352">
                <c:v>0</c:v>
              </c:pt>
              <c:pt idx="1353">
                <c:v>4.49841159412619</c:v>
              </c:pt>
              <c:pt idx="1354">
                <c:v>4.49841159412619</c:v>
              </c:pt>
              <c:pt idx="1355">
                <c:v>0</c:v>
              </c:pt>
              <c:pt idx="1356">
                <c:v>0</c:v>
              </c:pt>
              <c:pt idx="1357">
                <c:v>4.49841159412619</c:v>
              </c:pt>
              <c:pt idx="1358">
                <c:v>4.49841159412619</c:v>
              </c:pt>
              <c:pt idx="1359">
                <c:v>0</c:v>
              </c:pt>
              <c:pt idx="1360">
                <c:v>0</c:v>
              </c:pt>
              <c:pt idx="1361">
                <c:v>4.49841159412619</c:v>
              </c:pt>
              <c:pt idx="1362">
                <c:v>4.49841159412619</c:v>
              </c:pt>
              <c:pt idx="1363">
                <c:v>0</c:v>
              </c:pt>
              <c:pt idx="1364">
                <c:v>0</c:v>
              </c:pt>
              <c:pt idx="1365">
                <c:v>4.49841159412619</c:v>
              </c:pt>
              <c:pt idx="1366">
                <c:v>4.49841159412619</c:v>
              </c:pt>
              <c:pt idx="1367">
                <c:v>0</c:v>
              </c:pt>
              <c:pt idx="1368">
                <c:v>0</c:v>
              </c:pt>
              <c:pt idx="1369">
                <c:v>4.49841159412619</c:v>
              </c:pt>
              <c:pt idx="1370">
                <c:v>4.49841159412619</c:v>
              </c:pt>
              <c:pt idx="1371">
                <c:v>0</c:v>
              </c:pt>
              <c:pt idx="1372">
                <c:v>0</c:v>
              </c:pt>
              <c:pt idx="1373">
                <c:v>4.49841159412619</c:v>
              </c:pt>
              <c:pt idx="1374">
                <c:v>4.49841159412619</c:v>
              </c:pt>
              <c:pt idx="1375">
                <c:v>0</c:v>
              </c:pt>
              <c:pt idx="1376">
                <c:v>0</c:v>
              </c:pt>
              <c:pt idx="1377">
                <c:v>4.49841159412619</c:v>
              </c:pt>
              <c:pt idx="1378">
                <c:v>4.49841159412619</c:v>
              </c:pt>
              <c:pt idx="1379">
                <c:v>0</c:v>
              </c:pt>
              <c:pt idx="1380">
                <c:v>0</c:v>
              </c:pt>
              <c:pt idx="1381">
                <c:v>4.49841159412619</c:v>
              </c:pt>
              <c:pt idx="1382">
                <c:v>4.49841159412619</c:v>
              </c:pt>
              <c:pt idx="1383">
                <c:v>0</c:v>
              </c:pt>
              <c:pt idx="1384">
                <c:v>0</c:v>
              </c:pt>
              <c:pt idx="1385">
                <c:v>4.49841159412619</c:v>
              </c:pt>
              <c:pt idx="1386">
                <c:v>4.49841159412619</c:v>
              </c:pt>
              <c:pt idx="1387">
                <c:v>0</c:v>
              </c:pt>
              <c:pt idx="1388">
                <c:v>0</c:v>
              </c:pt>
              <c:pt idx="1389">
                <c:v>4.49841159412619</c:v>
              </c:pt>
              <c:pt idx="1390">
                <c:v>4.49841159412619</c:v>
              </c:pt>
              <c:pt idx="1391">
                <c:v>0</c:v>
              </c:pt>
              <c:pt idx="1392">
                <c:v>0</c:v>
              </c:pt>
              <c:pt idx="1393">
                <c:v>4.49841159412619</c:v>
              </c:pt>
              <c:pt idx="1394">
                <c:v>4.49841159412619</c:v>
              </c:pt>
              <c:pt idx="1395">
                <c:v>0</c:v>
              </c:pt>
              <c:pt idx="1396">
                <c:v>0</c:v>
              </c:pt>
              <c:pt idx="1397">
                <c:v>4.49841159412619</c:v>
              </c:pt>
              <c:pt idx="1398">
                <c:v>4.49841159412619</c:v>
              </c:pt>
              <c:pt idx="1399">
                <c:v>0</c:v>
              </c:pt>
              <c:pt idx="1400">
                <c:v>0</c:v>
              </c:pt>
              <c:pt idx="1401">
                <c:v>4.49841159412619</c:v>
              </c:pt>
              <c:pt idx="1402">
                <c:v>4.49841159412619</c:v>
              </c:pt>
              <c:pt idx="1403">
                <c:v>0</c:v>
              </c:pt>
              <c:pt idx="1404">
                <c:v>0</c:v>
              </c:pt>
              <c:pt idx="1405">
                <c:v>4.49841159412619</c:v>
              </c:pt>
              <c:pt idx="1406">
                <c:v>4.49841159412619</c:v>
              </c:pt>
              <c:pt idx="1407">
                <c:v>0</c:v>
              </c:pt>
              <c:pt idx="1408">
                <c:v>0</c:v>
              </c:pt>
              <c:pt idx="1409">
                <c:v>4.49841159412619</c:v>
              </c:pt>
              <c:pt idx="1410">
                <c:v>4.49841159412619</c:v>
              </c:pt>
              <c:pt idx="1411">
                <c:v>0</c:v>
              </c:pt>
              <c:pt idx="1412">
                <c:v>0</c:v>
              </c:pt>
              <c:pt idx="1413">
                <c:v>4.49841159412619</c:v>
              </c:pt>
              <c:pt idx="1414">
                <c:v>4.49841159412619</c:v>
              </c:pt>
              <c:pt idx="1415">
                <c:v>0</c:v>
              </c:pt>
              <c:pt idx="1416">
                <c:v>0</c:v>
              </c:pt>
              <c:pt idx="1417">
                <c:v>4.49841159412619</c:v>
              </c:pt>
              <c:pt idx="1418">
                <c:v>4.49841159412619</c:v>
              </c:pt>
              <c:pt idx="1419">
                <c:v>0</c:v>
              </c:pt>
              <c:pt idx="1420">
                <c:v>0</c:v>
              </c:pt>
              <c:pt idx="1421">
                <c:v>4.49841159412619</c:v>
              </c:pt>
              <c:pt idx="1422">
                <c:v>4.49841159412619</c:v>
              </c:pt>
              <c:pt idx="1423">
                <c:v>0</c:v>
              </c:pt>
              <c:pt idx="1424">
                <c:v>0</c:v>
              </c:pt>
              <c:pt idx="1425">
                <c:v>4.49841159412619</c:v>
              </c:pt>
              <c:pt idx="1426">
                <c:v>4.49841159412619</c:v>
              </c:pt>
              <c:pt idx="1427">
                <c:v>0</c:v>
              </c:pt>
              <c:pt idx="1428">
                <c:v>0</c:v>
              </c:pt>
              <c:pt idx="1429">
                <c:v>4.49841159412619</c:v>
              </c:pt>
              <c:pt idx="1430">
                <c:v>4.49841159412619</c:v>
              </c:pt>
              <c:pt idx="1431">
                <c:v>0</c:v>
              </c:pt>
              <c:pt idx="1432">
                <c:v>0</c:v>
              </c:pt>
              <c:pt idx="1433">
                <c:v>4.49841159412619</c:v>
              </c:pt>
              <c:pt idx="1434">
                <c:v>4.49841159412619</c:v>
              </c:pt>
              <c:pt idx="1435">
                <c:v>0</c:v>
              </c:pt>
              <c:pt idx="1436">
                <c:v>0</c:v>
              </c:pt>
              <c:pt idx="1437">
                <c:v>4.49841159412619</c:v>
              </c:pt>
              <c:pt idx="1438">
                <c:v>4.49841159412619</c:v>
              </c:pt>
              <c:pt idx="1439">
                <c:v>0</c:v>
              </c:pt>
              <c:pt idx="1440">
                <c:v>0</c:v>
              </c:pt>
              <c:pt idx="1441">
                <c:v>4.49841159412619</c:v>
              </c:pt>
              <c:pt idx="1442">
                <c:v>4.49841159412619</c:v>
              </c:pt>
              <c:pt idx="1443">
                <c:v>0</c:v>
              </c:pt>
              <c:pt idx="1444">
                <c:v>0</c:v>
              </c:pt>
              <c:pt idx="1445">
                <c:v>4.49841159412619</c:v>
              </c:pt>
              <c:pt idx="1446">
                <c:v>4.49841159412619</c:v>
              </c:pt>
              <c:pt idx="1447">
                <c:v>0</c:v>
              </c:pt>
              <c:pt idx="1448">
                <c:v>0</c:v>
              </c:pt>
              <c:pt idx="1449">
                <c:v>4.49841159412619</c:v>
              </c:pt>
              <c:pt idx="1450">
                <c:v>4.49841159412619</c:v>
              </c:pt>
              <c:pt idx="1451">
                <c:v>0</c:v>
              </c:pt>
              <c:pt idx="1452">
                <c:v>0</c:v>
              </c:pt>
              <c:pt idx="1453">
                <c:v>4.49841159412619</c:v>
              </c:pt>
              <c:pt idx="1454">
                <c:v>4.49841159412619</c:v>
              </c:pt>
              <c:pt idx="1455">
                <c:v>0</c:v>
              </c:pt>
              <c:pt idx="1456">
                <c:v>0</c:v>
              </c:pt>
              <c:pt idx="1457">
                <c:v>4.49841159412619</c:v>
              </c:pt>
              <c:pt idx="1458">
                <c:v>4.49841159412619</c:v>
              </c:pt>
              <c:pt idx="1459">
                <c:v>0</c:v>
              </c:pt>
              <c:pt idx="1460">
                <c:v>0</c:v>
              </c:pt>
              <c:pt idx="1461">
                <c:v>4.49841159412619</c:v>
              </c:pt>
              <c:pt idx="1462">
                <c:v>4.49841159412619</c:v>
              </c:pt>
              <c:pt idx="1463">
                <c:v>0</c:v>
              </c:pt>
              <c:pt idx="1464">
                <c:v>0</c:v>
              </c:pt>
              <c:pt idx="1465">
                <c:v>4.49841159412619</c:v>
              </c:pt>
              <c:pt idx="1466">
                <c:v>4.49841159412619</c:v>
              </c:pt>
              <c:pt idx="1467">
                <c:v>0</c:v>
              </c:pt>
              <c:pt idx="1468">
                <c:v>0</c:v>
              </c:pt>
              <c:pt idx="1469">
                <c:v>4.49841159412619</c:v>
              </c:pt>
              <c:pt idx="1470">
                <c:v>4.49841159412619</c:v>
              </c:pt>
              <c:pt idx="1471">
                <c:v>0</c:v>
              </c:pt>
              <c:pt idx="1472">
                <c:v>0</c:v>
              </c:pt>
              <c:pt idx="1473">
                <c:v>4.49841159412619</c:v>
              </c:pt>
              <c:pt idx="1474">
                <c:v>4.49841159412619</c:v>
              </c:pt>
              <c:pt idx="1475">
                <c:v>0</c:v>
              </c:pt>
              <c:pt idx="1476">
                <c:v>4.49841159412619</c:v>
              </c:pt>
              <c:pt idx="1477">
                <c:v>0</c:v>
              </c:pt>
              <c:pt idx="1480">
                <c:v>0</c:v>
              </c:pt>
              <c:pt idx="1481">
                <c:v>4.1140018760826766</c:v>
              </c:pt>
              <c:pt idx="1482">
                <c:v>4.1140018760826766</c:v>
              </c:pt>
              <c:pt idx="1483">
                <c:v>0</c:v>
              </c:pt>
              <c:pt idx="1484">
                <c:v>0</c:v>
              </c:pt>
              <c:pt idx="1485">
                <c:v>4.1140018760826766</c:v>
              </c:pt>
              <c:pt idx="1486">
                <c:v>4.1140018760826766</c:v>
              </c:pt>
              <c:pt idx="1487">
                <c:v>0</c:v>
              </c:pt>
              <c:pt idx="1488">
                <c:v>0</c:v>
              </c:pt>
              <c:pt idx="1489">
                <c:v>4.1140018760826766</c:v>
              </c:pt>
              <c:pt idx="1490">
                <c:v>4.1140018760826766</c:v>
              </c:pt>
              <c:pt idx="1491">
                <c:v>0</c:v>
              </c:pt>
              <c:pt idx="1492">
                <c:v>0</c:v>
              </c:pt>
              <c:pt idx="1493">
                <c:v>4.1140018760826766</c:v>
              </c:pt>
              <c:pt idx="1494">
                <c:v>4.1140018760826766</c:v>
              </c:pt>
              <c:pt idx="1495">
                <c:v>0</c:v>
              </c:pt>
              <c:pt idx="1496">
                <c:v>0</c:v>
              </c:pt>
              <c:pt idx="1497">
                <c:v>4.1140018760826766</c:v>
              </c:pt>
              <c:pt idx="1498">
                <c:v>4.1140018760826766</c:v>
              </c:pt>
              <c:pt idx="1499">
                <c:v>0</c:v>
              </c:pt>
              <c:pt idx="1500">
                <c:v>0</c:v>
              </c:pt>
              <c:pt idx="1501">
                <c:v>4.1140018760826766</c:v>
              </c:pt>
              <c:pt idx="1502">
                <c:v>4.1140018760826766</c:v>
              </c:pt>
              <c:pt idx="1503">
                <c:v>0</c:v>
              </c:pt>
              <c:pt idx="1504">
                <c:v>0</c:v>
              </c:pt>
              <c:pt idx="1505">
                <c:v>4.1140018760826766</c:v>
              </c:pt>
              <c:pt idx="1506">
                <c:v>4.1140018760826766</c:v>
              </c:pt>
              <c:pt idx="1507">
                <c:v>0</c:v>
              </c:pt>
              <c:pt idx="1508">
                <c:v>0</c:v>
              </c:pt>
              <c:pt idx="1509">
                <c:v>4.1140018760826766</c:v>
              </c:pt>
              <c:pt idx="1510">
                <c:v>4.1140018760826766</c:v>
              </c:pt>
              <c:pt idx="1511">
                <c:v>0</c:v>
              </c:pt>
              <c:pt idx="1512">
                <c:v>0</c:v>
              </c:pt>
              <c:pt idx="1513">
                <c:v>4.1140018760826766</c:v>
              </c:pt>
              <c:pt idx="1514">
                <c:v>4.1140018760826766</c:v>
              </c:pt>
              <c:pt idx="1515">
                <c:v>0</c:v>
              </c:pt>
              <c:pt idx="1516">
                <c:v>0</c:v>
              </c:pt>
              <c:pt idx="1517">
                <c:v>4.1140018760826766</c:v>
              </c:pt>
              <c:pt idx="1518">
                <c:v>4.1140018760826766</c:v>
              </c:pt>
              <c:pt idx="1519">
                <c:v>0</c:v>
              </c:pt>
              <c:pt idx="1520">
                <c:v>0</c:v>
              </c:pt>
              <c:pt idx="1521">
                <c:v>4.1140018760826766</c:v>
              </c:pt>
              <c:pt idx="1522">
                <c:v>4.1140018760826766</c:v>
              </c:pt>
              <c:pt idx="1523">
                <c:v>0</c:v>
              </c:pt>
              <c:pt idx="1524">
                <c:v>0</c:v>
              </c:pt>
              <c:pt idx="1525">
                <c:v>4.1140018760826766</c:v>
              </c:pt>
              <c:pt idx="1526">
                <c:v>4.1140018760826766</c:v>
              </c:pt>
              <c:pt idx="1527">
                <c:v>0</c:v>
              </c:pt>
              <c:pt idx="1528">
                <c:v>0</c:v>
              </c:pt>
              <c:pt idx="1529">
                <c:v>4.1140018760826766</c:v>
              </c:pt>
              <c:pt idx="1530">
                <c:v>4.1140018760826766</c:v>
              </c:pt>
              <c:pt idx="1531">
                <c:v>0</c:v>
              </c:pt>
              <c:pt idx="1532">
                <c:v>0</c:v>
              </c:pt>
              <c:pt idx="1533">
                <c:v>4.1140018760826766</c:v>
              </c:pt>
              <c:pt idx="1534">
                <c:v>4.1140018760826766</c:v>
              </c:pt>
              <c:pt idx="1535">
                <c:v>0</c:v>
              </c:pt>
              <c:pt idx="1536">
                <c:v>0</c:v>
              </c:pt>
              <c:pt idx="1537">
                <c:v>4.1140018760826766</c:v>
              </c:pt>
              <c:pt idx="1538">
                <c:v>4.1140018760826766</c:v>
              </c:pt>
              <c:pt idx="1539">
                <c:v>0</c:v>
              </c:pt>
              <c:pt idx="1540">
                <c:v>0</c:v>
              </c:pt>
              <c:pt idx="1541">
                <c:v>4.1140018760826766</c:v>
              </c:pt>
              <c:pt idx="1542">
                <c:v>4.1140018760826766</c:v>
              </c:pt>
              <c:pt idx="1543">
                <c:v>0</c:v>
              </c:pt>
              <c:pt idx="1544">
                <c:v>0</c:v>
              </c:pt>
              <c:pt idx="1545">
                <c:v>4.1140018760826766</c:v>
              </c:pt>
              <c:pt idx="1546">
                <c:v>4.1140018760826766</c:v>
              </c:pt>
              <c:pt idx="1547">
                <c:v>0</c:v>
              </c:pt>
              <c:pt idx="1548">
                <c:v>0</c:v>
              </c:pt>
              <c:pt idx="1549">
                <c:v>4.1140018760826766</c:v>
              </c:pt>
              <c:pt idx="1550">
                <c:v>4.1140018760826766</c:v>
              </c:pt>
              <c:pt idx="1551">
                <c:v>0</c:v>
              </c:pt>
              <c:pt idx="1552">
                <c:v>0</c:v>
              </c:pt>
              <c:pt idx="1553">
                <c:v>4.1140018760826766</c:v>
              </c:pt>
              <c:pt idx="1554">
                <c:v>4.1140018760826766</c:v>
              </c:pt>
              <c:pt idx="1555">
                <c:v>0</c:v>
              </c:pt>
              <c:pt idx="1556">
                <c:v>0</c:v>
              </c:pt>
              <c:pt idx="1557">
                <c:v>4.1140018760826766</c:v>
              </c:pt>
              <c:pt idx="1558">
                <c:v>4.1140018760826766</c:v>
              </c:pt>
              <c:pt idx="1559">
                <c:v>0</c:v>
              </c:pt>
              <c:pt idx="1560">
                <c:v>0</c:v>
              </c:pt>
              <c:pt idx="1561">
                <c:v>4.1140018760826766</c:v>
              </c:pt>
              <c:pt idx="1562">
                <c:v>4.1140018760826766</c:v>
              </c:pt>
              <c:pt idx="1563">
                <c:v>0</c:v>
              </c:pt>
              <c:pt idx="1564">
                <c:v>0</c:v>
              </c:pt>
              <c:pt idx="1565">
                <c:v>4.1140018760826766</c:v>
              </c:pt>
              <c:pt idx="1566">
                <c:v>4.1140018760826766</c:v>
              </c:pt>
              <c:pt idx="1567">
                <c:v>0</c:v>
              </c:pt>
              <c:pt idx="1568">
                <c:v>0</c:v>
              </c:pt>
              <c:pt idx="1569">
                <c:v>4.1140018760826766</c:v>
              </c:pt>
              <c:pt idx="1570">
                <c:v>4.1140018760826766</c:v>
              </c:pt>
              <c:pt idx="1571">
                <c:v>0</c:v>
              </c:pt>
              <c:pt idx="1572">
                <c:v>0</c:v>
              </c:pt>
              <c:pt idx="1573">
                <c:v>4.1140018760826766</c:v>
              </c:pt>
              <c:pt idx="1574">
                <c:v>4.1140018760826766</c:v>
              </c:pt>
              <c:pt idx="1575">
                <c:v>0</c:v>
              </c:pt>
              <c:pt idx="1576">
                <c:v>0</c:v>
              </c:pt>
              <c:pt idx="1577">
                <c:v>4.1140018760826766</c:v>
              </c:pt>
              <c:pt idx="1578">
                <c:v>4.1140018760826766</c:v>
              </c:pt>
              <c:pt idx="1579">
                <c:v>0</c:v>
              </c:pt>
              <c:pt idx="1580">
                <c:v>0</c:v>
              </c:pt>
              <c:pt idx="1581">
                <c:v>4.1140018760826766</c:v>
              </c:pt>
              <c:pt idx="1582">
                <c:v>4.1140018760826766</c:v>
              </c:pt>
              <c:pt idx="1583">
                <c:v>0</c:v>
              </c:pt>
              <c:pt idx="1584">
                <c:v>0</c:v>
              </c:pt>
              <c:pt idx="1585">
                <c:v>4.1140018760826766</c:v>
              </c:pt>
              <c:pt idx="1586">
                <c:v>4.1140018760826766</c:v>
              </c:pt>
              <c:pt idx="1587">
                <c:v>0</c:v>
              </c:pt>
              <c:pt idx="1588">
                <c:v>0</c:v>
              </c:pt>
              <c:pt idx="1589">
                <c:v>4.1140018760826766</c:v>
              </c:pt>
              <c:pt idx="1590">
                <c:v>4.1140018760826766</c:v>
              </c:pt>
              <c:pt idx="1591">
                <c:v>0</c:v>
              </c:pt>
              <c:pt idx="1592">
                <c:v>0</c:v>
              </c:pt>
              <c:pt idx="1593">
                <c:v>4.1140018760826766</c:v>
              </c:pt>
              <c:pt idx="1594">
                <c:v>4.1140018760826766</c:v>
              </c:pt>
              <c:pt idx="1595">
                <c:v>0</c:v>
              </c:pt>
              <c:pt idx="1596">
                <c:v>0</c:v>
              </c:pt>
              <c:pt idx="1597">
                <c:v>4.1140018760826766</c:v>
              </c:pt>
              <c:pt idx="1598">
                <c:v>4.1140018760826766</c:v>
              </c:pt>
              <c:pt idx="1599">
                <c:v>0</c:v>
              </c:pt>
              <c:pt idx="1600">
                <c:v>0</c:v>
              </c:pt>
              <c:pt idx="1601">
                <c:v>4.1140018760826766</c:v>
              </c:pt>
              <c:pt idx="1602">
                <c:v>4.1140018760826766</c:v>
              </c:pt>
              <c:pt idx="1603">
                <c:v>0</c:v>
              </c:pt>
              <c:pt idx="1604">
                <c:v>0</c:v>
              </c:pt>
              <c:pt idx="1605">
                <c:v>4.1140018760826766</c:v>
              </c:pt>
              <c:pt idx="1606">
                <c:v>4.1140018760826766</c:v>
              </c:pt>
              <c:pt idx="1607">
                <c:v>0</c:v>
              </c:pt>
              <c:pt idx="1608">
                <c:v>0</c:v>
              </c:pt>
              <c:pt idx="1609">
                <c:v>4.1140018760826766</c:v>
              </c:pt>
              <c:pt idx="1610">
                <c:v>4.1140018760826766</c:v>
              </c:pt>
              <c:pt idx="1611">
                <c:v>0</c:v>
              </c:pt>
              <c:pt idx="1612">
                <c:v>0</c:v>
              </c:pt>
              <c:pt idx="1613">
                <c:v>4.1140018760826766</c:v>
              </c:pt>
              <c:pt idx="1614">
                <c:v>4.1140018760826766</c:v>
              </c:pt>
              <c:pt idx="1615">
                <c:v>0</c:v>
              </c:pt>
              <c:pt idx="1616">
                <c:v>0</c:v>
              </c:pt>
              <c:pt idx="1617">
                <c:v>4.1140018760826766</c:v>
              </c:pt>
              <c:pt idx="1618">
                <c:v>4.1140018760826766</c:v>
              </c:pt>
              <c:pt idx="1619">
                <c:v>0</c:v>
              </c:pt>
              <c:pt idx="1620">
                <c:v>0</c:v>
              </c:pt>
              <c:pt idx="1621">
                <c:v>4.1140018760826766</c:v>
              </c:pt>
              <c:pt idx="1622">
                <c:v>4.1140018760826766</c:v>
              </c:pt>
              <c:pt idx="1623">
                <c:v>0</c:v>
              </c:pt>
              <c:pt idx="1624">
                <c:v>4.1140018760826766</c:v>
              </c:pt>
              <c:pt idx="1625">
                <c:v>0</c:v>
              </c:pt>
              <c:pt idx="1628">
                <c:v>0</c:v>
              </c:pt>
              <c:pt idx="1629">
                <c:v>3.860455040777385</c:v>
              </c:pt>
              <c:pt idx="1630">
                <c:v>3.860455040777385</c:v>
              </c:pt>
              <c:pt idx="1631">
                <c:v>0</c:v>
              </c:pt>
              <c:pt idx="1632">
                <c:v>0</c:v>
              </c:pt>
              <c:pt idx="1633">
                <c:v>3.860455040777385</c:v>
              </c:pt>
              <c:pt idx="1634">
                <c:v>3.860455040777385</c:v>
              </c:pt>
              <c:pt idx="1635">
                <c:v>0</c:v>
              </c:pt>
              <c:pt idx="1636">
                <c:v>0</c:v>
              </c:pt>
              <c:pt idx="1637">
                <c:v>3.860455040777385</c:v>
              </c:pt>
              <c:pt idx="1638">
                <c:v>3.860455040777385</c:v>
              </c:pt>
              <c:pt idx="1639">
                <c:v>0</c:v>
              </c:pt>
              <c:pt idx="1640">
                <c:v>0</c:v>
              </c:pt>
              <c:pt idx="1641">
                <c:v>3.860455040777385</c:v>
              </c:pt>
              <c:pt idx="1642">
                <c:v>3.860455040777385</c:v>
              </c:pt>
              <c:pt idx="1643">
                <c:v>0</c:v>
              </c:pt>
              <c:pt idx="1644">
                <c:v>0</c:v>
              </c:pt>
              <c:pt idx="1645">
                <c:v>3.860455040777385</c:v>
              </c:pt>
              <c:pt idx="1646">
                <c:v>3.860455040777385</c:v>
              </c:pt>
              <c:pt idx="1647">
                <c:v>0</c:v>
              </c:pt>
              <c:pt idx="1648">
                <c:v>0</c:v>
              </c:pt>
              <c:pt idx="1649">
                <c:v>3.860455040777385</c:v>
              </c:pt>
              <c:pt idx="1650">
                <c:v>3.860455040777385</c:v>
              </c:pt>
              <c:pt idx="1651">
                <c:v>0</c:v>
              </c:pt>
              <c:pt idx="1652">
                <c:v>0</c:v>
              </c:pt>
              <c:pt idx="1653">
                <c:v>3.860455040777385</c:v>
              </c:pt>
              <c:pt idx="1654">
                <c:v>3.860455040777385</c:v>
              </c:pt>
              <c:pt idx="1655">
                <c:v>0</c:v>
              </c:pt>
              <c:pt idx="1656">
                <c:v>0</c:v>
              </c:pt>
              <c:pt idx="1657">
                <c:v>3.860455040777385</c:v>
              </c:pt>
              <c:pt idx="1658">
                <c:v>3.860455040777385</c:v>
              </c:pt>
              <c:pt idx="1659">
                <c:v>0</c:v>
              </c:pt>
              <c:pt idx="1660">
                <c:v>0</c:v>
              </c:pt>
              <c:pt idx="1661">
                <c:v>3.860455040777385</c:v>
              </c:pt>
              <c:pt idx="1662">
                <c:v>3.860455040777385</c:v>
              </c:pt>
              <c:pt idx="1663">
                <c:v>0</c:v>
              </c:pt>
              <c:pt idx="1664">
                <c:v>0</c:v>
              </c:pt>
              <c:pt idx="1665">
                <c:v>3.860455040777385</c:v>
              </c:pt>
              <c:pt idx="1666">
                <c:v>3.860455040777385</c:v>
              </c:pt>
              <c:pt idx="1667">
                <c:v>0</c:v>
              </c:pt>
              <c:pt idx="1668">
                <c:v>0</c:v>
              </c:pt>
              <c:pt idx="1669">
                <c:v>3.860455040777385</c:v>
              </c:pt>
              <c:pt idx="1670">
                <c:v>3.860455040777385</c:v>
              </c:pt>
              <c:pt idx="1671">
                <c:v>0</c:v>
              </c:pt>
              <c:pt idx="1672">
                <c:v>0</c:v>
              </c:pt>
              <c:pt idx="1673">
                <c:v>3.860455040777385</c:v>
              </c:pt>
              <c:pt idx="1674">
                <c:v>3.860455040777385</c:v>
              </c:pt>
              <c:pt idx="1675">
                <c:v>0</c:v>
              </c:pt>
              <c:pt idx="1676">
                <c:v>0</c:v>
              </c:pt>
              <c:pt idx="1677">
                <c:v>3.860455040777385</c:v>
              </c:pt>
              <c:pt idx="1678">
                <c:v>3.860455040777385</c:v>
              </c:pt>
              <c:pt idx="1679">
                <c:v>0</c:v>
              </c:pt>
              <c:pt idx="1680">
                <c:v>0</c:v>
              </c:pt>
              <c:pt idx="1681">
                <c:v>3.860455040777385</c:v>
              </c:pt>
              <c:pt idx="1682">
                <c:v>3.860455040777385</c:v>
              </c:pt>
              <c:pt idx="1683">
                <c:v>0</c:v>
              </c:pt>
              <c:pt idx="1684">
                <c:v>0</c:v>
              </c:pt>
              <c:pt idx="1685">
                <c:v>3.860455040777385</c:v>
              </c:pt>
              <c:pt idx="1686">
                <c:v>3.860455040777385</c:v>
              </c:pt>
              <c:pt idx="1687">
                <c:v>0</c:v>
              </c:pt>
              <c:pt idx="1688">
                <c:v>0</c:v>
              </c:pt>
              <c:pt idx="1689">
                <c:v>3.860455040777385</c:v>
              </c:pt>
              <c:pt idx="1690">
                <c:v>3.860455040777385</c:v>
              </c:pt>
              <c:pt idx="1691">
                <c:v>0</c:v>
              </c:pt>
              <c:pt idx="1692">
                <c:v>0</c:v>
              </c:pt>
              <c:pt idx="1693">
                <c:v>3.860455040777385</c:v>
              </c:pt>
              <c:pt idx="1694">
                <c:v>3.860455040777385</c:v>
              </c:pt>
              <c:pt idx="1695">
                <c:v>0</c:v>
              </c:pt>
              <c:pt idx="1696">
                <c:v>0</c:v>
              </c:pt>
              <c:pt idx="1697">
                <c:v>3.860455040777385</c:v>
              </c:pt>
              <c:pt idx="1698">
                <c:v>3.860455040777385</c:v>
              </c:pt>
              <c:pt idx="1699">
                <c:v>0</c:v>
              </c:pt>
              <c:pt idx="1700">
                <c:v>0</c:v>
              </c:pt>
              <c:pt idx="1701">
                <c:v>3.860455040777385</c:v>
              </c:pt>
              <c:pt idx="1702">
                <c:v>3.860455040777385</c:v>
              </c:pt>
              <c:pt idx="1703">
                <c:v>0</c:v>
              </c:pt>
              <c:pt idx="1704">
                <c:v>0</c:v>
              </c:pt>
              <c:pt idx="1705">
                <c:v>3.860455040777385</c:v>
              </c:pt>
              <c:pt idx="1706">
                <c:v>3.860455040777385</c:v>
              </c:pt>
              <c:pt idx="1707">
                <c:v>0</c:v>
              </c:pt>
              <c:pt idx="1708">
                <c:v>0</c:v>
              </c:pt>
              <c:pt idx="1709">
                <c:v>3.860455040777385</c:v>
              </c:pt>
              <c:pt idx="1710">
                <c:v>3.860455040777385</c:v>
              </c:pt>
              <c:pt idx="1711">
                <c:v>0</c:v>
              </c:pt>
              <c:pt idx="1712">
                <c:v>0</c:v>
              </c:pt>
              <c:pt idx="1713">
                <c:v>3.860455040777385</c:v>
              </c:pt>
              <c:pt idx="1714">
                <c:v>3.860455040777385</c:v>
              </c:pt>
              <c:pt idx="1715">
                <c:v>0</c:v>
              </c:pt>
              <c:pt idx="1716">
                <c:v>0</c:v>
              </c:pt>
              <c:pt idx="1717">
                <c:v>3.860455040777385</c:v>
              </c:pt>
              <c:pt idx="1718">
                <c:v>3.860455040777385</c:v>
              </c:pt>
              <c:pt idx="1719">
                <c:v>0</c:v>
              </c:pt>
              <c:pt idx="1720">
                <c:v>0</c:v>
              </c:pt>
              <c:pt idx="1721">
                <c:v>3.860455040777385</c:v>
              </c:pt>
              <c:pt idx="1722">
                <c:v>3.860455040777385</c:v>
              </c:pt>
              <c:pt idx="1723">
                <c:v>0</c:v>
              </c:pt>
              <c:pt idx="1724">
                <c:v>0</c:v>
              </c:pt>
              <c:pt idx="1725">
                <c:v>3.860455040777385</c:v>
              </c:pt>
              <c:pt idx="1726">
                <c:v>3.860455040777385</c:v>
              </c:pt>
              <c:pt idx="1727">
                <c:v>0</c:v>
              </c:pt>
              <c:pt idx="1728">
                <c:v>0</c:v>
              </c:pt>
              <c:pt idx="1729">
                <c:v>3.860455040777385</c:v>
              </c:pt>
              <c:pt idx="1730">
                <c:v>3.860455040777385</c:v>
              </c:pt>
              <c:pt idx="1731">
                <c:v>0</c:v>
              </c:pt>
              <c:pt idx="1732">
                <c:v>0</c:v>
              </c:pt>
              <c:pt idx="1733">
                <c:v>3.860455040777385</c:v>
              </c:pt>
              <c:pt idx="1734">
                <c:v>3.860455040777385</c:v>
              </c:pt>
              <c:pt idx="1735">
                <c:v>0</c:v>
              </c:pt>
              <c:pt idx="1736">
                <c:v>0</c:v>
              </c:pt>
              <c:pt idx="1737">
                <c:v>3.860455040777385</c:v>
              </c:pt>
              <c:pt idx="1738">
                <c:v>3.860455040777385</c:v>
              </c:pt>
              <c:pt idx="1739">
                <c:v>0</c:v>
              </c:pt>
              <c:pt idx="1740">
                <c:v>0</c:v>
              </c:pt>
              <c:pt idx="1741">
                <c:v>3.860455040777385</c:v>
              </c:pt>
              <c:pt idx="1742">
                <c:v>3.860455040777385</c:v>
              </c:pt>
              <c:pt idx="1743">
                <c:v>0</c:v>
              </c:pt>
              <c:pt idx="1744">
                <c:v>0</c:v>
              </c:pt>
              <c:pt idx="1745">
                <c:v>3.860455040777385</c:v>
              </c:pt>
              <c:pt idx="1746">
                <c:v>3.860455040777385</c:v>
              </c:pt>
              <c:pt idx="1747">
                <c:v>0</c:v>
              </c:pt>
              <c:pt idx="1748">
                <c:v>0</c:v>
              </c:pt>
              <c:pt idx="1749">
                <c:v>3.860455040777385</c:v>
              </c:pt>
              <c:pt idx="1750">
                <c:v>3.860455040777385</c:v>
              </c:pt>
              <c:pt idx="1751">
                <c:v>0</c:v>
              </c:pt>
              <c:pt idx="1752">
                <c:v>0</c:v>
              </c:pt>
              <c:pt idx="1753">
                <c:v>3.860455040777385</c:v>
              </c:pt>
              <c:pt idx="1754">
                <c:v>3.860455040777385</c:v>
              </c:pt>
              <c:pt idx="1755">
                <c:v>0</c:v>
              </c:pt>
              <c:pt idx="1756">
                <c:v>0</c:v>
              </c:pt>
              <c:pt idx="1757">
                <c:v>3.860455040777385</c:v>
              </c:pt>
              <c:pt idx="1758">
                <c:v>3.860455040777385</c:v>
              </c:pt>
              <c:pt idx="1759">
                <c:v>0</c:v>
              </c:pt>
              <c:pt idx="1760">
                <c:v>0</c:v>
              </c:pt>
              <c:pt idx="1761">
                <c:v>3.860455040777385</c:v>
              </c:pt>
              <c:pt idx="1762">
                <c:v>3.860455040777385</c:v>
              </c:pt>
              <c:pt idx="1763">
                <c:v>0</c:v>
              </c:pt>
              <c:pt idx="1764">
                <c:v>0</c:v>
              </c:pt>
              <c:pt idx="1765">
                <c:v>3.860455040777385</c:v>
              </c:pt>
              <c:pt idx="1766">
                <c:v>3.860455040777385</c:v>
              </c:pt>
              <c:pt idx="1767">
                <c:v>0</c:v>
              </c:pt>
              <c:pt idx="1768">
                <c:v>0</c:v>
              </c:pt>
              <c:pt idx="1769">
                <c:v>3.860455040777385</c:v>
              </c:pt>
              <c:pt idx="1770">
                <c:v>3.860455040777385</c:v>
              </c:pt>
              <c:pt idx="1771">
                <c:v>0</c:v>
              </c:pt>
              <c:pt idx="1772">
                <c:v>3.860455040777385</c:v>
              </c:pt>
              <c:pt idx="1773">
                <c:v>0</c:v>
              </c:pt>
              <c:pt idx="1776">
                <c:v>0</c:v>
              </c:pt>
              <c:pt idx="1777">
                <c:v>2.8871623504118999</c:v>
              </c:pt>
              <c:pt idx="1778">
                <c:v>2.8871623504118999</c:v>
              </c:pt>
              <c:pt idx="1779">
                <c:v>0</c:v>
              </c:pt>
              <c:pt idx="1780">
                <c:v>0</c:v>
              </c:pt>
              <c:pt idx="1781">
                <c:v>2.8871623504118999</c:v>
              </c:pt>
              <c:pt idx="1782">
                <c:v>2.8871623504118999</c:v>
              </c:pt>
              <c:pt idx="1783">
                <c:v>0</c:v>
              </c:pt>
              <c:pt idx="1784">
                <c:v>0</c:v>
              </c:pt>
              <c:pt idx="1785">
                <c:v>2.8871623504118999</c:v>
              </c:pt>
              <c:pt idx="1786">
                <c:v>2.8871623504118999</c:v>
              </c:pt>
              <c:pt idx="1787">
                <c:v>0</c:v>
              </c:pt>
              <c:pt idx="1788">
                <c:v>0</c:v>
              </c:pt>
              <c:pt idx="1789">
                <c:v>2.8871623504118999</c:v>
              </c:pt>
              <c:pt idx="1790">
                <c:v>2.8871623504118999</c:v>
              </c:pt>
              <c:pt idx="1791">
                <c:v>0</c:v>
              </c:pt>
              <c:pt idx="1792">
                <c:v>0</c:v>
              </c:pt>
              <c:pt idx="1793">
                <c:v>2.8871623504118999</c:v>
              </c:pt>
              <c:pt idx="1794">
                <c:v>2.8871623504118999</c:v>
              </c:pt>
              <c:pt idx="1795">
                <c:v>0</c:v>
              </c:pt>
              <c:pt idx="1796">
                <c:v>0</c:v>
              </c:pt>
              <c:pt idx="1797">
                <c:v>2.8871623504118999</c:v>
              </c:pt>
              <c:pt idx="1798">
                <c:v>2.8871623504118999</c:v>
              </c:pt>
              <c:pt idx="1799">
                <c:v>0</c:v>
              </c:pt>
              <c:pt idx="1800">
                <c:v>0</c:v>
              </c:pt>
              <c:pt idx="1801">
                <c:v>2.8871623504118999</c:v>
              </c:pt>
              <c:pt idx="1802">
                <c:v>2.8871623504118999</c:v>
              </c:pt>
              <c:pt idx="1803">
                <c:v>0</c:v>
              </c:pt>
              <c:pt idx="1804">
                <c:v>0</c:v>
              </c:pt>
              <c:pt idx="1805">
                <c:v>2.8871623504118999</c:v>
              </c:pt>
              <c:pt idx="1806">
                <c:v>2.8871623504118999</c:v>
              </c:pt>
              <c:pt idx="1807">
                <c:v>0</c:v>
              </c:pt>
              <c:pt idx="1808">
                <c:v>0</c:v>
              </c:pt>
              <c:pt idx="1809">
                <c:v>2.8871623504118999</c:v>
              </c:pt>
              <c:pt idx="1810">
                <c:v>2.8871623504118999</c:v>
              </c:pt>
              <c:pt idx="1811">
                <c:v>0</c:v>
              </c:pt>
              <c:pt idx="1812">
                <c:v>0</c:v>
              </c:pt>
              <c:pt idx="1813">
                <c:v>2.8871623504118999</c:v>
              </c:pt>
              <c:pt idx="1814">
                <c:v>2.8871623504118999</c:v>
              </c:pt>
              <c:pt idx="1815">
                <c:v>0</c:v>
              </c:pt>
              <c:pt idx="1816">
                <c:v>0</c:v>
              </c:pt>
              <c:pt idx="1817">
                <c:v>2.8871623504118999</c:v>
              </c:pt>
              <c:pt idx="1818">
                <c:v>2.8871623504118999</c:v>
              </c:pt>
              <c:pt idx="1819">
                <c:v>0</c:v>
              </c:pt>
              <c:pt idx="1820">
                <c:v>0</c:v>
              </c:pt>
              <c:pt idx="1821">
                <c:v>2.8871623504118999</c:v>
              </c:pt>
              <c:pt idx="1822">
                <c:v>2.8871623504118999</c:v>
              </c:pt>
              <c:pt idx="1823">
                <c:v>0</c:v>
              </c:pt>
              <c:pt idx="1824">
                <c:v>0</c:v>
              </c:pt>
              <c:pt idx="1825">
                <c:v>2.8871623504118999</c:v>
              </c:pt>
              <c:pt idx="1826">
                <c:v>2.8871623504118999</c:v>
              </c:pt>
              <c:pt idx="1827">
                <c:v>0</c:v>
              </c:pt>
              <c:pt idx="1828">
                <c:v>0</c:v>
              </c:pt>
              <c:pt idx="1829">
                <c:v>2.8871623504118999</c:v>
              </c:pt>
              <c:pt idx="1830">
                <c:v>2.8871623504118999</c:v>
              </c:pt>
              <c:pt idx="1831">
                <c:v>0</c:v>
              </c:pt>
              <c:pt idx="1832">
                <c:v>0</c:v>
              </c:pt>
              <c:pt idx="1833">
                <c:v>2.8871623504118999</c:v>
              </c:pt>
              <c:pt idx="1834">
                <c:v>2.8871623504118999</c:v>
              </c:pt>
              <c:pt idx="1835">
                <c:v>0</c:v>
              </c:pt>
              <c:pt idx="1836">
                <c:v>0</c:v>
              </c:pt>
              <c:pt idx="1837">
                <c:v>2.8871623504118999</c:v>
              </c:pt>
              <c:pt idx="1838">
                <c:v>2.8871623504118999</c:v>
              </c:pt>
              <c:pt idx="1839">
                <c:v>0</c:v>
              </c:pt>
              <c:pt idx="1840">
                <c:v>0</c:v>
              </c:pt>
              <c:pt idx="1841">
                <c:v>2.8871623504118999</c:v>
              </c:pt>
              <c:pt idx="1842">
                <c:v>2.8871623504118999</c:v>
              </c:pt>
              <c:pt idx="1843">
                <c:v>0</c:v>
              </c:pt>
              <c:pt idx="1844">
                <c:v>0</c:v>
              </c:pt>
              <c:pt idx="1845">
                <c:v>2.8871623504118999</c:v>
              </c:pt>
              <c:pt idx="1846">
                <c:v>2.8871623504118999</c:v>
              </c:pt>
              <c:pt idx="1847">
                <c:v>0</c:v>
              </c:pt>
              <c:pt idx="1848">
                <c:v>0</c:v>
              </c:pt>
              <c:pt idx="1849">
                <c:v>2.8871623504118999</c:v>
              </c:pt>
              <c:pt idx="1850">
                <c:v>2.8871623504118999</c:v>
              </c:pt>
              <c:pt idx="1851">
                <c:v>0</c:v>
              </c:pt>
              <c:pt idx="1852">
                <c:v>0</c:v>
              </c:pt>
              <c:pt idx="1853">
                <c:v>2.8871623504118999</c:v>
              </c:pt>
              <c:pt idx="1854">
                <c:v>2.8871623504118999</c:v>
              </c:pt>
              <c:pt idx="1855">
                <c:v>0</c:v>
              </c:pt>
              <c:pt idx="1856">
                <c:v>0</c:v>
              </c:pt>
              <c:pt idx="1857">
                <c:v>2.8871623504118999</c:v>
              </c:pt>
              <c:pt idx="1858">
                <c:v>2.8871623504118999</c:v>
              </c:pt>
              <c:pt idx="1859">
                <c:v>0</c:v>
              </c:pt>
              <c:pt idx="1860">
                <c:v>0</c:v>
              </c:pt>
              <c:pt idx="1861">
                <c:v>2.8871623504118999</c:v>
              </c:pt>
              <c:pt idx="1862">
                <c:v>2.8871623504118999</c:v>
              </c:pt>
              <c:pt idx="1863">
                <c:v>0</c:v>
              </c:pt>
              <c:pt idx="1864">
                <c:v>0</c:v>
              </c:pt>
              <c:pt idx="1865">
                <c:v>2.8871623504118999</c:v>
              </c:pt>
              <c:pt idx="1866">
                <c:v>2.8871623504118999</c:v>
              </c:pt>
              <c:pt idx="1867">
                <c:v>0</c:v>
              </c:pt>
              <c:pt idx="1868">
                <c:v>0</c:v>
              </c:pt>
              <c:pt idx="1869">
                <c:v>2.8871623504118999</c:v>
              </c:pt>
              <c:pt idx="1870">
                <c:v>2.8871623504118999</c:v>
              </c:pt>
              <c:pt idx="1871">
                <c:v>0</c:v>
              </c:pt>
              <c:pt idx="1872">
                <c:v>0</c:v>
              </c:pt>
              <c:pt idx="1873">
                <c:v>2.8871623504118999</c:v>
              </c:pt>
              <c:pt idx="1874">
                <c:v>2.8871623504118999</c:v>
              </c:pt>
              <c:pt idx="1875">
                <c:v>0</c:v>
              </c:pt>
              <c:pt idx="1876">
                <c:v>0</c:v>
              </c:pt>
              <c:pt idx="1877">
                <c:v>2.8871623504118999</c:v>
              </c:pt>
              <c:pt idx="1878">
                <c:v>2.8871623504118999</c:v>
              </c:pt>
              <c:pt idx="1879">
                <c:v>0</c:v>
              </c:pt>
              <c:pt idx="1880">
                <c:v>0</c:v>
              </c:pt>
              <c:pt idx="1881">
                <c:v>2.8871623504118999</c:v>
              </c:pt>
              <c:pt idx="1882">
                <c:v>2.8871623504118999</c:v>
              </c:pt>
              <c:pt idx="1883">
                <c:v>0</c:v>
              </c:pt>
              <c:pt idx="1884">
                <c:v>0</c:v>
              </c:pt>
              <c:pt idx="1885">
                <c:v>2.8871623504118999</c:v>
              </c:pt>
              <c:pt idx="1886">
                <c:v>2.8871623504118999</c:v>
              </c:pt>
              <c:pt idx="1887">
                <c:v>0</c:v>
              </c:pt>
              <c:pt idx="1888">
                <c:v>0</c:v>
              </c:pt>
              <c:pt idx="1889">
                <c:v>2.8871623504118999</c:v>
              </c:pt>
              <c:pt idx="1890">
                <c:v>2.8871623504118999</c:v>
              </c:pt>
              <c:pt idx="1891">
                <c:v>0</c:v>
              </c:pt>
              <c:pt idx="1892">
                <c:v>0</c:v>
              </c:pt>
              <c:pt idx="1893">
                <c:v>2.8871623504118999</c:v>
              </c:pt>
              <c:pt idx="1894">
                <c:v>2.8871623504118999</c:v>
              </c:pt>
              <c:pt idx="1895">
                <c:v>0</c:v>
              </c:pt>
              <c:pt idx="1896">
                <c:v>0</c:v>
              </c:pt>
              <c:pt idx="1897">
                <c:v>2.8871623504118999</c:v>
              </c:pt>
              <c:pt idx="1898">
                <c:v>2.8871623504118999</c:v>
              </c:pt>
              <c:pt idx="1899">
                <c:v>0</c:v>
              </c:pt>
              <c:pt idx="1900">
                <c:v>0</c:v>
              </c:pt>
              <c:pt idx="1901">
                <c:v>2.8871623504118999</c:v>
              </c:pt>
              <c:pt idx="1902">
                <c:v>2.8871623504118999</c:v>
              </c:pt>
              <c:pt idx="1903">
                <c:v>0</c:v>
              </c:pt>
              <c:pt idx="1904">
                <c:v>0</c:v>
              </c:pt>
              <c:pt idx="1905">
                <c:v>2.8871623504118999</c:v>
              </c:pt>
              <c:pt idx="1906">
                <c:v>2.8871623504118999</c:v>
              </c:pt>
              <c:pt idx="1907">
                <c:v>0</c:v>
              </c:pt>
              <c:pt idx="1908">
                <c:v>0</c:v>
              </c:pt>
              <c:pt idx="1909">
                <c:v>2.8871623504118999</c:v>
              </c:pt>
              <c:pt idx="1910">
                <c:v>2.8871623504118999</c:v>
              </c:pt>
              <c:pt idx="1911">
                <c:v>0</c:v>
              </c:pt>
              <c:pt idx="1912">
                <c:v>0</c:v>
              </c:pt>
              <c:pt idx="1913">
                <c:v>2.8871623504118999</c:v>
              </c:pt>
              <c:pt idx="1914">
                <c:v>2.8871623504118999</c:v>
              </c:pt>
              <c:pt idx="1915">
                <c:v>0</c:v>
              </c:pt>
              <c:pt idx="1916">
                <c:v>0</c:v>
              </c:pt>
              <c:pt idx="1917">
                <c:v>2.8871623504118999</c:v>
              </c:pt>
              <c:pt idx="1918">
                <c:v>2.8871623504118999</c:v>
              </c:pt>
              <c:pt idx="1919">
                <c:v>0</c:v>
              </c:pt>
              <c:pt idx="1920">
                <c:v>2.8871623504118999</c:v>
              </c:pt>
              <c:pt idx="1921">
                <c:v>0</c:v>
              </c:pt>
              <c:pt idx="1924">
                <c:v>0</c:v>
              </c:pt>
              <c:pt idx="1925">
                <c:v>1.9220485902175541</c:v>
              </c:pt>
              <c:pt idx="1926">
                <c:v>1.9220485902175541</c:v>
              </c:pt>
              <c:pt idx="1927">
                <c:v>0</c:v>
              </c:pt>
              <c:pt idx="1928">
                <c:v>0</c:v>
              </c:pt>
              <c:pt idx="1929">
                <c:v>1.9220485902175541</c:v>
              </c:pt>
              <c:pt idx="1930">
                <c:v>1.9220485902175541</c:v>
              </c:pt>
              <c:pt idx="1931">
                <c:v>0</c:v>
              </c:pt>
              <c:pt idx="1932">
                <c:v>0</c:v>
              </c:pt>
              <c:pt idx="1933">
                <c:v>1.9220485902175541</c:v>
              </c:pt>
              <c:pt idx="1934">
                <c:v>1.9220485902175541</c:v>
              </c:pt>
              <c:pt idx="1935">
                <c:v>0</c:v>
              </c:pt>
              <c:pt idx="1936">
                <c:v>0</c:v>
              </c:pt>
              <c:pt idx="1937">
                <c:v>1.9220485902175541</c:v>
              </c:pt>
              <c:pt idx="1938">
                <c:v>1.9220485902175541</c:v>
              </c:pt>
              <c:pt idx="1939">
                <c:v>0</c:v>
              </c:pt>
              <c:pt idx="1940">
                <c:v>0</c:v>
              </c:pt>
              <c:pt idx="1941">
                <c:v>1.9220485902175541</c:v>
              </c:pt>
              <c:pt idx="1942">
                <c:v>1.9220485902175541</c:v>
              </c:pt>
              <c:pt idx="1943">
                <c:v>0</c:v>
              </c:pt>
              <c:pt idx="1944">
                <c:v>0</c:v>
              </c:pt>
              <c:pt idx="1945">
                <c:v>1.9220485902175541</c:v>
              </c:pt>
              <c:pt idx="1946">
                <c:v>1.9220485902175541</c:v>
              </c:pt>
              <c:pt idx="1947">
                <c:v>0</c:v>
              </c:pt>
              <c:pt idx="1948">
                <c:v>0</c:v>
              </c:pt>
              <c:pt idx="1949">
                <c:v>1.9220485902175541</c:v>
              </c:pt>
              <c:pt idx="1950">
                <c:v>1.9220485902175541</c:v>
              </c:pt>
              <c:pt idx="1951">
                <c:v>0</c:v>
              </c:pt>
              <c:pt idx="1952">
                <c:v>0</c:v>
              </c:pt>
              <c:pt idx="1953">
                <c:v>1.9220485902175541</c:v>
              </c:pt>
              <c:pt idx="1954">
                <c:v>1.9220485902175541</c:v>
              </c:pt>
              <c:pt idx="1955">
                <c:v>0</c:v>
              </c:pt>
              <c:pt idx="1956">
                <c:v>0</c:v>
              </c:pt>
              <c:pt idx="1957">
                <c:v>1.9220485902175541</c:v>
              </c:pt>
              <c:pt idx="1958">
                <c:v>1.9220485902175541</c:v>
              </c:pt>
              <c:pt idx="1959">
                <c:v>0</c:v>
              </c:pt>
              <c:pt idx="1960">
                <c:v>0</c:v>
              </c:pt>
              <c:pt idx="1961">
                <c:v>1.9220485902175541</c:v>
              </c:pt>
              <c:pt idx="1962">
                <c:v>1.9220485902175541</c:v>
              </c:pt>
              <c:pt idx="1963">
                <c:v>0</c:v>
              </c:pt>
              <c:pt idx="1964">
                <c:v>0</c:v>
              </c:pt>
              <c:pt idx="1965">
                <c:v>1.9220485902175541</c:v>
              </c:pt>
              <c:pt idx="1966">
                <c:v>1.9220485902175541</c:v>
              </c:pt>
              <c:pt idx="1967">
                <c:v>0</c:v>
              </c:pt>
              <c:pt idx="1968">
                <c:v>0</c:v>
              </c:pt>
              <c:pt idx="1969">
                <c:v>1.9220485902175541</c:v>
              </c:pt>
              <c:pt idx="1970">
                <c:v>1.9220485902175541</c:v>
              </c:pt>
              <c:pt idx="1971">
                <c:v>0</c:v>
              </c:pt>
              <c:pt idx="1972">
                <c:v>0</c:v>
              </c:pt>
              <c:pt idx="1973">
                <c:v>1.9220485902175541</c:v>
              </c:pt>
              <c:pt idx="1974">
                <c:v>1.9220485902175541</c:v>
              </c:pt>
              <c:pt idx="1975">
                <c:v>0</c:v>
              </c:pt>
              <c:pt idx="1976">
                <c:v>0</c:v>
              </c:pt>
              <c:pt idx="1977">
                <c:v>1.9220485902175541</c:v>
              </c:pt>
              <c:pt idx="1978">
                <c:v>1.9220485902175541</c:v>
              </c:pt>
              <c:pt idx="1979">
                <c:v>0</c:v>
              </c:pt>
              <c:pt idx="1980">
                <c:v>0</c:v>
              </c:pt>
              <c:pt idx="1981">
                <c:v>1.9220485902175541</c:v>
              </c:pt>
              <c:pt idx="1982">
                <c:v>1.9220485902175541</c:v>
              </c:pt>
              <c:pt idx="1983">
                <c:v>0</c:v>
              </c:pt>
              <c:pt idx="1984">
                <c:v>0</c:v>
              </c:pt>
              <c:pt idx="1985">
                <c:v>1.9220485902175541</c:v>
              </c:pt>
              <c:pt idx="1986">
                <c:v>1.9220485902175541</c:v>
              </c:pt>
              <c:pt idx="1987">
                <c:v>0</c:v>
              </c:pt>
              <c:pt idx="1988">
                <c:v>0</c:v>
              </c:pt>
              <c:pt idx="1989">
                <c:v>1.9220485902175541</c:v>
              </c:pt>
              <c:pt idx="1990">
                <c:v>1.9220485902175541</c:v>
              </c:pt>
              <c:pt idx="1991">
                <c:v>0</c:v>
              </c:pt>
              <c:pt idx="1992">
                <c:v>0</c:v>
              </c:pt>
              <c:pt idx="1993">
                <c:v>1.9220485902175541</c:v>
              </c:pt>
              <c:pt idx="1994">
                <c:v>1.9220485902175541</c:v>
              </c:pt>
              <c:pt idx="1995">
                <c:v>0</c:v>
              </c:pt>
              <c:pt idx="1996">
                <c:v>0</c:v>
              </c:pt>
              <c:pt idx="1997">
                <c:v>1.9220485902175541</c:v>
              </c:pt>
              <c:pt idx="1998">
                <c:v>1.9220485902175541</c:v>
              </c:pt>
              <c:pt idx="1999">
                <c:v>0</c:v>
              </c:pt>
              <c:pt idx="2000">
                <c:v>0</c:v>
              </c:pt>
              <c:pt idx="2001">
                <c:v>1.9220485902175541</c:v>
              </c:pt>
              <c:pt idx="2002">
                <c:v>1.9220485902175541</c:v>
              </c:pt>
              <c:pt idx="2003">
                <c:v>0</c:v>
              </c:pt>
              <c:pt idx="2004">
                <c:v>0</c:v>
              </c:pt>
              <c:pt idx="2005">
                <c:v>1.9220485902175541</c:v>
              </c:pt>
              <c:pt idx="2006">
                <c:v>1.9220485902175541</c:v>
              </c:pt>
              <c:pt idx="2007">
                <c:v>0</c:v>
              </c:pt>
              <c:pt idx="2008">
                <c:v>0</c:v>
              </c:pt>
              <c:pt idx="2009">
                <c:v>1.9220485902175541</c:v>
              </c:pt>
              <c:pt idx="2010">
                <c:v>1.9220485902175541</c:v>
              </c:pt>
              <c:pt idx="2011">
                <c:v>0</c:v>
              </c:pt>
              <c:pt idx="2012">
                <c:v>0</c:v>
              </c:pt>
              <c:pt idx="2013">
                <c:v>1.9220485902175541</c:v>
              </c:pt>
              <c:pt idx="2014">
                <c:v>1.9220485902175541</c:v>
              </c:pt>
              <c:pt idx="2015">
                <c:v>0</c:v>
              </c:pt>
              <c:pt idx="2016">
                <c:v>0</c:v>
              </c:pt>
              <c:pt idx="2017">
                <c:v>1.9220485902175541</c:v>
              </c:pt>
              <c:pt idx="2018">
                <c:v>1.9220485902175541</c:v>
              </c:pt>
              <c:pt idx="2019">
                <c:v>0</c:v>
              </c:pt>
              <c:pt idx="2020">
                <c:v>0</c:v>
              </c:pt>
              <c:pt idx="2021">
                <c:v>1.9220485902175541</c:v>
              </c:pt>
              <c:pt idx="2022">
                <c:v>1.9220485902175541</c:v>
              </c:pt>
              <c:pt idx="2023">
                <c:v>0</c:v>
              </c:pt>
              <c:pt idx="2024">
                <c:v>0</c:v>
              </c:pt>
              <c:pt idx="2025">
                <c:v>1.9220485902175541</c:v>
              </c:pt>
              <c:pt idx="2026">
                <c:v>1.9220485902175541</c:v>
              </c:pt>
              <c:pt idx="2027">
                <c:v>0</c:v>
              </c:pt>
              <c:pt idx="2028">
                <c:v>0</c:v>
              </c:pt>
              <c:pt idx="2029">
                <c:v>1.9220485902175541</c:v>
              </c:pt>
              <c:pt idx="2030">
                <c:v>1.9220485902175541</c:v>
              </c:pt>
              <c:pt idx="2031">
                <c:v>0</c:v>
              </c:pt>
              <c:pt idx="2032">
                <c:v>0</c:v>
              </c:pt>
              <c:pt idx="2033">
                <c:v>1.9220485902175541</c:v>
              </c:pt>
              <c:pt idx="2034">
                <c:v>1.9220485902175541</c:v>
              </c:pt>
              <c:pt idx="2035">
                <c:v>0</c:v>
              </c:pt>
              <c:pt idx="2036">
                <c:v>0</c:v>
              </c:pt>
              <c:pt idx="2037">
                <c:v>1.9220485902175541</c:v>
              </c:pt>
              <c:pt idx="2038">
                <c:v>1.9220485902175541</c:v>
              </c:pt>
              <c:pt idx="2039">
                <c:v>0</c:v>
              </c:pt>
              <c:pt idx="2040">
                <c:v>0</c:v>
              </c:pt>
              <c:pt idx="2041">
                <c:v>1.9220485902175541</c:v>
              </c:pt>
              <c:pt idx="2042">
                <c:v>1.9220485902175541</c:v>
              </c:pt>
              <c:pt idx="2043">
                <c:v>0</c:v>
              </c:pt>
              <c:pt idx="2044">
                <c:v>0</c:v>
              </c:pt>
              <c:pt idx="2045">
                <c:v>1.9220485902175541</c:v>
              </c:pt>
              <c:pt idx="2046">
                <c:v>1.9220485902175541</c:v>
              </c:pt>
              <c:pt idx="2047">
                <c:v>0</c:v>
              </c:pt>
              <c:pt idx="2048">
                <c:v>0</c:v>
              </c:pt>
              <c:pt idx="2049">
                <c:v>1.9220485902175541</c:v>
              </c:pt>
              <c:pt idx="2050">
                <c:v>1.9220485902175541</c:v>
              </c:pt>
              <c:pt idx="2051">
                <c:v>0</c:v>
              </c:pt>
              <c:pt idx="2052">
                <c:v>0</c:v>
              </c:pt>
              <c:pt idx="2053">
                <c:v>1.9220485902175541</c:v>
              </c:pt>
              <c:pt idx="2054">
                <c:v>1.9220485902175541</c:v>
              </c:pt>
              <c:pt idx="2055">
                <c:v>0</c:v>
              </c:pt>
              <c:pt idx="2056">
                <c:v>0</c:v>
              </c:pt>
              <c:pt idx="2057">
                <c:v>1.9220485902175541</c:v>
              </c:pt>
              <c:pt idx="2058">
                <c:v>1.9220485902175541</c:v>
              </c:pt>
              <c:pt idx="2059">
                <c:v>0</c:v>
              </c:pt>
              <c:pt idx="2060">
                <c:v>0</c:v>
              </c:pt>
              <c:pt idx="2061">
                <c:v>1.9220485902175541</c:v>
              </c:pt>
              <c:pt idx="2062">
                <c:v>1.9220485902175541</c:v>
              </c:pt>
              <c:pt idx="2063">
                <c:v>0</c:v>
              </c:pt>
              <c:pt idx="2064">
                <c:v>0</c:v>
              </c:pt>
              <c:pt idx="2065">
                <c:v>1.9220485902175541</c:v>
              </c:pt>
              <c:pt idx="2066">
                <c:v>1.9220485902175541</c:v>
              </c:pt>
              <c:pt idx="2067">
                <c:v>0</c:v>
              </c:pt>
              <c:pt idx="2068">
                <c:v>1.9220485902175541</c:v>
              </c:pt>
              <c:pt idx="2069">
                <c:v>0</c:v>
              </c:pt>
              <c:pt idx="2072">
                <c:v>0</c:v>
              </c:pt>
              <c:pt idx="2073">
                <c:v>1.5867124532008743</c:v>
              </c:pt>
              <c:pt idx="2074">
                <c:v>1.5867124532008743</c:v>
              </c:pt>
              <c:pt idx="2075">
                <c:v>0</c:v>
              </c:pt>
              <c:pt idx="2076">
                <c:v>0</c:v>
              </c:pt>
              <c:pt idx="2077">
                <c:v>1.5867124532008743</c:v>
              </c:pt>
              <c:pt idx="2078">
                <c:v>1.5867124532008743</c:v>
              </c:pt>
              <c:pt idx="2079">
                <c:v>0</c:v>
              </c:pt>
              <c:pt idx="2080">
                <c:v>0</c:v>
              </c:pt>
              <c:pt idx="2081">
                <c:v>1.5867124532008743</c:v>
              </c:pt>
              <c:pt idx="2082">
                <c:v>1.5867124532008743</c:v>
              </c:pt>
              <c:pt idx="2083">
                <c:v>0</c:v>
              </c:pt>
              <c:pt idx="2084">
                <c:v>0</c:v>
              </c:pt>
              <c:pt idx="2085">
                <c:v>1.5867124532008743</c:v>
              </c:pt>
              <c:pt idx="2086">
                <c:v>1.5867124532008743</c:v>
              </c:pt>
              <c:pt idx="2087">
                <c:v>0</c:v>
              </c:pt>
              <c:pt idx="2088">
                <c:v>0</c:v>
              </c:pt>
              <c:pt idx="2089">
                <c:v>1.5867124532008743</c:v>
              </c:pt>
              <c:pt idx="2090">
                <c:v>1.5867124532008743</c:v>
              </c:pt>
              <c:pt idx="2091">
                <c:v>0</c:v>
              </c:pt>
              <c:pt idx="2092">
                <c:v>0</c:v>
              </c:pt>
              <c:pt idx="2093">
                <c:v>1.5867124532008743</c:v>
              </c:pt>
              <c:pt idx="2094">
                <c:v>1.5867124532008743</c:v>
              </c:pt>
              <c:pt idx="2095">
                <c:v>0</c:v>
              </c:pt>
              <c:pt idx="2096">
                <c:v>0</c:v>
              </c:pt>
              <c:pt idx="2097">
                <c:v>1.5867124532008743</c:v>
              </c:pt>
              <c:pt idx="2098">
                <c:v>1.5867124532008743</c:v>
              </c:pt>
              <c:pt idx="2099">
                <c:v>0</c:v>
              </c:pt>
              <c:pt idx="2100">
                <c:v>0</c:v>
              </c:pt>
              <c:pt idx="2101">
                <c:v>1.5867124532008743</c:v>
              </c:pt>
              <c:pt idx="2102">
                <c:v>1.5867124532008743</c:v>
              </c:pt>
              <c:pt idx="2103">
                <c:v>0</c:v>
              </c:pt>
              <c:pt idx="2104">
                <c:v>0</c:v>
              </c:pt>
              <c:pt idx="2105">
                <c:v>1.5867124532008743</c:v>
              </c:pt>
              <c:pt idx="2106">
                <c:v>1.5867124532008743</c:v>
              </c:pt>
              <c:pt idx="2107">
                <c:v>0</c:v>
              </c:pt>
              <c:pt idx="2108">
                <c:v>0</c:v>
              </c:pt>
              <c:pt idx="2109">
                <c:v>1.5867124532008743</c:v>
              </c:pt>
              <c:pt idx="2110">
                <c:v>1.5867124532008743</c:v>
              </c:pt>
              <c:pt idx="2111">
                <c:v>0</c:v>
              </c:pt>
              <c:pt idx="2112">
                <c:v>0</c:v>
              </c:pt>
              <c:pt idx="2113">
                <c:v>1.5867124532008743</c:v>
              </c:pt>
              <c:pt idx="2114">
                <c:v>1.5867124532008743</c:v>
              </c:pt>
              <c:pt idx="2115">
                <c:v>0</c:v>
              </c:pt>
              <c:pt idx="2116">
                <c:v>0</c:v>
              </c:pt>
              <c:pt idx="2117">
                <c:v>1.5867124532008743</c:v>
              </c:pt>
              <c:pt idx="2118">
                <c:v>1.5867124532008743</c:v>
              </c:pt>
              <c:pt idx="2119">
                <c:v>0</c:v>
              </c:pt>
              <c:pt idx="2120">
                <c:v>0</c:v>
              </c:pt>
              <c:pt idx="2121">
                <c:v>1.5867124532008743</c:v>
              </c:pt>
              <c:pt idx="2122">
                <c:v>1.5867124532008743</c:v>
              </c:pt>
              <c:pt idx="2123">
                <c:v>0</c:v>
              </c:pt>
              <c:pt idx="2124">
                <c:v>0</c:v>
              </c:pt>
              <c:pt idx="2125">
                <c:v>1.5867124532008743</c:v>
              </c:pt>
              <c:pt idx="2126">
                <c:v>1.5867124532008743</c:v>
              </c:pt>
              <c:pt idx="2127">
                <c:v>0</c:v>
              </c:pt>
              <c:pt idx="2128">
                <c:v>0</c:v>
              </c:pt>
              <c:pt idx="2129">
                <c:v>1.5867124532008743</c:v>
              </c:pt>
              <c:pt idx="2130">
                <c:v>1.5867124532008743</c:v>
              </c:pt>
              <c:pt idx="2131">
                <c:v>0</c:v>
              </c:pt>
              <c:pt idx="2132">
                <c:v>0</c:v>
              </c:pt>
              <c:pt idx="2133">
                <c:v>1.5867124532008743</c:v>
              </c:pt>
              <c:pt idx="2134">
                <c:v>1.5867124532008743</c:v>
              </c:pt>
              <c:pt idx="2135">
                <c:v>0</c:v>
              </c:pt>
              <c:pt idx="2136">
                <c:v>0</c:v>
              </c:pt>
              <c:pt idx="2137">
                <c:v>1.5867124532008743</c:v>
              </c:pt>
              <c:pt idx="2138">
                <c:v>1.5867124532008743</c:v>
              </c:pt>
              <c:pt idx="2139">
                <c:v>0</c:v>
              </c:pt>
              <c:pt idx="2140">
                <c:v>0</c:v>
              </c:pt>
              <c:pt idx="2141">
                <c:v>1.5867124532008743</c:v>
              </c:pt>
              <c:pt idx="2142">
                <c:v>1.5867124532008743</c:v>
              </c:pt>
              <c:pt idx="2143">
                <c:v>0</c:v>
              </c:pt>
              <c:pt idx="2144">
                <c:v>0</c:v>
              </c:pt>
              <c:pt idx="2145">
                <c:v>1.5867124532008743</c:v>
              </c:pt>
              <c:pt idx="2146">
                <c:v>1.5867124532008743</c:v>
              </c:pt>
              <c:pt idx="2147">
                <c:v>0</c:v>
              </c:pt>
              <c:pt idx="2148">
                <c:v>0</c:v>
              </c:pt>
              <c:pt idx="2149">
                <c:v>1.5867124532008743</c:v>
              </c:pt>
              <c:pt idx="2150">
                <c:v>1.5867124532008743</c:v>
              </c:pt>
              <c:pt idx="2151">
                <c:v>0</c:v>
              </c:pt>
              <c:pt idx="2152">
                <c:v>0</c:v>
              </c:pt>
              <c:pt idx="2153">
                <c:v>1.5867124532008743</c:v>
              </c:pt>
              <c:pt idx="2154">
                <c:v>1.5867124532008743</c:v>
              </c:pt>
              <c:pt idx="2155">
                <c:v>0</c:v>
              </c:pt>
              <c:pt idx="2156">
                <c:v>0</c:v>
              </c:pt>
              <c:pt idx="2157">
                <c:v>1.5867124532008743</c:v>
              </c:pt>
              <c:pt idx="2158">
                <c:v>1.5867124532008743</c:v>
              </c:pt>
              <c:pt idx="2159">
                <c:v>0</c:v>
              </c:pt>
              <c:pt idx="2160">
                <c:v>0</c:v>
              </c:pt>
              <c:pt idx="2161">
                <c:v>1.5867124532008743</c:v>
              </c:pt>
              <c:pt idx="2162">
                <c:v>1.5867124532008743</c:v>
              </c:pt>
              <c:pt idx="2163">
                <c:v>0</c:v>
              </c:pt>
              <c:pt idx="2164">
                <c:v>0</c:v>
              </c:pt>
              <c:pt idx="2165">
                <c:v>1.5867124532008743</c:v>
              </c:pt>
              <c:pt idx="2166">
                <c:v>1.5867124532008743</c:v>
              </c:pt>
              <c:pt idx="2167">
                <c:v>0</c:v>
              </c:pt>
              <c:pt idx="2168">
                <c:v>0</c:v>
              </c:pt>
              <c:pt idx="2169">
                <c:v>1.5867124532008743</c:v>
              </c:pt>
              <c:pt idx="2170">
                <c:v>1.5867124532008743</c:v>
              </c:pt>
              <c:pt idx="2171">
                <c:v>0</c:v>
              </c:pt>
              <c:pt idx="2172">
                <c:v>0</c:v>
              </c:pt>
              <c:pt idx="2173">
                <c:v>1.5867124532008743</c:v>
              </c:pt>
              <c:pt idx="2174">
                <c:v>1.5867124532008743</c:v>
              </c:pt>
              <c:pt idx="2175">
                <c:v>0</c:v>
              </c:pt>
              <c:pt idx="2176">
                <c:v>0</c:v>
              </c:pt>
              <c:pt idx="2177">
                <c:v>1.5867124532008743</c:v>
              </c:pt>
              <c:pt idx="2178">
                <c:v>1.5867124532008743</c:v>
              </c:pt>
              <c:pt idx="2179">
                <c:v>0</c:v>
              </c:pt>
              <c:pt idx="2180">
                <c:v>0</c:v>
              </c:pt>
              <c:pt idx="2181">
                <c:v>1.5867124532008743</c:v>
              </c:pt>
              <c:pt idx="2182">
                <c:v>1.5867124532008743</c:v>
              </c:pt>
              <c:pt idx="2183">
                <c:v>0</c:v>
              </c:pt>
              <c:pt idx="2184">
                <c:v>0</c:v>
              </c:pt>
              <c:pt idx="2185">
                <c:v>1.5867124532008743</c:v>
              </c:pt>
              <c:pt idx="2186">
                <c:v>1.5867124532008743</c:v>
              </c:pt>
              <c:pt idx="2187">
                <c:v>0</c:v>
              </c:pt>
              <c:pt idx="2188">
                <c:v>0</c:v>
              </c:pt>
              <c:pt idx="2189">
                <c:v>1.5867124532008743</c:v>
              </c:pt>
              <c:pt idx="2190">
                <c:v>1.5867124532008743</c:v>
              </c:pt>
              <c:pt idx="2191">
                <c:v>0</c:v>
              </c:pt>
              <c:pt idx="2192">
                <c:v>0</c:v>
              </c:pt>
              <c:pt idx="2193">
                <c:v>1.5867124532008743</c:v>
              </c:pt>
              <c:pt idx="2194">
                <c:v>1.5867124532008743</c:v>
              </c:pt>
              <c:pt idx="2195">
                <c:v>0</c:v>
              </c:pt>
              <c:pt idx="2196">
                <c:v>0</c:v>
              </c:pt>
              <c:pt idx="2197">
                <c:v>1.5867124532008743</c:v>
              </c:pt>
              <c:pt idx="2198">
                <c:v>1.5867124532008743</c:v>
              </c:pt>
              <c:pt idx="2199">
                <c:v>0</c:v>
              </c:pt>
              <c:pt idx="2200">
                <c:v>0</c:v>
              </c:pt>
              <c:pt idx="2201">
                <c:v>1.5867124532008743</c:v>
              </c:pt>
              <c:pt idx="2202">
                <c:v>1.5867124532008743</c:v>
              </c:pt>
              <c:pt idx="2203">
                <c:v>0</c:v>
              </c:pt>
              <c:pt idx="2204">
                <c:v>0</c:v>
              </c:pt>
              <c:pt idx="2205">
                <c:v>1.5867124532008743</c:v>
              </c:pt>
              <c:pt idx="2206">
                <c:v>1.5867124532008743</c:v>
              </c:pt>
              <c:pt idx="2207">
                <c:v>0</c:v>
              </c:pt>
              <c:pt idx="2208">
                <c:v>0</c:v>
              </c:pt>
              <c:pt idx="2209">
                <c:v>1.5867124532008743</c:v>
              </c:pt>
              <c:pt idx="2210">
                <c:v>1.5867124532008743</c:v>
              </c:pt>
              <c:pt idx="2211">
                <c:v>0</c:v>
              </c:pt>
              <c:pt idx="2212">
                <c:v>0</c:v>
              </c:pt>
              <c:pt idx="2213">
                <c:v>1.5867124532008743</c:v>
              </c:pt>
              <c:pt idx="2214">
                <c:v>1.5867124532008743</c:v>
              </c:pt>
              <c:pt idx="2215">
                <c:v>0</c:v>
              </c:pt>
              <c:pt idx="2216">
                <c:v>1.5867124532008743</c:v>
              </c:pt>
              <c:pt idx="2217">
                <c:v>0</c:v>
              </c:pt>
              <c:pt idx="2220">
                <c:v>0</c:v>
              </c:pt>
              <c:pt idx="2221">
                <c:v>0.97329269036548505</c:v>
              </c:pt>
              <c:pt idx="2222">
                <c:v>0.97329269036548505</c:v>
              </c:pt>
              <c:pt idx="2223">
                <c:v>0</c:v>
              </c:pt>
              <c:pt idx="2224">
                <c:v>0</c:v>
              </c:pt>
              <c:pt idx="2225">
                <c:v>0.97329269036548505</c:v>
              </c:pt>
              <c:pt idx="2226">
                <c:v>0.97329269036548505</c:v>
              </c:pt>
              <c:pt idx="2227">
                <c:v>0</c:v>
              </c:pt>
              <c:pt idx="2228">
                <c:v>0</c:v>
              </c:pt>
              <c:pt idx="2229">
                <c:v>0.97329269036548505</c:v>
              </c:pt>
              <c:pt idx="2230">
                <c:v>0.97329269036548505</c:v>
              </c:pt>
              <c:pt idx="2231">
                <c:v>0</c:v>
              </c:pt>
              <c:pt idx="2232">
                <c:v>0</c:v>
              </c:pt>
              <c:pt idx="2233">
                <c:v>0.97329269036548505</c:v>
              </c:pt>
              <c:pt idx="2234">
                <c:v>0.97329269036548505</c:v>
              </c:pt>
              <c:pt idx="2235">
                <c:v>0</c:v>
              </c:pt>
              <c:pt idx="2236">
                <c:v>0</c:v>
              </c:pt>
              <c:pt idx="2237">
                <c:v>0.97329269036548505</c:v>
              </c:pt>
              <c:pt idx="2238">
                <c:v>0.97329269036548505</c:v>
              </c:pt>
              <c:pt idx="2239">
                <c:v>0</c:v>
              </c:pt>
              <c:pt idx="2240">
                <c:v>0</c:v>
              </c:pt>
              <c:pt idx="2241">
                <c:v>0.97329269036548505</c:v>
              </c:pt>
              <c:pt idx="2242">
                <c:v>0.97329269036548505</c:v>
              </c:pt>
              <c:pt idx="2243">
                <c:v>0</c:v>
              </c:pt>
              <c:pt idx="2244">
                <c:v>0</c:v>
              </c:pt>
              <c:pt idx="2245">
                <c:v>0.97329269036548505</c:v>
              </c:pt>
              <c:pt idx="2246">
                <c:v>0.97329269036548505</c:v>
              </c:pt>
              <c:pt idx="2247">
                <c:v>0</c:v>
              </c:pt>
              <c:pt idx="2248">
                <c:v>0</c:v>
              </c:pt>
              <c:pt idx="2249">
                <c:v>0.97329269036548505</c:v>
              </c:pt>
              <c:pt idx="2250">
                <c:v>0.97329269036548505</c:v>
              </c:pt>
              <c:pt idx="2251">
                <c:v>0</c:v>
              </c:pt>
              <c:pt idx="2252">
                <c:v>0</c:v>
              </c:pt>
              <c:pt idx="2253">
                <c:v>0.97329269036548505</c:v>
              </c:pt>
              <c:pt idx="2254">
                <c:v>0.97329269036548505</c:v>
              </c:pt>
              <c:pt idx="2255">
                <c:v>0</c:v>
              </c:pt>
              <c:pt idx="2256">
                <c:v>0</c:v>
              </c:pt>
              <c:pt idx="2257">
                <c:v>0.97329269036548505</c:v>
              </c:pt>
              <c:pt idx="2258">
                <c:v>0.97329269036548505</c:v>
              </c:pt>
              <c:pt idx="2259">
                <c:v>0</c:v>
              </c:pt>
              <c:pt idx="2260">
                <c:v>0</c:v>
              </c:pt>
              <c:pt idx="2261">
                <c:v>0.97329269036548505</c:v>
              </c:pt>
              <c:pt idx="2262">
                <c:v>0.97329269036548505</c:v>
              </c:pt>
              <c:pt idx="2263">
                <c:v>0</c:v>
              </c:pt>
              <c:pt idx="2264">
                <c:v>0</c:v>
              </c:pt>
              <c:pt idx="2265">
                <c:v>0.97329269036548505</c:v>
              </c:pt>
              <c:pt idx="2266">
                <c:v>0.97329269036548505</c:v>
              </c:pt>
              <c:pt idx="2267">
                <c:v>0</c:v>
              </c:pt>
              <c:pt idx="2268">
                <c:v>0</c:v>
              </c:pt>
              <c:pt idx="2269">
                <c:v>0.97329269036548505</c:v>
              </c:pt>
              <c:pt idx="2270">
                <c:v>0.97329269036548505</c:v>
              </c:pt>
              <c:pt idx="2271">
                <c:v>0</c:v>
              </c:pt>
              <c:pt idx="2272">
                <c:v>0</c:v>
              </c:pt>
              <c:pt idx="2273">
                <c:v>0.97329269036548505</c:v>
              </c:pt>
              <c:pt idx="2274">
                <c:v>0.97329269036548505</c:v>
              </c:pt>
              <c:pt idx="2275">
                <c:v>0</c:v>
              </c:pt>
              <c:pt idx="2276">
                <c:v>0</c:v>
              </c:pt>
              <c:pt idx="2277">
                <c:v>0.97329269036548505</c:v>
              </c:pt>
              <c:pt idx="2278">
                <c:v>0.97329269036548505</c:v>
              </c:pt>
              <c:pt idx="2279">
                <c:v>0</c:v>
              </c:pt>
              <c:pt idx="2280">
                <c:v>0</c:v>
              </c:pt>
              <c:pt idx="2281">
                <c:v>0.97329269036548505</c:v>
              </c:pt>
              <c:pt idx="2282">
                <c:v>0.97329269036548505</c:v>
              </c:pt>
              <c:pt idx="2283">
                <c:v>0</c:v>
              </c:pt>
              <c:pt idx="2284">
                <c:v>0</c:v>
              </c:pt>
              <c:pt idx="2285">
                <c:v>0.97329269036548505</c:v>
              </c:pt>
              <c:pt idx="2286">
                <c:v>0.97329269036548505</c:v>
              </c:pt>
              <c:pt idx="2287">
                <c:v>0</c:v>
              </c:pt>
              <c:pt idx="2288">
                <c:v>0</c:v>
              </c:pt>
              <c:pt idx="2289">
                <c:v>0.97329269036548505</c:v>
              </c:pt>
              <c:pt idx="2290">
                <c:v>0.97329269036548505</c:v>
              </c:pt>
              <c:pt idx="2291">
                <c:v>0</c:v>
              </c:pt>
              <c:pt idx="2292">
                <c:v>0</c:v>
              </c:pt>
              <c:pt idx="2293">
                <c:v>0.97329269036548505</c:v>
              </c:pt>
              <c:pt idx="2294">
                <c:v>0.97329269036548505</c:v>
              </c:pt>
              <c:pt idx="2295">
                <c:v>0</c:v>
              </c:pt>
              <c:pt idx="2296">
                <c:v>0</c:v>
              </c:pt>
              <c:pt idx="2297">
                <c:v>0.97329269036548505</c:v>
              </c:pt>
              <c:pt idx="2298">
                <c:v>0.97329269036548505</c:v>
              </c:pt>
              <c:pt idx="2299">
                <c:v>0</c:v>
              </c:pt>
              <c:pt idx="2300">
                <c:v>0</c:v>
              </c:pt>
              <c:pt idx="2301">
                <c:v>0.97329269036548505</c:v>
              </c:pt>
              <c:pt idx="2302">
                <c:v>0.97329269036548505</c:v>
              </c:pt>
              <c:pt idx="2303">
                <c:v>0</c:v>
              </c:pt>
              <c:pt idx="2304">
                <c:v>0</c:v>
              </c:pt>
              <c:pt idx="2305">
                <c:v>0.97329269036548505</c:v>
              </c:pt>
              <c:pt idx="2306">
                <c:v>0.97329269036548505</c:v>
              </c:pt>
              <c:pt idx="2307">
                <c:v>0</c:v>
              </c:pt>
              <c:pt idx="2308">
                <c:v>0</c:v>
              </c:pt>
              <c:pt idx="2309">
                <c:v>0.97329269036548505</c:v>
              </c:pt>
              <c:pt idx="2310">
                <c:v>0.97329269036548505</c:v>
              </c:pt>
              <c:pt idx="2311">
                <c:v>0</c:v>
              </c:pt>
              <c:pt idx="2312">
                <c:v>0</c:v>
              </c:pt>
              <c:pt idx="2313">
                <c:v>0.97329269036548505</c:v>
              </c:pt>
              <c:pt idx="2314">
                <c:v>0.97329269036548505</c:v>
              </c:pt>
              <c:pt idx="2315">
                <c:v>0</c:v>
              </c:pt>
              <c:pt idx="2316">
                <c:v>0</c:v>
              </c:pt>
              <c:pt idx="2317">
                <c:v>0.97329269036548505</c:v>
              </c:pt>
              <c:pt idx="2318">
                <c:v>0.97329269036548505</c:v>
              </c:pt>
              <c:pt idx="2319">
                <c:v>0</c:v>
              </c:pt>
              <c:pt idx="2320">
                <c:v>0</c:v>
              </c:pt>
              <c:pt idx="2321">
                <c:v>0.97329269036548505</c:v>
              </c:pt>
              <c:pt idx="2322">
                <c:v>0.97329269036548505</c:v>
              </c:pt>
              <c:pt idx="2323">
                <c:v>0</c:v>
              </c:pt>
              <c:pt idx="2324">
                <c:v>0</c:v>
              </c:pt>
              <c:pt idx="2325">
                <c:v>0.97329269036548505</c:v>
              </c:pt>
              <c:pt idx="2326">
                <c:v>0.97329269036548505</c:v>
              </c:pt>
              <c:pt idx="2327">
                <c:v>0</c:v>
              </c:pt>
              <c:pt idx="2328">
                <c:v>0</c:v>
              </c:pt>
              <c:pt idx="2329">
                <c:v>0.97329269036548505</c:v>
              </c:pt>
              <c:pt idx="2330">
                <c:v>0.97329269036548505</c:v>
              </c:pt>
              <c:pt idx="2331">
                <c:v>0</c:v>
              </c:pt>
              <c:pt idx="2332">
                <c:v>0</c:v>
              </c:pt>
              <c:pt idx="2333">
                <c:v>0.97329269036548505</c:v>
              </c:pt>
              <c:pt idx="2334">
                <c:v>0.97329269036548505</c:v>
              </c:pt>
              <c:pt idx="2335">
                <c:v>0</c:v>
              </c:pt>
              <c:pt idx="2336">
                <c:v>0</c:v>
              </c:pt>
              <c:pt idx="2337">
                <c:v>0.97329269036548505</c:v>
              </c:pt>
              <c:pt idx="2338">
                <c:v>0.97329269036548505</c:v>
              </c:pt>
              <c:pt idx="2339">
                <c:v>0</c:v>
              </c:pt>
              <c:pt idx="2340">
                <c:v>0</c:v>
              </c:pt>
              <c:pt idx="2341">
                <c:v>0.97329269036548505</c:v>
              </c:pt>
              <c:pt idx="2342">
                <c:v>0.97329269036548505</c:v>
              </c:pt>
              <c:pt idx="2343">
                <c:v>0</c:v>
              </c:pt>
              <c:pt idx="2344">
                <c:v>0</c:v>
              </c:pt>
              <c:pt idx="2345">
                <c:v>0.97329269036548505</c:v>
              </c:pt>
              <c:pt idx="2346">
                <c:v>0.97329269036548505</c:v>
              </c:pt>
              <c:pt idx="2347">
                <c:v>0</c:v>
              </c:pt>
              <c:pt idx="2348">
                <c:v>0</c:v>
              </c:pt>
              <c:pt idx="2349">
                <c:v>0.97329269036548505</c:v>
              </c:pt>
              <c:pt idx="2350">
                <c:v>0.97329269036548505</c:v>
              </c:pt>
              <c:pt idx="2351">
                <c:v>0</c:v>
              </c:pt>
              <c:pt idx="2352">
                <c:v>0</c:v>
              </c:pt>
              <c:pt idx="2353">
                <c:v>0.97329269036548505</c:v>
              </c:pt>
              <c:pt idx="2354">
                <c:v>0.97329269036548505</c:v>
              </c:pt>
              <c:pt idx="2355">
                <c:v>0</c:v>
              </c:pt>
              <c:pt idx="2356">
                <c:v>0</c:v>
              </c:pt>
              <c:pt idx="2357">
                <c:v>0.97329269036548505</c:v>
              </c:pt>
              <c:pt idx="2358">
                <c:v>0.97329269036548505</c:v>
              </c:pt>
              <c:pt idx="2359">
                <c:v>0</c:v>
              </c:pt>
              <c:pt idx="2360">
                <c:v>0</c:v>
              </c:pt>
              <c:pt idx="2361">
                <c:v>0.97329269036548505</c:v>
              </c:pt>
              <c:pt idx="2362">
                <c:v>0.97329269036548505</c:v>
              </c:pt>
              <c:pt idx="2363">
                <c:v>0</c:v>
              </c:pt>
              <c:pt idx="2364">
                <c:v>0.97329269036548505</c:v>
              </c:pt>
              <c:pt idx="2365">
                <c:v>0</c:v>
              </c:pt>
              <c:pt idx="2368">
                <c:v>0</c:v>
              </c:pt>
              <c:pt idx="2369">
                <c:v>0.5807040421508356</c:v>
              </c:pt>
              <c:pt idx="2370">
                <c:v>0.5807040421508356</c:v>
              </c:pt>
              <c:pt idx="2371">
                <c:v>0</c:v>
              </c:pt>
              <c:pt idx="2372">
                <c:v>0</c:v>
              </c:pt>
              <c:pt idx="2373">
                <c:v>0.5807040421508356</c:v>
              </c:pt>
              <c:pt idx="2374">
                <c:v>0.5807040421508356</c:v>
              </c:pt>
              <c:pt idx="2375">
                <c:v>0</c:v>
              </c:pt>
              <c:pt idx="2376">
                <c:v>0</c:v>
              </c:pt>
              <c:pt idx="2377">
                <c:v>0.5807040421508356</c:v>
              </c:pt>
              <c:pt idx="2378">
                <c:v>0.5807040421508356</c:v>
              </c:pt>
              <c:pt idx="2379">
                <c:v>0</c:v>
              </c:pt>
              <c:pt idx="2380">
                <c:v>0</c:v>
              </c:pt>
              <c:pt idx="2381">
                <c:v>0.5807040421508356</c:v>
              </c:pt>
              <c:pt idx="2382">
                <c:v>0.5807040421508356</c:v>
              </c:pt>
              <c:pt idx="2383">
                <c:v>0</c:v>
              </c:pt>
              <c:pt idx="2384">
                <c:v>0</c:v>
              </c:pt>
              <c:pt idx="2385">
                <c:v>0.5807040421508356</c:v>
              </c:pt>
              <c:pt idx="2386">
                <c:v>0.5807040421508356</c:v>
              </c:pt>
              <c:pt idx="2387">
                <c:v>0</c:v>
              </c:pt>
              <c:pt idx="2388">
                <c:v>0</c:v>
              </c:pt>
              <c:pt idx="2389">
                <c:v>0.5807040421508356</c:v>
              </c:pt>
              <c:pt idx="2390">
                <c:v>0.5807040421508356</c:v>
              </c:pt>
              <c:pt idx="2391">
                <c:v>0</c:v>
              </c:pt>
              <c:pt idx="2392">
                <c:v>0</c:v>
              </c:pt>
              <c:pt idx="2393">
                <c:v>0.5807040421508356</c:v>
              </c:pt>
              <c:pt idx="2394">
                <c:v>0.5807040421508356</c:v>
              </c:pt>
              <c:pt idx="2395">
                <c:v>0</c:v>
              </c:pt>
              <c:pt idx="2396">
                <c:v>0</c:v>
              </c:pt>
              <c:pt idx="2397">
                <c:v>0.5807040421508356</c:v>
              </c:pt>
              <c:pt idx="2398">
                <c:v>0.5807040421508356</c:v>
              </c:pt>
              <c:pt idx="2399">
                <c:v>0</c:v>
              </c:pt>
              <c:pt idx="2400">
                <c:v>0</c:v>
              </c:pt>
              <c:pt idx="2401">
                <c:v>0.5807040421508356</c:v>
              </c:pt>
              <c:pt idx="2402">
                <c:v>0.5807040421508356</c:v>
              </c:pt>
              <c:pt idx="2403">
                <c:v>0</c:v>
              </c:pt>
              <c:pt idx="2404">
                <c:v>0</c:v>
              </c:pt>
              <c:pt idx="2405">
                <c:v>0.5807040421508356</c:v>
              </c:pt>
              <c:pt idx="2406">
                <c:v>0.5807040421508356</c:v>
              </c:pt>
              <c:pt idx="2407">
                <c:v>0</c:v>
              </c:pt>
              <c:pt idx="2408">
                <c:v>0</c:v>
              </c:pt>
              <c:pt idx="2409">
                <c:v>0.5807040421508356</c:v>
              </c:pt>
              <c:pt idx="2410">
                <c:v>0.5807040421508356</c:v>
              </c:pt>
              <c:pt idx="2411">
                <c:v>0</c:v>
              </c:pt>
              <c:pt idx="2412">
                <c:v>0</c:v>
              </c:pt>
              <c:pt idx="2413">
                <c:v>0.5807040421508356</c:v>
              </c:pt>
              <c:pt idx="2414">
                <c:v>0.5807040421508356</c:v>
              </c:pt>
              <c:pt idx="2415">
                <c:v>0</c:v>
              </c:pt>
              <c:pt idx="2416">
                <c:v>0</c:v>
              </c:pt>
              <c:pt idx="2417">
                <c:v>0.5807040421508356</c:v>
              </c:pt>
              <c:pt idx="2418">
                <c:v>0.5807040421508356</c:v>
              </c:pt>
              <c:pt idx="2419">
                <c:v>0</c:v>
              </c:pt>
              <c:pt idx="2420">
                <c:v>0</c:v>
              </c:pt>
              <c:pt idx="2421">
                <c:v>0.5807040421508356</c:v>
              </c:pt>
              <c:pt idx="2422">
                <c:v>0.5807040421508356</c:v>
              </c:pt>
              <c:pt idx="2423">
                <c:v>0</c:v>
              </c:pt>
              <c:pt idx="2424">
                <c:v>0</c:v>
              </c:pt>
              <c:pt idx="2425">
                <c:v>0.5807040421508356</c:v>
              </c:pt>
              <c:pt idx="2426">
                <c:v>0.5807040421508356</c:v>
              </c:pt>
              <c:pt idx="2427">
                <c:v>0</c:v>
              </c:pt>
              <c:pt idx="2428">
                <c:v>0</c:v>
              </c:pt>
              <c:pt idx="2429">
                <c:v>0.5807040421508356</c:v>
              </c:pt>
              <c:pt idx="2430">
                <c:v>0.5807040421508356</c:v>
              </c:pt>
              <c:pt idx="2431">
                <c:v>0</c:v>
              </c:pt>
              <c:pt idx="2432">
                <c:v>0</c:v>
              </c:pt>
              <c:pt idx="2433">
                <c:v>0.5807040421508356</c:v>
              </c:pt>
              <c:pt idx="2434">
                <c:v>0.5807040421508356</c:v>
              </c:pt>
              <c:pt idx="2435">
                <c:v>0</c:v>
              </c:pt>
              <c:pt idx="2436">
                <c:v>0</c:v>
              </c:pt>
              <c:pt idx="2437">
                <c:v>0.5807040421508356</c:v>
              </c:pt>
              <c:pt idx="2438">
                <c:v>0.5807040421508356</c:v>
              </c:pt>
              <c:pt idx="2439">
                <c:v>0</c:v>
              </c:pt>
              <c:pt idx="2440">
                <c:v>0</c:v>
              </c:pt>
              <c:pt idx="2441">
                <c:v>0.5807040421508356</c:v>
              </c:pt>
              <c:pt idx="2442">
                <c:v>0.5807040421508356</c:v>
              </c:pt>
              <c:pt idx="2443">
                <c:v>0</c:v>
              </c:pt>
              <c:pt idx="2444">
                <c:v>0</c:v>
              </c:pt>
              <c:pt idx="2445">
                <c:v>0.5807040421508356</c:v>
              </c:pt>
              <c:pt idx="2446">
                <c:v>0.5807040421508356</c:v>
              </c:pt>
              <c:pt idx="2447">
                <c:v>0</c:v>
              </c:pt>
              <c:pt idx="2448">
                <c:v>0</c:v>
              </c:pt>
              <c:pt idx="2449">
                <c:v>0.5807040421508356</c:v>
              </c:pt>
              <c:pt idx="2450">
                <c:v>0.5807040421508356</c:v>
              </c:pt>
              <c:pt idx="2451">
                <c:v>0</c:v>
              </c:pt>
              <c:pt idx="2452">
                <c:v>0</c:v>
              </c:pt>
              <c:pt idx="2453">
                <c:v>0.5807040421508356</c:v>
              </c:pt>
              <c:pt idx="2454">
                <c:v>0.5807040421508356</c:v>
              </c:pt>
              <c:pt idx="2455">
                <c:v>0</c:v>
              </c:pt>
              <c:pt idx="2456">
                <c:v>0</c:v>
              </c:pt>
              <c:pt idx="2457">
                <c:v>0.5807040421508356</c:v>
              </c:pt>
              <c:pt idx="2458">
                <c:v>0.5807040421508356</c:v>
              </c:pt>
              <c:pt idx="2459">
                <c:v>0</c:v>
              </c:pt>
              <c:pt idx="2460">
                <c:v>0</c:v>
              </c:pt>
              <c:pt idx="2461">
                <c:v>0.5807040421508356</c:v>
              </c:pt>
              <c:pt idx="2462">
                <c:v>0.5807040421508356</c:v>
              </c:pt>
              <c:pt idx="2463">
                <c:v>0</c:v>
              </c:pt>
              <c:pt idx="2464">
                <c:v>0</c:v>
              </c:pt>
              <c:pt idx="2465">
                <c:v>0.5807040421508356</c:v>
              </c:pt>
              <c:pt idx="2466">
                <c:v>0.5807040421508356</c:v>
              </c:pt>
              <c:pt idx="2467">
                <c:v>0</c:v>
              </c:pt>
              <c:pt idx="2468">
                <c:v>0</c:v>
              </c:pt>
              <c:pt idx="2469">
                <c:v>0.5807040421508356</c:v>
              </c:pt>
              <c:pt idx="2470">
                <c:v>0.5807040421508356</c:v>
              </c:pt>
              <c:pt idx="2471">
                <c:v>0</c:v>
              </c:pt>
              <c:pt idx="2472">
                <c:v>0</c:v>
              </c:pt>
              <c:pt idx="2473">
                <c:v>0.5807040421508356</c:v>
              </c:pt>
              <c:pt idx="2474">
                <c:v>0.5807040421508356</c:v>
              </c:pt>
              <c:pt idx="2475">
                <c:v>0</c:v>
              </c:pt>
              <c:pt idx="2476">
                <c:v>0</c:v>
              </c:pt>
              <c:pt idx="2477">
                <c:v>0.5807040421508356</c:v>
              </c:pt>
              <c:pt idx="2478">
                <c:v>0.5807040421508356</c:v>
              </c:pt>
              <c:pt idx="2479">
                <c:v>0</c:v>
              </c:pt>
              <c:pt idx="2480">
                <c:v>0</c:v>
              </c:pt>
              <c:pt idx="2481">
                <c:v>0.5807040421508356</c:v>
              </c:pt>
              <c:pt idx="2482">
                <c:v>0.5807040421508356</c:v>
              </c:pt>
              <c:pt idx="2483">
                <c:v>0</c:v>
              </c:pt>
              <c:pt idx="2484">
                <c:v>0</c:v>
              </c:pt>
              <c:pt idx="2485">
                <c:v>0.5807040421508356</c:v>
              </c:pt>
              <c:pt idx="2486">
                <c:v>0.5807040421508356</c:v>
              </c:pt>
              <c:pt idx="2487">
                <c:v>0</c:v>
              </c:pt>
              <c:pt idx="2488">
                <c:v>0</c:v>
              </c:pt>
              <c:pt idx="2489">
                <c:v>0.5807040421508356</c:v>
              </c:pt>
              <c:pt idx="2490">
                <c:v>0.5807040421508356</c:v>
              </c:pt>
              <c:pt idx="2491">
                <c:v>0</c:v>
              </c:pt>
              <c:pt idx="2492">
                <c:v>0</c:v>
              </c:pt>
              <c:pt idx="2493">
                <c:v>0.5807040421508356</c:v>
              </c:pt>
              <c:pt idx="2494">
                <c:v>0.5807040421508356</c:v>
              </c:pt>
              <c:pt idx="2495">
                <c:v>0</c:v>
              </c:pt>
              <c:pt idx="2496">
                <c:v>0</c:v>
              </c:pt>
              <c:pt idx="2497">
                <c:v>0.5807040421508356</c:v>
              </c:pt>
              <c:pt idx="2498">
                <c:v>0.5807040421508356</c:v>
              </c:pt>
              <c:pt idx="2499">
                <c:v>0</c:v>
              </c:pt>
              <c:pt idx="2500">
                <c:v>0</c:v>
              </c:pt>
              <c:pt idx="2501">
                <c:v>0.5807040421508356</c:v>
              </c:pt>
              <c:pt idx="2502">
                <c:v>0.5807040421508356</c:v>
              </c:pt>
              <c:pt idx="2503">
                <c:v>0</c:v>
              </c:pt>
              <c:pt idx="2504">
                <c:v>0</c:v>
              </c:pt>
              <c:pt idx="2505">
                <c:v>0.5807040421508356</c:v>
              </c:pt>
              <c:pt idx="2506">
                <c:v>0.5807040421508356</c:v>
              </c:pt>
              <c:pt idx="2507">
                <c:v>0</c:v>
              </c:pt>
              <c:pt idx="2508">
                <c:v>0</c:v>
              </c:pt>
              <c:pt idx="2509">
                <c:v>0.5807040421508356</c:v>
              </c:pt>
              <c:pt idx="2510">
                <c:v>0.5807040421508356</c:v>
              </c:pt>
              <c:pt idx="2511">
                <c:v>0</c:v>
              </c:pt>
              <c:pt idx="2512">
                <c:v>0.5807040421508356</c:v>
              </c:pt>
              <c:pt idx="2513">
                <c:v>0</c:v>
              </c:pt>
              <c:pt idx="2516">
                <c:v>0</c:v>
              </c:pt>
              <c:pt idx="2517">
                <c:v>0.38440971804351082</c:v>
              </c:pt>
              <c:pt idx="2518">
                <c:v>0.38440971804351082</c:v>
              </c:pt>
              <c:pt idx="2519">
                <c:v>0</c:v>
              </c:pt>
              <c:pt idx="2520">
                <c:v>0</c:v>
              </c:pt>
              <c:pt idx="2521">
                <c:v>0.38440971804351082</c:v>
              </c:pt>
              <c:pt idx="2522">
                <c:v>0.38440971804351082</c:v>
              </c:pt>
              <c:pt idx="2523">
                <c:v>0</c:v>
              </c:pt>
              <c:pt idx="2524">
                <c:v>0</c:v>
              </c:pt>
              <c:pt idx="2525">
                <c:v>0.38440971804351082</c:v>
              </c:pt>
              <c:pt idx="2526">
                <c:v>0.38440971804351082</c:v>
              </c:pt>
              <c:pt idx="2527">
                <c:v>0</c:v>
              </c:pt>
              <c:pt idx="2528">
                <c:v>0</c:v>
              </c:pt>
              <c:pt idx="2529">
                <c:v>0.38440971804351082</c:v>
              </c:pt>
              <c:pt idx="2530">
                <c:v>0.38440971804351082</c:v>
              </c:pt>
              <c:pt idx="2531">
                <c:v>0</c:v>
              </c:pt>
              <c:pt idx="2532">
                <c:v>0</c:v>
              </c:pt>
              <c:pt idx="2533">
                <c:v>0.38440971804351082</c:v>
              </c:pt>
              <c:pt idx="2534">
                <c:v>0.38440971804351082</c:v>
              </c:pt>
              <c:pt idx="2535">
                <c:v>0</c:v>
              </c:pt>
              <c:pt idx="2536">
                <c:v>0</c:v>
              </c:pt>
              <c:pt idx="2537">
                <c:v>0.38440971804351082</c:v>
              </c:pt>
              <c:pt idx="2538">
                <c:v>0.38440971804351082</c:v>
              </c:pt>
              <c:pt idx="2539">
                <c:v>0</c:v>
              </c:pt>
              <c:pt idx="2540">
                <c:v>0</c:v>
              </c:pt>
              <c:pt idx="2541">
                <c:v>0.38440971804351082</c:v>
              </c:pt>
              <c:pt idx="2542">
                <c:v>0.38440971804351082</c:v>
              </c:pt>
              <c:pt idx="2543">
                <c:v>0</c:v>
              </c:pt>
              <c:pt idx="2544">
                <c:v>0</c:v>
              </c:pt>
              <c:pt idx="2545">
                <c:v>0.38440971804351082</c:v>
              </c:pt>
              <c:pt idx="2546">
                <c:v>0.38440971804351082</c:v>
              </c:pt>
              <c:pt idx="2547">
                <c:v>0</c:v>
              </c:pt>
              <c:pt idx="2548">
                <c:v>0</c:v>
              </c:pt>
              <c:pt idx="2549">
                <c:v>0.38440971804351082</c:v>
              </c:pt>
              <c:pt idx="2550">
                <c:v>0.38440971804351082</c:v>
              </c:pt>
              <c:pt idx="2551">
                <c:v>0</c:v>
              </c:pt>
              <c:pt idx="2552">
                <c:v>0</c:v>
              </c:pt>
              <c:pt idx="2553">
                <c:v>0.38440971804351082</c:v>
              </c:pt>
              <c:pt idx="2554">
                <c:v>0.38440971804351082</c:v>
              </c:pt>
              <c:pt idx="2555">
                <c:v>0</c:v>
              </c:pt>
              <c:pt idx="2556">
                <c:v>0</c:v>
              </c:pt>
              <c:pt idx="2557">
                <c:v>0.38440971804351082</c:v>
              </c:pt>
              <c:pt idx="2558">
                <c:v>0.38440971804351082</c:v>
              </c:pt>
              <c:pt idx="2559">
                <c:v>0</c:v>
              </c:pt>
              <c:pt idx="2560">
                <c:v>0</c:v>
              </c:pt>
              <c:pt idx="2561">
                <c:v>0.38440971804351082</c:v>
              </c:pt>
              <c:pt idx="2562">
                <c:v>0.38440971804351082</c:v>
              </c:pt>
              <c:pt idx="2563">
                <c:v>0</c:v>
              </c:pt>
              <c:pt idx="2564">
                <c:v>0</c:v>
              </c:pt>
              <c:pt idx="2565">
                <c:v>0.38440971804351082</c:v>
              </c:pt>
              <c:pt idx="2566">
                <c:v>0.38440971804351082</c:v>
              </c:pt>
              <c:pt idx="2567">
                <c:v>0</c:v>
              </c:pt>
              <c:pt idx="2568">
                <c:v>0</c:v>
              </c:pt>
              <c:pt idx="2569">
                <c:v>0.38440971804351082</c:v>
              </c:pt>
              <c:pt idx="2570">
                <c:v>0.38440971804351082</c:v>
              </c:pt>
              <c:pt idx="2571">
                <c:v>0</c:v>
              </c:pt>
              <c:pt idx="2572">
                <c:v>0</c:v>
              </c:pt>
              <c:pt idx="2573">
                <c:v>0.38440971804351082</c:v>
              </c:pt>
              <c:pt idx="2574">
                <c:v>0.38440971804351082</c:v>
              </c:pt>
              <c:pt idx="2575">
                <c:v>0</c:v>
              </c:pt>
              <c:pt idx="2576">
                <c:v>0</c:v>
              </c:pt>
              <c:pt idx="2577">
                <c:v>0.38440971804351082</c:v>
              </c:pt>
              <c:pt idx="2578">
                <c:v>0.38440971804351082</c:v>
              </c:pt>
              <c:pt idx="2579">
                <c:v>0</c:v>
              </c:pt>
              <c:pt idx="2580">
                <c:v>0</c:v>
              </c:pt>
              <c:pt idx="2581">
                <c:v>0.38440971804351082</c:v>
              </c:pt>
              <c:pt idx="2582">
                <c:v>0.38440971804351082</c:v>
              </c:pt>
              <c:pt idx="2583">
                <c:v>0</c:v>
              </c:pt>
              <c:pt idx="2584">
                <c:v>0</c:v>
              </c:pt>
              <c:pt idx="2585">
                <c:v>0.38440971804351082</c:v>
              </c:pt>
              <c:pt idx="2586">
                <c:v>0.38440971804351082</c:v>
              </c:pt>
              <c:pt idx="2587">
                <c:v>0</c:v>
              </c:pt>
              <c:pt idx="2588">
                <c:v>0</c:v>
              </c:pt>
              <c:pt idx="2589">
                <c:v>0.38440971804351082</c:v>
              </c:pt>
              <c:pt idx="2590">
                <c:v>0.38440971804351082</c:v>
              </c:pt>
              <c:pt idx="2591">
                <c:v>0</c:v>
              </c:pt>
              <c:pt idx="2592">
                <c:v>0</c:v>
              </c:pt>
              <c:pt idx="2593">
                <c:v>0.38440971804351082</c:v>
              </c:pt>
              <c:pt idx="2594">
                <c:v>0.38440971804351082</c:v>
              </c:pt>
              <c:pt idx="2595">
                <c:v>0</c:v>
              </c:pt>
              <c:pt idx="2596">
                <c:v>0</c:v>
              </c:pt>
              <c:pt idx="2597">
                <c:v>0.38440971804351082</c:v>
              </c:pt>
              <c:pt idx="2598">
                <c:v>0.38440971804351082</c:v>
              </c:pt>
              <c:pt idx="2599">
                <c:v>0</c:v>
              </c:pt>
              <c:pt idx="2600">
                <c:v>0</c:v>
              </c:pt>
              <c:pt idx="2601">
                <c:v>0.38440971804351082</c:v>
              </c:pt>
              <c:pt idx="2602">
                <c:v>0.38440971804351082</c:v>
              </c:pt>
              <c:pt idx="2603">
                <c:v>0</c:v>
              </c:pt>
              <c:pt idx="2604">
                <c:v>0</c:v>
              </c:pt>
              <c:pt idx="2605">
                <c:v>0.38440971804351082</c:v>
              </c:pt>
              <c:pt idx="2606">
                <c:v>0.38440971804351082</c:v>
              </c:pt>
              <c:pt idx="2607">
                <c:v>0</c:v>
              </c:pt>
              <c:pt idx="2608">
                <c:v>0</c:v>
              </c:pt>
              <c:pt idx="2609">
                <c:v>0.38440971804351082</c:v>
              </c:pt>
              <c:pt idx="2610">
                <c:v>0.38440971804351082</c:v>
              </c:pt>
              <c:pt idx="2611">
                <c:v>0</c:v>
              </c:pt>
              <c:pt idx="2612">
                <c:v>0</c:v>
              </c:pt>
              <c:pt idx="2613">
                <c:v>0.38440971804351082</c:v>
              </c:pt>
              <c:pt idx="2614">
                <c:v>0.38440971804351082</c:v>
              </c:pt>
              <c:pt idx="2615">
                <c:v>0</c:v>
              </c:pt>
              <c:pt idx="2616">
                <c:v>0</c:v>
              </c:pt>
              <c:pt idx="2617">
                <c:v>0.38440971804351082</c:v>
              </c:pt>
              <c:pt idx="2618">
                <c:v>0.38440971804351082</c:v>
              </c:pt>
              <c:pt idx="2619">
                <c:v>0</c:v>
              </c:pt>
              <c:pt idx="2620">
                <c:v>0</c:v>
              </c:pt>
              <c:pt idx="2621">
                <c:v>0.38440971804351082</c:v>
              </c:pt>
              <c:pt idx="2622">
                <c:v>0.38440971804351082</c:v>
              </c:pt>
              <c:pt idx="2623">
                <c:v>0</c:v>
              </c:pt>
              <c:pt idx="2624">
                <c:v>0</c:v>
              </c:pt>
              <c:pt idx="2625">
                <c:v>0.38440971804351082</c:v>
              </c:pt>
              <c:pt idx="2626">
                <c:v>0.38440971804351082</c:v>
              </c:pt>
              <c:pt idx="2627">
                <c:v>0</c:v>
              </c:pt>
              <c:pt idx="2628">
                <c:v>0</c:v>
              </c:pt>
              <c:pt idx="2629">
                <c:v>0.38440971804351082</c:v>
              </c:pt>
              <c:pt idx="2630">
                <c:v>0.38440971804351082</c:v>
              </c:pt>
              <c:pt idx="2631">
                <c:v>0</c:v>
              </c:pt>
              <c:pt idx="2632">
                <c:v>0</c:v>
              </c:pt>
              <c:pt idx="2633">
                <c:v>0.38440971804351082</c:v>
              </c:pt>
              <c:pt idx="2634">
                <c:v>0.38440971804351082</c:v>
              </c:pt>
              <c:pt idx="2635">
                <c:v>0</c:v>
              </c:pt>
              <c:pt idx="2636">
                <c:v>0</c:v>
              </c:pt>
              <c:pt idx="2637">
                <c:v>0.38440971804351082</c:v>
              </c:pt>
              <c:pt idx="2638">
                <c:v>0.38440971804351082</c:v>
              </c:pt>
              <c:pt idx="2639">
                <c:v>0</c:v>
              </c:pt>
              <c:pt idx="2640">
                <c:v>0</c:v>
              </c:pt>
              <c:pt idx="2641">
                <c:v>0.38440971804351082</c:v>
              </c:pt>
              <c:pt idx="2642">
                <c:v>0.38440971804351082</c:v>
              </c:pt>
              <c:pt idx="2643">
                <c:v>0</c:v>
              </c:pt>
              <c:pt idx="2644">
                <c:v>0</c:v>
              </c:pt>
              <c:pt idx="2645">
                <c:v>0.38440971804351082</c:v>
              </c:pt>
              <c:pt idx="2646">
                <c:v>0.38440971804351082</c:v>
              </c:pt>
              <c:pt idx="2647">
                <c:v>0</c:v>
              </c:pt>
              <c:pt idx="2648">
                <c:v>0</c:v>
              </c:pt>
              <c:pt idx="2649">
                <c:v>0.38440971804351082</c:v>
              </c:pt>
              <c:pt idx="2650">
                <c:v>0.38440971804351082</c:v>
              </c:pt>
              <c:pt idx="2651">
                <c:v>0</c:v>
              </c:pt>
              <c:pt idx="2652">
                <c:v>0</c:v>
              </c:pt>
              <c:pt idx="2653">
                <c:v>0.38440971804351082</c:v>
              </c:pt>
              <c:pt idx="2654">
                <c:v>0.38440971804351082</c:v>
              </c:pt>
              <c:pt idx="2655">
                <c:v>0</c:v>
              </c:pt>
              <c:pt idx="2656">
                <c:v>0</c:v>
              </c:pt>
              <c:pt idx="2657">
                <c:v>0.38440971804351082</c:v>
              </c:pt>
              <c:pt idx="2658">
                <c:v>0.38440971804351082</c:v>
              </c:pt>
              <c:pt idx="2659">
                <c:v>0</c:v>
              </c:pt>
              <c:pt idx="2660">
                <c:v>0.38440971804351082</c:v>
              </c:pt>
              <c:pt idx="2661">
                <c:v>0</c:v>
              </c:pt>
              <c:pt idx="2664">
                <c:v>0</c:v>
              </c:pt>
              <c:pt idx="2665">
                <c:v>0.14722074308049357</c:v>
              </c:pt>
              <c:pt idx="2666">
                <c:v>0.14722074308049357</c:v>
              </c:pt>
              <c:pt idx="2667">
                <c:v>0</c:v>
              </c:pt>
              <c:pt idx="2668">
                <c:v>0</c:v>
              </c:pt>
              <c:pt idx="2669">
                <c:v>0.14722074308049357</c:v>
              </c:pt>
              <c:pt idx="2670">
                <c:v>0.14722074308049357</c:v>
              </c:pt>
              <c:pt idx="2671">
                <c:v>0</c:v>
              </c:pt>
              <c:pt idx="2672">
                <c:v>0</c:v>
              </c:pt>
              <c:pt idx="2673">
                <c:v>0.14722074308049357</c:v>
              </c:pt>
              <c:pt idx="2674">
                <c:v>0.14722074308049357</c:v>
              </c:pt>
              <c:pt idx="2675">
                <c:v>0</c:v>
              </c:pt>
              <c:pt idx="2676">
                <c:v>0</c:v>
              </c:pt>
              <c:pt idx="2677">
                <c:v>0.14722074308049357</c:v>
              </c:pt>
              <c:pt idx="2678">
                <c:v>0.14722074308049357</c:v>
              </c:pt>
              <c:pt idx="2679">
                <c:v>0</c:v>
              </c:pt>
              <c:pt idx="2680">
                <c:v>0</c:v>
              </c:pt>
              <c:pt idx="2681">
                <c:v>0.14722074308049357</c:v>
              </c:pt>
              <c:pt idx="2682">
                <c:v>0.14722074308049357</c:v>
              </c:pt>
              <c:pt idx="2683">
                <c:v>0</c:v>
              </c:pt>
              <c:pt idx="2684">
                <c:v>0</c:v>
              </c:pt>
              <c:pt idx="2685">
                <c:v>0.14722074308049357</c:v>
              </c:pt>
              <c:pt idx="2686">
                <c:v>0.14722074308049357</c:v>
              </c:pt>
              <c:pt idx="2687">
                <c:v>0</c:v>
              </c:pt>
              <c:pt idx="2688">
                <c:v>0</c:v>
              </c:pt>
              <c:pt idx="2689">
                <c:v>0.14722074308049357</c:v>
              </c:pt>
              <c:pt idx="2690">
                <c:v>0.14722074308049357</c:v>
              </c:pt>
              <c:pt idx="2691">
                <c:v>0</c:v>
              </c:pt>
              <c:pt idx="2692">
                <c:v>0</c:v>
              </c:pt>
              <c:pt idx="2693">
                <c:v>0.14722074308049357</c:v>
              </c:pt>
              <c:pt idx="2694">
                <c:v>0.14722074308049357</c:v>
              </c:pt>
              <c:pt idx="2695">
                <c:v>0</c:v>
              </c:pt>
              <c:pt idx="2696">
                <c:v>0</c:v>
              </c:pt>
              <c:pt idx="2697">
                <c:v>0.14722074308049357</c:v>
              </c:pt>
              <c:pt idx="2698">
                <c:v>0.14722074308049357</c:v>
              </c:pt>
              <c:pt idx="2699">
                <c:v>0</c:v>
              </c:pt>
              <c:pt idx="2700">
                <c:v>0</c:v>
              </c:pt>
              <c:pt idx="2701">
                <c:v>0.14722074308049357</c:v>
              </c:pt>
              <c:pt idx="2702">
                <c:v>0.14722074308049357</c:v>
              </c:pt>
              <c:pt idx="2703">
                <c:v>0</c:v>
              </c:pt>
              <c:pt idx="2704">
                <c:v>0</c:v>
              </c:pt>
              <c:pt idx="2705">
                <c:v>0.14722074308049357</c:v>
              </c:pt>
              <c:pt idx="2706">
                <c:v>0.14722074308049357</c:v>
              </c:pt>
              <c:pt idx="2707">
                <c:v>0</c:v>
              </c:pt>
              <c:pt idx="2708">
                <c:v>0</c:v>
              </c:pt>
              <c:pt idx="2709">
                <c:v>0.14722074308049357</c:v>
              </c:pt>
              <c:pt idx="2710">
                <c:v>0.14722074308049357</c:v>
              </c:pt>
              <c:pt idx="2711">
                <c:v>0</c:v>
              </c:pt>
              <c:pt idx="2712">
                <c:v>0</c:v>
              </c:pt>
              <c:pt idx="2713">
                <c:v>0.14722074308049357</c:v>
              </c:pt>
              <c:pt idx="2714">
                <c:v>0.14722074308049357</c:v>
              </c:pt>
              <c:pt idx="2715">
                <c:v>0</c:v>
              </c:pt>
              <c:pt idx="2716">
                <c:v>0</c:v>
              </c:pt>
              <c:pt idx="2717">
                <c:v>0.14722074308049357</c:v>
              </c:pt>
              <c:pt idx="2718">
                <c:v>0.14722074308049357</c:v>
              </c:pt>
              <c:pt idx="2719">
                <c:v>0</c:v>
              </c:pt>
              <c:pt idx="2720">
                <c:v>0</c:v>
              </c:pt>
              <c:pt idx="2721">
                <c:v>0.14722074308049357</c:v>
              </c:pt>
              <c:pt idx="2722">
                <c:v>0.14722074308049357</c:v>
              </c:pt>
              <c:pt idx="2723">
                <c:v>0</c:v>
              </c:pt>
              <c:pt idx="2724">
                <c:v>0</c:v>
              </c:pt>
              <c:pt idx="2725">
                <c:v>0.14722074308049357</c:v>
              </c:pt>
              <c:pt idx="2726">
                <c:v>0.14722074308049357</c:v>
              </c:pt>
              <c:pt idx="2727">
                <c:v>0</c:v>
              </c:pt>
              <c:pt idx="2728">
                <c:v>0</c:v>
              </c:pt>
              <c:pt idx="2729">
                <c:v>0.14722074308049357</c:v>
              </c:pt>
              <c:pt idx="2730">
                <c:v>0.14722074308049357</c:v>
              </c:pt>
              <c:pt idx="2731">
                <c:v>0</c:v>
              </c:pt>
              <c:pt idx="2732">
                <c:v>0</c:v>
              </c:pt>
              <c:pt idx="2733">
                <c:v>0.14722074308049357</c:v>
              </c:pt>
              <c:pt idx="2734">
                <c:v>0.14722074308049357</c:v>
              </c:pt>
              <c:pt idx="2735">
                <c:v>0</c:v>
              </c:pt>
              <c:pt idx="2736">
                <c:v>0</c:v>
              </c:pt>
              <c:pt idx="2737">
                <c:v>0.14722074308049357</c:v>
              </c:pt>
              <c:pt idx="2738">
                <c:v>0.14722074308049357</c:v>
              </c:pt>
              <c:pt idx="2739">
                <c:v>0</c:v>
              </c:pt>
              <c:pt idx="2740">
                <c:v>0</c:v>
              </c:pt>
              <c:pt idx="2741">
                <c:v>0.14722074308049357</c:v>
              </c:pt>
              <c:pt idx="2742">
                <c:v>0.14722074308049357</c:v>
              </c:pt>
              <c:pt idx="2743">
                <c:v>0</c:v>
              </c:pt>
              <c:pt idx="2744">
                <c:v>0</c:v>
              </c:pt>
              <c:pt idx="2745">
                <c:v>0.14722074308049357</c:v>
              </c:pt>
              <c:pt idx="2746">
                <c:v>0.14722074308049357</c:v>
              </c:pt>
              <c:pt idx="2747">
                <c:v>0</c:v>
              </c:pt>
              <c:pt idx="2748">
                <c:v>0</c:v>
              </c:pt>
              <c:pt idx="2749">
                <c:v>0.14722074308049357</c:v>
              </c:pt>
              <c:pt idx="2750">
                <c:v>0.14722074308049357</c:v>
              </c:pt>
              <c:pt idx="2751">
                <c:v>0</c:v>
              </c:pt>
              <c:pt idx="2752">
                <c:v>0</c:v>
              </c:pt>
              <c:pt idx="2753">
                <c:v>0.14722074308049357</c:v>
              </c:pt>
              <c:pt idx="2754">
                <c:v>0.14722074308049357</c:v>
              </c:pt>
              <c:pt idx="2755">
                <c:v>0</c:v>
              </c:pt>
              <c:pt idx="2756">
                <c:v>0</c:v>
              </c:pt>
              <c:pt idx="2757">
                <c:v>0.14722074308049357</c:v>
              </c:pt>
              <c:pt idx="2758">
                <c:v>0.14722074308049357</c:v>
              </c:pt>
              <c:pt idx="2759">
                <c:v>0</c:v>
              </c:pt>
              <c:pt idx="2760">
                <c:v>0</c:v>
              </c:pt>
              <c:pt idx="2761">
                <c:v>0.14722074308049357</c:v>
              </c:pt>
              <c:pt idx="2762">
                <c:v>0.14722074308049357</c:v>
              </c:pt>
              <c:pt idx="2763">
                <c:v>0</c:v>
              </c:pt>
              <c:pt idx="2764">
                <c:v>0</c:v>
              </c:pt>
              <c:pt idx="2765">
                <c:v>0.14722074308049357</c:v>
              </c:pt>
              <c:pt idx="2766">
                <c:v>0.14722074308049357</c:v>
              </c:pt>
              <c:pt idx="2767">
                <c:v>0</c:v>
              </c:pt>
              <c:pt idx="2768">
                <c:v>0</c:v>
              </c:pt>
              <c:pt idx="2769">
                <c:v>0.14722074308049357</c:v>
              </c:pt>
              <c:pt idx="2770">
                <c:v>0.14722074308049357</c:v>
              </c:pt>
              <c:pt idx="2771">
                <c:v>0</c:v>
              </c:pt>
              <c:pt idx="2772">
                <c:v>0</c:v>
              </c:pt>
              <c:pt idx="2773">
                <c:v>0.14722074308049357</c:v>
              </c:pt>
              <c:pt idx="2774">
                <c:v>0.14722074308049357</c:v>
              </c:pt>
              <c:pt idx="2775">
                <c:v>0</c:v>
              </c:pt>
              <c:pt idx="2776">
                <c:v>0</c:v>
              </c:pt>
              <c:pt idx="2777">
                <c:v>0.14722074308049357</c:v>
              </c:pt>
              <c:pt idx="2778">
                <c:v>0.14722074308049357</c:v>
              </c:pt>
              <c:pt idx="2779">
                <c:v>0</c:v>
              </c:pt>
              <c:pt idx="2780">
                <c:v>0</c:v>
              </c:pt>
              <c:pt idx="2781">
                <c:v>0.14722074308049357</c:v>
              </c:pt>
              <c:pt idx="2782">
                <c:v>0.14722074308049357</c:v>
              </c:pt>
              <c:pt idx="2783">
                <c:v>0</c:v>
              </c:pt>
              <c:pt idx="2784">
                <c:v>0</c:v>
              </c:pt>
              <c:pt idx="2785">
                <c:v>0.14722074308049357</c:v>
              </c:pt>
              <c:pt idx="2786">
                <c:v>0.14722074308049357</c:v>
              </c:pt>
              <c:pt idx="2787">
                <c:v>0</c:v>
              </c:pt>
              <c:pt idx="2788">
                <c:v>0</c:v>
              </c:pt>
              <c:pt idx="2789">
                <c:v>0.14722074308049357</c:v>
              </c:pt>
              <c:pt idx="2790">
                <c:v>0.14722074308049357</c:v>
              </c:pt>
              <c:pt idx="2791">
                <c:v>0</c:v>
              </c:pt>
              <c:pt idx="2792">
                <c:v>0</c:v>
              </c:pt>
              <c:pt idx="2793">
                <c:v>0.14722074308049357</c:v>
              </c:pt>
              <c:pt idx="2794">
                <c:v>0.14722074308049357</c:v>
              </c:pt>
              <c:pt idx="2795">
                <c:v>0</c:v>
              </c:pt>
              <c:pt idx="2796">
                <c:v>0</c:v>
              </c:pt>
              <c:pt idx="2797">
                <c:v>0.14722074308049357</c:v>
              </c:pt>
              <c:pt idx="2798">
                <c:v>0.14722074308049357</c:v>
              </c:pt>
              <c:pt idx="2799">
                <c:v>0</c:v>
              </c:pt>
              <c:pt idx="2800">
                <c:v>0</c:v>
              </c:pt>
              <c:pt idx="2801">
                <c:v>0.14722074308049357</c:v>
              </c:pt>
              <c:pt idx="2802">
                <c:v>0.14722074308049357</c:v>
              </c:pt>
              <c:pt idx="2803">
                <c:v>0</c:v>
              </c:pt>
              <c:pt idx="2804">
                <c:v>0</c:v>
              </c:pt>
              <c:pt idx="2805">
                <c:v>0.14722074308049357</c:v>
              </c:pt>
              <c:pt idx="2806">
                <c:v>0.14722074308049357</c:v>
              </c:pt>
              <c:pt idx="2807">
                <c:v>0</c:v>
              </c:pt>
              <c:pt idx="2808">
                <c:v>0.14722074308049357</c:v>
              </c:pt>
              <c:pt idx="2809">
                <c:v>0</c:v>
              </c:pt>
              <c:pt idx="2812">
                <c:v>0</c:v>
              </c:pt>
              <c:pt idx="2813">
                <c:v>8.1789301711385279E-2</c:v>
              </c:pt>
              <c:pt idx="2814">
                <c:v>8.1789301711385279E-2</c:v>
              </c:pt>
              <c:pt idx="2815">
                <c:v>0</c:v>
              </c:pt>
              <c:pt idx="2816">
                <c:v>0</c:v>
              </c:pt>
              <c:pt idx="2817">
                <c:v>8.1789301711385279E-2</c:v>
              </c:pt>
              <c:pt idx="2818">
                <c:v>8.1789301711385279E-2</c:v>
              </c:pt>
              <c:pt idx="2819">
                <c:v>0</c:v>
              </c:pt>
              <c:pt idx="2820">
                <c:v>0</c:v>
              </c:pt>
              <c:pt idx="2821">
                <c:v>8.1789301711385279E-2</c:v>
              </c:pt>
              <c:pt idx="2822">
                <c:v>8.1789301711385279E-2</c:v>
              </c:pt>
              <c:pt idx="2823">
                <c:v>0</c:v>
              </c:pt>
              <c:pt idx="2824">
                <c:v>0</c:v>
              </c:pt>
              <c:pt idx="2825">
                <c:v>8.1789301711385279E-2</c:v>
              </c:pt>
              <c:pt idx="2826">
                <c:v>8.1789301711385279E-2</c:v>
              </c:pt>
              <c:pt idx="2827">
                <c:v>0</c:v>
              </c:pt>
              <c:pt idx="2828">
                <c:v>0</c:v>
              </c:pt>
              <c:pt idx="2829">
                <c:v>8.1789301711385279E-2</c:v>
              </c:pt>
              <c:pt idx="2830">
                <c:v>8.1789301711385279E-2</c:v>
              </c:pt>
              <c:pt idx="2831">
                <c:v>0</c:v>
              </c:pt>
              <c:pt idx="2832">
                <c:v>0</c:v>
              </c:pt>
              <c:pt idx="2833">
                <c:v>8.1789301711385279E-2</c:v>
              </c:pt>
              <c:pt idx="2834">
                <c:v>8.1789301711385279E-2</c:v>
              </c:pt>
              <c:pt idx="2835">
                <c:v>0</c:v>
              </c:pt>
              <c:pt idx="2836">
                <c:v>0</c:v>
              </c:pt>
              <c:pt idx="2837">
                <c:v>8.1789301711385279E-2</c:v>
              </c:pt>
              <c:pt idx="2838">
                <c:v>8.1789301711385279E-2</c:v>
              </c:pt>
              <c:pt idx="2839">
                <c:v>0</c:v>
              </c:pt>
              <c:pt idx="2840">
                <c:v>0</c:v>
              </c:pt>
              <c:pt idx="2841">
                <c:v>8.1789301711385279E-2</c:v>
              </c:pt>
              <c:pt idx="2842">
                <c:v>8.1789301711385279E-2</c:v>
              </c:pt>
              <c:pt idx="2843">
                <c:v>0</c:v>
              </c:pt>
              <c:pt idx="2844">
                <c:v>0</c:v>
              </c:pt>
              <c:pt idx="2845">
                <c:v>8.1789301711385279E-2</c:v>
              </c:pt>
              <c:pt idx="2846">
                <c:v>8.1789301711385279E-2</c:v>
              </c:pt>
              <c:pt idx="2847">
                <c:v>0</c:v>
              </c:pt>
              <c:pt idx="2848">
                <c:v>0</c:v>
              </c:pt>
              <c:pt idx="2849">
                <c:v>8.1789301711385279E-2</c:v>
              </c:pt>
              <c:pt idx="2850">
                <c:v>8.1789301711385279E-2</c:v>
              </c:pt>
              <c:pt idx="2851">
                <c:v>0</c:v>
              </c:pt>
              <c:pt idx="2852">
                <c:v>0</c:v>
              </c:pt>
              <c:pt idx="2853">
                <c:v>8.1789301711385279E-2</c:v>
              </c:pt>
              <c:pt idx="2854">
                <c:v>8.1789301711385279E-2</c:v>
              </c:pt>
              <c:pt idx="2855">
                <c:v>0</c:v>
              </c:pt>
              <c:pt idx="2856">
                <c:v>0</c:v>
              </c:pt>
              <c:pt idx="2857">
                <c:v>8.1789301711385279E-2</c:v>
              </c:pt>
              <c:pt idx="2858">
                <c:v>8.1789301711385279E-2</c:v>
              </c:pt>
              <c:pt idx="2859">
                <c:v>0</c:v>
              </c:pt>
              <c:pt idx="2860">
                <c:v>0</c:v>
              </c:pt>
              <c:pt idx="2861">
                <c:v>8.1789301711385279E-2</c:v>
              </c:pt>
              <c:pt idx="2862">
                <c:v>8.1789301711385279E-2</c:v>
              </c:pt>
              <c:pt idx="2863">
                <c:v>0</c:v>
              </c:pt>
              <c:pt idx="2864">
                <c:v>0</c:v>
              </c:pt>
              <c:pt idx="2865">
                <c:v>8.1789301711385279E-2</c:v>
              </c:pt>
              <c:pt idx="2866">
                <c:v>8.1789301711385279E-2</c:v>
              </c:pt>
              <c:pt idx="2867">
                <c:v>0</c:v>
              </c:pt>
              <c:pt idx="2868">
                <c:v>0</c:v>
              </c:pt>
              <c:pt idx="2869">
                <c:v>8.1789301711385279E-2</c:v>
              </c:pt>
              <c:pt idx="2870">
                <c:v>8.1789301711385279E-2</c:v>
              </c:pt>
              <c:pt idx="2871">
                <c:v>0</c:v>
              </c:pt>
              <c:pt idx="2872">
                <c:v>0</c:v>
              </c:pt>
              <c:pt idx="2873">
                <c:v>8.1789301711385279E-2</c:v>
              </c:pt>
              <c:pt idx="2874">
                <c:v>8.1789301711385279E-2</c:v>
              </c:pt>
              <c:pt idx="2875">
                <c:v>0</c:v>
              </c:pt>
              <c:pt idx="2876">
                <c:v>0</c:v>
              </c:pt>
              <c:pt idx="2877">
                <c:v>8.1789301711385279E-2</c:v>
              </c:pt>
              <c:pt idx="2878">
                <c:v>8.1789301711385279E-2</c:v>
              </c:pt>
              <c:pt idx="2879">
                <c:v>0</c:v>
              </c:pt>
              <c:pt idx="2880">
                <c:v>0</c:v>
              </c:pt>
              <c:pt idx="2881">
                <c:v>8.1789301711385279E-2</c:v>
              </c:pt>
              <c:pt idx="2882">
                <c:v>8.1789301711385279E-2</c:v>
              </c:pt>
              <c:pt idx="2883">
                <c:v>0</c:v>
              </c:pt>
              <c:pt idx="2884">
                <c:v>0</c:v>
              </c:pt>
              <c:pt idx="2885">
                <c:v>8.1789301711385279E-2</c:v>
              </c:pt>
              <c:pt idx="2886">
                <c:v>8.1789301711385279E-2</c:v>
              </c:pt>
              <c:pt idx="2887">
                <c:v>0</c:v>
              </c:pt>
              <c:pt idx="2888">
                <c:v>0</c:v>
              </c:pt>
              <c:pt idx="2889">
                <c:v>8.1789301711385279E-2</c:v>
              </c:pt>
              <c:pt idx="2890">
                <c:v>8.1789301711385279E-2</c:v>
              </c:pt>
              <c:pt idx="2891">
                <c:v>0</c:v>
              </c:pt>
              <c:pt idx="2892">
                <c:v>0</c:v>
              </c:pt>
              <c:pt idx="2893">
                <c:v>8.1789301711385279E-2</c:v>
              </c:pt>
              <c:pt idx="2894">
                <c:v>8.1789301711385279E-2</c:v>
              </c:pt>
              <c:pt idx="2895">
                <c:v>0</c:v>
              </c:pt>
              <c:pt idx="2896">
                <c:v>0</c:v>
              </c:pt>
              <c:pt idx="2897">
                <c:v>8.1789301711385279E-2</c:v>
              </c:pt>
              <c:pt idx="2898">
                <c:v>8.1789301711385279E-2</c:v>
              </c:pt>
              <c:pt idx="2899">
                <c:v>0</c:v>
              </c:pt>
              <c:pt idx="2900">
                <c:v>0</c:v>
              </c:pt>
              <c:pt idx="2901">
                <c:v>8.1789301711385279E-2</c:v>
              </c:pt>
              <c:pt idx="2902">
                <c:v>8.1789301711385279E-2</c:v>
              </c:pt>
              <c:pt idx="2903">
                <c:v>0</c:v>
              </c:pt>
              <c:pt idx="2904">
                <c:v>0</c:v>
              </c:pt>
              <c:pt idx="2905">
                <c:v>8.1789301711385279E-2</c:v>
              </c:pt>
              <c:pt idx="2906">
                <c:v>8.1789301711385279E-2</c:v>
              </c:pt>
              <c:pt idx="2907">
                <c:v>0</c:v>
              </c:pt>
              <c:pt idx="2908">
                <c:v>0</c:v>
              </c:pt>
              <c:pt idx="2909">
                <c:v>8.1789301711385279E-2</c:v>
              </c:pt>
              <c:pt idx="2910">
                <c:v>8.1789301711385279E-2</c:v>
              </c:pt>
              <c:pt idx="2911">
                <c:v>0</c:v>
              </c:pt>
              <c:pt idx="2912">
                <c:v>0</c:v>
              </c:pt>
              <c:pt idx="2913">
                <c:v>8.1789301711385279E-2</c:v>
              </c:pt>
              <c:pt idx="2914">
                <c:v>8.1789301711385279E-2</c:v>
              </c:pt>
              <c:pt idx="2915">
                <c:v>0</c:v>
              </c:pt>
              <c:pt idx="2916">
                <c:v>0</c:v>
              </c:pt>
              <c:pt idx="2917">
                <c:v>8.1789301711385279E-2</c:v>
              </c:pt>
              <c:pt idx="2918">
                <c:v>8.1789301711385279E-2</c:v>
              </c:pt>
              <c:pt idx="2919">
                <c:v>0</c:v>
              </c:pt>
              <c:pt idx="2920">
                <c:v>0</c:v>
              </c:pt>
              <c:pt idx="2921">
                <c:v>8.1789301711385279E-2</c:v>
              </c:pt>
              <c:pt idx="2922">
                <c:v>8.1789301711385279E-2</c:v>
              </c:pt>
              <c:pt idx="2923">
                <c:v>0</c:v>
              </c:pt>
              <c:pt idx="2924">
                <c:v>0</c:v>
              </c:pt>
              <c:pt idx="2925">
                <c:v>8.1789301711385279E-2</c:v>
              </c:pt>
              <c:pt idx="2926">
                <c:v>8.1789301711385279E-2</c:v>
              </c:pt>
              <c:pt idx="2927">
                <c:v>0</c:v>
              </c:pt>
              <c:pt idx="2928">
                <c:v>0</c:v>
              </c:pt>
              <c:pt idx="2929">
                <c:v>8.1789301711385279E-2</c:v>
              </c:pt>
              <c:pt idx="2930">
                <c:v>8.1789301711385279E-2</c:v>
              </c:pt>
              <c:pt idx="2931">
                <c:v>0</c:v>
              </c:pt>
              <c:pt idx="2932">
                <c:v>0</c:v>
              </c:pt>
              <c:pt idx="2933">
                <c:v>8.1789301711385279E-2</c:v>
              </c:pt>
              <c:pt idx="2934">
                <c:v>8.1789301711385279E-2</c:v>
              </c:pt>
              <c:pt idx="2935">
                <c:v>0</c:v>
              </c:pt>
              <c:pt idx="2936">
                <c:v>0</c:v>
              </c:pt>
              <c:pt idx="2937">
                <c:v>8.1789301711385279E-2</c:v>
              </c:pt>
              <c:pt idx="2938">
                <c:v>8.1789301711385279E-2</c:v>
              </c:pt>
              <c:pt idx="2939">
                <c:v>0</c:v>
              </c:pt>
              <c:pt idx="2940">
                <c:v>0</c:v>
              </c:pt>
              <c:pt idx="2941">
                <c:v>8.1789301711385279E-2</c:v>
              </c:pt>
              <c:pt idx="2942">
                <c:v>8.1789301711385279E-2</c:v>
              </c:pt>
              <c:pt idx="2943">
                <c:v>0</c:v>
              </c:pt>
              <c:pt idx="2944">
                <c:v>0</c:v>
              </c:pt>
              <c:pt idx="2945">
                <c:v>8.1789301711385279E-2</c:v>
              </c:pt>
              <c:pt idx="2946">
                <c:v>8.1789301711385279E-2</c:v>
              </c:pt>
              <c:pt idx="2947">
                <c:v>0</c:v>
              </c:pt>
              <c:pt idx="2948">
                <c:v>0</c:v>
              </c:pt>
              <c:pt idx="2949">
                <c:v>8.1789301711385279E-2</c:v>
              </c:pt>
              <c:pt idx="2950">
                <c:v>8.1789301711385279E-2</c:v>
              </c:pt>
              <c:pt idx="2951">
                <c:v>0</c:v>
              </c:pt>
              <c:pt idx="2952">
                <c:v>0</c:v>
              </c:pt>
              <c:pt idx="2953">
                <c:v>8.1789301711385279E-2</c:v>
              </c:pt>
              <c:pt idx="2954">
                <c:v>8.1789301711385279E-2</c:v>
              </c:pt>
              <c:pt idx="2955">
                <c:v>0</c:v>
              </c:pt>
              <c:pt idx="2956">
                <c:v>8.1789301711385279E-2</c:v>
              </c:pt>
              <c:pt idx="2957">
                <c:v>0</c:v>
              </c:pt>
              <c:pt idx="2960">
                <c:v>0</c:v>
              </c:pt>
              <c:pt idx="2961">
                <c:v>6.5431441369108223E-2</c:v>
              </c:pt>
              <c:pt idx="2962">
                <c:v>6.5431441369108223E-2</c:v>
              </c:pt>
              <c:pt idx="2963">
                <c:v>0</c:v>
              </c:pt>
              <c:pt idx="2964">
                <c:v>0</c:v>
              </c:pt>
              <c:pt idx="2965">
                <c:v>6.5431441369108223E-2</c:v>
              </c:pt>
              <c:pt idx="2966">
                <c:v>6.5431441369108223E-2</c:v>
              </c:pt>
              <c:pt idx="2967">
                <c:v>0</c:v>
              </c:pt>
              <c:pt idx="2968">
                <c:v>0</c:v>
              </c:pt>
              <c:pt idx="2969">
                <c:v>6.5431441369108223E-2</c:v>
              </c:pt>
              <c:pt idx="2970">
                <c:v>6.5431441369108223E-2</c:v>
              </c:pt>
              <c:pt idx="2971">
                <c:v>0</c:v>
              </c:pt>
              <c:pt idx="2972">
                <c:v>0</c:v>
              </c:pt>
              <c:pt idx="2973">
                <c:v>6.5431441369108223E-2</c:v>
              </c:pt>
              <c:pt idx="2974">
                <c:v>6.5431441369108223E-2</c:v>
              </c:pt>
              <c:pt idx="2975">
                <c:v>0</c:v>
              </c:pt>
              <c:pt idx="2976">
                <c:v>0</c:v>
              </c:pt>
              <c:pt idx="2977">
                <c:v>6.5431441369108223E-2</c:v>
              </c:pt>
              <c:pt idx="2978">
                <c:v>6.5431441369108223E-2</c:v>
              </c:pt>
              <c:pt idx="2979">
                <c:v>0</c:v>
              </c:pt>
              <c:pt idx="2980">
                <c:v>0</c:v>
              </c:pt>
              <c:pt idx="2981">
                <c:v>6.5431441369108223E-2</c:v>
              </c:pt>
              <c:pt idx="2982">
                <c:v>6.5431441369108223E-2</c:v>
              </c:pt>
              <c:pt idx="2983">
                <c:v>0</c:v>
              </c:pt>
              <c:pt idx="2984">
                <c:v>0</c:v>
              </c:pt>
              <c:pt idx="2985">
                <c:v>6.5431441369108223E-2</c:v>
              </c:pt>
              <c:pt idx="2986">
                <c:v>6.5431441369108223E-2</c:v>
              </c:pt>
              <c:pt idx="2987">
                <c:v>0</c:v>
              </c:pt>
              <c:pt idx="2988">
                <c:v>0</c:v>
              </c:pt>
              <c:pt idx="2989">
                <c:v>6.5431441369108223E-2</c:v>
              </c:pt>
              <c:pt idx="2990">
                <c:v>6.5431441369108223E-2</c:v>
              </c:pt>
              <c:pt idx="2991">
                <c:v>0</c:v>
              </c:pt>
              <c:pt idx="2992">
                <c:v>0</c:v>
              </c:pt>
              <c:pt idx="2993">
                <c:v>6.5431441369108223E-2</c:v>
              </c:pt>
              <c:pt idx="2994">
                <c:v>6.5431441369108223E-2</c:v>
              </c:pt>
              <c:pt idx="2995">
                <c:v>0</c:v>
              </c:pt>
              <c:pt idx="2996">
                <c:v>0</c:v>
              </c:pt>
              <c:pt idx="2997">
                <c:v>6.5431441369108223E-2</c:v>
              </c:pt>
              <c:pt idx="2998">
                <c:v>6.5431441369108223E-2</c:v>
              </c:pt>
              <c:pt idx="2999">
                <c:v>0</c:v>
              </c:pt>
              <c:pt idx="3000">
                <c:v>0</c:v>
              </c:pt>
              <c:pt idx="3001">
                <c:v>6.5431441369108223E-2</c:v>
              </c:pt>
              <c:pt idx="3002">
                <c:v>6.5431441369108223E-2</c:v>
              </c:pt>
              <c:pt idx="3003">
                <c:v>0</c:v>
              </c:pt>
              <c:pt idx="3004">
                <c:v>0</c:v>
              </c:pt>
              <c:pt idx="3005">
                <c:v>6.5431441369108223E-2</c:v>
              </c:pt>
              <c:pt idx="3006">
                <c:v>6.5431441369108223E-2</c:v>
              </c:pt>
              <c:pt idx="3007">
                <c:v>0</c:v>
              </c:pt>
              <c:pt idx="3008">
                <c:v>0</c:v>
              </c:pt>
              <c:pt idx="3009">
                <c:v>6.5431441369108223E-2</c:v>
              </c:pt>
              <c:pt idx="3010">
                <c:v>6.5431441369108223E-2</c:v>
              </c:pt>
              <c:pt idx="3011">
                <c:v>0</c:v>
              </c:pt>
              <c:pt idx="3012">
                <c:v>0</c:v>
              </c:pt>
              <c:pt idx="3013">
                <c:v>6.5431441369108223E-2</c:v>
              </c:pt>
              <c:pt idx="3014">
                <c:v>6.5431441369108223E-2</c:v>
              </c:pt>
              <c:pt idx="3015">
                <c:v>0</c:v>
              </c:pt>
              <c:pt idx="3016">
                <c:v>0</c:v>
              </c:pt>
              <c:pt idx="3017">
                <c:v>6.5431441369108223E-2</c:v>
              </c:pt>
              <c:pt idx="3018">
                <c:v>6.5431441369108223E-2</c:v>
              </c:pt>
              <c:pt idx="3019">
                <c:v>0</c:v>
              </c:pt>
              <c:pt idx="3020">
                <c:v>0</c:v>
              </c:pt>
              <c:pt idx="3021">
                <c:v>6.5431441369108223E-2</c:v>
              </c:pt>
              <c:pt idx="3022">
                <c:v>6.5431441369108223E-2</c:v>
              </c:pt>
              <c:pt idx="3023">
                <c:v>0</c:v>
              </c:pt>
              <c:pt idx="3024">
                <c:v>0</c:v>
              </c:pt>
              <c:pt idx="3025">
                <c:v>6.5431441369108223E-2</c:v>
              </c:pt>
              <c:pt idx="3026">
                <c:v>6.5431441369108223E-2</c:v>
              </c:pt>
              <c:pt idx="3027">
                <c:v>0</c:v>
              </c:pt>
              <c:pt idx="3028">
                <c:v>0</c:v>
              </c:pt>
              <c:pt idx="3029">
                <c:v>6.5431441369108223E-2</c:v>
              </c:pt>
              <c:pt idx="3030">
                <c:v>6.5431441369108223E-2</c:v>
              </c:pt>
              <c:pt idx="3031">
                <c:v>0</c:v>
              </c:pt>
              <c:pt idx="3032">
                <c:v>0</c:v>
              </c:pt>
              <c:pt idx="3033">
                <c:v>6.5431441369108223E-2</c:v>
              </c:pt>
              <c:pt idx="3034">
                <c:v>6.5431441369108223E-2</c:v>
              </c:pt>
              <c:pt idx="3035">
                <c:v>0</c:v>
              </c:pt>
              <c:pt idx="3036">
                <c:v>0</c:v>
              </c:pt>
              <c:pt idx="3037">
                <c:v>6.5431441369108223E-2</c:v>
              </c:pt>
              <c:pt idx="3038">
                <c:v>6.5431441369108223E-2</c:v>
              </c:pt>
              <c:pt idx="3039">
                <c:v>0</c:v>
              </c:pt>
              <c:pt idx="3040">
                <c:v>0</c:v>
              </c:pt>
              <c:pt idx="3041">
                <c:v>6.5431441369108223E-2</c:v>
              </c:pt>
              <c:pt idx="3042">
                <c:v>6.5431441369108223E-2</c:v>
              </c:pt>
              <c:pt idx="3043">
                <c:v>0</c:v>
              </c:pt>
              <c:pt idx="3044">
                <c:v>0</c:v>
              </c:pt>
              <c:pt idx="3045">
                <c:v>6.5431441369108223E-2</c:v>
              </c:pt>
              <c:pt idx="3046">
                <c:v>6.5431441369108223E-2</c:v>
              </c:pt>
              <c:pt idx="3047">
                <c:v>0</c:v>
              </c:pt>
              <c:pt idx="3048">
                <c:v>0</c:v>
              </c:pt>
              <c:pt idx="3049">
                <c:v>6.5431441369108223E-2</c:v>
              </c:pt>
              <c:pt idx="3050">
                <c:v>6.5431441369108223E-2</c:v>
              </c:pt>
              <c:pt idx="3051">
                <c:v>0</c:v>
              </c:pt>
              <c:pt idx="3052">
                <c:v>0</c:v>
              </c:pt>
              <c:pt idx="3053">
                <c:v>6.5431441369108223E-2</c:v>
              </c:pt>
              <c:pt idx="3054">
                <c:v>6.5431441369108223E-2</c:v>
              </c:pt>
              <c:pt idx="3055">
                <c:v>0</c:v>
              </c:pt>
              <c:pt idx="3056">
                <c:v>0</c:v>
              </c:pt>
              <c:pt idx="3057">
                <c:v>6.5431441369108223E-2</c:v>
              </c:pt>
              <c:pt idx="3058">
                <c:v>6.5431441369108223E-2</c:v>
              </c:pt>
              <c:pt idx="3059">
                <c:v>0</c:v>
              </c:pt>
              <c:pt idx="3060">
                <c:v>0</c:v>
              </c:pt>
              <c:pt idx="3061">
                <c:v>6.5431441369108223E-2</c:v>
              </c:pt>
              <c:pt idx="3062">
                <c:v>6.5431441369108223E-2</c:v>
              </c:pt>
              <c:pt idx="3063">
                <c:v>0</c:v>
              </c:pt>
              <c:pt idx="3064">
                <c:v>0</c:v>
              </c:pt>
              <c:pt idx="3065">
                <c:v>6.5431441369108223E-2</c:v>
              </c:pt>
              <c:pt idx="3066">
                <c:v>6.5431441369108223E-2</c:v>
              </c:pt>
              <c:pt idx="3067">
                <c:v>0</c:v>
              </c:pt>
              <c:pt idx="3068">
                <c:v>0</c:v>
              </c:pt>
              <c:pt idx="3069">
                <c:v>6.5431441369108223E-2</c:v>
              </c:pt>
              <c:pt idx="3070">
                <c:v>6.5431441369108223E-2</c:v>
              </c:pt>
              <c:pt idx="3071">
                <c:v>0</c:v>
              </c:pt>
              <c:pt idx="3072">
                <c:v>0</c:v>
              </c:pt>
              <c:pt idx="3073">
                <c:v>6.5431441369108223E-2</c:v>
              </c:pt>
              <c:pt idx="3074">
                <c:v>6.5431441369108223E-2</c:v>
              </c:pt>
              <c:pt idx="3075">
                <c:v>0</c:v>
              </c:pt>
              <c:pt idx="3076">
                <c:v>0</c:v>
              </c:pt>
              <c:pt idx="3077">
                <c:v>6.5431441369108223E-2</c:v>
              </c:pt>
              <c:pt idx="3078">
                <c:v>6.5431441369108223E-2</c:v>
              </c:pt>
              <c:pt idx="3079">
                <c:v>0</c:v>
              </c:pt>
              <c:pt idx="3080">
                <c:v>0</c:v>
              </c:pt>
              <c:pt idx="3081">
                <c:v>6.5431441369108223E-2</c:v>
              </c:pt>
              <c:pt idx="3082">
                <c:v>6.5431441369108223E-2</c:v>
              </c:pt>
              <c:pt idx="3083">
                <c:v>0</c:v>
              </c:pt>
              <c:pt idx="3084">
                <c:v>0</c:v>
              </c:pt>
              <c:pt idx="3085">
                <c:v>6.5431441369108223E-2</c:v>
              </c:pt>
              <c:pt idx="3086">
                <c:v>6.5431441369108223E-2</c:v>
              </c:pt>
              <c:pt idx="3087">
                <c:v>0</c:v>
              </c:pt>
              <c:pt idx="3088">
                <c:v>0</c:v>
              </c:pt>
              <c:pt idx="3089">
                <c:v>6.5431441369108223E-2</c:v>
              </c:pt>
              <c:pt idx="3090">
                <c:v>6.5431441369108223E-2</c:v>
              </c:pt>
              <c:pt idx="3091">
                <c:v>0</c:v>
              </c:pt>
              <c:pt idx="3092">
                <c:v>0</c:v>
              </c:pt>
              <c:pt idx="3093">
                <c:v>6.5431441369108223E-2</c:v>
              </c:pt>
              <c:pt idx="3094">
                <c:v>6.5431441369108223E-2</c:v>
              </c:pt>
              <c:pt idx="3095">
                <c:v>0</c:v>
              </c:pt>
              <c:pt idx="3096">
                <c:v>0</c:v>
              </c:pt>
              <c:pt idx="3097">
                <c:v>6.5431441369108223E-2</c:v>
              </c:pt>
              <c:pt idx="3098">
                <c:v>6.5431441369108223E-2</c:v>
              </c:pt>
              <c:pt idx="3099">
                <c:v>0</c:v>
              </c:pt>
              <c:pt idx="3100">
                <c:v>0</c:v>
              </c:pt>
              <c:pt idx="3101">
                <c:v>6.5431441369108223E-2</c:v>
              </c:pt>
              <c:pt idx="3102">
                <c:v>6.5431441369108223E-2</c:v>
              </c:pt>
              <c:pt idx="3103">
                <c:v>0</c:v>
              </c:pt>
              <c:pt idx="3104">
                <c:v>6.5431441369108223E-2</c:v>
              </c:pt>
              <c:pt idx="3105">
                <c:v>0</c:v>
              </c:pt>
            </c:numLit>
          </c:yVal>
          <c:smooth val="0"/>
        </c:ser>
        <c:ser>
          <c:idx val="3"/>
          <c:order val="3"/>
          <c:spPr>
            <a:ln w="25400">
              <a:solidFill>
                <a:srgbClr val="000000"/>
              </a:solidFill>
              <a:prstDash val="solid"/>
            </a:ln>
          </c:spPr>
          <c:marker>
            <c:symbol val="none"/>
          </c:marker>
          <c:xVal>
            <c:numLit>
              <c:formatCode>General</c:formatCode>
              <c:ptCount val="65"/>
              <c:pt idx="0">
                <c:v>0.12816284596920013</c:v>
              </c:pt>
              <c:pt idx="1">
                <c:v>0.12816284596920013</c:v>
              </c:pt>
              <c:pt idx="2">
                <c:v>0.12816284596920013</c:v>
              </c:pt>
              <c:pt idx="3">
                <c:v>0.15261592183794301</c:v>
              </c:pt>
              <c:pt idx="4">
                <c:v>0.15261592183794301</c:v>
              </c:pt>
              <c:pt idx="5">
                <c:v>0.15261592183794301</c:v>
              </c:pt>
              <c:pt idx="6">
                <c:v>0.17706899770668574</c:v>
              </c:pt>
              <c:pt idx="7">
                <c:v>0.17706899770668574</c:v>
              </c:pt>
              <c:pt idx="8">
                <c:v>0.17706899770668574</c:v>
              </c:pt>
              <c:pt idx="9">
                <c:v>0.20152207357542862</c:v>
              </c:pt>
              <c:pt idx="10">
                <c:v>0.20152207357542862</c:v>
              </c:pt>
              <c:pt idx="11">
                <c:v>0.20152207357542862</c:v>
              </c:pt>
              <c:pt idx="12">
                <c:v>0.22597514944417141</c:v>
              </c:pt>
              <c:pt idx="13">
                <c:v>0.22597514944417141</c:v>
              </c:pt>
              <c:pt idx="14">
                <c:v>0.22597514944417141</c:v>
              </c:pt>
              <c:pt idx="15">
                <c:v>0.25042822531291437</c:v>
              </c:pt>
              <c:pt idx="16">
                <c:v>0.25042822531291437</c:v>
              </c:pt>
              <c:pt idx="17">
                <c:v>0.25042822531291437</c:v>
              </c:pt>
              <c:pt idx="18">
                <c:v>0.27488130118165721</c:v>
              </c:pt>
              <c:pt idx="19">
                <c:v>0.27488130118165721</c:v>
              </c:pt>
              <c:pt idx="20">
                <c:v>0.27488130118165721</c:v>
              </c:pt>
              <c:pt idx="21">
                <c:v>0.29933437705039989</c:v>
              </c:pt>
              <c:pt idx="22">
                <c:v>0.29933437705039989</c:v>
              </c:pt>
              <c:pt idx="23">
                <c:v>0.29933437705039989</c:v>
              </c:pt>
              <c:pt idx="24">
                <c:v>0.32378745291914274</c:v>
              </c:pt>
              <c:pt idx="25">
                <c:v>0.32378745291914274</c:v>
              </c:pt>
              <c:pt idx="26">
                <c:v>0.32378745291914274</c:v>
              </c:pt>
              <c:pt idx="27">
                <c:v>0.34824052878788542</c:v>
              </c:pt>
              <c:pt idx="28">
                <c:v>0.34824052878788542</c:v>
              </c:pt>
              <c:pt idx="29">
                <c:v>0.34824052878788542</c:v>
              </c:pt>
              <c:pt idx="30">
                <c:v>0.37269360465662821</c:v>
              </c:pt>
              <c:pt idx="31">
                <c:v>0.37269360465662821</c:v>
              </c:pt>
              <c:pt idx="32">
                <c:v>0.37269360465662821</c:v>
              </c:pt>
              <c:pt idx="33">
                <c:v>0.39714668052537111</c:v>
              </c:pt>
              <c:pt idx="34">
                <c:v>0.39714668052537111</c:v>
              </c:pt>
              <c:pt idx="35">
                <c:v>0.39714668052537111</c:v>
              </c:pt>
              <c:pt idx="36">
                <c:v>0.42159975639411384</c:v>
              </c:pt>
              <c:pt idx="37">
                <c:v>0.42159975639411384</c:v>
              </c:pt>
              <c:pt idx="38">
                <c:v>0.42159975639411384</c:v>
              </c:pt>
              <c:pt idx="39">
                <c:v>0.44605283226285686</c:v>
              </c:pt>
              <c:pt idx="40">
                <c:v>0.44605283226285686</c:v>
              </c:pt>
              <c:pt idx="41">
                <c:v>0.44605283226285686</c:v>
              </c:pt>
              <c:pt idx="42">
                <c:v>0.47050590813159943</c:v>
              </c:pt>
              <c:pt idx="43">
                <c:v>0.47050590813159943</c:v>
              </c:pt>
              <c:pt idx="44">
                <c:v>0.47050590813159943</c:v>
              </c:pt>
              <c:pt idx="45">
                <c:v>0.49495898400034244</c:v>
              </c:pt>
              <c:pt idx="46">
                <c:v>0.49495898400034244</c:v>
              </c:pt>
              <c:pt idx="47">
                <c:v>0.49495898400034244</c:v>
              </c:pt>
              <c:pt idx="48">
                <c:v>0.51941205986908479</c:v>
              </c:pt>
              <c:pt idx="49">
                <c:v>0.51941205986908479</c:v>
              </c:pt>
              <c:pt idx="50">
                <c:v>0.51941205986908479</c:v>
              </c:pt>
              <c:pt idx="51">
                <c:v>0.54386513573782758</c:v>
              </c:pt>
              <c:pt idx="52">
                <c:v>0.54386513573782758</c:v>
              </c:pt>
              <c:pt idx="53">
                <c:v>0.54386513573782758</c:v>
              </c:pt>
              <c:pt idx="54">
                <c:v>0.56831821160657092</c:v>
              </c:pt>
              <c:pt idx="55">
                <c:v>0.56831821160657092</c:v>
              </c:pt>
              <c:pt idx="56">
                <c:v>0.56831821160657092</c:v>
              </c:pt>
              <c:pt idx="57">
                <c:v>0.5927712874753136</c:v>
              </c:pt>
              <c:pt idx="58">
                <c:v>0.5927712874753136</c:v>
              </c:pt>
              <c:pt idx="59">
                <c:v>0.5927712874753136</c:v>
              </c:pt>
              <c:pt idx="60">
                <c:v>0.6172243633440565</c:v>
              </c:pt>
              <c:pt idx="61">
                <c:v>0.6172243633440565</c:v>
              </c:pt>
              <c:pt idx="62">
                <c:v>0.6172243633440565</c:v>
              </c:pt>
              <c:pt idx="63">
                <c:v>0.64167743921279952</c:v>
              </c:pt>
              <c:pt idx="64">
                <c:v>0.64167743921279952</c:v>
              </c:pt>
            </c:numLit>
          </c:xVal>
          <c:yVal>
            <c:numLit>
              <c:formatCode>General</c:formatCode>
              <c:ptCount val="65"/>
              <c:pt idx="0">
                <c:v>0</c:v>
              </c:pt>
              <c:pt idx="1">
                <c:v>0</c:v>
              </c:pt>
              <c:pt idx="2">
                <c:v>0.14722074308049357</c:v>
              </c:pt>
              <c:pt idx="3">
                <c:v>0.14722074308049357</c:v>
              </c:pt>
              <c:pt idx="4">
                <c:v>0</c:v>
              </c:pt>
              <c:pt idx="5">
                <c:v>0.35169399735895684</c:v>
              </c:pt>
              <c:pt idx="6">
                <c:v>0.35169399735895684</c:v>
              </c:pt>
              <c:pt idx="7">
                <c:v>0</c:v>
              </c:pt>
              <c:pt idx="8">
                <c:v>1.0141873412211779</c:v>
              </c:pt>
              <c:pt idx="9">
                <c:v>1.0141873412211779</c:v>
              </c:pt>
              <c:pt idx="10">
                <c:v>0</c:v>
              </c:pt>
              <c:pt idx="11">
                <c:v>1.5294599420029042</c:v>
              </c:pt>
              <c:pt idx="12">
                <c:v>1.5294599420029042</c:v>
              </c:pt>
              <c:pt idx="13">
                <c:v>0</c:v>
              </c:pt>
              <c:pt idx="14">
                <c:v>2.1755954255228471</c:v>
              </c:pt>
              <c:pt idx="15">
                <c:v>2.1755954255228471</c:v>
              </c:pt>
              <c:pt idx="16">
                <c:v>0</c:v>
              </c:pt>
              <c:pt idx="17">
                <c:v>2.7890151883582379</c:v>
              </c:pt>
              <c:pt idx="18">
                <c:v>2.7890151883582379</c:v>
              </c:pt>
              <c:pt idx="19">
                <c:v>0</c:v>
              </c:pt>
              <c:pt idx="20">
                <c:v>3.5251189037607045</c:v>
              </c:pt>
              <c:pt idx="21">
                <c:v>3.5251189037607045</c:v>
              </c:pt>
              <c:pt idx="22">
                <c:v>0</c:v>
              </c:pt>
              <c:pt idx="23">
                <c:v>3.8359182502639682</c:v>
              </c:pt>
              <c:pt idx="24">
                <c:v>3.8359182502639682</c:v>
              </c:pt>
              <c:pt idx="25">
                <c:v>0</c:v>
              </c:pt>
              <c:pt idx="26">
                <c:v>4.4248012225859403</c:v>
              </c:pt>
              <c:pt idx="27">
                <c:v>4.4248012225859403</c:v>
              </c:pt>
              <c:pt idx="28">
                <c:v>0</c:v>
              </c:pt>
              <c:pt idx="29">
                <c:v>4.49841159412619</c:v>
              </c:pt>
              <c:pt idx="30">
                <c:v>4.49841159412619</c:v>
              </c:pt>
              <c:pt idx="31">
                <c:v>0</c:v>
              </c:pt>
              <c:pt idx="32">
                <c:v>4.1140018760826766</c:v>
              </c:pt>
              <c:pt idx="33">
                <c:v>4.1140018760826766</c:v>
              </c:pt>
              <c:pt idx="34">
                <c:v>0</c:v>
              </c:pt>
              <c:pt idx="35">
                <c:v>3.860455040777385</c:v>
              </c:pt>
              <c:pt idx="36">
                <c:v>3.860455040777385</c:v>
              </c:pt>
              <c:pt idx="37">
                <c:v>0</c:v>
              </c:pt>
              <c:pt idx="38">
                <c:v>2.8871623504118999</c:v>
              </c:pt>
              <c:pt idx="39">
                <c:v>2.8871623504118999</c:v>
              </c:pt>
              <c:pt idx="40">
                <c:v>0</c:v>
              </c:pt>
              <c:pt idx="41">
                <c:v>1.9220485902175541</c:v>
              </c:pt>
              <c:pt idx="42">
                <c:v>1.9220485902175541</c:v>
              </c:pt>
              <c:pt idx="43">
                <c:v>0</c:v>
              </c:pt>
              <c:pt idx="44">
                <c:v>1.5867124532008743</c:v>
              </c:pt>
              <c:pt idx="45">
                <c:v>1.5867124532008743</c:v>
              </c:pt>
              <c:pt idx="46">
                <c:v>0</c:v>
              </c:pt>
              <c:pt idx="47">
                <c:v>0.97329269036548505</c:v>
              </c:pt>
              <c:pt idx="48">
                <c:v>0.97329269036548505</c:v>
              </c:pt>
              <c:pt idx="49">
                <c:v>0</c:v>
              </c:pt>
              <c:pt idx="50">
                <c:v>0.5807040421508356</c:v>
              </c:pt>
              <c:pt idx="51">
                <c:v>0.5807040421508356</c:v>
              </c:pt>
              <c:pt idx="52">
                <c:v>0</c:v>
              </c:pt>
              <c:pt idx="53">
                <c:v>0.38440971804351082</c:v>
              </c:pt>
              <c:pt idx="54">
                <c:v>0.38440971804351082</c:v>
              </c:pt>
              <c:pt idx="55">
                <c:v>0</c:v>
              </c:pt>
              <c:pt idx="56">
                <c:v>0.14722074308049357</c:v>
              </c:pt>
              <c:pt idx="57">
                <c:v>0.14722074308049357</c:v>
              </c:pt>
              <c:pt idx="58">
                <c:v>0</c:v>
              </c:pt>
              <c:pt idx="59">
                <c:v>8.1789301711385279E-2</c:v>
              </c:pt>
              <c:pt idx="60">
                <c:v>8.1789301711385279E-2</c:v>
              </c:pt>
              <c:pt idx="61">
                <c:v>0</c:v>
              </c:pt>
              <c:pt idx="62">
                <c:v>6.5431441369108223E-2</c:v>
              </c:pt>
              <c:pt idx="63">
                <c:v>6.5431441369108223E-2</c:v>
              </c:pt>
              <c:pt idx="64">
                <c:v>0</c:v>
              </c:pt>
            </c:numLit>
          </c:yVal>
          <c:smooth val="0"/>
        </c:ser>
        <c:ser>
          <c:idx val="4"/>
          <c:order val="4"/>
          <c:tx>
            <c:v>meanLabel</c:v>
          </c:tx>
          <c:spPr>
            <a:ln w="28575">
              <a:noFill/>
            </a:ln>
          </c:spPr>
          <c:marker>
            <c:symbol val="none"/>
          </c:marker>
          <c:xVal>
            <c:numLit>
              <c:formatCode>General</c:formatCode>
              <c:ptCount val="1"/>
              <c:pt idx="0">
                <c:v>0.35265639424324047</c:v>
              </c:pt>
            </c:numLit>
          </c:xVal>
          <c:yVal>
            <c:numLit>
              <c:formatCode>General</c:formatCode>
              <c:ptCount val="1"/>
              <c:pt idx="0">
                <c:v>0</c:v>
              </c:pt>
            </c:numLit>
          </c:yVal>
          <c:smooth val="0"/>
        </c:ser>
        <c:ser>
          <c:idx val="5"/>
          <c:order val="5"/>
          <c:tx>
            <c:v>xDelimiter</c:v>
          </c:tx>
          <c:spPr>
            <a:ln w="28575">
              <a:noFill/>
            </a:ln>
          </c:spPr>
          <c:marker>
            <c:symbol val="none"/>
          </c:marker>
          <c:dLbls>
            <c:dLbl>
              <c:idx val="0"/>
              <c:layout>
                <c:manualLayout>
                  <c:x val="-3.8044737441690686E-2"/>
                  <c:y val="-0.57268267272346263"/>
                </c:manualLayout>
              </c:layout>
              <c:tx>
                <c:rich>
                  <a:bodyPr/>
                  <a:lstStyle/>
                  <a:p>
                    <a:pPr>
                      <a:defRPr sz="800" b="0" i="0" u="none" strike="noStrike" baseline="0">
                        <a:solidFill>
                          <a:srgbClr val="000000"/>
                        </a:solidFill>
                        <a:latin typeface="Arial"/>
                        <a:ea typeface="Arial"/>
                        <a:cs typeface="Arial"/>
                      </a:defRPr>
                    </a:pPr>
                    <a:r>
                      <a:rPr lang="en-US"/>
                      <a:t>X &lt;=0.21</a:t>
                    </a:r>
                  </a:p>
                  <a:p>
                    <a:pPr>
                      <a:defRPr sz="800" b="0" i="0" u="none" strike="noStrike" baseline="0">
                        <a:solidFill>
                          <a:srgbClr val="000000"/>
                        </a:solidFill>
                        <a:latin typeface="Arial"/>
                        <a:ea typeface="Arial"/>
                        <a:cs typeface="Arial"/>
                      </a:defRPr>
                    </a:pPr>
                    <a:r>
                      <a:rPr lang="en-US"/>
                      <a:t>5%</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Lst>
            </c:dLbl>
            <c:dLbl>
              <c:idx val="1"/>
              <c:layout>
                <c:manualLayout>
                  <c:x val="-3.7839991811490177E-2"/>
                  <c:y val="-0.57268267272346263"/>
                </c:manualLayout>
              </c:layout>
              <c:tx>
                <c:rich>
                  <a:bodyPr/>
                  <a:lstStyle/>
                  <a:p>
                    <a:pPr>
                      <a:defRPr sz="800" b="0" i="0" u="none" strike="noStrike" baseline="0">
                        <a:solidFill>
                          <a:srgbClr val="000000"/>
                        </a:solidFill>
                        <a:latin typeface="Arial"/>
                        <a:ea typeface="Arial"/>
                        <a:cs typeface="Arial"/>
                      </a:defRPr>
                    </a:pPr>
                    <a:r>
                      <a:rPr lang="en-US"/>
                      <a:t>X &lt;=0.5</a:t>
                    </a:r>
                  </a:p>
                  <a:p>
                    <a:pPr>
                      <a:defRPr sz="800" b="0" i="0" u="none" strike="noStrike" baseline="0">
                        <a:solidFill>
                          <a:srgbClr val="000000"/>
                        </a:solidFill>
                        <a:latin typeface="Arial"/>
                        <a:ea typeface="Arial"/>
                        <a:cs typeface="Arial"/>
                      </a:defRPr>
                    </a:pPr>
                    <a:r>
                      <a:rPr lang="en-US"/>
                      <a:t>95%</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errBars>
            <c:errDir val="y"/>
            <c:errBarType val="plus"/>
            <c:errValType val="fixedVal"/>
            <c:noEndCap val="0"/>
            <c:val val="5"/>
            <c:spPr>
              <a:ln w="25400">
                <a:solidFill>
                  <a:srgbClr val="C0C0C0"/>
                </a:solidFill>
                <a:prstDash val="solid"/>
              </a:ln>
            </c:spPr>
          </c:errBars>
          <c:xVal>
            <c:numLit>
              <c:formatCode>General</c:formatCode>
              <c:ptCount val="3"/>
              <c:pt idx="0">
                <c:v>0.21195816993713387</c:v>
              </c:pt>
              <c:pt idx="1">
                <c:v>0.4982266128063203</c:v>
              </c:pt>
            </c:numLit>
          </c:xVal>
          <c:yVal>
            <c:numLit>
              <c:formatCode>General</c:formatCode>
              <c:ptCount val="3"/>
              <c:pt idx="0">
                <c:v>0</c:v>
              </c:pt>
              <c:pt idx="1">
                <c:v>0</c:v>
              </c:pt>
            </c:numLit>
          </c:yVal>
          <c:smooth val="0"/>
        </c:ser>
        <c:dLbls>
          <c:showLegendKey val="0"/>
          <c:showVal val="0"/>
          <c:showCatName val="0"/>
          <c:showSerName val="0"/>
          <c:showPercent val="0"/>
          <c:showBubbleSize val="0"/>
        </c:dLbls>
        <c:axId val="544722712"/>
        <c:axId val="544723104"/>
      </c:scatterChart>
      <c:valAx>
        <c:axId val="544722712"/>
        <c:scaling>
          <c:orientation val="minMax"/>
          <c:max val="0.70000000000000018"/>
          <c:min val="0.1"/>
        </c:scaling>
        <c:delete val="0"/>
        <c:axPos val="b"/>
        <c:title>
          <c:tx>
            <c:rich>
              <a:bodyPr/>
              <a:lstStyle/>
              <a:p>
                <a:pPr>
                  <a:defRPr sz="875" b="1" i="0" u="none" strike="noStrike" baseline="0">
                    <a:solidFill>
                      <a:srgbClr val="000000"/>
                    </a:solidFill>
                    <a:latin typeface="Arial"/>
                    <a:ea typeface="Arial"/>
                    <a:cs typeface="Arial"/>
                  </a:defRPr>
                </a:pPr>
                <a:r>
                  <a:rPr lang="en-US"/>
                  <a:t> Estimated ERR</a:t>
                </a:r>
              </a:p>
            </c:rich>
          </c:tx>
          <c:layout>
            <c:manualLayout>
              <c:xMode val="edge"/>
              <c:yMode val="edge"/>
              <c:x val="0.45678434794531858"/>
              <c:y val="0.89678197782080815"/>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44723104"/>
        <c:crossesAt val="0"/>
        <c:crossBetween val="midCat"/>
        <c:majorUnit val="0.15000000000000005"/>
      </c:valAx>
      <c:valAx>
        <c:axId val="544723104"/>
        <c:scaling>
          <c:orientation val="minMax"/>
          <c:max val="5"/>
          <c:min val="0"/>
        </c:scaling>
        <c:delete val="0"/>
        <c:axPos val="l"/>
        <c:title>
          <c:tx>
            <c:rich>
              <a:bodyPr/>
              <a:lstStyle/>
              <a:p>
                <a:pPr>
                  <a:defRPr sz="1000" b="1" i="0" u="none" strike="noStrike" baseline="0">
                    <a:solidFill>
                      <a:srgbClr val="000000"/>
                    </a:solidFill>
                    <a:latin typeface="Arial"/>
                    <a:ea typeface="Arial"/>
                    <a:cs typeface="Arial"/>
                  </a:defRPr>
                </a:pPr>
                <a:r>
                  <a:rPr lang="en-US"/>
                  <a:t> </a:t>
                </a:r>
              </a:p>
            </c:rich>
          </c:tx>
          <c:layout>
            <c:manualLayout>
              <c:xMode val="edge"/>
              <c:yMode val="edge"/>
              <c:x val="2.5289098848183741E-2"/>
              <c:y val="0.54477409867619231"/>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44722712"/>
        <c:crossesAt val="0.1"/>
        <c:crossBetween val="midCat"/>
        <c:majorUnit val="0.5"/>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378198</xdr:colOff>
      <xdr:row>0</xdr:row>
      <xdr:rowOff>0</xdr:rowOff>
    </xdr:from>
    <xdr:to>
      <xdr:col>2</xdr:col>
      <xdr:colOff>1694890</xdr:colOff>
      <xdr:row>8</xdr:row>
      <xdr:rowOff>66532</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4301" y="0"/>
          <a:ext cx="3473824" cy="124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46265</xdr:colOff>
      <xdr:row>0</xdr:row>
      <xdr:rowOff>93551</xdr:rowOff>
    </xdr:from>
    <xdr:to>
      <xdr:col>10</xdr:col>
      <xdr:colOff>730464</xdr:colOff>
      <xdr:row>0</xdr:row>
      <xdr:rowOff>228601</xdr:rowOff>
    </xdr:to>
    <xdr:pic>
      <xdr:nvPicPr>
        <xdr:cNvPr id="2" name="Picture 5" descr="MCC horizontal"/>
        <xdr:cNvPicPr>
          <a:picLocks noChangeAspect="1" noChangeArrowheads="1"/>
        </xdr:cNvPicPr>
      </xdr:nvPicPr>
      <xdr:blipFill>
        <a:blip xmlns:r="http://schemas.openxmlformats.org/officeDocument/2006/relationships" r:embed="rId1" cstate="print"/>
        <a:srcRect/>
        <a:stretch>
          <a:fillRect/>
        </a:stretch>
      </xdr:blipFill>
      <xdr:spPr bwMode="auto">
        <a:xfrm>
          <a:off x="5313590" y="93551"/>
          <a:ext cx="2170099" cy="1350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65315</xdr:colOff>
      <xdr:row>0</xdr:row>
      <xdr:rowOff>112602</xdr:rowOff>
    </xdr:from>
    <xdr:to>
      <xdr:col>10</xdr:col>
      <xdr:colOff>749514</xdr:colOff>
      <xdr:row>1</xdr:row>
      <xdr:rowOff>1</xdr:rowOff>
    </xdr:to>
    <xdr:pic>
      <xdr:nvPicPr>
        <xdr:cNvPr id="2" name="Picture 5" descr="MCC horizontal"/>
        <xdr:cNvPicPr>
          <a:picLocks noChangeAspect="1" noChangeArrowheads="1"/>
        </xdr:cNvPicPr>
      </xdr:nvPicPr>
      <xdr:blipFill>
        <a:blip xmlns:r="http://schemas.openxmlformats.org/officeDocument/2006/relationships" r:embed="rId1" cstate="print"/>
        <a:srcRect/>
        <a:stretch>
          <a:fillRect/>
        </a:stretch>
      </xdr:blipFill>
      <xdr:spPr bwMode="auto">
        <a:xfrm>
          <a:off x="5332640" y="112602"/>
          <a:ext cx="2170099" cy="1445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5008306</xdr:colOff>
      <xdr:row>0</xdr:row>
      <xdr:rowOff>81935</xdr:rowOff>
    </xdr:from>
    <xdr:to>
      <xdr:col>2</xdr:col>
      <xdr:colOff>7177625</xdr:colOff>
      <xdr:row>0</xdr:row>
      <xdr:rowOff>239097</xdr:rowOff>
    </xdr:to>
    <xdr:pic>
      <xdr:nvPicPr>
        <xdr:cNvPr id="3" name="Picture 5" descr="MCC horizontal"/>
        <xdr:cNvPicPr>
          <a:picLocks noChangeAspect="1" noChangeArrowheads="1"/>
        </xdr:cNvPicPr>
      </xdr:nvPicPr>
      <xdr:blipFill>
        <a:blip xmlns:r="http://schemas.openxmlformats.org/officeDocument/2006/relationships" r:embed="rId1" cstate="print"/>
        <a:srcRect/>
        <a:stretch>
          <a:fillRect/>
        </a:stretch>
      </xdr:blipFill>
      <xdr:spPr bwMode="auto">
        <a:xfrm>
          <a:off x="5766209" y="81935"/>
          <a:ext cx="2169319" cy="15716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11906</xdr:colOff>
      <xdr:row>25</xdr:row>
      <xdr:rowOff>59531</xdr:rowOff>
    </xdr:from>
    <xdr:to>
      <xdr:col>5</xdr:col>
      <xdr:colOff>914400</xdr:colOff>
      <xdr:row>48</xdr:row>
      <xdr:rowOff>11906</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xdr:colOff>
      <xdr:row>50</xdr:row>
      <xdr:rowOff>0</xdr:rowOff>
    </xdr:from>
    <xdr:to>
      <xdr:col>5</xdr:col>
      <xdr:colOff>914400</xdr:colOff>
      <xdr:row>74</xdr:row>
      <xdr:rowOff>47625</xdr:rowOff>
    </xdr:to>
    <xdr:graphicFrame macro="">
      <xdr:nvGraphicFramePr>
        <xdr:cNvPr id="40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876300</xdr:colOff>
      <xdr:row>1</xdr:row>
      <xdr:rowOff>152400</xdr:rowOff>
    </xdr:from>
    <xdr:to>
      <xdr:col>7</xdr:col>
      <xdr:colOff>57150</xdr:colOff>
      <xdr:row>2</xdr:row>
      <xdr:rowOff>47625</xdr:rowOff>
    </xdr:to>
    <xdr:pic>
      <xdr:nvPicPr>
        <xdr:cNvPr id="4101" name="Picture 5" descr="MCC horizontal"/>
        <xdr:cNvPicPr>
          <a:picLocks noChangeAspect="1" noChangeArrowheads="1"/>
        </xdr:cNvPicPr>
      </xdr:nvPicPr>
      <xdr:blipFill>
        <a:blip xmlns:r="http://schemas.openxmlformats.org/officeDocument/2006/relationships" r:embed="rId3" cstate="print"/>
        <a:srcRect/>
        <a:stretch>
          <a:fillRect/>
        </a:stretch>
      </xdr:blipFill>
      <xdr:spPr bwMode="auto">
        <a:xfrm>
          <a:off x="7924800" y="319088"/>
          <a:ext cx="2169319" cy="157162"/>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8</xdr:col>
          <xdr:colOff>19050</xdr:colOff>
          <xdr:row>6</xdr:row>
          <xdr:rowOff>19050</xdr:rowOff>
        </xdr:from>
        <xdr:to>
          <xdr:col>8</xdr:col>
          <xdr:colOff>1485900</xdr:colOff>
          <xdr:row>7</xdr:row>
          <xdr:rowOff>123825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FF"/>
                  </a:solidFill>
                  <a:latin typeface="Arial"/>
                  <a:cs typeface="Arial"/>
                </a:rPr>
                <a:t>Reset</a:t>
              </a:r>
            </a:p>
            <a:p>
              <a:pPr algn="ctr" rtl="0">
                <a:defRPr sz="1000"/>
              </a:pPr>
              <a:r>
                <a:rPr lang="en-US" sz="1000" b="1" i="0" u="none" strike="noStrike" baseline="0">
                  <a:solidFill>
                    <a:srgbClr val="0000FF"/>
                  </a:solidFill>
                  <a:latin typeface="Arial"/>
                  <a:cs typeface="Arial"/>
                </a:rPr>
                <a:t>Parameters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18</xdr:col>
      <xdr:colOff>264321</xdr:colOff>
      <xdr:row>1</xdr:row>
      <xdr:rowOff>9525</xdr:rowOff>
    </xdr:from>
    <xdr:ext cx="2157148" cy="152400"/>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4446" y="200025"/>
          <a:ext cx="2157148"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7</xdr:col>
      <xdr:colOff>283369</xdr:colOff>
      <xdr:row>1</xdr:row>
      <xdr:rowOff>80962</xdr:rowOff>
    </xdr:from>
    <xdr:to>
      <xdr:col>10</xdr:col>
      <xdr:colOff>626270</xdr:colOff>
      <xdr:row>2</xdr:row>
      <xdr:rowOff>23812</xdr:rowOff>
    </xdr:to>
    <xdr:pic>
      <xdr:nvPicPr>
        <xdr:cNvPr id="3" name="Picture 5" descr="MCC horizontal"/>
        <xdr:cNvPicPr>
          <a:picLocks noChangeAspect="1" noChangeArrowheads="1"/>
        </xdr:cNvPicPr>
      </xdr:nvPicPr>
      <xdr:blipFill>
        <a:blip xmlns:r="http://schemas.openxmlformats.org/officeDocument/2006/relationships" r:embed="rId1" cstate="print"/>
        <a:srcRect/>
        <a:stretch>
          <a:fillRect/>
        </a:stretch>
      </xdr:blipFill>
      <xdr:spPr bwMode="auto">
        <a:xfrm>
          <a:off x="6998494" y="247650"/>
          <a:ext cx="2164557" cy="20478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260957</xdr:colOff>
      <xdr:row>0</xdr:row>
      <xdr:rowOff>69756</xdr:rowOff>
    </xdr:from>
    <xdr:to>
      <xdr:col>19</xdr:col>
      <xdr:colOff>733846</xdr:colOff>
      <xdr:row>1</xdr:row>
      <xdr:rowOff>0</xdr:rowOff>
    </xdr:to>
    <xdr:pic>
      <xdr:nvPicPr>
        <xdr:cNvPr id="2" name="Picture 5" descr="MCC horizontal"/>
        <xdr:cNvPicPr>
          <a:picLocks noChangeAspect="1" noChangeArrowheads="1"/>
        </xdr:cNvPicPr>
      </xdr:nvPicPr>
      <xdr:blipFill>
        <a:blip xmlns:r="http://schemas.openxmlformats.org/officeDocument/2006/relationships" r:embed="rId1" cstate="print"/>
        <a:srcRect/>
        <a:stretch>
          <a:fillRect/>
        </a:stretch>
      </xdr:blipFill>
      <xdr:spPr bwMode="auto">
        <a:xfrm>
          <a:off x="8575722" y="69756"/>
          <a:ext cx="2153771" cy="18797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260957</xdr:colOff>
      <xdr:row>0</xdr:row>
      <xdr:rowOff>69756</xdr:rowOff>
    </xdr:from>
    <xdr:to>
      <xdr:col>18</xdr:col>
      <xdr:colOff>1171996</xdr:colOff>
      <xdr:row>1</xdr:row>
      <xdr:rowOff>95250</xdr:rowOff>
    </xdr:to>
    <xdr:pic>
      <xdr:nvPicPr>
        <xdr:cNvPr id="2" name="Picture 5" descr="MCC horizontal"/>
        <xdr:cNvPicPr>
          <a:picLocks noChangeAspect="1" noChangeArrowheads="1"/>
        </xdr:cNvPicPr>
      </xdr:nvPicPr>
      <xdr:blipFill>
        <a:blip xmlns:r="http://schemas.openxmlformats.org/officeDocument/2006/relationships" r:embed="rId1" cstate="print"/>
        <a:srcRect/>
        <a:stretch>
          <a:fillRect/>
        </a:stretch>
      </xdr:blipFill>
      <xdr:spPr bwMode="auto">
        <a:xfrm>
          <a:off x="8623907" y="69756"/>
          <a:ext cx="2158814" cy="187419"/>
        </a:xfrm>
        <a:prstGeom prst="rect">
          <a:avLst/>
        </a:prstGeom>
        <a:noFill/>
      </xdr:spPr>
    </xdr:pic>
    <xdr:clientData/>
  </xdr:twoCellAnchor>
  <xdr:twoCellAnchor editAs="oneCell">
    <xdr:from>
      <xdr:col>8</xdr:col>
      <xdr:colOff>571500</xdr:colOff>
      <xdr:row>0</xdr:row>
      <xdr:rowOff>59531</xdr:rowOff>
    </xdr:from>
    <xdr:to>
      <xdr:col>10</xdr:col>
      <xdr:colOff>201146</xdr:colOff>
      <xdr:row>0</xdr:row>
      <xdr:rowOff>247510</xdr:rowOff>
    </xdr:to>
    <xdr:pic>
      <xdr:nvPicPr>
        <xdr:cNvPr id="3" name="Picture 5" descr="MCC horizontal"/>
        <xdr:cNvPicPr>
          <a:picLocks noChangeAspect="1" noChangeArrowheads="1"/>
        </xdr:cNvPicPr>
      </xdr:nvPicPr>
      <xdr:blipFill>
        <a:blip xmlns:r="http://schemas.openxmlformats.org/officeDocument/2006/relationships" r:embed="rId1" cstate="print"/>
        <a:srcRect/>
        <a:stretch>
          <a:fillRect/>
        </a:stretch>
      </xdr:blipFill>
      <xdr:spPr bwMode="auto">
        <a:xfrm>
          <a:off x="7203281" y="59531"/>
          <a:ext cx="2153771" cy="187979"/>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260957</xdr:colOff>
      <xdr:row>0</xdr:row>
      <xdr:rowOff>69756</xdr:rowOff>
    </xdr:from>
    <xdr:to>
      <xdr:col>21</xdr:col>
      <xdr:colOff>590971</xdr:colOff>
      <xdr:row>1</xdr:row>
      <xdr:rowOff>161925</xdr:rowOff>
    </xdr:to>
    <xdr:pic>
      <xdr:nvPicPr>
        <xdr:cNvPr id="2" name="Picture 5" descr="MCC horizontal"/>
        <xdr:cNvPicPr>
          <a:picLocks noChangeAspect="1" noChangeArrowheads="1"/>
        </xdr:cNvPicPr>
      </xdr:nvPicPr>
      <xdr:blipFill>
        <a:blip xmlns:r="http://schemas.openxmlformats.org/officeDocument/2006/relationships" r:embed="rId1" cstate="print"/>
        <a:srcRect/>
        <a:stretch>
          <a:fillRect/>
        </a:stretch>
      </xdr:blipFill>
      <xdr:spPr bwMode="auto">
        <a:xfrm>
          <a:off x="16748732" y="69756"/>
          <a:ext cx="2158814" cy="282669"/>
        </a:xfrm>
        <a:prstGeom prst="rect">
          <a:avLst/>
        </a:prstGeom>
        <a:noFill/>
      </xdr:spPr>
    </xdr:pic>
    <xdr:clientData/>
  </xdr:twoCellAnchor>
  <xdr:twoCellAnchor editAs="oneCell">
    <xdr:from>
      <xdr:col>9</xdr:col>
      <xdr:colOff>571500</xdr:colOff>
      <xdr:row>0</xdr:row>
      <xdr:rowOff>59531</xdr:rowOff>
    </xdr:from>
    <xdr:to>
      <xdr:col>12</xdr:col>
      <xdr:colOff>696446</xdr:colOff>
      <xdr:row>0</xdr:row>
      <xdr:rowOff>228600</xdr:rowOff>
    </xdr:to>
    <xdr:pic>
      <xdr:nvPicPr>
        <xdr:cNvPr id="3" name="Picture 5" descr="MCC horizontal"/>
        <xdr:cNvPicPr>
          <a:picLocks noChangeAspect="1" noChangeArrowheads="1"/>
        </xdr:cNvPicPr>
      </xdr:nvPicPr>
      <xdr:blipFill>
        <a:blip xmlns:r="http://schemas.openxmlformats.org/officeDocument/2006/relationships" r:embed="rId1" cstate="print"/>
        <a:srcRect/>
        <a:stretch>
          <a:fillRect/>
        </a:stretch>
      </xdr:blipFill>
      <xdr:spPr bwMode="auto">
        <a:xfrm>
          <a:off x="6448425" y="59531"/>
          <a:ext cx="2163296" cy="169069"/>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122465</xdr:colOff>
      <xdr:row>0</xdr:row>
      <xdr:rowOff>45925</xdr:rowOff>
    </xdr:from>
    <xdr:to>
      <xdr:col>13</xdr:col>
      <xdr:colOff>549489</xdr:colOff>
      <xdr:row>0</xdr:row>
      <xdr:rowOff>217715</xdr:rowOff>
    </xdr:to>
    <xdr:pic>
      <xdr:nvPicPr>
        <xdr:cNvPr id="3" name="Picture 5" descr="MCC horizontal"/>
        <xdr:cNvPicPr>
          <a:picLocks noChangeAspect="1" noChangeArrowheads="1"/>
        </xdr:cNvPicPr>
      </xdr:nvPicPr>
      <xdr:blipFill>
        <a:blip xmlns:r="http://schemas.openxmlformats.org/officeDocument/2006/relationships" r:embed="rId1" cstate="print"/>
        <a:srcRect/>
        <a:stretch>
          <a:fillRect/>
        </a:stretch>
      </xdr:blipFill>
      <xdr:spPr bwMode="auto">
        <a:xfrm>
          <a:off x="7211786" y="45925"/>
          <a:ext cx="2182346" cy="17179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Andersonsc\Local%20Settings\Temporary%20Internet%20Files\Mongolia%20Health%20ERR.IM%20Clean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 &amp; Sensitivity analysis"/>
      <sheetName val="Overview of worksheets"/>
      <sheetName val="ERR Summary"/>
      <sheetName val="Data &amp; Assumptions"/>
      <sheetName val="Hypertension"/>
      <sheetName val="Diabetes"/>
      <sheetName val="Cancer"/>
      <sheetName val="Indicators"/>
    </sheetNames>
    <sheetDataSet>
      <sheetData sheetId="0"/>
      <sheetData sheetId="1"/>
      <sheetData sheetId="2"/>
      <sheetData sheetId="3"/>
      <sheetData sheetId="4">
        <row r="5">
          <cell r="C5">
            <v>1.4999999999999999E-2</v>
          </cell>
        </row>
        <row r="6">
          <cell r="E6">
            <v>955.44908060203898</v>
          </cell>
        </row>
        <row r="27">
          <cell r="C27">
            <v>0.33</v>
          </cell>
        </row>
        <row r="28">
          <cell r="C28">
            <v>0.2</v>
          </cell>
        </row>
        <row r="32">
          <cell r="E32">
            <v>0.14285714285714285</v>
          </cell>
          <cell r="J32">
            <v>0.02</v>
          </cell>
        </row>
        <row r="33">
          <cell r="E33">
            <v>0.2</v>
          </cell>
          <cell r="J33">
            <v>0.04</v>
          </cell>
        </row>
        <row r="34">
          <cell r="E34">
            <v>0.33333333333333331</v>
          </cell>
          <cell r="J34">
            <v>0.06</v>
          </cell>
        </row>
        <row r="82">
          <cell r="J82">
            <v>0.02</v>
          </cell>
        </row>
        <row r="83">
          <cell r="J83">
            <v>0.04</v>
          </cell>
        </row>
        <row r="84">
          <cell r="J84">
            <v>0.06</v>
          </cell>
        </row>
      </sheetData>
      <sheetData sheetId="5">
        <row r="25">
          <cell r="C25">
            <v>0.2</v>
          </cell>
        </row>
        <row r="26">
          <cell r="C26">
            <v>0.1</v>
          </cell>
        </row>
        <row r="31">
          <cell r="E31">
            <v>0.25</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www.oanda.com/"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44"/>
  <sheetViews>
    <sheetView showGridLines="0" topLeftCell="C1" zoomScaleNormal="100" workbookViewId="0">
      <selection activeCell="F23" sqref="F23"/>
    </sheetView>
  </sheetViews>
  <sheetFormatPr defaultRowHeight="12.75" x14ac:dyDescent="0.2"/>
  <cols>
    <col min="1" max="1" width="3" style="510" customWidth="1"/>
    <col min="2" max="2" width="32.28515625" customWidth="1"/>
    <col min="3" max="3" width="76.42578125" customWidth="1"/>
    <col min="4" max="4" width="76.42578125" style="510" customWidth="1"/>
  </cols>
  <sheetData>
    <row r="1" spans="2:4" s="329" customFormat="1" ht="11.25" x14ac:dyDescent="0.2">
      <c r="C1" s="330"/>
      <c r="D1" s="330"/>
    </row>
    <row r="2" spans="2:4" ht="20.25" customHeight="1" x14ac:dyDescent="0.2">
      <c r="C2" s="564" t="s">
        <v>554</v>
      </c>
      <c r="D2" s="564"/>
    </row>
    <row r="3" spans="2:4" ht="12.75" customHeight="1" x14ac:dyDescent="0.2">
      <c r="C3" s="564"/>
      <c r="D3" s="564"/>
    </row>
    <row r="4" spans="2:4" ht="12.75" customHeight="1" x14ac:dyDescent="0.2">
      <c r="C4" s="564"/>
      <c r="D4" s="564"/>
    </row>
    <row r="5" spans="2:4" ht="11.25" customHeight="1" x14ac:dyDescent="0.2">
      <c r="C5" s="564"/>
      <c r="D5" s="564"/>
    </row>
    <row r="6" spans="2:4" ht="12.75" hidden="1" customHeight="1" x14ac:dyDescent="0.2">
      <c r="C6" s="564"/>
      <c r="D6" s="564"/>
    </row>
    <row r="7" spans="2:4" ht="18" customHeight="1" x14ac:dyDescent="0.2">
      <c r="C7" s="565" t="s">
        <v>555</v>
      </c>
      <c r="D7" s="565"/>
    </row>
    <row r="8" spans="2:4" s="510" customFormat="1" ht="6.75" customHeight="1" x14ac:dyDescent="0.2">
      <c r="D8" s="518"/>
    </row>
    <row r="9" spans="2:4" s="510" customFormat="1" ht="13.5" thickBot="1" x14ac:dyDescent="0.25">
      <c r="C9" s="517"/>
      <c r="D9" s="517"/>
    </row>
    <row r="10" spans="2:4" ht="18" customHeight="1" thickTop="1" thickBot="1" x14ac:dyDescent="0.25">
      <c r="B10" s="322" t="s">
        <v>480</v>
      </c>
      <c r="C10" s="389" t="s">
        <v>481</v>
      </c>
      <c r="D10" s="389" t="s">
        <v>556</v>
      </c>
    </row>
    <row r="11" spans="2:4" ht="18" customHeight="1" thickTop="1" x14ac:dyDescent="0.2">
      <c r="B11" s="325" t="s">
        <v>6</v>
      </c>
      <c r="C11" s="390" t="s">
        <v>7</v>
      </c>
      <c r="D11" s="538" t="s">
        <v>557</v>
      </c>
    </row>
    <row r="12" spans="2:4" ht="18" customHeight="1" x14ac:dyDescent="0.2">
      <c r="B12" s="324" t="s">
        <v>5</v>
      </c>
      <c r="C12" s="391">
        <v>40726</v>
      </c>
      <c r="D12" s="539">
        <v>42212</v>
      </c>
    </row>
    <row r="13" spans="2:4" ht="18" customHeight="1" x14ac:dyDescent="0.2">
      <c r="B13" s="323" t="s">
        <v>482</v>
      </c>
      <c r="C13" s="392" t="s">
        <v>483</v>
      </c>
      <c r="D13" s="540" t="s">
        <v>558</v>
      </c>
    </row>
    <row r="14" spans="2:4" ht="57.75" customHeight="1" x14ac:dyDescent="0.2">
      <c r="B14" s="324" t="s">
        <v>487</v>
      </c>
      <c r="C14" s="541" t="s">
        <v>584</v>
      </c>
      <c r="D14" s="541" t="s">
        <v>584</v>
      </c>
    </row>
    <row r="15" spans="2:4" x14ac:dyDescent="0.2">
      <c r="B15" s="562" t="s">
        <v>485</v>
      </c>
      <c r="C15" s="394" t="s">
        <v>1</v>
      </c>
      <c r="D15" s="542" t="s">
        <v>1</v>
      </c>
    </row>
    <row r="16" spans="2:4" x14ac:dyDescent="0.2">
      <c r="B16" s="563"/>
      <c r="C16" s="395" t="s">
        <v>38</v>
      </c>
      <c r="D16" s="543" t="s">
        <v>38</v>
      </c>
    </row>
    <row r="17" spans="2:4" ht="33" customHeight="1" x14ac:dyDescent="0.2">
      <c r="B17" s="324" t="s">
        <v>486</v>
      </c>
      <c r="C17" s="393" t="s">
        <v>0</v>
      </c>
      <c r="D17" s="541" t="s">
        <v>0</v>
      </c>
    </row>
    <row r="18" spans="2:4" ht="18" customHeight="1" thickBot="1" x14ac:dyDescent="0.25">
      <c r="B18" s="523" t="s">
        <v>484</v>
      </c>
      <c r="C18" s="524" t="s">
        <v>562</v>
      </c>
      <c r="D18" s="524" t="s">
        <v>560</v>
      </c>
    </row>
    <row r="19" spans="2:4" s="510" customFormat="1" ht="18" customHeight="1" thickTop="1" x14ac:dyDescent="0.2">
      <c r="B19" s="519"/>
      <c r="C19" s="520"/>
      <c r="D19" s="520"/>
    </row>
    <row r="20" spans="2:4" x14ac:dyDescent="0.2">
      <c r="B20" s="566" t="s">
        <v>559</v>
      </c>
      <c r="C20" s="567"/>
      <c r="D20" s="519"/>
    </row>
    <row r="21" spans="2:4" s="510" customFormat="1" ht="3.75" customHeight="1" x14ac:dyDescent="0.2">
      <c r="B21" s="525"/>
      <c r="C21" s="526"/>
      <c r="D21" s="519"/>
    </row>
    <row r="22" spans="2:4" x14ac:dyDescent="0.2">
      <c r="B22" s="558" t="s">
        <v>36</v>
      </c>
      <c r="C22" s="559"/>
      <c r="D22" s="521"/>
    </row>
    <row r="23" spans="2:4" ht="12.75" customHeight="1" x14ac:dyDescent="0.2">
      <c r="B23" s="560" t="s">
        <v>37</v>
      </c>
      <c r="C23" s="561"/>
      <c r="D23" s="511"/>
    </row>
    <row r="24" spans="2:4" x14ac:dyDescent="0.2">
      <c r="B24" s="568" t="s">
        <v>2</v>
      </c>
      <c r="C24" s="569"/>
      <c r="D24" s="522"/>
    </row>
    <row r="25" spans="2:4" s="510" customFormat="1" ht="12.75" customHeight="1" x14ac:dyDescent="0.2">
      <c r="B25" s="560" t="s">
        <v>4</v>
      </c>
      <c r="C25" s="561"/>
      <c r="D25" s="511"/>
    </row>
    <row r="26" spans="2:4" s="536" customFormat="1" ht="3.75" customHeight="1" x14ac:dyDescent="0.2">
      <c r="B26" s="533"/>
      <c r="C26" s="534"/>
      <c r="D26" s="537"/>
    </row>
    <row r="27" spans="2:4" s="536" customFormat="1" ht="12.75" customHeight="1" x14ac:dyDescent="0.2">
      <c r="B27" s="532" t="s">
        <v>581</v>
      </c>
      <c r="C27" s="534"/>
      <c r="D27" s="537"/>
    </row>
    <row r="28" spans="2:4" s="536" customFormat="1" ht="12.75" customHeight="1" x14ac:dyDescent="0.2">
      <c r="B28" s="572" t="s">
        <v>582</v>
      </c>
      <c r="C28" s="573"/>
      <c r="D28" s="537"/>
    </row>
    <row r="29" spans="2:4" s="536" customFormat="1" ht="3.75" customHeight="1" x14ac:dyDescent="0.2">
      <c r="B29" s="533"/>
      <c r="C29" s="534"/>
      <c r="D29" s="537"/>
    </row>
    <row r="30" spans="2:4" x14ac:dyDescent="0.2">
      <c r="B30" s="558" t="s">
        <v>461</v>
      </c>
      <c r="C30" s="559"/>
      <c r="D30" s="521"/>
    </row>
    <row r="31" spans="2:4" s="510" customFormat="1" ht="12.75" customHeight="1" x14ac:dyDescent="0.2">
      <c r="B31" s="560" t="s">
        <v>49</v>
      </c>
      <c r="C31" s="561"/>
      <c r="D31" s="511"/>
    </row>
    <row r="32" spans="2:4" x14ac:dyDescent="0.2">
      <c r="B32" s="558" t="s">
        <v>3</v>
      </c>
      <c r="C32" s="559"/>
      <c r="D32" s="521"/>
    </row>
    <row r="33" spans="2:4" ht="41.25" customHeight="1" x14ac:dyDescent="0.2">
      <c r="B33" s="570" t="s">
        <v>42</v>
      </c>
      <c r="C33" s="571"/>
      <c r="D33" s="353"/>
    </row>
    <row r="34" spans="2:4" x14ac:dyDescent="0.2">
      <c r="B34" s="568" t="s">
        <v>48</v>
      </c>
      <c r="C34" s="569"/>
      <c r="D34" s="522"/>
    </row>
    <row r="35" spans="2:4" s="513" customFormat="1" ht="12.75" customHeight="1" x14ac:dyDescent="0.2">
      <c r="B35" s="560" t="s">
        <v>474</v>
      </c>
      <c r="C35" s="561"/>
      <c r="D35" s="514"/>
    </row>
    <row r="36" spans="2:4" s="513" customFormat="1" x14ac:dyDescent="0.2">
      <c r="B36" s="558" t="s">
        <v>567</v>
      </c>
      <c r="C36" s="559"/>
      <c r="D36" s="521"/>
    </row>
    <row r="37" spans="2:4" s="513" customFormat="1" ht="12.75" customHeight="1" x14ac:dyDescent="0.2">
      <c r="B37" s="560" t="s">
        <v>566</v>
      </c>
      <c r="C37" s="561"/>
      <c r="D37" s="514"/>
    </row>
    <row r="38" spans="2:4" s="513" customFormat="1" x14ac:dyDescent="0.2">
      <c r="B38" s="558" t="s">
        <v>568</v>
      </c>
      <c r="C38" s="559"/>
      <c r="D38" s="521"/>
    </row>
    <row r="39" spans="2:4" s="513" customFormat="1" ht="12.75" customHeight="1" x14ac:dyDescent="0.2">
      <c r="B39" s="560" t="s">
        <v>569</v>
      </c>
      <c r="C39" s="561"/>
      <c r="D39" s="514"/>
    </row>
    <row r="40" spans="2:4" s="513" customFormat="1" x14ac:dyDescent="0.2">
      <c r="B40" s="558" t="s">
        <v>564</v>
      </c>
      <c r="C40" s="559"/>
      <c r="D40" s="521"/>
    </row>
    <row r="41" spans="2:4" s="513" customFormat="1" ht="12.75" customHeight="1" x14ac:dyDescent="0.2">
      <c r="B41" s="560" t="s">
        <v>570</v>
      </c>
      <c r="C41" s="561"/>
      <c r="D41" s="514"/>
    </row>
    <row r="42" spans="2:4" s="513" customFormat="1" x14ac:dyDescent="0.2">
      <c r="B42" s="558" t="s">
        <v>565</v>
      </c>
      <c r="C42" s="559"/>
      <c r="D42" s="521"/>
    </row>
    <row r="43" spans="2:4" s="513" customFormat="1" ht="12.75" customHeight="1" x14ac:dyDescent="0.2">
      <c r="B43" s="560" t="s">
        <v>571</v>
      </c>
      <c r="C43" s="561"/>
      <c r="D43" s="514"/>
    </row>
    <row r="44" spans="2:4" ht="5.25" customHeight="1" x14ac:dyDescent="0.2">
      <c r="B44" s="134"/>
      <c r="C44" s="527"/>
      <c r="D44" s="512"/>
    </row>
  </sheetData>
  <mergeCells count="23">
    <mergeCell ref="B15:B16"/>
    <mergeCell ref="C2:D6"/>
    <mergeCell ref="C7:D7"/>
    <mergeCell ref="B20:C20"/>
    <mergeCell ref="B36:C36"/>
    <mergeCell ref="B22:C22"/>
    <mergeCell ref="B23:C23"/>
    <mergeCell ref="B24:C24"/>
    <mergeCell ref="B25:C25"/>
    <mergeCell ref="B30:C30"/>
    <mergeCell ref="B31:C31"/>
    <mergeCell ref="B32:C32"/>
    <mergeCell ref="B33:C33"/>
    <mergeCell ref="B34:C34"/>
    <mergeCell ref="B35:C35"/>
    <mergeCell ref="B28:C28"/>
    <mergeCell ref="B42:C42"/>
    <mergeCell ref="B43:C43"/>
    <mergeCell ref="B37:C37"/>
    <mergeCell ref="B38:C38"/>
    <mergeCell ref="B39:C39"/>
    <mergeCell ref="B40:C40"/>
    <mergeCell ref="B41:C41"/>
  </mergeCells>
  <phoneticPr fontId="4" type="noConversion"/>
  <hyperlinks>
    <hyperlink ref="B24" location="'ERR &amp; Sensitivity analysis'!A1" display="ERR &amp; Sensitivity Analysis"/>
    <hyperlink ref="B30" location="'Data &amp; Assumptions'!A1" display="Data &amp; Assumptions"/>
    <hyperlink ref="B34" location="'Data tables'!A1" display="Data tables"/>
    <hyperlink ref="B22" location="'Project Description'!A1" display="Project Description"/>
    <hyperlink ref="B36:C36" location="'Suppl Tables 1'!A1" display="Supplemental Tables 1"/>
    <hyperlink ref="B38:C38" location="'Suppl Tab 2.1'!A1" display="Supplemental Tables 2.1"/>
    <hyperlink ref="B40:C40" location="'Land market value as of 2010'!A1" display="Land market value as of 2010"/>
    <hyperlink ref="B42:C42" location="'Land market value as of 2011'!A1" display="Land market value as of 2011"/>
    <hyperlink ref="B32:C32" location="'Registry Upgrade, Khashaa Reg.'!A1" display="Registry Upgrade, Khashaa Reg."/>
    <hyperlink ref="B27" location="'Cost-Benefit Summary'!A1" display="Cost-Benefit Summary"/>
  </hyperlinks>
  <pageMargins left="0.75" right="0.75" top="1" bottom="1" header="0.5" footer="0.5"/>
  <pageSetup scale="8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15"/>
  <sheetViews>
    <sheetView workbookViewId="0">
      <selection activeCell="B4" sqref="B4:K4"/>
    </sheetView>
  </sheetViews>
  <sheetFormatPr defaultColWidth="9.140625" defaultRowHeight="15" x14ac:dyDescent="0.25"/>
  <cols>
    <col min="1" max="1" width="2.140625" style="400" customWidth="1"/>
    <col min="2" max="2" width="12.140625" style="401" customWidth="1"/>
    <col min="3" max="3" width="10" style="401" customWidth="1"/>
    <col min="4" max="4" width="12.7109375" style="401" bestFit="1" customWidth="1"/>
    <col min="5" max="5" width="10.28515625" style="488" customWidth="1"/>
    <col min="6" max="6" width="11.85546875" style="488" customWidth="1"/>
    <col min="7" max="7" width="10.85546875" style="488" bestFit="1" customWidth="1"/>
    <col min="8" max="8" width="11.140625" style="488" customWidth="1"/>
    <col min="9" max="9" width="12" style="488" bestFit="1" customWidth="1"/>
    <col min="10" max="10" width="10.28515625" style="488" customWidth="1"/>
    <col min="11" max="11" width="11.85546875" style="400" customWidth="1"/>
    <col min="12" max="16384" width="9.140625" style="400"/>
  </cols>
  <sheetData>
    <row r="1" spans="1:11" s="512" customFormat="1" ht="20.25" x14ac:dyDescent="0.3">
      <c r="A1" s="515"/>
      <c r="B1" s="382" t="s">
        <v>554</v>
      </c>
      <c r="C1" s="382"/>
    </row>
    <row r="2" spans="1:11" s="512" customFormat="1" x14ac:dyDescent="0.2">
      <c r="A2" s="515"/>
      <c r="B2" s="529" t="s">
        <v>555</v>
      </c>
      <c r="C2" s="529"/>
      <c r="D2" s="529"/>
      <c r="E2" s="529"/>
      <c r="F2" s="529"/>
      <c r="G2" s="529"/>
    </row>
    <row r="4" spans="1:11" ht="30" customHeight="1" x14ac:dyDescent="0.25">
      <c r="B4" s="699" t="s">
        <v>545</v>
      </c>
      <c r="C4" s="699"/>
      <c r="D4" s="699"/>
      <c r="E4" s="699"/>
      <c r="F4" s="699"/>
      <c r="G4" s="699"/>
      <c r="H4" s="699"/>
      <c r="I4" s="699"/>
      <c r="J4" s="699"/>
      <c r="K4" s="699"/>
    </row>
    <row r="5" spans="1:11" ht="15.75" thickBot="1" x14ac:dyDescent="0.3"/>
    <row r="6" spans="1:11" ht="15" customHeight="1" x14ac:dyDescent="0.25">
      <c r="B6" s="700" t="s">
        <v>534</v>
      </c>
      <c r="C6" s="702" t="s">
        <v>535</v>
      </c>
      <c r="D6" s="704" t="s">
        <v>536</v>
      </c>
      <c r="E6" s="706" t="s">
        <v>537</v>
      </c>
      <c r="F6" s="706"/>
      <c r="G6" s="706"/>
      <c r="H6" s="706"/>
      <c r="I6" s="706"/>
      <c r="J6" s="706"/>
      <c r="K6" s="707" t="s">
        <v>538</v>
      </c>
    </row>
    <row r="7" spans="1:11" ht="49.5" customHeight="1" thickBot="1" x14ac:dyDescent="0.3">
      <c r="B7" s="701"/>
      <c r="C7" s="703"/>
      <c r="D7" s="705"/>
      <c r="E7" s="489" t="s">
        <v>539</v>
      </c>
      <c r="F7" s="489" t="s">
        <v>160</v>
      </c>
      <c r="G7" s="489" t="s">
        <v>509</v>
      </c>
      <c r="H7" s="489" t="s">
        <v>508</v>
      </c>
      <c r="I7" s="489" t="s">
        <v>163</v>
      </c>
      <c r="J7" s="489" t="s">
        <v>162</v>
      </c>
      <c r="K7" s="708"/>
    </row>
    <row r="8" spans="1:11" s="401" customFormat="1" x14ac:dyDescent="0.25">
      <c r="A8" s="516"/>
      <c r="B8" s="695" t="s">
        <v>540</v>
      </c>
      <c r="C8" s="697">
        <v>1</v>
      </c>
      <c r="D8" s="490" t="s">
        <v>541</v>
      </c>
      <c r="E8" s="491">
        <v>5866</v>
      </c>
      <c r="F8" s="491">
        <v>4705</v>
      </c>
      <c r="G8" s="491"/>
      <c r="H8" s="491">
        <v>5869</v>
      </c>
      <c r="I8" s="491"/>
      <c r="J8" s="491"/>
      <c r="K8" s="492">
        <f t="shared" ref="K8:K9" si="0">SUM(E8:J8)/6</f>
        <v>2740</v>
      </c>
    </row>
    <row r="9" spans="1:11" ht="15.75" thickBot="1" x14ac:dyDescent="0.3">
      <c r="B9" s="696"/>
      <c r="C9" s="698"/>
      <c r="D9" s="493" t="s">
        <v>542</v>
      </c>
      <c r="E9" s="494">
        <f>E8*700</f>
        <v>4106200</v>
      </c>
      <c r="F9" s="494">
        <f t="shared" ref="F9:H9" si="1">F8*700</f>
        <v>3293500</v>
      </c>
      <c r="G9" s="494"/>
      <c r="H9" s="494">
        <f t="shared" si="1"/>
        <v>4108300</v>
      </c>
      <c r="I9" s="494"/>
      <c r="J9" s="494"/>
      <c r="K9" s="495">
        <f t="shared" si="0"/>
        <v>1918000</v>
      </c>
    </row>
    <row r="10" spans="1:11" x14ac:dyDescent="0.25">
      <c r="B10" s="695" t="s">
        <v>543</v>
      </c>
      <c r="C10" s="697">
        <v>2</v>
      </c>
      <c r="D10" s="490" t="s">
        <v>541</v>
      </c>
      <c r="E10" s="491">
        <v>4183</v>
      </c>
      <c r="F10" s="491">
        <v>3521</v>
      </c>
      <c r="G10" s="491"/>
      <c r="H10" s="491">
        <v>5093</v>
      </c>
      <c r="I10" s="491"/>
      <c r="J10" s="491"/>
      <c r="K10" s="492">
        <f>SUM(E10:J10)/4</f>
        <v>3199.25</v>
      </c>
    </row>
    <row r="11" spans="1:11" ht="15.75" thickBot="1" x14ac:dyDescent="0.3">
      <c r="B11" s="696"/>
      <c r="C11" s="698"/>
      <c r="D11" s="493" t="s">
        <v>542</v>
      </c>
      <c r="E11" s="494">
        <f>E10*700</f>
        <v>2928100</v>
      </c>
      <c r="F11" s="494">
        <f t="shared" ref="F11:H11" si="2">F10*700</f>
        <v>2464700</v>
      </c>
      <c r="G11" s="494"/>
      <c r="H11" s="494">
        <f t="shared" si="2"/>
        <v>3565100</v>
      </c>
      <c r="I11" s="494"/>
      <c r="J11" s="494"/>
      <c r="K11" s="495">
        <f>SUM(E11:J11)/4</f>
        <v>2239475</v>
      </c>
    </row>
    <row r="12" spans="1:11" x14ac:dyDescent="0.25">
      <c r="B12" s="695" t="s">
        <v>544</v>
      </c>
      <c r="C12" s="697">
        <v>3</v>
      </c>
      <c r="D12" s="490" t="s">
        <v>541</v>
      </c>
      <c r="E12" s="491">
        <v>4758</v>
      </c>
      <c r="F12" s="491"/>
      <c r="G12" s="491"/>
      <c r="H12" s="491"/>
      <c r="I12" s="491"/>
      <c r="J12" s="491"/>
      <c r="K12" s="492">
        <f>SUM(E12:J12)/2</f>
        <v>2379</v>
      </c>
    </row>
    <row r="13" spans="1:11" ht="15.75" thickBot="1" x14ac:dyDescent="0.3">
      <c r="B13" s="696"/>
      <c r="C13" s="698"/>
      <c r="D13" s="493" t="s">
        <v>542</v>
      </c>
      <c r="E13" s="494">
        <f>E12*700</f>
        <v>3330600</v>
      </c>
      <c r="F13" s="494"/>
      <c r="G13" s="494"/>
      <c r="H13" s="494"/>
      <c r="I13" s="494"/>
      <c r="J13" s="494"/>
      <c r="K13" s="495">
        <f>SUM(E13:J13)/2</f>
        <v>1665300</v>
      </c>
    </row>
    <row r="14" spans="1:11" x14ac:dyDescent="0.25">
      <c r="B14" s="691" t="s">
        <v>538</v>
      </c>
      <c r="C14" s="692"/>
      <c r="D14" s="490" t="s">
        <v>541</v>
      </c>
      <c r="E14" s="496">
        <f>SUM(E8,E10,E12)/3</f>
        <v>4935.666666666667</v>
      </c>
      <c r="F14" s="496">
        <f>SUM(F8,F10,F12)/2</f>
        <v>4113</v>
      </c>
      <c r="G14" s="496"/>
      <c r="H14" s="496">
        <f>SUM(H8,H10,H12)/2</f>
        <v>5481</v>
      </c>
      <c r="I14" s="496"/>
      <c r="J14" s="496"/>
      <c r="K14" s="496">
        <f>SUM(K8,K10,K12)/3</f>
        <v>2772.75</v>
      </c>
    </row>
    <row r="15" spans="1:11" ht="15.75" thickBot="1" x14ac:dyDescent="0.3">
      <c r="B15" s="693"/>
      <c r="C15" s="694"/>
      <c r="D15" s="493" t="s">
        <v>542</v>
      </c>
      <c r="E15" s="497">
        <f>SUM(E9,E11,E13)/3</f>
        <v>3454966.6666666665</v>
      </c>
      <c r="F15" s="497">
        <f>SUM(F9,F11,F13)/2</f>
        <v>2879100</v>
      </c>
      <c r="G15" s="497"/>
      <c r="H15" s="497">
        <f>SUM(H9,H11,H13)/2</f>
        <v>3836700</v>
      </c>
      <c r="I15" s="497"/>
      <c r="J15" s="497"/>
      <c r="K15" s="497">
        <f>SUM(K9,K11,K13)/3</f>
        <v>1940925</v>
      </c>
    </row>
  </sheetData>
  <mergeCells count="13">
    <mergeCell ref="B4:K4"/>
    <mergeCell ref="B6:B7"/>
    <mergeCell ref="C6:C7"/>
    <mergeCell ref="D6:D7"/>
    <mergeCell ref="E6:J6"/>
    <mergeCell ref="K6:K7"/>
    <mergeCell ref="B14:C15"/>
    <mergeCell ref="B8:B9"/>
    <mergeCell ref="C8:C9"/>
    <mergeCell ref="B10:B11"/>
    <mergeCell ref="C10:C11"/>
    <mergeCell ref="B12:B13"/>
    <mergeCell ref="C12:C13"/>
  </mergeCells>
  <pageMargins left="0.7" right="0.7" top="0.75" bottom="0.75" header="0.3" footer="0.3"/>
  <pageSetup paperSize="9"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5"/>
  <sheetViews>
    <sheetView workbookViewId="0">
      <selection activeCell="D21" sqref="D21"/>
    </sheetView>
  </sheetViews>
  <sheetFormatPr defaultColWidth="9.140625" defaultRowHeight="15" x14ac:dyDescent="0.25"/>
  <cols>
    <col min="1" max="1" width="2.85546875" style="400" customWidth="1"/>
    <col min="2" max="2" width="12.140625" style="401" customWidth="1"/>
    <col min="3" max="3" width="10" style="401" customWidth="1"/>
    <col min="4" max="4" width="12.7109375" style="401" bestFit="1" customWidth="1"/>
    <col min="5" max="5" width="10.28515625" style="488" customWidth="1"/>
    <col min="6" max="6" width="11.85546875" style="488" customWidth="1"/>
    <col min="7" max="7" width="10.85546875" style="488" bestFit="1" customWidth="1"/>
    <col min="8" max="8" width="11.140625" style="488" customWidth="1"/>
    <col min="9" max="9" width="12" style="488" bestFit="1" customWidth="1"/>
    <col min="10" max="10" width="10.28515625" style="488" customWidth="1"/>
    <col min="11" max="11" width="11.85546875" style="400" customWidth="1"/>
    <col min="12" max="16384" width="9.140625" style="400"/>
  </cols>
  <sheetData>
    <row r="1" spans="1:11" s="512" customFormat="1" ht="20.25" x14ac:dyDescent="0.3">
      <c r="A1" s="515"/>
      <c r="B1" s="382" t="s">
        <v>554</v>
      </c>
      <c r="C1" s="382"/>
    </row>
    <row r="2" spans="1:11" s="512" customFormat="1" x14ac:dyDescent="0.2">
      <c r="A2" s="515"/>
      <c r="B2" s="529" t="s">
        <v>555</v>
      </c>
      <c r="C2" s="529"/>
      <c r="D2" s="529"/>
      <c r="E2" s="529"/>
      <c r="F2" s="529"/>
      <c r="G2" s="529"/>
    </row>
    <row r="4" spans="1:11" ht="30" customHeight="1" x14ac:dyDescent="0.25">
      <c r="B4" s="699" t="s">
        <v>533</v>
      </c>
      <c r="C4" s="699"/>
      <c r="D4" s="699"/>
      <c r="E4" s="699"/>
      <c r="F4" s="699"/>
      <c r="G4" s="699"/>
      <c r="H4" s="699"/>
      <c r="I4" s="699"/>
      <c r="J4" s="699"/>
      <c r="K4" s="699"/>
    </row>
    <row r="5" spans="1:11" ht="15.75" thickBot="1" x14ac:dyDescent="0.3"/>
    <row r="6" spans="1:11" x14ac:dyDescent="0.25">
      <c r="B6" s="700" t="s">
        <v>534</v>
      </c>
      <c r="C6" s="702" t="s">
        <v>535</v>
      </c>
      <c r="D6" s="704" t="s">
        <v>536</v>
      </c>
      <c r="E6" s="706" t="s">
        <v>537</v>
      </c>
      <c r="F6" s="706"/>
      <c r="G6" s="706"/>
      <c r="H6" s="706"/>
      <c r="I6" s="706"/>
      <c r="J6" s="706"/>
      <c r="K6" s="707" t="s">
        <v>538</v>
      </c>
    </row>
    <row r="7" spans="1:11" ht="54.75" customHeight="1" thickBot="1" x14ac:dyDescent="0.3">
      <c r="B7" s="701"/>
      <c r="C7" s="703"/>
      <c r="D7" s="705"/>
      <c r="E7" s="489" t="s">
        <v>539</v>
      </c>
      <c r="F7" s="489" t="s">
        <v>160</v>
      </c>
      <c r="G7" s="489" t="s">
        <v>509</v>
      </c>
      <c r="H7" s="489" t="s">
        <v>508</v>
      </c>
      <c r="I7" s="489" t="s">
        <v>163</v>
      </c>
      <c r="J7" s="489" t="s">
        <v>162</v>
      </c>
      <c r="K7" s="708"/>
    </row>
    <row r="8" spans="1:11" s="401" customFormat="1" x14ac:dyDescent="0.25">
      <c r="A8" s="516"/>
      <c r="B8" s="695" t="s">
        <v>540</v>
      </c>
      <c r="C8" s="697">
        <v>1</v>
      </c>
      <c r="D8" s="490" t="s">
        <v>541</v>
      </c>
      <c r="E8" s="491">
        <v>7834</v>
      </c>
      <c r="F8" s="491">
        <v>5426</v>
      </c>
      <c r="G8" s="491">
        <v>4250</v>
      </c>
      <c r="H8" s="491">
        <v>4352</v>
      </c>
      <c r="I8" s="491">
        <v>3628</v>
      </c>
      <c r="J8" s="491">
        <v>8316</v>
      </c>
      <c r="K8" s="492">
        <f t="shared" ref="K8:K9" si="0">SUM(E8:J8)/6</f>
        <v>5634.333333333333</v>
      </c>
    </row>
    <row r="9" spans="1:11" ht="15.75" thickBot="1" x14ac:dyDescent="0.3">
      <c r="B9" s="696"/>
      <c r="C9" s="698"/>
      <c r="D9" s="493" t="s">
        <v>542</v>
      </c>
      <c r="E9" s="494">
        <f>E8*700</f>
        <v>5483800</v>
      </c>
      <c r="F9" s="494">
        <f>F8*700</f>
        <v>3798200</v>
      </c>
      <c r="G9" s="494">
        <f t="shared" ref="G9:J9" si="1">G8*700</f>
        <v>2975000</v>
      </c>
      <c r="H9" s="494">
        <f t="shared" si="1"/>
        <v>3046400</v>
      </c>
      <c r="I9" s="494">
        <f t="shared" si="1"/>
        <v>2539600</v>
      </c>
      <c r="J9" s="494">
        <f t="shared" si="1"/>
        <v>5821200</v>
      </c>
      <c r="K9" s="495">
        <f t="shared" si="0"/>
        <v>3944033.3333333335</v>
      </c>
    </row>
    <row r="10" spans="1:11" x14ac:dyDescent="0.25">
      <c r="B10" s="695" t="s">
        <v>543</v>
      </c>
      <c r="C10" s="697">
        <v>2</v>
      </c>
      <c r="D10" s="490" t="s">
        <v>541</v>
      </c>
      <c r="E10" s="491">
        <v>4947</v>
      </c>
      <c r="F10" s="491">
        <v>3293</v>
      </c>
      <c r="G10" s="491"/>
      <c r="H10" s="491">
        <v>8069</v>
      </c>
      <c r="I10" s="491">
        <v>4189</v>
      </c>
      <c r="J10" s="491"/>
      <c r="K10" s="492">
        <f>SUM(E10:J10)/4</f>
        <v>5124.5</v>
      </c>
    </row>
    <row r="11" spans="1:11" ht="15.75" thickBot="1" x14ac:dyDescent="0.3">
      <c r="B11" s="696"/>
      <c r="C11" s="698"/>
      <c r="D11" s="493" t="s">
        <v>542</v>
      </c>
      <c r="E11" s="494">
        <f>E10*700</f>
        <v>3462900</v>
      </c>
      <c r="F11" s="494">
        <f t="shared" ref="F11:I11" si="2">F10*700</f>
        <v>2305100</v>
      </c>
      <c r="G11" s="494"/>
      <c r="H11" s="494">
        <f t="shared" si="2"/>
        <v>5648300</v>
      </c>
      <c r="I11" s="494">
        <f t="shared" si="2"/>
        <v>2932300</v>
      </c>
      <c r="J11" s="494"/>
      <c r="K11" s="495">
        <f>SUM(E11:J11)/4</f>
        <v>3587150</v>
      </c>
    </row>
    <row r="12" spans="1:11" x14ac:dyDescent="0.25">
      <c r="B12" s="695" t="s">
        <v>544</v>
      </c>
      <c r="C12" s="697">
        <v>3</v>
      </c>
      <c r="D12" s="490" t="s">
        <v>541</v>
      </c>
      <c r="E12" s="491">
        <v>3728</v>
      </c>
      <c r="F12" s="491"/>
      <c r="G12" s="491"/>
      <c r="H12" s="491">
        <v>6678</v>
      </c>
      <c r="I12" s="491"/>
      <c r="J12" s="491"/>
      <c r="K12" s="492">
        <f>SUM(E12:J12)/2</f>
        <v>5203</v>
      </c>
    </row>
    <row r="13" spans="1:11" ht="15.75" thickBot="1" x14ac:dyDescent="0.3">
      <c r="B13" s="696"/>
      <c r="C13" s="698"/>
      <c r="D13" s="493" t="s">
        <v>542</v>
      </c>
      <c r="E13" s="494">
        <f>E12*700</f>
        <v>2609600</v>
      </c>
      <c r="F13" s="494"/>
      <c r="G13" s="494"/>
      <c r="H13" s="494">
        <f t="shared" ref="H13" si="3">H12*700</f>
        <v>4674600</v>
      </c>
      <c r="I13" s="494"/>
      <c r="J13" s="494"/>
      <c r="K13" s="495">
        <f>SUM(E13:J13)/2</f>
        <v>3642100</v>
      </c>
    </row>
    <row r="14" spans="1:11" x14ac:dyDescent="0.25">
      <c r="B14" s="691" t="s">
        <v>538</v>
      </c>
      <c r="C14" s="692"/>
      <c r="D14" s="490" t="s">
        <v>541</v>
      </c>
      <c r="E14" s="496">
        <f>SUM(E8,E10,E12,)/3</f>
        <v>5503</v>
      </c>
      <c r="F14" s="496">
        <f>SUM(F8,F10,F12,)/2</f>
        <v>4359.5</v>
      </c>
      <c r="G14" s="496">
        <f>SUM(G8,G10,G12,)/1</f>
        <v>4250</v>
      </c>
      <c r="H14" s="496">
        <f t="shared" ref="H14" si="4">SUM(H8,H10,H12,)/3</f>
        <v>6366.333333333333</v>
      </c>
      <c r="I14" s="496">
        <f>SUM(I8,I10,I12,)/2</f>
        <v>3908.5</v>
      </c>
      <c r="J14" s="496">
        <f>SUM(J8,J10,J12,)/1</f>
        <v>8316</v>
      </c>
      <c r="K14" s="496">
        <f>SUM(K8,K10,K12,)/3</f>
        <v>5320.6111111111104</v>
      </c>
    </row>
    <row r="15" spans="1:11" ht="15.75" thickBot="1" x14ac:dyDescent="0.3">
      <c r="B15" s="693"/>
      <c r="C15" s="694"/>
      <c r="D15" s="493" t="s">
        <v>542</v>
      </c>
      <c r="E15" s="497">
        <f>SUM(E9,E11,E13)/3</f>
        <v>3852100</v>
      </c>
      <c r="F15" s="497">
        <f>SUM(F9,F11,F13)/2</f>
        <v>3051650</v>
      </c>
      <c r="G15" s="497">
        <f>SUM(G9,G11,G13)/1</f>
        <v>2975000</v>
      </c>
      <c r="H15" s="497">
        <f>SUM(H9,H11,H13)/3</f>
        <v>4456433.333333333</v>
      </c>
      <c r="I15" s="497">
        <f>SUM(I9,I11,I13)/2</f>
        <v>2735950</v>
      </c>
      <c r="J15" s="497">
        <f>SUM(J9,J11,J13)/1</f>
        <v>5821200</v>
      </c>
      <c r="K15" s="497">
        <f>SUM(K9,K11,K13)/3</f>
        <v>3724427.777777778</v>
      </c>
    </row>
  </sheetData>
  <mergeCells count="13">
    <mergeCell ref="B4:K4"/>
    <mergeCell ref="B6:B7"/>
    <mergeCell ref="C6:C7"/>
    <mergeCell ref="D6:D7"/>
    <mergeCell ref="E6:J6"/>
    <mergeCell ref="K6:K7"/>
    <mergeCell ref="B14:C15"/>
    <mergeCell ref="B8:B9"/>
    <mergeCell ref="C8:C9"/>
    <mergeCell ref="B10:B11"/>
    <mergeCell ref="C10:C11"/>
    <mergeCell ref="B12:B13"/>
    <mergeCell ref="C12:C13"/>
  </mergeCells>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8"/>
  <sheetViews>
    <sheetView showGridLines="0" tabSelected="1" zoomScale="93" zoomScaleNormal="93" workbookViewId="0">
      <selection activeCell="F8" sqref="F8"/>
    </sheetView>
  </sheetViews>
  <sheetFormatPr defaultColWidth="9.140625" defaultRowHeight="12.75" x14ac:dyDescent="0.2"/>
  <cols>
    <col min="1" max="2" width="5.7109375" style="130" customWidth="1"/>
    <col min="3" max="3" width="108.28515625" style="130" customWidth="1"/>
    <col min="4" max="16384" width="9.140625" style="130"/>
  </cols>
  <sheetData>
    <row r="1" spans="1:3" ht="20.25" x14ac:dyDescent="0.3">
      <c r="B1" s="382" t="s">
        <v>554</v>
      </c>
    </row>
    <row r="2" spans="1:3" ht="15" x14ac:dyDescent="0.2">
      <c r="B2" s="574" t="s">
        <v>555</v>
      </c>
      <c r="C2" s="574"/>
    </row>
    <row r="3" spans="1:3" s="512" customFormat="1" x14ac:dyDescent="0.2"/>
    <row r="4" spans="1:3" ht="18" x14ac:dyDescent="0.25">
      <c r="B4" s="383" t="s">
        <v>36</v>
      </c>
    </row>
    <row r="6" spans="1:3" x14ac:dyDescent="0.2">
      <c r="B6" s="19" t="s">
        <v>11</v>
      </c>
    </row>
    <row r="7" spans="1:3" ht="6.75" customHeight="1" x14ac:dyDescent="0.2"/>
    <row r="8" spans="1:3" ht="120.75" customHeight="1" x14ac:dyDescent="0.2">
      <c r="A8" s="380"/>
      <c r="B8" s="578" t="s">
        <v>585</v>
      </c>
      <c r="C8" s="579"/>
    </row>
    <row r="9" spans="1:3" ht="41.25" customHeight="1" x14ac:dyDescent="0.2">
      <c r="A9" s="380"/>
      <c r="B9" s="576" t="s">
        <v>586</v>
      </c>
      <c r="C9" s="577"/>
    </row>
    <row r="10" spans="1:3" x14ac:dyDescent="0.2">
      <c r="A10" s="380"/>
      <c r="B10" s="380"/>
      <c r="C10" s="384"/>
    </row>
    <row r="11" spans="1:3" x14ac:dyDescent="0.2">
      <c r="A11" s="380"/>
      <c r="B11" s="580" t="s">
        <v>46</v>
      </c>
      <c r="C11" s="580"/>
    </row>
    <row r="12" spans="1:3" ht="6.75" customHeight="1" x14ac:dyDescent="0.2">
      <c r="A12" s="380"/>
      <c r="B12" s="380"/>
      <c r="C12" s="384"/>
    </row>
    <row r="13" spans="1:3" x14ac:dyDescent="0.2">
      <c r="A13" s="380"/>
      <c r="B13" s="579" t="s">
        <v>26</v>
      </c>
      <c r="C13" s="579"/>
    </row>
    <row r="14" spans="1:3" ht="6.75" customHeight="1" x14ac:dyDescent="0.2">
      <c r="A14" s="380"/>
      <c r="B14" s="387"/>
      <c r="C14" s="387"/>
    </row>
    <row r="15" spans="1:3" x14ac:dyDescent="0.2">
      <c r="A15" s="380"/>
      <c r="B15" s="380"/>
      <c r="C15" s="385" t="s">
        <v>20</v>
      </c>
    </row>
    <row r="16" spans="1:3" ht="6.75" customHeight="1" x14ac:dyDescent="0.2">
      <c r="A16" s="380"/>
      <c r="B16" s="380"/>
      <c r="C16" s="385"/>
    </row>
    <row r="17" spans="1:3" ht="54" customHeight="1" x14ac:dyDescent="0.2">
      <c r="A17" s="380"/>
      <c r="B17" s="380"/>
      <c r="C17" s="388" t="s">
        <v>21</v>
      </c>
    </row>
    <row r="18" spans="1:3" ht="40.5" customHeight="1" x14ac:dyDescent="0.2">
      <c r="A18" s="380"/>
      <c r="B18" s="380"/>
      <c r="C18" s="388" t="s">
        <v>22</v>
      </c>
    </row>
    <row r="19" spans="1:3" ht="41.25" customHeight="1" x14ac:dyDescent="0.2">
      <c r="A19" s="380"/>
      <c r="B19" s="380"/>
      <c r="C19" s="388" t="s">
        <v>23</v>
      </c>
    </row>
    <row r="20" spans="1:3" ht="41.25" customHeight="1" x14ac:dyDescent="0.2">
      <c r="A20" s="380"/>
      <c r="B20" s="380"/>
      <c r="C20" s="388" t="s">
        <v>24</v>
      </c>
    </row>
    <row r="21" spans="1:3" ht="48.75" customHeight="1" x14ac:dyDescent="0.2">
      <c r="A21" s="380"/>
      <c r="B21" s="380"/>
      <c r="C21" s="530" t="s">
        <v>563</v>
      </c>
    </row>
    <row r="22" spans="1:3" ht="6.75" customHeight="1" x14ac:dyDescent="0.2">
      <c r="A22" s="380"/>
      <c r="B22" s="380"/>
      <c r="C22" s="384"/>
    </row>
    <row r="23" spans="1:3" ht="30.75" customHeight="1" x14ac:dyDescent="0.2">
      <c r="A23" s="380"/>
      <c r="B23" s="380"/>
      <c r="C23" s="531" t="s">
        <v>583</v>
      </c>
    </row>
    <row r="24" spans="1:3" ht="6.75" customHeight="1" x14ac:dyDescent="0.2">
      <c r="A24" s="380"/>
      <c r="B24" s="380"/>
      <c r="C24" s="385"/>
    </row>
    <row r="25" spans="1:3" ht="12.75" customHeight="1" x14ac:dyDescent="0.2">
      <c r="A25" s="380"/>
      <c r="B25" s="380"/>
      <c r="C25" s="385" t="s">
        <v>43</v>
      </c>
    </row>
    <row r="26" spans="1:3" x14ac:dyDescent="0.2">
      <c r="A26" s="380"/>
      <c r="B26" s="380"/>
      <c r="C26" s="385" t="s">
        <v>44</v>
      </c>
    </row>
    <row r="27" spans="1:3" x14ac:dyDescent="0.2">
      <c r="A27" s="380"/>
      <c r="B27" s="380"/>
      <c r="C27" s="385" t="s">
        <v>45</v>
      </c>
    </row>
    <row r="28" spans="1:3" ht="25.5" customHeight="1" x14ac:dyDescent="0.2">
      <c r="A28" s="380"/>
      <c r="B28" s="380"/>
      <c r="C28" s="385" t="s">
        <v>25</v>
      </c>
    </row>
    <row r="29" spans="1:3" x14ac:dyDescent="0.2">
      <c r="A29" s="380"/>
      <c r="B29" s="380"/>
      <c r="C29" s="385"/>
    </row>
    <row r="30" spans="1:3" x14ac:dyDescent="0.2">
      <c r="A30" s="380"/>
      <c r="B30" s="581" t="s">
        <v>47</v>
      </c>
      <c r="C30" s="581"/>
    </row>
    <row r="31" spans="1:3" ht="6.75" customHeight="1" x14ac:dyDescent="0.2">
      <c r="A31" s="380"/>
      <c r="B31" s="380"/>
      <c r="C31" s="385"/>
    </row>
    <row r="32" spans="1:3" x14ac:dyDescent="0.2">
      <c r="A32" s="575"/>
      <c r="B32" s="579" t="s">
        <v>41</v>
      </c>
      <c r="C32" s="579"/>
    </row>
    <row r="33" spans="1:3" ht="25.5" x14ac:dyDescent="0.2">
      <c r="A33" s="575"/>
      <c r="B33" s="381"/>
      <c r="C33" s="385" t="s">
        <v>27</v>
      </c>
    </row>
    <row r="34" spans="1:3" ht="65.25" customHeight="1" x14ac:dyDescent="0.2">
      <c r="A34" s="575"/>
      <c r="B34" s="381"/>
      <c r="C34" s="384" t="s">
        <v>28</v>
      </c>
    </row>
    <row r="35" spans="1:3" ht="41.25" customHeight="1" x14ac:dyDescent="0.2">
      <c r="A35" s="575"/>
      <c r="B35" s="579" t="s">
        <v>40</v>
      </c>
      <c r="C35" s="579"/>
    </row>
    <row r="38" spans="1:3" x14ac:dyDescent="0.2">
      <c r="C38" s="386"/>
    </row>
  </sheetData>
  <mergeCells count="9">
    <mergeCell ref="B2:C2"/>
    <mergeCell ref="A32:A35"/>
    <mergeCell ref="B9:C9"/>
    <mergeCell ref="B8:C8"/>
    <mergeCell ref="B11:C11"/>
    <mergeCell ref="B13:C13"/>
    <mergeCell ref="B30:C30"/>
    <mergeCell ref="B32:C32"/>
    <mergeCell ref="B35:C35"/>
  </mergeCells>
  <phoneticPr fontId="4"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I26"/>
  <sheetViews>
    <sheetView showGridLines="0" zoomScale="80" zoomScaleNormal="100" workbookViewId="0">
      <selection activeCell="G6" sqref="G6"/>
    </sheetView>
  </sheetViews>
  <sheetFormatPr defaultRowHeight="12.75" x14ac:dyDescent="0.2"/>
  <cols>
    <col min="1" max="1" width="5.7109375" customWidth="1"/>
    <col min="2" max="2" width="18.85546875" customWidth="1"/>
    <col min="3" max="3" width="64" customWidth="1"/>
    <col min="4" max="4" width="17.140625" customWidth="1"/>
    <col min="5" max="5" width="13.5703125" customWidth="1"/>
    <col min="6" max="6" width="14.5703125" customWidth="1"/>
    <col min="7" max="7" width="16.5703125" bestFit="1" customWidth="1"/>
    <col min="8" max="8" width="5.7109375" customWidth="1"/>
    <col min="9" max="9" width="22.85546875" bestFit="1" customWidth="1"/>
  </cols>
  <sheetData>
    <row r="2" spans="2:9" s="512" customFormat="1" ht="20.25" x14ac:dyDescent="0.3">
      <c r="B2" s="382" t="s">
        <v>554</v>
      </c>
    </row>
    <row r="3" spans="2:9" s="512" customFormat="1" ht="15" x14ac:dyDescent="0.2">
      <c r="B3" s="574" t="s">
        <v>555</v>
      </c>
      <c r="C3" s="574"/>
    </row>
    <row r="4" spans="2:9" x14ac:dyDescent="0.2">
      <c r="E4" s="330"/>
    </row>
    <row r="5" spans="2:9" ht="18" x14ac:dyDescent="0.25">
      <c r="B5" s="321" t="s">
        <v>456</v>
      </c>
      <c r="G5" s="378" t="s">
        <v>489</v>
      </c>
    </row>
    <row r="6" spans="2:9" ht="12.75" customHeight="1" x14ac:dyDescent="0.25">
      <c r="C6" s="2"/>
    </row>
    <row r="7" spans="2:9" ht="38.25" customHeight="1" x14ac:dyDescent="0.2">
      <c r="B7" s="588" t="s">
        <v>29</v>
      </c>
      <c r="C7" s="588"/>
      <c r="D7" s="588"/>
      <c r="E7" s="588"/>
      <c r="F7" s="588"/>
      <c r="G7" s="588"/>
    </row>
    <row r="9" spans="2:9" s="2" customFormat="1" ht="15.75" x14ac:dyDescent="0.25">
      <c r="B9" s="589" t="s">
        <v>19</v>
      </c>
      <c r="C9" s="583" t="s">
        <v>457</v>
      </c>
      <c r="D9" s="585" t="s">
        <v>458</v>
      </c>
      <c r="E9" s="586"/>
      <c r="F9" s="586"/>
      <c r="G9" s="587"/>
    </row>
    <row r="10" spans="2:9" s="2" customFormat="1" ht="28.5" customHeight="1" thickBot="1" x14ac:dyDescent="0.3">
      <c r="B10" s="590"/>
      <c r="C10" s="584"/>
      <c r="D10" s="379" t="s">
        <v>14</v>
      </c>
      <c r="E10" s="334" t="s">
        <v>13</v>
      </c>
      <c r="F10" s="318" t="s">
        <v>488</v>
      </c>
      <c r="G10" s="335" t="s">
        <v>459</v>
      </c>
      <c r="I10" s="350" t="s">
        <v>31</v>
      </c>
    </row>
    <row r="11" spans="2:9" s="2" customFormat="1" ht="33" customHeight="1" x14ac:dyDescent="0.25">
      <c r="B11" s="357" t="s">
        <v>11</v>
      </c>
      <c r="C11" s="353" t="s">
        <v>32</v>
      </c>
      <c r="D11" s="372">
        <v>1</v>
      </c>
      <c r="E11" s="344">
        <v>1</v>
      </c>
      <c r="F11" s="359" t="s">
        <v>30</v>
      </c>
      <c r="G11" s="367">
        <f>D11</f>
        <v>1</v>
      </c>
      <c r="I11" s="351" t="str">
        <f>IF(D11=E11,IF(D12=E12,"Y","N"),"N")</f>
        <v>Y</v>
      </c>
    </row>
    <row r="12" spans="2:9" s="2" customFormat="1" ht="33" customHeight="1" x14ac:dyDescent="0.25">
      <c r="B12" s="358" t="s">
        <v>11</v>
      </c>
      <c r="C12" s="354" t="s">
        <v>33</v>
      </c>
      <c r="D12" s="373">
        <v>1</v>
      </c>
      <c r="E12" s="345">
        <v>1</v>
      </c>
      <c r="F12" s="360" t="s">
        <v>30</v>
      </c>
      <c r="G12" s="368">
        <f>D12</f>
        <v>1</v>
      </c>
      <c r="I12" s="352" t="str">
        <f>IF(D14=E14,IF(D15=E15,IF(D16=E16,IF(D17=E17,IF(D18=E18,"Y","N"),"N"),"N"),"N"),"N")</f>
        <v>Y</v>
      </c>
    </row>
    <row r="13" spans="2:9" s="2" customFormat="1" ht="15.75" x14ac:dyDescent="0.25">
      <c r="B13" s="346"/>
      <c r="C13" s="342"/>
      <c r="D13" s="343"/>
      <c r="E13" s="343"/>
      <c r="F13" s="343"/>
      <c r="G13" s="343"/>
    </row>
    <row r="14" spans="2:9" ht="33" customHeight="1" x14ac:dyDescent="0.2">
      <c r="B14" s="347" t="s">
        <v>15</v>
      </c>
      <c r="C14" s="340" t="s">
        <v>472</v>
      </c>
      <c r="D14" s="374">
        <v>0.28000000000000003</v>
      </c>
      <c r="E14" s="341">
        <v>0.28000000000000003</v>
      </c>
      <c r="F14" s="361" t="s">
        <v>473</v>
      </c>
      <c r="G14" s="369">
        <f>IF($I$11="Y",D14,E14)</f>
        <v>0.28000000000000003</v>
      </c>
      <c r="I14" s="364" t="s">
        <v>16</v>
      </c>
    </row>
    <row r="15" spans="2:9" ht="33" customHeight="1" x14ac:dyDescent="0.2">
      <c r="B15" s="348" t="s">
        <v>15</v>
      </c>
      <c r="C15" s="336" t="s">
        <v>10</v>
      </c>
      <c r="D15" s="375">
        <v>0.05</v>
      </c>
      <c r="E15" s="319">
        <v>0.05</v>
      </c>
      <c r="F15" s="362" t="s">
        <v>477</v>
      </c>
      <c r="G15" s="370">
        <f>IF($I$11="Y",D15,E15)</f>
        <v>0.05</v>
      </c>
      <c r="I15" s="365" t="s">
        <v>17</v>
      </c>
    </row>
    <row r="16" spans="2:9" ht="33" customHeight="1" x14ac:dyDescent="0.2">
      <c r="B16" s="348" t="s">
        <v>15</v>
      </c>
      <c r="C16" s="337" t="s">
        <v>8</v>
      </c>
      <c r="D16" s="375">
        <v>9.2999999999999999E-2</v>
      </c>
      <c r="E16" s="319">
        <v>9.2999999999999999E-2</v>
      </c>
      <c r="F16" s="362" t="s">
        <v>475</v>
      </c>
      <c r="G16" s="370">
        <f>IF($I$11="Y",D16,E16)</f>
        <v>9.2999999999999999E-2</v>
      </c>
      <c r="I16" s="366" t="s">
        <v>18</v>
      </c>
    </row>
    <row r="17" spans="2:7" ht="33" customHeight="1" x14ac:dyDescent="0.2">
      <c r="B17" s="348" t="s">
        <v>15</v>
      </c>
      <c r="C17" s="337" t="s">
        <v>478</v>
      </c>
      <c r="D17" s="376">
        <v>18000</v>
      </c>
      <c r="E17" s="320">
        <v>18000</v>
      </c>
      <c r="F17" s="362" t="s">
        <v>479</v>
      </c>
      <c r="G17" s="500"/>
    </row>
    <row r="18" spans="2:7" ht="33" customHeight="1" x14ac:dyDescent="0.2">
      <c r="B18" s="349" t="s">
        <v>15</v>
      </c>
      <c r="C18" s="338" t="s">
        <v>39</v>
      </c>
      <c r="D18" s="377">
        <v>2.5000000000000001E-2</v>
      </c>
      <c r="E18" s="339">
        <v>2.5000000000000001E-2</v>
      </c>
      <c r="F18" s="363" t="s">
        <v>476</v>
      </c>
      <c r="G18" s="371">
        <f>IF($I$11="Y",D18,E18)</f>
        <v>2.5000000000000001E-2</v>
      </c>
    </row>
    <row r="20" spans="2:7" ht="27.75" customHeight="1" x14ac:dyDescent="0.2">
      <c r="B20" s="582">
        <f>IF(I11="N",IF(I12="N","Reminder: Please reset all summary parameters to original values before changing specific parameters.  Specific parameters will only be used in ERR computation when all summary parameters are set to initial values",0),0)</f>
        <v>0</v>
      </c>
      <c r="C20" s="582"/>
      <c r="D20" s="582"/>
      <c r="E20" s="582"/>
      <c r="F20" s="582"/>
      <c r="G20" s="582"/>
    </row>
    <row r="22" spans="2:7" x14ac:dyDescent="0.2">
      <c r="C22" s="317" t="s">
        <v>460</v>
      </c>
      <c r="D22" s="333">
        <f>'Registry Upgrade, Khashaa Reg.'!D323:E323</f>
        <v>9.9828750914081832E-2</v>
      </c>
    </row>
    <row r="23" spans="2:7" x14ac:dyDescent="0.2">
      <c r="C23" s="317"/>
      <c r="D23" s="332"/>
    </row>
    <row r="24" spans="2:7" x14ac:dyDescent="0.2">
      <c r="C24" s="317" t="s">
        <v>561</v>
      </c>
      <c r="D24" s="331">
        <v>0.1</v>
      </c>
    </row>
    <row r="25" spans="2:7" s="510" customFormat="1" x14ac:dyDescent="0.2">
      <c r="C25" s="317"/>
      <c r="D25" s="528"/>
    </row>
    <row r="26" spans="2:7" s="510" customFormat="1" x14ac:dyDescent="0.2">
      <c r="C26" s="317"/>
      <c r="D26" s="528"/>
    </row>
  </sheetData>
  <mergeCells count="6">
    <mergeCell ref="B3:C3"/>
    <mergeCell ref="B20:G20"/>
    <mergeCell ref="C9:C10"/>
    <mergeCell ref="D9:G9"/>
    <mergeCell ref="B7:G7"/>
    <mergeCell ref="B9:B10"/>
  </mergeCells>
  <phoneticPr fontId="4" type="noConversion"/>
  <conditionalFormatting sqref="B20">
    <cfRule type="cellIs" dxfId="7" priority="1" stopIfTrue="1" operator="equal">
      <formula>0</formula>
    </cfRule>
    <cfRule type="cellIs" dxfId="6" priority="2" stopIfTrue="1" operator="notEqual">
      <formula>0</formula>
    </cfRule>
  </conditionalFormatting>
  <hyperlinks>
    <hyperlink ref="I15" location="'Project Description'!A1" display="Project Description"/>
    <hyperlink ref="I16" location="'User''s Guide'!A1" display="User's Guide"/>
  </hyperlinks>
  <pageMargins left="0.75" right="0.75" top="1" bottom="1" header="0.5" footer="0.5"/>
  <pageSetup scale="78" fitToHeight="2" orientation="landscape" r:id="rId1"/>
  <headerFooter alignWithMargins="0"/>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Button 4">
              <controlPr defaultSize="0" print="0" autoFill="0" autoPict="0" macro="[0]!Reset">
                <anchor moveWithCells="1" sizeWithCells="1">
                  <from>
                    <xdr:col>8</xdr:col>
                    <xdr:colOff>19050</xdr:colOff>
                    <xdr:row>6</xdr:row>
                    <xdr:rowOff>19050</xdr:rowOff>
                  </from>
                  <to>
                    <xdr:col>8</xdr:col>
                    <xdr:colOff>1485900</xdr:colOff>
                    <xdr:row>7</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workbookViewId="0">
      <selection activeCell="C12" sqref="C12"/>
    </sheetView>
  </sheetViews>
  <sheetFormatPr defaultRowHeight="12.75" x14ac:dyDescent="0.2"/>
  <cols>
    <col min="1" max="1" width="28.85546875" bestFit="1" customWidth="1"/>
    <col min="2" max="2" width="15.28515625" bestFit="1" customWidth="1"/>
    <col min="3" max="4" width="13.5703125" bestFit="1" customWidth="1"/>
    <col min="5" max="5" width="24.85546875" bestFit="1" customWidth="1"/>
    <col min="6" max="7" width="13.5703125" bestFit="1" customWidth="1"/>
    <col min="8" max="21" width="10.28515625" bestFit="1" customWidth="1"/>
  </cols>
  <sheetData>
    <row r="1" spans="1:23" x14ac:dyDescent="0.2">
      <c r="A1" s="536"/>
      <c r="B1" s="536"/>
      <c r="C1" s="536"/>
      <c r="D1" s="536"/>
      <c r="E1" s="536"/>
      <c r="F1" s="536"/>
      <c r="G1" s="536"/>
      <c r="H1" s="536"/>
      <c r="I1" s="591"/>
      <c r="J1" s="591"/>
      <c r="K1" s="591"/>
      <c r="L1" s="536"/>
      <c r="M1" s="536"/>
      <c r="N1" s="536"/>
      <c r="O1" s="536"/>
      <c r="P1" s="536"/>
      <c r="Q1" s="536"/>
      <c r="R1" s="536"/>
      <c r="S1" s="536"/>
      <c r="T1" s="536"/>
      <c r="U1" s="536"/>
      <c r="V1" s="544" t="s">
        <v>572</v>
      </c>
    </row>
    <row r="2" spans="1:23" ht="20.25" x14ac:dyDescent="0.3">
      <c r="A2" s="545" t="s">
        <v>554</v>
      </c>
      <c r="B2" s="536"/>
      <c r="C2" s="536"/>
      <c r="D2" s="536"/>
      <c r="E2" s="536"/>
      <c r="F2" s="536"/>
      <c r="G2" s="536"/>
      <c r="H2" s="536"/>
      <c r="I2" s="536"/>
      <c r="J2" s="536"/>
      <c r="K2" s="536"/>
      <c r="L2" s="536"/>
      <c r="M2" s="536"/>
      <c r="N2" s="536"/>
      <c r="O2" s="536"/>
      <c r="P2" s="536"/>
      <c r="Q2" s="536"/>
      <c r="R2" s="536"/>
      <c r="S2" s="536"/>
      <c r="T2" s="536"/>
      <c r="U2" s="536"/>
      <c r="V2" s="536"/>
    </row>
    <row r="3" spans="1:23" ht="18" x14ac:dyDescent="0.25">
      <c r="A3" s="546"/>
      <c r="B3" s="536"/>
      <c r="C3" s="536"/>
      <c r="D3" s="536"/>
      <c r="E3" s="536"/>
      <c r="F3" s="536"/>
      <c r="G3" s="536"/>
      <c r="H3" s="536"/>
      <c r="I3" s="536"/>
      <c r="J3" s="536"/>
      <c r="K3" s="536"/>
      <c r="L3" s="536"/>
      <c r="M3" s="536"/>
      <c r="N3" s="536"/>
      <c r="O3" s="536"/>
      <c r="P3" s="536"/>
      <c r="Q3" s="536"/>
      <c r="R3" s="536"/>
      <c r="S3" s="536"/>
      <c r="T3" s="536"/>
      <c r="U3" s="536"/>
      <c r="V3" s="536"/>
    </row>
    <row r="4" spans="1:23" ht="18" x14ac:dyDescent="0.25">
      <c r="A4" s="546"/>
      <c r="B4" s="547"/>
      <c r="C4" s="536"/>
      <c r="D4" s="536"/>
      <c r="E4" s="536"/>
      <c r="F4" s="536"/>
      <c r="G4" s="536"/>
      <c r="H4" s="536"/>
      <c r="I4" s="536"/>
      <c r="J4" s="536"/>
      <c r="K4" s="536"/>
      <c r="L4" s="536"/>
      <c r="M4" s="536"/>
      <c r="N4" s="536"/>
      <c r="O4" s="536"/>
      <c r="P4" s="536"/>
      <c r="Q4" s="536"/>
      <c r="R4" s="536"/>
      <c r="S4" s="536"/>
      <c r="T4" s="536"/>
      <c r="U4" s="536"/>
      <c r="V4" s="536"/>
    </row>
    <row r="5" spans="1:23" ht="15" x14ac:dyDescent="0.25">
      <c r="A5" s="536"/>
      <c r="B5" s="548"/>
      <c r="C5" s="549"/>
      <c r="D5" s="549"/>
      <c r="E5" s="549" t="s">
        <v>573</v>
      </c>
      <c r="F5" s="549"/>
      <c r="G5" s="549"/>
      <c r="H5" s="550"/>
      <c r="I5" s="550"/>
      <c r="J5" s="550"/>
      <c r="K5" s="550"/>
      <c r="L5" s="550"/>
      <c r="M5" s="551"/>
      <c r="N5" s="551"/>
      <c r="O5" s="551"/>
      <c r="P5" s="551"/>
      <c r="Q5" s="551"/>
      <c r="R5" s="552"/>
      <c r="S5" s="552"/>
      <c r="T5" s="552"/>
      <c r="U5" s="552"/>
      <c r="V5" s="536"/>
    </row>
    <row r="6" spans="1:23" ht="15" x14ac:dyDescent="0.25">
      <c r="A6" s="553"/>
      <c r="B6" s="553"/>
      <c r="C6" s="553">
        <f t="shared" ref="C6:U6" si="0">B6+1</f>
        <v>1</v>
      </c>
      <c r="D6" s="553">
        <f t="shared" si="0"/>
        <v>2</v>
      </c>
      <c r="E6" s="553">
        <f t="shared" si="0"/>
        <v>3</v>
      </c>
      <c r="F6" s="553">
        <f t="shared" si="0"/>
        <v>4</v>
      </c>
      <c r="G6" s="553">
        <f t="shared" si="0"/>
        <v>5</v>
      </c>
      <c r="H6" s="553">
        <f t="shared" si="0"/>
        <v>6</v>
      </c>
      <c r="I6" s="553">
        <f t="shared" si="0"/>
        <v>7</v>
      </c>
      <c r="J6" s="553">
        <f t="shared" si="0"/>
        <v>8</v>
      </c>
      <c r="K6" s="553">
        <f t="shared" si="0"/>
        <v>9</v>
      </c>
      <c r="L6" s="553">
        <f t="shared" si="0"/>
        <v>10</v>
      </c>
      <c r="M6" s="553">
        <f t="shared" si="0"/>
        <v>11</v>
      </c>
      <c r="N6" s="553">
        <f t="shared" si="0"/>
        <v>12</v>
      </c>
      <c r="O6" s="553">
        <f t="shared" si="0"/>
        <v>13</v>
      </c>
      <c r="P6" s="553">
        <f t="shared" si="0"/>
        <v>14</v>
      </c>
      <c r="Q6" s="553">
        <f t="shared" si="0"/>
        <v>15</v>
      </c>
      <c r="R6" s="553">
        <f t="shared" si="0"/>
        <v>16</v>
      </c>
      <c r="S6" s="553">
        <f t="shared" si="0"/>
        <v>17</v>
      </c>
      <c r="T6" s="553">
        <f t="shared" si="0"/>
        <v>18</v>
      </c>
      <c r="U6" s="553">
        <f t="shared" si="0"/>
        <v>19</v>
      </c>
      <c r="V6" s="536"/>
    </row>
    <row r="7" spans="1:23" x14ac:dyDescent="0.2">
      <c r="A7" s="536" t="s">
        <v>575</v>
      </c>
      <c r="B7" s="555">
        <f>'Registry Upgrade, Khashaa Reg.'!BR313</f>
        <v>23412.968583983344</v>
      </c>
      <c r="C7" s="555">
        <f>'Registry Upgrade, Khashaa Reg.'!BS313</f>
        <v>143687.28196109561</v>
      </c>
      <c r="D7" s="555">
        <f>'Registry Upgrade, Khashaa Reg.'!BT313</f>
        <v>235661.08274066469</v>
      </c>
      <c r="E7" s="555">
        <f>'Registry Upgrade, Khashaa Reg.'!BU313</f>
        <v>283223.58232903975</v>
      </c>
      <c r="F7" s="555">
        <f>'Registry Upgrade, Khashaa Reg.'!BV313</f>
        <v>1120315.6602069598</v>
      </c>
      <c r="G7" s="555">
        <f>'Registry Upgrade, Khashaa Reg.'!BW313</f>
        <v>2089654.2166006272</v>
      </c>
      <c r="H7" s="555">
        <f>'Registry Upgrade, Khashaa Reg.'!BX313</f>
        <v>1997739.634578408</v>
      </c>
      <c r="I7" s="555">
        <f>'Registry Upgrade, Khashaa Reg.'!BY313</f>
        <v>2141427.0740893991</v>
      </c>
      <c r="J7" s="555">
        <f>'Registry Upgrade, Khashaa Reg.'!BZ313</f>
        <v>2262863.839308809</v>
      </c>
      <c r="K7" s="555">
        <f>'Registry Upgrade, Khashaa Reg.'!CA313</f>
        <v>2341647.7232029508</v>
      </c>
      <c r="L7" s="555">
        <f>'Registry Upgrade, Khashaa Reg.'!CB313</f>
        <v>2393084.4965506811</v>
      </c>
      <c r="M7" s="555">
        <f>'Registry Upgrade, Khashaa Reg.'!CC313</f>
        <v>2521754.0983110191</v>
      </c>
      <c r="N7" s="555">
        <f>'Registry Upgrade, Khashaa Reg.'!CD313</f>
        <v>2639571.0033449717</v>
      </c>
      <c r="O7" s="555">
        <f>'Registry Upgrade, Khashaa Reg.'!CE313</f>
        <v>2726311.2629854502</v>
      </c>
      <c r="P7" s="555">
        <f>'Registry Upgrade, Khashaa Reg.'!CF313</f>
        <v>2789451.3716684431</v>
      </c>
      <c r="Q7" s="555">
        <f>'Registry Upgrade, Khashaa Reg.'!CG313</f>
        <v>2910902.9178064023</v>
      </c>
      <c r="R7" s="555">
        <f>'Registry Upgrade, Khashaa Reg.'!CH313</f>
        <v>3024791.0556982043</v>
      </c>
      <c r="S7" s="555">
        <f>'Registry Upgrade, Khashaa Reg.'!CI313</f>
        <v>3116004.7611379093</v>
      </c>
      <c r="T7" s="555">
        <f>'Registry Upgrade, Khashaa Reg.'!CJ313</f>
        <v>3193146.7889803317</v>
      </c>
      <c r="U7" s="555">
        <f>'Registry Upgrade, Khashaa Reg.'!CK313</f>
        <v>3314776.6146083567</v>
      </c>
      <c r="V7" s="536"/>
      <c r="W7" s="536"/>
    </row>
    <row r="8" spans="1:23" ht="12" customHeight="1" x14ac:dyDescent="0.2">
      <c r="A8" s="536" t="s">
        <v>574</v>
      </c>
      <c r="B8" s="555">
        <f>'Registry Upgrade, Khashaa Reg.'!BR319</f>
        <v>360495.48428726831</v>
      </c>
      <c r="C8" s="555">
        <f>'Registry Upgrade, Khashaa Reg.'!BS319</f>
        <v>2095534.1620323861</v>
      </c>
      <c r="D8" s="555">
        <f>'Registry Upgrade, Khashaa Reg.'!BT319</f>
        <v>5931567.0739091467</v>
      </c>
      <c r="E8" s="555">
        <f>'Registry Upgrade, Khashaa Reg.'!BU319</f>
        <v>4935669.1463646237</v>
      </c>
      <c r="F8" s="555">
        <f>'Registry Upgrade, Khashaa Reg.'!BV319</f>
        <v>3585738.2828093399</v>
      </c>
      <c r="G8" s="555">
        <f>'Registry Upgrade, Khashaa Reg.'!BW319</f>
        <v>1370631.1497464129</v>
      </c>
      <c r="H8" s="555">
        <f>'Registry Upgrade, Khashaa Reg.'!BX319</f>
        <v>0</v>
      </c>
      <c r="I8" s="555">
        <f>'Registry Upgrade, Khashaa Reg.'!BY319</f>
        <v>0</v>
      </c>
      <c r="J8" s="555">
        <f>'Registry Upgrade, Khashaa Reg.'!BZ319</f>
        <v>0</v>
      </c>
      <c r="K8" s="555">
        <f>'Registry Upgrade, Khashaa Reg.'!CA319</f>
        <v>0</v>
      </c>
      <c r="L8" s="555">
        <f>'Registry Upgrade, Khashaa Reg.'!CB319</f>
        <v>0</v>
      </c>
      <c r="M8" s="555">
        <f>'Registry Upgrade, Khashaa Reg.'!CC319</f>
        <v>0</v>
      </c>
      <c r="N8" s="555">
        <f>'Registry Upgrade, Khashaa Reg.'!CD319</f>
        <v>0</v>
      </c>
      <c r="O8" s="555">
        <f>'Registry Upgrade, Khashaa Reg.'!CE319</f>
        <v>0</v>
      </c>
      <c r="P8" s="555">
        <f>'Registry Upgrade, Khashaa Reg.'!CF319</f>
        <v>0</v>
      </c>
      <c r="Q8" s="555">
        <f>'Registry Upgrade, Khashaa Reg.'!CG319</f>
        <v>0</v>
      </c>
      <c r="R8" s="555">
        <f>'Registry Upgrade, Khashaa Reg.'!CH319</f>
        <v>0</v>
      </c>
      <c r="S8" s="555">
        <f>'Registry Upgrade, Khashaa Reg.'!CI319</f>
        <v>0</v>
      </c>
      <c r="T8" s="555">
        <f>'Registry Upgrade, Khashaa Reg.'!CJ319</f>
        <v>0</v>
      </c>
      <c r="U8" s="555">
        <f>'Registry Upgrade, Khashaa Reg.'!CK319</f>
        <v>0</v>
      </c>
      <c r="V8" s="536"/>
    </row>
    <row r="9" spans="1:23" s="536" customFormat="1" ht="12" customHeight="1" x14ac:dyDescent="0.2">
      <c r="B9" s="555"/>
      <c r="C9" s="555"/>
      <c r="D9" s="555"/>
      <c r="E9" s="555"/>
      <c r="F9" s="555"/>
      <c r="G9" s="555"/>
      <c r="H9" s="555"/>
      <c r="I9" s="555"/>
      <c r="J9" s="555"/>
      <c r="K9" s="555"/>
      <c r="L9" s="555"/>
      <c r="M9" s="555"/>
      <c r="N9" s="555"/>
      <c r="O9" s="555"/>
      <c r="P9" s="555"/>
      <c r="Q9" s="555"/>
      <c r="R9" s="555"/>
      <c r="S9" s="555"/>
      <c r="T9" s="555"/>
      <c r="U9" s="555"/>
    </row>
    <row r="10" spans="1:23" x14ac:dyDescent="0.2">
      <c r="A10" s="536" t="s">
        <v>576</v>
      </c>
      <c r="B10" s="555">
        <f t="shared" ref="B10:U10" si="1">B7-B8</f>
        <v>-337082.51570328494</v>
      </c>
      <c r="C10" s="555">
        <f t="shared" si="1"/>
        <v>-1951846.8800712905</v>
      </c>
      <c r="D10" s="555">
        <f t="shared" si="1"/>
        <v>-5695905.9911684822</v>
      </c>
      <c r="E10" s="555">
        <f t="shared" si="1"/>
        <v>-4652445.5640355842</v>
      </c>
      <c r="F10" s="555">
        <f t="shared" si="1"/>
        <v>-2465422.6226023799</v>
      </c>
      <c r="G10" s="555">
        <f t="shared" si="1"/>
        <v>719023.0668542143</v>
      </c>
      <c r="H10" s="555">
        <f t="shared" si="1"/>
        <v>1997739.634578408</v>
      </c>
      <c r="I10" s="555">
        <f t="shared" si="1"/>
        <v>2141427.0740893991</v>
      </c>
      <c r="J10" s="555">
        <f t="shared" si="1"/>
        <v>2262863.839308809</v>
      </c>
      <c r="K10" s="555">
        <f t="shared" si="1"/>
        <v>2341647.7232029508</v>
      </c>
      <c r="L10" s="555">
        <f t="shared" si="1"/>
        <v>2393084.4965506811</v>
      </c>
      <c r="M10" s="555">
        <f t="shared" si="1"/>
        <v>2521754.0983110191</v>
      </c>
      <c r="N10" s="555">
        <f t="shared" si="1"/>
        <v>2639571.0033449717</v>
      </c>
      <c r="O10" s="555">
        <f t="shared" si="1"/>
        <v>2726311.2629854502</v>
      </c>
      <c r="P10" s="555">
        <f t="shared" si="1"/>
        <v>2789451.3716684431</v>
      </c>
      <c r="Q10" s="555">
        <f t="shared" si="1"/>
        <v>2910902.9178064023</v>
      </c>
      <c r="R10" s="555">
        <f t="shared" si="1"/>
        <v>3024791.0556982043</v>
      </c>
      <c r="S10" s="555">
        <f t="shared" si="1"/>
        <v>3116004.7611379093</v>
      </c>
      <c r="T10" s="555">
        <f t="shared" si="1"/>
        <v>3193146.7889803317</v>
      </c>
      <c r="U10" s="555">
        <f t="shared" si="1"/>
        <v>3314776.6146083567</v>
      </c>
      <c r="V10" s="536"/>
    </row>
    <row r="11" spans="1:23" x14ac:dyDescent="0.2">
      <c r="A11" s="536"/>
      <c r="B11" s="536"/>
      <c r="C11" s="536"/>
      <c r="D11" s="536"/>
      <c r="E11" s="536"/>
      <c r="F11" s="536"/>
      <c r="G11" s="536"/>
      <c r="H11" s="536"/>
      <c r="I11" s="536"/>
      <c r="J11" s="536"/>
      <c r="K11" s="536"/>
      <c r="L11" s="536"/>
      <c r="M11" s="536"/>
      <c r="N11" s="536"/>
      <c r="O11" s="536"/>
      <c r="P11" s="536"/>
      <c r="Q11" s="536"/>
      <c r="R11" s="536"/>
      <c r="S11" s="536"/>
      <c r="T11" s="536"/>
      <c r="U11" s="536"/>
      <c r="V11" s="536"/>
    </row>
    <row r="12" spans="1:23" ht="15" x14ac:dyDescent="0.25">
      <c r="A12" s="547" t="s">
        <v>577</v>
      </c>
      <c r="B12" s="556">
        <f>IRR(B10:U10)</f>
        <v>9.9828750914081832E-2</v>
      </c>
      <c r="C12" s="535"/>
      <c r="D12" s="536"/>
      <c r="E12" s="536"/>
      <c r="F12" s="536"/>
      <c r="G12" s="536"/>
      <c r="H12" s="536"/>
      <c r="I12" s="536"/>
      <c r="J12" s="536"/>
      <c r="K12" s="536"/>
      <c r="L12" s="536"/>
      <c r="M12" s="536"/>
      <c r="N12" s="536"/>
      <c r="O12" s="536"/>
      <c r="P12" s="536"/>
      <c r="Q12" s="536"/>
      <c r="R12" s="536"/>
      <c r="S12" s="536"/>
      <c r="T12" s="536"/>
      <c r="U12" s="536"/>
      <c r="V12" s="536"/>
    </row>
    <row r="13" spans="1:23" x14ac:dyDescent="0.2">
      <c r="A13" s="536"/>
      <c r="B13" s="536"/>
      <c r="C13" s="536"/>
      <c r="D13" s="536"/>
      <c r="E13" s="536"/>
      <c r="F13" s="536"/>
      <c r="G13" s="536"/>
      <c r="H13" s="536"/>
      <c r="I13" s="536"/>
      <c r="J13" s="536"/>
      <c r="K13" s="536"/>
      <c r="L13" s="536"/>
      <c r="M13" s="536"/>
      <c r="N13" s="536"/>
      <c r="O13" s="536"/>
      <c r="P13" s="536"/>
      <c r="Q13" s="536"/>
      <c r="R13" s="536"/>
      <c r="S13" s="536"/>
      <c r="T13" s="536"/>
      <c r="U13" s="536"/>
      <c r="V13" s="536"/>
    </row>
    <row r="14" spans="1:23" ht="15" x14ac:dyDescent="0.25">
      <c r="A14" s="553" t="s">
        <v>578</v>
      </c>
      <c r="B14" s="554">
        <f>NPV(0.1,B10:U10)</f>
        <v>-15213.180966577809</v>
      </c>
      <c r="C14" s="536"/>
      <c r="D14" s="536"/>
      <c r="E14" s="536"/>
      <c r="F14" s="536"/>
      <c r="G14" s="536"/>
      <c r="H14" s="536"/>
      <c r="I14" s="536"/>
      <c r="J14" s="536"/>
      <c r="K14" s="536"/>
      <c r="L14" s="536"/>
      <c r="M14" s="536"/>
      <c r="N14" s="536"/>
      <c r="O14" s="536"/>
      <c r="P14" s="536"/>
      <c r="Q14" s="536"/>
      <c r="R14" s="536"/>
      <c r="S14" s="536"/>
      <c r="T14" s="536"/>
      <c r="U14" s="536"/>
      <c r="V14" s="536"/>
    </row>
    <row r="15" spans="1:23" ht="15" x14ac:dyDescent="0.25">
      <c r="A15" s="547" t="s">
        <v>579</v>
      </c>
      <c r="B15" s="554">
        <f>NPV(0.1,B7:U7)</f>
        <v>12872105.8852931</v>
      </c>
      <c r="C15" s="536"/>
      <c r="D15" s="536"/>
      <c r="E15" s="535"/>
      <c r="F15" s="536"/>
      <c r="G15" s="536"/>
      <c r="H15" s="536"/>
      <c r="I15" s="536"/>
      <c r="J15" s="536"/>
      <c r="K15" s="536"/>
      <c r="L15" s="536"/>
      <c r="M15" s="536"/>
      <c r="N15" s="536"/>
      <c r="O15" s="536"/>
      <c r="P15" s="536"/>
      <c r="Q15" s="536"/>
      <c r="R15" s="536"/>
      <c r="S15" s="536"/>
      <c r="T15" s="536"/>
      <c r="U15" s="536"/>
      <c r="V15" s="536"/>
    </row>
    <row r="16" spans="1:23" ht="15" x14ac:dyDescent="0.25">
      <c r="A16" s="547" t="s">
        <v>580</v>
      </c>
      <c r="B16" s="554">
        <f>NPV(0.1,B8:U8)</f>
        <v>12887319.066259673</v>
      </c>
      <c r="C16" s="536"/>
      <c r="D16" s="535"/>
      <c r="E16" s="536"/>
      <c r="F16" s="536"/>
      <c r="G16" s="536"/>
      <c r="H16" s="536"/>
      <c r="I16" s="536"/>
      <c r="J16" s="536"/>
      <c r="K16" s="536"/>
      <c r="L16" s="536"/>
      <c r="M16" s="536"/>
      <c r="N16" s="536"/>
      <c r="O16" s="536"/>
      <c r="P16" s="536"/>
      <c r="Q16" s="536"/>
      <c r="R16" s="536"/>
      <c r="S16" s="536"/>
      <c r="T16" s="536"/>
      <c r="U16" s="536"/>
      <c r="V16" s="536"/>
    </row>
    <row r="18" spans="2:2" x14ac:dyDescent="0.2">
      <c r="B18" s="557"/>
    </row>
  </sheetData>
  <mergeCells count="1">
    <mergeCell ref="I1:K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M199"/>
  <sheetViews>
    <sheetView topLeftCell="A76" zoomScale="80" zoomScaleNormal="80" zoomScaleSheetLayoutView="100" workbookViewId="0">
      <selection activeCell="M86" sqref="M86"/>
    </sheetView>
  </sheetViews>
  <sheetFormatPr defaultRowHeight="12.75" x14ac:dyDescent="0.2"/>
  <cols>
    <col min="1" max="3" width="4.7109375" customWidth="1"/>
    <col min="4" max="4" width="12.7109375" style="262" customWidth="1"/>
    <col min="5" max="5" width="12.140625" style="64" customWidth="1"/>
    <col min="6" max="6" width="54.85546875" style="13" customWidth="1"/>
    <col min="11" max="11" width="10.28515625" bestFit="1" customWidth="1"/>
  </cols>
  <sheetData>
    <row r="1" spans="1:10" s="146" customFormat="1" ht="12.75" customHeight="1" x14ac:dyDescent="0.2">
      <c r="A1" s="582">
        <f>IF('ERR &amp; Sensitivity Analysis'!$I$11="N","Note: Current calculations are based on user input and are not the original MCC estimates.",IF('ERR &amp; Sensitivity Analysis'!$I$12="N","Note: Current calculations are based on user input and are not the original MCC estimates.",0))</f>
        <v>0</v>
      </c>
      <c r="B1" s="582"/>
      <c r="C1" s="582"/>
      <c r="D1" s="582"/>
      <c r="E1" s="582"/>
      <c r="F1" s="582"/>
      <c r="G1" s="582"/>
      <c r="I1" s="330" t="s">
        <v>12</v>
      </c>
      <c r="J1" s="378">
        <v>40726</v>
      </c>
    </row>
    <row r="2" spans="1:10" s="512" customFormat="1" ht="20.25" x14ac:dyDescent="0.3">
      <c r="B2" s="382" t="s">
        <v>554</v>
      </c>
    </row>
    <row r="3" spans="1:10" s="512" customFormat="1" ht="15" x14ac:dyDescent="0.2">
      <c r="B3" s="529" t="s">
        <v>555</v>
      </c>
      <c r="C3" s="529"/>
      <c r="D3" s="529"/>
      <c r="E3" s="529"/>
      <c r="F3" s="529"/>
    </row>
    <row r="4" spans="1:10" s="146" customFormat="1" ht="12.75" customHeight="1" x14ac:dyDescent="0.2">
      <c r="A4" s="509"/>
      <c r="B4" s="509"/>
      <c r="C4" s="509"/>
      <c r="D4" s="509"/>
      <c r="E4" s="509"/>
      <c r="F4" s="509"/>
      <c r="G4" s="509"/>
      <c r="I4" s="330"/>
      <c r="J4" s="378"/>
    </row>
    <row r="5" spans="1:10" ht="15.75" x14ac:dyDescent="0.25">
      <c r="A5" s="2" t="s">
        <v>85</v>
      </c>
      <c r="D5" s="260"/>
    </row>
    <row r="6" spans="1:10" ht="12.75" customHeight="1" x14ac:dyDescent="0.25">
      <c r="A6" s="2"/>
      <c r="D6" s="261" t="s">
        <v>58</v>
      </c>
      <c r="E6" s="64" t="s">
        <v>57</v>
      </c>
      <c r="F6" s="16" t="s">
        <v>59</v>
      </c>
      <c r="G6" s="1" t="s">
        <v>60</v>
      </c>
      <c r="I6" s="397"/>
      <c r="J6" s="397"/>
    </row>
    <row r="7" spans="1:10" ht="12.75" customHeight="1" x14ac:dyDescent="0.25">
      <c r="A7" s="2"/>
      <c r="B7" s="4" t="s">
        <v>359</v>
      </c>
      <c r="I7" s="397"/>
      <c r="J7" s="397"/>
    </row>
    <row r="8" spans="1:10" ht="12.75" customHeight="1" x14ac:dyDescent="0.25">
      <c r="A8" s="2"/>
      <c r="D8" s="263">
        <v>1164</v>
      </c>
      <c r="E8" s="64" t="s">
        <v>219</v>
      </c>
      <c r="F8" s="13" t="s">
        <v>86</v>
      </c>
      <c r="G8" s="11" t="s">
        <v>87</v>
      </c>
    </row>
    <row r="9" spans="1:10" ht="12.75" customHeight="1" x14ac:dyDescent="0.25">
      <c r="A9" s="2"/>
      <c r="D9" s="264">
        <v>5.0999999999999997E-2</v>
      </c>
      <c r="E9" s="64" t="s">
        <v>55</v>
      </c>
      <c r="F9" s="58" t="s">
        <v>296</v>
      </c>
      <c r="G9" t="s">
        <v>236</v>
      </c>
    </row>
    <row r="10" spans="1:10" ht="12.75" customHeight="1" x14ac:dyDescent="0.25">
      <c r="A10" s="2"/>
      <c r="D10" s="264">
        <v>8.3000000000000004E-2</v>
      </c>
      <c r="E10" s="186" t="s">
        <v>55</v>
      </c>
      <c r="F10" s="58" t="s">
        <v>295</v>
      </c>
      <c r="G10" t="s">
        <v>236</v>
      </c>
    </row>
    <row r="11" spans="1:10" ht="12.75" customHeight="1" x14ac:dyDescent="0.25">
      <c r="A11" s="2"/>
      <c r="D11" s="264">
        <v>0.121</v>
      </c>
      <c r="E11" s="64" t="s">
        <v>55</v>
      </c>
      <c r="F11" s="58" t="s">
        <v>234</v>
      </c>
      <c r="G11" t="s">
        <v>236</v>
      </c>
    </row>
    <row r="12" spans="1:10" ht="12.75" customHeight="1" x14ac:dyDescent="0.25">
      <c r="A12" s="2"/>
      <c r="D12" s="264">
        <v>5.6000000000000001E-2</v>
      </c>
      <c r="E12" s="64" t="s">
        <v>55</v>
      </c>
      <c r="F12" s="58" t="s">
        <v>235</v>
      </c>
      <c r="G12" t="s">
        <v>236</v>
      </c>
    </row>
    <row r="13" spans="1:10" ht="12.75" customHeight="1" x14ac:dyDescent="0.25">
      <c r="A13" s="2"/>
      <c r="D13" s="265">
        <f>D14*(1+D9)</f>
        <v>1.2759591929999998</v>
      </c>
      <c r="E13" s="64" t="s">
        <v>55</v>
      </c>
      <c r="F13" s="58" t="s">
        <v>302</v>
      </c>
      <c r="G13" s="59" t="s">
        <v>335</v>
      </c>
    </row>
    <row r="14" spans="1:10" ht="12.75" customHeight="1" x14ac:dyDescent="0.25">
      <c r="A14" s="2"/>
      <c r="D14" s="265">
        <f>D15*(1+D10)</f>
        <v>1.214043</v>
      </c>
      <c r="E14" s="64" t="s">
        <v>55</v>
      </c>
      <c r="F14" s="58" t="s">
        <v>303</v>
      </c>
      <c r="G14" s="59" t="s">
        <v>335</v>
      </c>
    </row>
    <row r="15" spans="1:10" ht="12.75" customHeight="1" x14ac:dyDescent="0.25">
      <c r="A15" s="2"/>
      <c r="D15" s="265">
        <f>(1+D11)</f>
        <v>1.121</v>
      </c>
      <c r="E15" s="64" t="s">
        <v>55</v>
      </c>
      <c r="F15" s="58" t="s">
        <v>304</v>
      </c>
      <c r="G15" s="59" t="s">
        <v>335</v>
      </c>
    </row>
    <row r="16" spans="1:10" ht="12.75" customHeight="1" x14ac:dyDescent="0.25">
      <c r="A16" s="2"/>
      <c r="D16" s="264">
        <f>7%</f>
        <v>7.0000000000000007E-2</v>
      </c>
      <c r="E16" s="64" t="s">
        <v>55</v>
      </c>
      <c r="F16" s="58" t="s">
        <v>334</v>
      </c>
      <c r="G16" t="s">
        <v>358</v>
      </c>
    </row>
    <row r="17" spans="1:13" s="146" customFormat="1" ht="12.75" customHeight="1" x14ac:dyDescent="0.25">
      <c r="A17" s="179"/>
      <c r="D17" s="266">
        <v>2788000000</v>
      </c>
      <c r="E17" s="187" t="s">
        <v>175</v>
      </c>
      <c r="F17" s="152" t="s">
        <v>397</v>
      </c>
      <c r="G17" t="s">
        <v>358</v>
      </c>
    </row>
    <row r="18" spans="1:13" s="146" customFormat="1" ht="12.75" customHeight="1" x14ac:dyDescent="0.2">
      <c r="A18" s="180"/>
      <c r="D18" s="263">
        <f>D17/D20</f>
        <v>1072.3076923076924</v>
      </c>
      <c r="E18" s="187" t="s">
        <v>398</v>
      </c>
      <c r="F18" s="152" t="s">
        <v>399</v>
      </c>
      <c r="G18" s="181" t="s">
        <v>333</v>
      </c>
    </row>
    <row r="19" spans="1:13" ht="12.75" customHeight="1" x14ac:dyDescent="0.25">
      <c r="A19" s="2"/>
      <c r="D19" s="264">
        <v>1.4E-2</v>
      </c>
      <c r="E19" s="64" t="s">
        <v>55</v>
      </c>
      <c r="F19" s="58" t="s">
        <v>354</v>
      </c>
      <c r="G19" t="s">
        <v>358</v>
      </c>
    </row>
    <row r="20" spans="1:13" ht="12.75" customHeight="1" x14ac:dyDescent="0.25">
      <c r="A20" s="2"/>
      <c r="D20" s="267">
        <v>2600000</v>
      </c>
      <c r="E20" s="64" t="s">
        <v>55</v>
      </c>
      <c r="F20" s="58" t="s">
        <v>357</v>
      </c>
      <c r="G20" t="s">
        <v>358</v>
      </c>
    </row>
    <row r="21" spans="1:13" ht="12.75" customHeight="1" x14ac:dyDescent="0.25">
      <c r="A21" s="2"/>
      <c r="B21" s="4"/>
      <c r="D21" s="268">
        <f>SUMPRODUCT(K24:K25,L24:L25)/SUM(K24:K25)</f>
        <v>4.0217986467148101</v>
      </c>
      <c r="E21" s="64" t="s">
        <v>55</v>
      </c>
      <c r="F21" s="58" t="s">
        <v>340</v>
      </c>
      <c r="G21" s="59" t="s">
        <v>547</v>
      </c>
    </row>
    <row r="22" spans="1:13" ht="12.75" customHeight="1" x14ac:dyDescent="0.25">
      <c r="A22" s="2"/>
      <c r="G22" s="157"/>
      <c r="K22" s="59" t="s">
        <v>546</v>
      </c>
    </row>
    <row r="23" spans="1:13" ht="12.75" customHeight="1" x14ac:dyDescent="0.25">
      <c r="A23" s="2"/>
      <c r="G23" s="11"/>
      <c r="K23" s="59" t="s">
        <v>493</v>
      </c>
      <c r="L23" s="59" t="s">
        <v>490</v>
      </c>
      <c r="M23" s="59"/>
    </row>
    <row r="24" spans="1:13" ht="12.75" customHeight="1" x14ac:dyDescent="0.25">
      <c r="A24" s="2"/>
      <c r="G24" s="11"/>
      <c r="J24" s="398" t="s">
        <v>492</v>
      </c>
      <c r="K24" s="399">
        <v>30290</v>
      </c>
      <c r="L24" s="498">
        <f>'Suppl Tables 1'!I10</f>
        <v>4.4697893503574591</v>
      </c>
      <c r="M24" s="498"/>
    </row>
    <row r="25" spans="1:13" ht="12.75" customHeight="1" x14ac:dyDescent="0.2">
      <c r="J25" s="398" t="s">
        <v>491</v>
      </c>
      <c r="K25" s="399">
        <v>22694</v>
      </c>
      <c r="L25" s="498">
        <f>AVERAGE('Suppl Tables 1'!F21:F28)</f>
        <v>3.4238591731387169</v>
      </c>
    </row>
    <row r="26" spans="1:13" ht="15.75" x14ac:dyDescent="0.25">
      <c r="A26" s="2" t="s">
        <v>62</v>
      </c>
      <c r="B26" s="2"/>
      <c r="C26" s="2"/>
      <c r="K26" s="154">
        <f>SUM(K24:K25)</f>
        <v>52984</v>
      </c>
    </row>
    <row r="27" spans="1:13" s="1" customFormat="1" x14ac:dyDescent="0.2">
      <c r="D27" s="261" t="s">
        <v>58</v>
      </c>
      <c r="E27" s="64" t="s">
        <v>57</v>
      </c>
      <c r="F27" s="16" t="s">
        <v>59</v>
      </c>
      <c r="G27" s="1" t="s">
        <v>60</v>
      </c>
    </row>
    <row r="28" spans="1:13" s="1" customFormat="1" x14ac:dyDescent="0.2">
      <c r="B28" s="4" t="s">
        <v>91</v>
      </c>
      <c r="D28" s="261"/>
      <c r="E28" s="64"/>
      <c r="F28" s="16"/>
    </row>
    <row r="29" spans="1:13" s="1" customFormat="1" x14ac:dyDescent="0.2">
      <c r="D29" s="267">
        <v>115280</v>
      </c>
      <c r="E29" s="64" t="s">
        <v>55</v>
      </c>
      <c r="F29" s="17" t="s">
        <v>93</v>
      </c>
      <c r="G29" t="s">
        <v>90</v>
      </c>
    </row>
    <row r="30" spans="1:13" s="1" customFormat="1" x14ac:dyDescent="0.2">
      <c r="D30" s="267">
        <v>67929</v>
      </c>
      <c r="E30" s="64" t="s">
        <v>55</v>
      </c>
      <c r="F30" s="17" t="s">
        <v>94</v>
      </c>
      <c r="G30" t="s">
        <v>95</v>
      </c>
    </row>
    <row r="31" spans="1:13" s="19" customFormat="1" x14ac:dyDescent="0.2">
      <c r="D31" s="271">
        <v>123208</v>
      </c>
      <c r="E31" s="64" t="s">
        <v>55</v>
      </c>
      <c r="F31" s="20" t="s">
        <v>98</v>
      </c>
      <c r="G31" t="s">
        <v>102</v>
      </c>
    </row>
    <row r="32" spans="1:13" s="19" customFormat="1" x14ac:dyDescent="0.2">
      <c r="D32" s="271">
        <v>67076</v>
      </c>
      <c r="E32" s="64" t="s">
        <v>55</v>
      </c>
      <c r="F32" s="20" t="s">
        <v>99</v>
      </c>
      <c r="G32" t="s">
        <v>103</v>
      </c>
    </row>
    <row r="33" spans="1:12" s="21" customFormat="1" x14ac:dyDescent="0.2">
      <c r="D33" s="272">
        <f>112013/535545</f>
        <v>0.20915702695385074</v>
      </c>
      <c r="E33" s="188" t="s">
        <v>55</v>
      </c>
      <c r="F33" s="21" t="s">
        <v>104</v>
      </c>
      <c r="G33" t="s">
        <v>103</v>
      </c>
    </row>
    <row r="34" spans="1:12" s="21" customFormat="1" x14ac:dyDescent="0.2">
      <c r="D34" s="273">
        <v>1.5</v>
      </c>
      <c r="E34" s="188" t="s">
        <v>55</v>
      </c>
      <c r="F34" s="21" t="s">
        <v>227</v>
      </c>
      <c r="G34" t="s">
        <v>230</v>
      </c>
    </row>
    <row r="35" spans="1:12" s="21" customFormat="1" x14ac:dyDescent="0.2">
      <c r="D35" s="273">
        <v>0.40737308480726525</v>
      </c>
      <c r="E35" s="188" t="s">
        <v>105</v>
      </c>
      <c r="F35" s="21" t="s">
        <v>228</v>
      </c>
      <c r="G35" t="s">
        <v>230</v>
      </c>
    </row>
    <row r="36" spans="1:12" s="21" customFormat="1" x14ac:dyDescent="0.2">
      <c r="D36" s="273">
        <v>0.70507056751841157</v>
      </c>
      <c r="E36" s="188" t="s">
        <v>105</v>
      </c>
      <c r="F36" s="21" t="s">
        <v>229</v>
      </c>
      <c r="G36" t="s">
        <v>230</v>
      </c>
    </row>
    <row r="37" spans="1:12" s="12" customFormat="1" x14ac:dyDescent="0.2">
      <c r="D37" s="267"/>
      <c r="E37" s="64"/>
      <c r="F37" s="17"/>
    </row>
    <row r="38" spans="1:12" s="1" customFormat="1" x14ac:dyDescent="0.2">
      <c r="B38" s="4" t="s">
        <v>96</v>
      </c>
      <c r="D38" s="274"/>
      <c r="E38" s="64"/>
      <c r="F38" s="16"/>
    </row>
    <row r="39" spans="1:12" s="12" customFormat="1" x14ac:dyDescent="0.2">
      <c r="B39" s="4"/>
      <c r="D39" s="501">
        <v>0</v>
      </c>
      <c r="E39" s="64" t="s">
        <v>55</v>
      </c>
      <c r="F39" s="17" t="s">
        <v>442</v>
      </c>
      <c r="G39" s="59" t="s">
        <v>225</v>
      </c>
    </row>
    <row r="40" spans="1:12" s="12" customFormat="1" x14ac:dyDescent="0.2">
      <c r="A40" s="314"/>
      <c r="B40" s="4"/>
      <c r="D40" s="499">
        <v>0</v>
      </c>
      <c r="E40" s="64" t="s">
        <v>55</v>
      </c>
      <c r="F40" s="17" t="s">
        <v>443</v>
      </c>
      <c r="G40" s="59" t="s">
        <v>225</v>
      </c>
    </row>
    <row r="41" spans="1:12" s="12" customFormat="1" x14ac:dyDescent="0.2">
      <c r="B41" s="4"/>
      <c r="D41" s="499">
        <v>0</v>
      </c>
      <c r="E41" s="64" t="s">
        <v>55</v>
      </c>
      <c r="F41" s="17" t="s">
        <v>444</v>
      </c>
      <c r="G41" s="59" t="s">
        <v>225</v>
      </c>
    </row>
    <row r="42" spans="1:12" s="12" customFormat="1" x14ac:dyDescent="0.2">
      <c r="B42" s="4"/>
      <c r="D42" s="499">
        <v>10000</v>
      </c>
      <c r="E42" s="64" t="s">
        <v>55</v>
      </c>
      <c r="F42" s="17" t="s">
        <v>445</v>
      </c>
      <c r="G42" s="59" t="s">
        <v>225</v>
      </c>
      <c r="K42" s="504">
        <f>SUM(D42:D43)*D21*D34*30%</f>
        <v>41625.615993498279</v>
      </c>
      <c r="L42" s="503" t="s">
        <v>548</v>
      </c>
    </row>
    <row r="43" spans="1:12" s="12" customFormat="1" x14ac:dyDescent="0.2">
      <c r="B43" s="4"/>
      <c r="D43" s="499">
        <v>13000</v>
      </c>
      <c r="E43" s="64" t="s">
        <v>55</v>
      </c>
      <c r="F43" s="17" t="s">
        <v>446</v>
      </c>
      <c r="G43" s="59" t="s">
        <v>225</v>
      </c>
      <c r="I43" s="189"/>
      <c r="J43" s="300"/>
      <c r="L43" s="59"/>
    </row>
    <row r="44" spans="1:12" x14ac:dyDescent="0.2">
      <c r="D44" s="267">
        <v>122997</v>
      </c>
      <c r="E44" s="64" t="s">
        <v>55</v>
      </c>
      <c r="F44" s="13" t="s">
        <v>56</v>
      </c>
      <c r="G44" t="s">
        <v>462</v>
      </c>
    </row>
    <row r="45" spans="1:12" x14ac:dyDescent="0.2">
      <c r="D45" s="267">
        <v>223938</v>
      </c>
      <c r="E45" s="64" t="s">
        <v>55</v>
      </c>
      <c r="F45" s="13" t="s">
        <v>61</v>
      </c>
      <c r="G45" t="s">
        <v>462</v>
      </c>
    </row>
    <row r="46" spans="1:12" ht="25.5" customHeight="1" x14ac:dyDescent="0.2">
      <c r="D46" s="270">
        <v>0.45</v>
      </c>
      <c r="E46" s="64" t="s">
        <v>55</v>
      </c>
      <c r="F46" s="13" t="s">
        <v>92</v>
      </c>
      <c r="G46" t="s">
        <v>90</v>
      </c>
    </row>
    <row r="47" spans="1:12" ht="12.75" customHeight="1" x14ac:dyDescent="0.2">
      <c r="D47" s="267">
        <v>145000</v>
      </c>
      <c r="E47" s="64" t="s">
        <v>55</v>
      </c>
      <c r="F47" s="13" t="s">
        <v>173</v>
      </c>
      <c r="G47" t="s">
        <v>174</v>
      </c>
    </row>
    <row r="48" spans="1:12" x14ac:dyDescent="0.2">
      <c r="D48" s="275">
        <v>0.255</v>
      </c>
      <c r="E48" s="64" t="s">
        <v>55</v>
      </c>
      <c r="F48" s="13" t="s">
        <v>206</v>
      </c>
      <c r="G48" t="s">
        <v>90</v>
      </c>
    </row>
    <row r="49" spans="4:7" ht="38.25" customHeight="1" x14ac:dyDescent="0.2">
      <c r="D49" s="275">
        <v>0.15</v>
      </c>
      <c r="E49" s="64" t="s">
        <v>55</v>
      </c>
      <c r="F49" s="13" t="s">
        <v>432</v>
      </c>
      <c r="G49" t="s">
        <v>225</v>
      </c>
    </row>
    <row r="50" spans="4:7" x14ac:dyDescent="0.2">
      <c r="D50" s="275">
        <f>D46*D48</f>
        <v>0.11475</v>
      </c>
      <c r="E50" s="64" t="s">
        <v>55</v>
      </c>
      <c r="F50" s="13" t="s">
        <v>339</v>
      </c>
      <c r="G50" t="s">
        <v>335</v>
      </c>
    </row>
    <row r="51" spans="4:7" s="49" customFormat="1" ht="25.5" customHeight="1" x14ac:dyDescent="0.2">
      <c r="D51" s="276">
        <v>0.6</v>
      </c>
      <c r="E51" s="185" t="s">
        <v>55</v>
      </c>
      <c r="F51" s="58" t="s">
        <v>207</v>
      </c>
      <c r="G51" s="49" t="s">
        <v>90</v>
      </c>
    </row>
    <row r="52" spans="4:7" x14ac:dyDescent="0.2">
      <c r="D52" s="271">
        <v>57223</v>
      </c>
      <c r="E52" s="64" t="s">
        <v>55</v>
      </c>
      <c r="F52" s="20" t="s">
        <v>100</v>
      </c>
      <c r="G52" t="s">
        <v>103</v>
      </c>
    </row>
    <row r="53" spans="4:7" x14ac:dyDescent="0.2">
      <c r="D53" s="271">
        <v>14308</v>
      </c>
      <c r="E53" s="64" t="s">
        <v>55</v>
      </c>
      <c r="F53" s="20" t="s">
        <v>101</v>
      </c>
      <c r="G53" t="s">
        <v>103</v>
      </c>
    </row>
    <row r="54" spans="4:7" s="12" customFormat="1" x14ac:dyDescent="0.2">
      <c r="D54" s="271">
        <v>5</v>
      </c>
      <c r="E54" s="64" t="s">
        <v>145</v>
      </c>
      <c r="F54" s="20" t="s">
        <v>149</v>
      </c>
      <c r="G54" t="s">
        <v>148</v>
      </c>
    </row>
    <row r="55" spans="4:7" ht="25.5" x14ac:dyDescent="0.2">
      <c r="D55" s="277">
        <v>6868</v>
      </c>
      <c r="E55" s="64" t="s">
        <v>55</v>
      </c>
      <c r="F55" s="20" t="s">
        <v>171</v>
      </c>
      <c r="G55" t="s">
        <v>172</v>
      </c>
    </row>
    <row r="56" spans="4:7" ht="25.5" x14ac:dyDescent="0.2">
      <c r="D56" s="277">
        <f>50000/D8</f>
        <v>42.955326460481096</v>
      </c>
      <c r="E56" s="64" t="s">
        <v>175</v>
      </c>
      <c r="F56" s="20" t="s">
        <v>177</v>
      </c>
      <c r="G56" t="s">
        <v>176</v>
      </c>
    </row>
    <row r="57" spans="4:7" ht="25.5" x14ac:dyDescent="0.2">
      <c r="D57" s="277">
        <v>103</v>
      </c>
      <c r="E57" s="64" t="s">
        <v>55</v>
      </c>
      <c r="F57" s="20" t="s">
        <v>182</v>
      </c>
      <c r="G57" t="s">
        <v>463</v>
      </c>
    </row>
    <row r="58" spans="4:7" x14ac:dyDescent="0.2">
      <c r="D58" s="278">
        <v>0.56000000000000005</v>
      </c>
      <c r="E58" s="64" t="s">
        <v>55</v>
      </c>
      <c r="F58" s="20" t="s">
        <v>184</v>
      </c>
      <c r="G58" t="s">
        <v>463</v>
      </c>
    </row>
    <row r="59" spans="4:7" ht="25.5" x14ac:dyDescent="0.2">
      <c r="D59" s="277">
        <v>7</v>
      </c>
      <c r="E59" s="64" t="s">
        <v>55</v>
      </c>
      <c r="F59" s="20" t="s">
        <v>183</v>
      </c>
      <c r="G59" t="s">
        <v>463</v>
      </c>
    </row>
    <row r="60" spans="4:7" x14ac:dyDescent="0.2">
      <c r="D60" s="277">
        <f>500000/'Data &amp; Assumptions'!D8</f>
        <v>429.55326460481098</v>
      </c>
      <c r="E60" s="64" t="s">
        <v>175</v>
      </c>
      <c r="F60" s="20" t="s">
        <v>185</v>
      </c>
      <c r="G60" t="s">
        <v>464</v>
      </c>
    </row>
    <row r="61" spans="4:7" x14ac:dyDescent="0.2">
      <c r="D61" s="277">
        <v>3265</v>
      </c>
      <c r="E61" s="64" t="s">
        <v>55</v>
      </c>
      <c r="F61" s="20" t="s">
        <v>186</v>
      </c>
      <c r="G61" t="s">
        <v>465</v>
      </c>
    </row>
    <row r="62" spans="4:7" x14ac:dyDescent="0.2">
      <c r="D62" s="279">
        <f>500/859</f>
        <v>0.58207217694994184</v>
      </c>
      <c r="E62" s="64" t="s">
        <v>55</v>
      </c>
      <c r="F62" s="20" t="s">
        <v>187</v>
      </c>
      <c r="G62" t="s">
        <v>466</v>
      </c>
    </row>
    <row r="63" spans="4:7" x14ac:dyDescent="0.2">
      <c r="D63" s="280">
        <f>(400+0.5*2500+0.2*50000)/D8</f>
        <v>10.008591065292096</v>
      </c>
      <c r="E63" s="64" t="s">
        <v>175</v>
      </c>
      <c r="F63" s="20" t="s">
        <v>216</v>
      </c>
      <c r="G63" t="s">
        <v>217</v>
      </c>
    </row>
    <row r="64" spans="4:7" x14ac:dyDescent="0.2">
      <c r="D64" s="281">
        <v>100</v>
      </c>
      <c r="E64" s="64" t="s">
        <v>175</v>
      </c>
      <c r="F64" s="20" t="s">
        <v>194</v>
      </c>
      <c r="G64" t="s">
        <v>467</v>
      </c>
    </row>
    <row r="65" spans="2:7" x14ac:dyDescent="0.2">
      <c r="D65" s="281">
        <v>90</v>
      </c>
      <c r="E65" s="64" t="s">
        <v>145</v>
      </c>
      <c r="F65" s="20" t="s">
        <v>218</v>
      </c>
      <c r="G65" t="s">
        <v>217</v>
      </c>
    </row>
    <row r="66" spans="2:7" x14ac:dyDescent="0.2">
      <c r="D66" s="282">
        <v>0.1857</v>
      </c>
      <c r="E66" s="64" t="s">
        <v>55</v>
      </c>
      <c r="F66" s="20" t="s">
        <v>265</v>
      </c>
      <c r="G66" t="s">
        <v>84</v>
      </c>
    </row>
    <row r="67" spans="2:7" s="49" customFormat="1" ht="25.5" x14ac:dyDescent="0.2">
      <c r="D67" s="326">
        <f>'ERR &amp; Sensitivity Analysis'!G16</f>
        <v>9.2999999999999999E-2</v>
      </c>
      <c r="E67" s="185" t="s">
        <v>55</v>
      </c>
      <c r="F67" s="117" t="s">
        <v>414</v>
      </c>
      <c r="G67" s="49" t="s">
        <v>415</v>
      </c>
    </row>
    <row r="68" spans="2:7" s="49" customFormat="1" ht="38.25" x14ac:dyDescent="0.2">
      <c r="D68" s="283">
        <f>75%</f>
        <v>0.75</v>
      </c>
      <c r="E68" s="185" t="s">
        <v>55</v>
      </c>
      <c r="F68" s="117" t="s">
        <v>419</v>
      </c>
      <c r="G68" s="49" t="s">
        <v>416</v>
      </c>
    </row>
    <row r="69" spans="2:7" x14ac:dyDescent="0.2">
      <c r="D69" s="282"/>
      <c r="F69" s="20"/>
    </row>
    <row r="70" spans="2:7" x14ac:dyDescent="0.2">
      <c r="B70" s="4" t="s">
        <v>305</v>
      </c>
      <c r="D70" s="271"/>
      <c r="F70" s="20"/>
    </row>
    <row r="71" spans="2:7" x14ac:dyDescent="0.2">
      <c r="D71" s="279">
        <v>0.2</v>
      </c>
      <c r="E71" s="64" t="s">
        <v>55</v>
      </c>
      <c r="F71" s="20" t="s">
        <v>178</v>
      </c>
      <c r="G71" t="s">
        <v>179</v>
      </c>
    </row>
    <row r="72" spans="2:7" ht="14.25" x14ac:dyDescent="0.2">
      <c r="D72" s="284">
        <f>133000/D8</f>
        <v>114.26116838487972</v>
      </c>
      <c r="E72" s="64" t="s">
        <v>405</v>
      </c>
      <c r="F72" s="20" t="s">
        <v>196</v>
      </c>
      <c r="G72" t="s">
        <v>195</v>
      </c>
    </row>
    <row r="73" spans="2:7" ht="14.25" x14ac:dyDescent="0.2">
      <c r="D73" s="271">
        <f>55.7</f>
        <v>55.7</v>
      </c>
      <c r="E73" s="64" t="s">
        <v>406</v>
      </c>
      <c r="F73" s="20" t="s">
        <v>197</v>
      </c>
      <c r="G73" t="s">
        <v>195</v>
      </c>
    </row>
    <row r="74" spans="2:7" x14ac:dyDescent="0.2">
      <c r="D74" s="271">
        <f>D72*D73</f>
        <v>6364.3470790378005</v>
      </c>
      <c r="E74" s="64" t="s">
        <v>175</v>
      </c>
      <c r="F74" s="20" t="s">
        <v>200</v>
      </c>
      <c r="G74" t="s">
        <v>195</v>
      </c>
    </row>
    <row r="75" spans="2:7" ht="14.25" x14ac:dyDescent="0.2">
      <c r="D75" s="271">
        <f>12250/D8</f>
        <v>10.524054982817869</v>
      </c>
      <c r="E75" s="64" t="s">
        <v>405</v>
      </c>
      <c r="F75" s="20" t="s">
        <v>198</v>
      </c>
      <c r="G75" t="s">
        <v>195</v>
      </c>
    </row>
    <row r="76" spans="2:7" ht="14.25" x14ac:dyDescent="0.2">
      <c r="D76" s="271">
        <v>680</v>
      </c>
      <c r="E76" s="64" t="s">
        <v>406</v>
      </c>
      <c r="F76" s="20" t="s">
        <v>199</v>
      </c>
      <c r="G76" t="s">
        <v>195</v>
      </c>
    </row>
    <row r="77" spans="2:7" x14ac:dyDescent="0.2">
      <c r="D77" s="271">
        <f>D75*D76</f>
        <v>7156.3573883161507</v>
      </c>
      <c r="E77" s="64" t="s">
        <v>175</v>
      </c>
      <c r="F77" s="20" t="s">
        <v>201</v>
      </c>
      <c r="G77" t="s">
        <v>195</v>
      </c>
    </row>
    <row r="78" spans="2:7" ht="25.5" x14ac:dyDescent="0.2">
      <c r="D78" s="283">
        <f>3%*30%</f>
        <v>8.9999999999999993E-3</v>
      </c>
      <c r="E78" s="185" t="s">
        <v>55</v>
      </c>
      <c r="F78" s="20" t="s">
        <v>253</v>
      </c>
      <c r="G78" t="s">
        <v>450</v>
      </c>
    </row>
    <row r="79" spans="2:7" x14ac:dyDescent="0.2">
      <c r="D79" s="282">
        <f>6%*30%</f>
        <v>1.7999999999999999E-2</v>
      </c>
      <c r="E79" s="64" t="s">
        <v>55</v>
      </c>
      <c r="F79" s="20" t="s">
        <v>254</v>
      </c>
      <c r="G79" t="s">
        <v>450</v>
      </c>
    </row>
    <row r="80" spans="2:7" x14ac:dyDescent="0.2">
      <c r="D80" s="301">
        <v>1500</v>
      </c>
      <c r="E80" s="64" t="s">
        <v>175</v>
      </c>
      <c r="F80" s="20" t="s">
        <v>447</v>
      </c>
      <c r="G80" t="s">
        <v>448</v>
      </c>
    </row>
    <row r="81" spans="2:11" s="146" customFormat="1" ht="25.5" customHeight="1" x14ac:dyDescent="0.2">
      <c r="D81" s="283">
        <f>D83</f>
        <v>2.5000000000000001E-2</v>
      </c>
      <c r="E81" s="187" t="s">
        <v>55</v>
      </c>
      <c r="F81" s="72" t="s">
        <v>426</v>
      </c>
      <c r="G81" s="153" t="s">
        <v>449</v>
      </c>
    </row>
    <row r="82" spans="2:11" ht="38.25" customHeight="1" x14ac:dyDescent="0.2">
      <c r="D82" s="278">
        <v>0.95</v>
      </c>
      <c r="F82" s="72" t="s">
        <v>427</v>
      </c>
      <c r="G82" s="153" t="s">
        <v>225</v>
      </c>
      <c r="H82" s="146"/>
      <c r="I82" s="146"/>
      <c r="J82" s="146"/>
      <c r="K82" s="146"/>
    </row>
    <row r="83" spans="2:11" ht="25.5" x14ac:dyDescent="0.2">
      <c r="D83" s="326">
        <f>'ERR &amp; Sensitivity Analysis'!G18</f>
        <v>2.5000000000000001E-2</v>
      </c>
      <c r="E83" s="64" t="s">
        <v>55</v>
      </c>
      <c r="F83" s="72" t="s">
        <v>417</v>
      </c>
      <c r="G83" s="153" t="s">
        <v>308</v>
      </c>
      <c r="H83" s="146"/>
      <c r="I83" s="146"/>
      <c r="J83" s="146"/>
      <c r="K83" s="146"/>
    </row>
    <row r="84" spans="2:11" ht="38.25" customHeight="1" x14ac:dyDescent="0.2">
      <c r="D84" s="285">
        <f>D82</f>
        <v>0.95</v>
      </c>
      <c r="F84" s="72" t="s">
        <v>428</v>
      </c>
      <c r="G84" s="153" t="s">
        <v>420</v>
      </c>
      <c r="H84" s="146"/>
      <c r="I84" s="146"/>
      <c r="J84" s="146"/>
      <c r="K84" s="146"/>
    </row>
    <row r="85" spans="2:11" ht="25.5" customHeight="1" x14ac:dyDescent="0.2">
      <c r="D85" s="278">
        <f>D81*60%</f>
        <v>1.4999999999999999E-2</v>
      </c>
      <c r="E85" s="185" t="s">
        <v>55</v>
      </c>
      <c r="F85" s="176" t="s">
        <v>425</v>
      </c>
      <c r="G85" s="153" t="s">
        <v>309</v>
      </c>
      <c r="H85" s="146"/>
      <c r="I85" s="146"/>
      <c r="J85" s="146"/>
    </row>
    <row r="86" spans="2:11" ht="38.25" customHeight="1" x14ac:dyDescent="0.2">
      <c r="D86" s="278">
        <f>D82</f>
        <v>0.95</v>
      </c>
      <c r="E86" s="185"/>
      <c r="F86" s="176" t="s">
        <v>429</v>
      </c>
      <c r="G86" s="153" t="s">
        <v>420</v>
      </c>
      <c r="H86" s="146"/>
      <c r="I86" s="146"/>
      <c r="J86" s="146"/>
    </row>
    <row r="87" spans="2:11" ht="25.5" customHeight="1" x14ac:dyDescent="0.2">
      <c r="D87" s="283">
        <f>D83*60%</f>
        <v>1.4999999999999999E-2</v>
      </c>
      <c r="E87" s="185" t="s">
        <v>55</v>
      </c>
      <c r="F87" s="176" t="s">
        <v>418</v>
      </c>
      <c r="G87" s="153" t="s">
        <v>309</v>
      </c>
      <c r="H87" s="146"/>
      <c r="I87" s="146"/>
      <c r="J87" s="146"/>
    </row>
    <row r="88" spans="2:11" ht="38.25" customHeight="1" x14ac:dyDescent="0.2">
      <c r="D88" s="285">
        <f>D82</f>
        <v>0.95</v>
      </c>
      <c r="E88" s="185"/>
      <c r="F88" s="176" t="s">
        <v>430</v>
      </c>
      <c r="G88" s="153" t="s">
        <v>420</v>
      </c>
      <c r="H88" s="146"/>
      <c r="I88" s="146"/>
      <c r="J88" s="146"/>
    </row>
    <row r="89" spans="2:11" s="49" customFormat="1" ht="25.5" x14ac:dyDescent="0.2">
      <c r="D89" s="286">
        <v>0.1</v>
      </c>
      <c r="E89" s="185" t="s">
        <v>55</v>
      </c>
      <c r="F89" s="58" t="s">
        <v>431</v>
      </c>
      <c r="G89" s="49" t="s">
        <v>225</v>
      </c>
    </row>
    <row r="91" spans="2:11" x14ac:dyDescent="0.2">
      <c r="B91" s="4" t="s">
        <v>88</v>
      </c>
    </row>
    <row r="92" spans="2:11" ht="25.5" customHeight="1" x14ac:dyDescent="0.2">
      <c r="D92" s="270">
        <v>0.1</v>
      </c>
      <c r="E92" s="64" t="s">
        <v>55</v>
      </c>
      <c r="F92" s="13" t="s">
        <v>89</v>
      </c>
      <c r="G92" t="s">
        <v>90</v>
      </c>
    </row>
    <row r="93" spans="2:11" ht="25.5" x14ac:dyDescent="0.2">
      <c r="D93" s="270">
        <v>0.2</v>
      </c>
      <c r="E93" s="64" t="s">
        <v>55</v>
      </c>
      <c r="F93" s="13" t="s">
        <v>276</v>
      </c>
      <c r="G93" t="s">
        <v>468</v>
      </c>
    </row>
    <row r="94" spans="2:11" x14ac:dyDescent="0.2">
      <c r="D94" s="270">
        <v>0.04</v>
      </c>
      <c r="E94" s="64" t="s">
        <v>55</v>
      </c>
      <c r="F94" s="119" t="s">
        <v>422</v>
      </c>
      <c r="G94" t="s">
        <v>225</v>
      </c>
    </row>
    <row r="95" spans="2:11" ht="38.25" x14ac:dyDescent="0.2">
      <c r="D95" s="270">
        <v>0.75</v>
      </c>
      <c r="E95" s="64" t="s">
        <v>55</v>
      </c>
      <c r="F95" s="119" t="s">
        <v>421</v>
      </c>
      <c r="G95" t="s">
        <v>225</v>
      </c>
    </row>
    <row r="96" spans="2:11" x14ac:dyDescent="0.2">
      <c r="D96" s="269">
        <v>0.6</v>
      </c>
      <c r="E96" s="64" t="s">
        <v>55</v>
      </c>
      <c r="F96" s="13" t="s">
        <v>273</v>
      </c>
      <c r="G96" t="s">
        <v>259</v>
      </c>
    </row>
    <row r="97" spans="4:10" s="49" customFormat="1" ht="38.25" x14ac:dyDescent="0.2">
      <c r="D97" s="287">
        <v>0.75</v>
      </c>
      <c r="E97" s="185"/>
      <c r="F97" s="120" t="s">
        <v>274</v>
      </c>
      <c r="G97" s="49" t="s">
        <v>225</v>
      </c>
    </row>
    <row r="98" spans="4:10" x14ac:dyDescent="0.2">
      <c r="D98" s="269">
        <v>0.6</v>
      </c>
      <c r="E98" s="64" t="s">
        <v>55</v>
      </c>
      <c r="F98" s="13" t="s">
        <v>188</v>
      </c>
      <c r="G98" t="s">
        <v>469</v>
      </c>
    </row>
    <row r="99" spans="4:10" x14ac:dyDescent="0.2">
      <c r="D99" s="269">
        <v>0.3</v>
      </c>
      <c r="E99" s="64" t="s">
        <v>55</v>
      </c>
      <c r="F99" s="13" t="s">
        <v>189</v>
      </c>
      <c r="G99" t="s">
        <v>469</v>
      </c>
    </row>
    <row r="100" spans="4:10" x14ac:dyDescent="0.2">
      <c r="D100" s="269">
        <v>0.1</v>
      </c>
      <c r="E100" s="64" t="s">
        <v>55</v>
      </c>
      <c r="F100" s="13" t="s">
        <v>190</v>
      </c>
      <c r="G100" t="s">
        <v>469</v>
      </c>
    </row>
    <row r="101" spans="4:10" ht="12.75" customHeight="1" x14ac:dyDescent="0.2">
      <c r="D101" s="271">
        <f>500000/D8</f>
        <v>429.55326460481098</v>
      </c>
      <c r="E101" s="64" t="s">
        <v>175</v>
      </c>
      <c r="F101" s="13" t="s">
        <v>191</v>
      </c>
      <c r="G101" t="s">
        <v>470</v>
      </c>
    </row>
    <row r="102" spans="4:10" ht="12.75" customHeight="1" x14ac:dyDescent="0.2"/>
    <row r="103" spans="4:10" ht="12.75" customHeight="1" x14ac:dyDescent="0.2">
      <c r="D103" s="288">
        <f>(1+1.6%)^12-1</f>
        <v>0.20983040650908191</v>
      </c>
      <c r="E103" s="64" t="s">
        <v>193</v>
      </c>
      <c r="F103" s="13" t="s">
        <v>192</v>
      </c>
      <c r="G103" t="s">
        <v>470</v>
      </c>
    </row>
    <row r="104" spans="4:10" s="49" customFormat="1" ht="26.25" customHeight="1" x14ac:dyDescent="0.2">
      <c r="D104" s="277">
        <v>128</v>
      </c>
      <c r="E104" s="185" t="s">
        <v>55</v>
      </c>
      <c r="F104" s="58" t="s">
        <v>211</v>
      </c>
      <c r="G104" s="49" t="s">
        <v>212</v>
      </c>
    </row>
    <row r="105" spans="4:10" s="49" customFormat="1" ht="25.5" customHeight="1" x14ac:dyDescent="0.2">
      <c r="D105" s="277">
        <f>101100000/D104/D8</f>
        <v>678.55992268041234</v>
      </c>
      <c r="E105" s="185" t="s">
        <v>175</v>
      </c>
      <c r="F105" s="58" t="s">
        <v>213</v>
      </c>
      <c r="G105" s="49" t="s">
        <v>212</v>
      </c>
    </row>
    <row r="106" spans="4:10" ht="12.75" customHeight="1" x14ac:dyDescent="0.2">
      <c r="D106" s="271">
        <v>272</v>
      </c>
      <c r="E106" s="64" t="s">
        <v>55</v>
      </c>
      <c r="F106" s="13" t="s">
        <v>214</v>
      </c>
      <c r="G106" t="s">
        <v>212</v>
      </c>
    </row>
    <row r="107" spans="4:10" ht="12.75" customHeight="1" x14ac:dyDescent="0.2">
      <c r="D107" s="271">
        <f>257900000/D106/D8</f>
        <v>814.5719628057409</v>
      </c>
      <c r="E107" s="64" t="s">
        <v>175</v>
      </c>
      <c r="F107" s="13" t="s">
        <v>215</v>
      </c>
      <c r="G107" t="s">
        <v>212</v>
      </c>
    </row>
    <row r="108" spans="4:10" ht="12.75" customHeight="1" x14ac:dyDescent="0.2">
      <c r="D108" s="289">
        <f>966200000000/D8*2.5%*40.5%</f>
        <v>8404445.8762886599</v>
      </c>
      <c r="E108" s="64" t="s">
        <v>175</v>
      </c>
      <c r="F108" s="13" t="s">
        <v>294</v>
      </c>
      <c r="G108" s="49" t="s">
        <v>240</v>
      </c>
    </row>
    <row r="109" spans="4:10" s="49" customFormat="1" ht="25.5" customHeight="1" x14ac:dyDescent="0.2">
      <c r="D109" s="278">
        <f>'Data tables'!AM106</f>
        <v>0.64057438350439089</v>
      </c>
      <c r="E109" s="185" t="s">
        <v>193</v>
      </c>
      <c r="F109" s="58" t="s">
        <v>266</v>
      </c>
      <c r="G109" s="49" t="s">
        <v>240</v>
      </c>
    </row>
    <row r="110" spans="4:10" x14ac:dyDescent="0.2">
      <c r="D110" s="290">
        <f>1000000/$D$8</f>
        <v>859.10652920962195</v>
      </c>
      <c r="E110" s="64" t="s">
        <v>175</v>
      </c>
      <c r="F110" s="13" t="s">
        <v>255</v>
      </c>
      <c r="G110" t="s">
        <v>471</v>
      </c>
    </row>
    <row r="111" spans="4:10" x14ac:dyDescent="0.2">
      <c r="D111" s="290">
        <f>1000000/$D$8</f>
        <v>859.10652920962195</v>
      </c>
      <c r="E111" s="64" t="s">
        <v>175</v>
      </c>
      <c r="F111" s="13" t="s">
        <v>256</v>
      </c>
      <c r="G111" t="s">
        <v>471</v>
      </c>
    </row>
    <row r="112" spans="4:10" x14ac:dyDescent="0.2">
      <c r="D112" s="270">
        <v>0.21</v>
      </c>
      <c r="E112" s="64" t="s">
        <v>55</v>
      </c>
      <c r="F112" s="13" t="s">
        <v>260</v>
      </c>
      <c r="G112" t="s">
        <v>471</v>
      </c>
    </row>
    <row r="113" spans="2:10" x14ac:dyDescent="0.2">
      <c r="D113" s="275">
        <v>0.27500000000000002</v>
      </c>
      <c r="E113" s="64" t="s">
        <v>55</v>
      </c>
      <c r="F113" s="13" t="s">
        <v>261</v>
      </c>
      <c r="G113" t="s">
        <v>471</v>
      </c>
    </row>
    <row r="114" spans="2:10" x14ac:dyDescent="0.2">
      <c r="D114" s="291">
        <f>(1+2.5%)^12-1</f>
        <v>0.34488882424629752</v>
      </c>
      <c r="E114" s="64" t="s">
        <v>55</v>
      </c>
      <c r="F114" s="13" t="s">
        <v>262</v>
      </c>
      <c r="G114" t="s">
        <v>471</v>
      </c>
    </row>
    <row r="115" spans="2:10" x14ac:dyDescent="0.2">
      <c r="D115" s="291">
        <f>(1+2.1%)^12-1</f>
        <v>0.28324300339624608</v>
      </c>
      <c r="E115" s="64" t="s">
        <v>55</v>
      </c>
      <c r="F115" s="13" t="s">
        <v>258</v>
      </c>
      <c r="G115" t="s">
        <v>471</v>
      </c>
    </row>
    <row r="116" spans="2:10" x14ac:dyDescent="0.2">
      <c r="D116" s="292">
        <v>4</v>
      </c>
      <c r="E116" s="64" t="s">
        <v>270</v>
      </c>
      <c r="F116" s="13" t="s">
        <v>271</v>
      </c>
      <c r="G116" t="s">
        <v>471</v>
      </c>
    </row>
    <row r="117" spans="2:10" x14ac:dyDescent="0.2">
      <c r="D117" s="269">
        <v>7.0000000000000007E-2</v>
      </c>
      <c r="E117" s="64" t="s">
        <v>55</v>
      </c>
      <c r="F117" s="13" t="s">
        <v>290</v>
      </c>
      <c r="G117" s="49" t="s">
        <v>225</v>
      </c>
    </row>
    <row r="118" spans="2:10" s="49" customFormat="1" ht="25.5" x14ac:dyDescent="0.2">
      <c r="D118" s="293">
        <v>12.5</v>
      </c>
      <c r="E118" s="185" t="s">
        <v>175</v>
      </c>
      <c r="F118" s="58" t="s">
        <v>257</v>
      </c>
      <c r="G118" t="s">
        <v>471</v>
      </c>
    </row>
    <row r="119" spans="2:10" s="49" customFormat="1" ht="25.5" customHeight="1" x14ac:dyDescent="0.2">
      <c r="D119" s="294">
        <f>30000*70%+30000*85%</f>
        <v>46500</v>
      </c>
      <c r="E119" s="185"/>
      <c r="F119" s="58" t="s">
        <v>263</v>
      </c>
      <c r="G119" s="593" t="s">
        <v>471</v>
      </c>
      <c r="H119" s="593"/>
      <c r="I119" s="593"/>
      <c r="J119" s="593"/>
    </row>
    <row r="120" spans="2:10" s="49" customFormat="1" ht="25.5" customHeight="1" x14ac:dyDescent="0.2">
      <c r="D120" s="294">
        <f>60000*(15/(70%*69))*35%</f>
        <v>6521.739130434783</v>
      </c>
      <c r="E120" s="185"/>
      <c r="F120" s="58" t="s">
        <v>264</v>
      </c>
      <c r="G120" s="593" t="s">
        <v>471</v>
      </c>
      <c r="H120" s="593"/>
      <c r="I120" s="593"/>
      <c r="J120" s="593"/>
    </row>
    <row r="121" spans="2:10" s="49" customFormat="1" ht="25.5" x14ac:dyDescent="0.2">
      <c r="D121" s="287">
        <f>75%</f>
        <v>0.75</v>
      </c>
      <c r="E121" s="185" t="s">
        <v>55</v>
      </c>
      <c r="F121" s="152" t="s">
        <v>267</v>
      </c>
      <c r="G121" s="153" t="s">
        <v>225</v>
      </c>
      <c r="H121" s="153"/>
    </row>
    <row r="122" spans="2:10" s="49" customFormat="1" ht="25.5" x14ac:dyDescent="0.2">
      <c r="D122" s="287">
        <v>0.75</v>
      </c>
      <c r="E122" s="185" t="s">
        <v>55</v>
      </c>
      <c r="F122" s="58" t="s">
        <v>272</v>
      </c>
      <c r="G122" t="s">
        <v>471</v>
      </c>
    </row>
    <row r="123" spans="2:10" s="49" customFormat="1" ht="63.75" x14ac:dyDescent="0.2">
      <c r="D123" s="295" t="s">
        <v>247</v>
      </c>
      <c r="E123" s="185" t="s">
        <v>310</v>
      </c>
      <c r="F123" s="58" t="s">
        <v>311</v>
      </c>
      <c r="G123" s="49" t="s">
        <v>240</v>
      </c>
    </row>
    <row r="124" spans="2:10" s="49" customFormat="1" x14ac:dyDescent="0.2">
      <c r="D124" s="287"/>
      <c r="E124" s="185"/>
      <c r="F124" s="58"/>
    </row>
    <row r="125" spans="2:10" x14ac:dyDescent="0.2">
      <c r="B125" s="4" t="s">
        <v>319</v>
      </c>
    </row>
    <row r="126" spans="2:10" ht="25.5" x14ac:dyDescent="0.2">
      <c r="B126" s="4"/>
      <c r="D126" s="275">
        <v>8.7999999999999995E-2</v>
      </c>
      <c r="E126" s="64" t="s">
        <v>55</v>
      </c>
      <c r="F126" s="13" t="s">
        <v>323</v>
      </c>
    </row>
    <row r="127" spans="2:10" ht="25.5" x14ac:dyDescent="0.2">
      <c r="B127" s="4"/>
      <c r="D127" s="270">
        <v>0.28000000000000003</v>
      </c>
      <c r="E127" s="64" t="s">
        <v>55</v>
      </c>
      <c r="F127" s="13" t="s">
        <v>324</v>
      </c>
    </row>
    <row r="128" spans="2:10" ht="25.5" x14ac:dyDescent="0.2">
      <c r="B128" s="4"/>
      <c r="D128" s="270">
        <v>0.05</v>
      </c>
      <c r="E128" s="64" t="s">
        <v>55</v>
      </c>
      <c r="F128" s="13" t="s">
        <v>327</v>
      </c>
    </row>
    <row r="129" spans="1:7" x14ac:dyDescent="0.2">
      <c r="B129" s="4"/>
      <c r="D129" s="292">
        <v>15</v>
      </c>
      <c r="E129" s="64" t="s">
        <v>175</v>
      </c>
      <c r="F129" s="13" t="s">
        <v>320</v>
      </c>
    </row>
    <row r="130" spans="1:7" ht="25.5" x14ac:dyDescent="0.2">
      <c r="B130" s="155"/>
      <c r="D130" s="270">
        <v>1.05</v>
      </c>
      <c r="E130" s="64" t="s">
        <v>55</v>
      </c>
      <c r="F130" s="13" t="s">
        <v>321</v>
      </c>
    </row>
    <row r="131" spans="1:7" ht="25.5" x14ac:dyDescent="0.2">
      <c r="B131" s="4"/>
      <c r="D131" s="270">
        <v>1.18</v>
      </c>
      <c r="E131" s="64" t="s">
        <v>55</v>
      </c>
      <c r="F131" s="13" t="s">
        <v>322</v>
      </c>
    </row>
    <row r="132" spans="1:7" ht="12.75" customHeight="1" x14ac:dyDescent="0.2">
      <c r="B132" s="4"/>
      <c r="D132" s="275">
        <v>6.6000000000000003E-2</v>
      </c>
      <c r="E132" s="64" t="s">
        <v>55</v>
      </c>
      <c r="F132" s="13" t="s">
        <v>325</v>
      </c>
    </row>
    <row r="133" spans="1:7" x14ac:dyDescent="0.2">
      <c r="B133" s="4"/>
      <c r="D133" s="270">
        <v>0</v>
      </c>
      <c r="E133" s="64" t="s">
        <v>55</v>
      </c>
      <c r="F133" s="13" t="s">
        <v>336</v>
      </c>
    </row>
    <row r="134" spans="1:7" ht="25.5" x14ac:dyDescent="0.2">
      <c r="B134" s="4"/>
      <c r="D134" s="270">
        <f>AVERAGE(D130:D131)</f>
        <v>1.115</v>
      </c>
      <c r="E134" s="64" t="s">
        <v>55</v>
      </c>
      <c r="F134" s="13" t="s">
        <v>361</v>
      </c>
      <c r="G134" t="s">
        <v>335</v>
      </c>
    </row>
    <row r="135" spans="1:7" x14ac:dyDescent="0.2">
      <c r="A135" s="146" t="s">
        <v>371</v>
      </c>
      <c r="B135" s="241"/>
      <c r="C135" s="146"/>
      <c r="D135" s="270">
        <v>0.25</v>
      </c>
      <c r="E135" s="64" t="s">
        <v>55</v>
      </c>
      <c r="F135" s="13" t="s">
        <v>369</v>
      </c>
      <c r="G135" t="s">
        <v>225</v>
      </c>
    </row>
    <row r="136" spans="1:7" x14ac:dyDescent="0.2">
      <c r="A136" s="146"/>
      <c r="B136" s="241"/>
      <c r="C136" s="146"/>
      <c r="D136" s="270">
        <f>D135*D134</f>
        <v>0.27875</v>
      </c>
      <c r="F136" s="13" t="s">
        <v>9</v>
      </c>
    </row>
    <row r="137" spans="1:7" ht="25.5" x14ac:dyDescent="0.2">
      <c r="B137" s="4"/>
      <c r="D137" s="328">
        <f>'ERR &amp; Sensitivity Analysis'!G14</f>
        <v>0.28000000000000003</v>
      </c>
      <c r="E137" s="64" t="s">
        <v>55</v>
      </c>
      <c r="F137" s="13" t="s">
        <v>370</v>
      </c>
    </row>
    <row r="138" spans="1:7" ht="12.75" customHeight="1" x14ac:dyDescent="0.2">
      <c r="B138" s="4"/>
      <c r="D138" s="275">
        <f>AVERAGE(D126:D128,D132:D133)</f>
        <v>9.6799999999999997E-2</v>
      </c>
      <c r="E138" s="64" t="s">
        <v>55</v>
      </c>
      <c r="F138" s="13" t="s">
        <v>338</v>
      </c>
      <c r="G138" t="s">
        <v>335</v>
      </c>
    </row>
    <row r="139" spans="1:7" x14ac:dyDescent="0.2">
      <c r="B139" s="4"/>
      <c r="D139" s="270"/>
    </row>
    <row r="140" spans="1:7" x14ac:dyDescent="0.2">
      <c r="B140" s="4"/>
      <c r="D140" s="270"/>
    </row>
    <row r="141" spans="1:7" x14ac:dyDescent="0.2">
      <c r="B141" s="4" t="s">
        <v>326</v>
      </c>
      <c r="D141" s="270"/>
    </row>
    <row r="142" spans="1:7" x14ac:dyDescent="0.2">
      <c r="B142" s="4"/>
      <c r="D142" s="270">
        <v>0.11700000000000001</v>
      </c>
      <c r="E142" s="64" t="s">
        <v>55</v>
      </c>
      <c r="F142" s="13" t="s">
        <v>328</v>
      </c>
      <c r="G142" t="s">
        <v>329</v>
      </c>
    </row>
    <row r="143" spans="1:7" x14ac:dyDescent="0.2">
      <c r="B143" s="4"/>
      <c r="D143" s="270">
        <f>D142</f>
        <v>0.11700000000000001</v>
      </c>
      <c r="E143" s="64" t="s">
        <v>55</v>
      </c>
      <c r="F143" s="13" t="s">
        <v>330</v>
      </c>
      <c r="G143" t="s">
        <v>332</v>
      </c>
    </row>
    <row r="144" spans="1:7" x14ac:dyDescent="0.2">
      <c r="B144" s="4"/>
      <c r="D144" s="275">
        <v>0.18</v>
      </c>
      <c r="E144" s="64" t="s">
        <v>55</v>
      </c>
      <c r="F144" s="13" t="s">
        <v>331</v>
      </c>
      <c r="G144" t="s">
        <v>236</v>
      </c>
    </row>
    <row r="145" spans="2:7" s="49" customFormat="1" ht="25.5" x14ac:dyDescent="0.2">
      <c r="B145" s="159"/>
      <c r="D145" s="276">
        <v>3.5509302441360191E-2</v>
      </c>
      <c r="E145" s="185" t="s">
        <v>55</v>
      </c>
      <c r="F145" s="58" t="s">
        <v>347</v>
      </c>
      <c r="G145" s="49" t="s">
        <v>236</v>
      </c>
    </row>
    <row r="146" spans="2:7" s="49" customFormat="1" x14ac:dyDescent="0.2">
      <c r="B146" s="159"/>
      <c r="D146" s="286">
        <v>0.23</v>
      </c>
      <c r="E146" s="185" t="s">
        <v>55</v>
      </c>
      <c r="F146" s="58" t="s">
        <v>350</v>
      </c>
      <c r="G146" t="s">
        <v>225</v>
      </c>
    </row>
    <row r="147" spans="2:7" x14ac:dyDescent="0.2">
      <c r="B147" s="4"/>
      <c r="D147" s="296">
        <f>D144*D18</f>
        <v>193.01538461538462</v>
      </c>
      <c r="E147" s="64" t="s">
        <v>175</v>
      </c>
      <c r="F147" s="156" t="s">
        <v>344</v>
      </c>
      <c r="G147" t="s">
        <v>335</v>
      </c>
    </row>
    <row r="148" spans="2:7" x14ac:dyDescent="0.2">
      <c r="B148" s="4"/>
      <c r="D148" s="291">
        <f>1/3</f>
        <v>0.33333333333333331</v>
      </c>
      <c r="E148" s="64" t="s">
        <v>55</v>
      </c>
      <c r="F148" s="156" t="s">
        <v>343</v>
      </c>
      <c r="G148" t="s">
        <v>225</v>
      </c>
    </row>
    <row r="149" spans="2:7" x14ac:dyDescent="0.2">
      <c r="B149" s="4"/>
      <c r="D149" s="296">
        <f>D147*D148</f>
        <v>64.33846153846153</v>
      </c>
      <c r="E149" s="64" t="s">
        <v>175</v>
      </c>
      <c r="F149" s="156" t="s">
        <v>345</v>
      </c>
      <c r="G149" t="s">
        <v>335</v>
      </c>
    </row>
    <row r="150" spans="2:7" x14ac:dyDescent="0.2">
      <c r="B150" s="4"/>
      <c r="D150" s="269">
        <v>0.4</v>
      </c>
      <c r="E150" s="64" t="s">
        <v>55</v>
      </c>
      <c r="F150" s="156" t="s">
        <v>337</v>
      </c>
      <c r="G150" t="s">
        <v>225</v>
      </c>
    </row>
    <row r="151" spans="2:7" x14ac:dyDescent="0.2">
      <c r="B151" s="4"/>
      <c r="D151" s="296">
        <f>D149*D150</f>
        <v>25.735384615384614</v>
      </c>
      <c r="E151" s="64" t="s">
        <v>175</v>
      </c>
      <c r="F151" s="156" t="s">
        <v>364</v>
      </c>
      <c r="G151" t="s">
        <v>335</v>
      </c>
    </row>
    <row r="152" spans="2:7" x14ac:dyDescent="0.2">
      <c r="B152" s="4"/>
      <c r="D152" s="296">
        <f>D151*D21*D34</f>
        <v>155.25380252825846</v>
      </c>
      <c r="E152" s="64" t="s">
        <v>175</v>
      </c>
      <c r="F152" s="156" t="s">
        <v>365</v>
      </c>
      <c r="G152" t="s">
        <v>335</v>
      </c>
    </row>
    <row r="153" spans="2:7" x14ac:dyDescent="0.2">
      <c r="B153" s="4"/>
      <c r="D153" s="296">
        <f>D152*(1+D134)</f>
        <v>328.36179234726666</v>
      </c>
      <c r="E153" s="64" t="s">
        <v>175</v>
      </c>
      <c r="F153" s="156" t="s">
        <v>346</v>
      </c>
      <c r="G153" t="s">
        <v>335</v>
      </c>
    </row>
    <row r="154" spans="2:7" x14ac:dyDescent="0.2">
      <c r="B154" s="4"/>
      <c r="D154" s="269">
        <f>AVERAGE(D114:D115)</f>
        <v>0.3140659138212718</v>
      </c>
      <c r="E154" s="64" t="s">
        <v>55</v>
      </c>
      <c r="F154" s="156" t="s">
        <v>380</v>
      </c>
      <c r="G154" t="s">
        <v>381</v>
      </c>
    </row>
    <row r="155" spans="2:7" ht="25.5" customHeight="1" x14ac:dyDescent="0.2">
      <c r="B155" s="4"/>
      <c r="D155" s="327">
        <f>'ERR &amp; Sensitivity Analysis'!G15</f>
        <v>0.05</v>
      </c>
      <c r="E155" s="64" t="s">
        <v>55</v>
      </c>
      <c r="F155" s="163" t="s">
        <v>384</v>
      </c>
      <c r="G155" t="s">
        <v>225</v>
      </c>
    </row>
    <row r="156" spans="2:7" ht="12.75" customHeight="1" x14ac:dyDescent="0.2">
      <c r="B156" s="4"/>
      <c r="D156" s="291">
        <f>(D154+D155)/3</f>
        <v>0.1213553046070906</v>
      </c>
      <c r="F156" s="163" t="s">
        <v>385</v>
      </c>
      <c r="G156" t="s">
        <v>225</v>
      </c>
    </row>
    <row r="157" spans="2:7" ht="12.75" customHeight="1" x14ac:dyDescent="0.2">
      <c r="B157" s="4"/>
      <c r="D157" s="291">
        <v>5.5E-2</v>
      </c>
      <c r="E157" s="64" t="s">
        <v>55</v>
      </c>
      <c r="F157" s="163" t="s">
        <v>383</v>
      </c>
      <c r="G157" t="s">
        <v>382</v>
      </c>
    </row>
    <row r="158" spans="2:7" ht="12.75" customHeight="1" x14ac:dyDescent="0.2">
      <c r="B158" s="4"/>
      <c r="D158" s="288">
        <f>1/3</f>
        <v>0.33333333333333331</v>
      </c>
      <c r="E158" s="64" t="s">
        <v>55</v>
      </c>
      <c r="F158" t="s">
        <v>388</v>
      </c>
      <c r="G158" t="s">
        <v>225</v>
      </c>
    </row>
    <row r="159" spans="2:7" ht="12.75" customHeight="1" x14ac:dyDescent="0.2">
      <c r="B159" s="4"/>
      <c r="D159" s="288"/>
      <c r="F159" s="163"/>
    </row>
    <row r="160" spans="2:7" ht="12.75" customHeight="1" x14ac:dyDescent="0.2">
      <c r="B160" s="4"/>
      <c r="D160" s="288"/>
      <c r="F160"/>
    </row>
    <row r="161" spans="1:12" ht="12.75" customHeight="1" x14ac:dyDescent="0.2">
      <c r="B161" s="4"/>
      <c r="D161" s="291"/>
      <c r="F161" s="163"/>
    </row>
    <row r="162" spans="1:12" x14ac:dyDescent="0.2">
      <c r="B162" s="4"/>
    </row>
    <row r="163" spans="1:12" x14ac:dyDescent="0.2">
      <c r="B163" s="4" t="s">
        <v>80</v>
      </c>
      <c r="G163" t="s">
        <v>79</v>
      </c>
    </row>
    <row r="165" spans="1:12" ht="25.5" customHeight="1" x14ac:dyDescent="0.2">
      <c r="B165" s="592" t="s">
        <v>82</v>
      </c>
      <c r="C165" s="592"/>
      <c r="D165" s="592"/>
      <c r="E165" s="592"/>
      <c r="F165" s="592"/>
      <c r="G165" t="s">
        <v>81</v>
      </c>
    </row>
    <row r="167" spans="1:12" x14ac:dyDescent="0.2">
      <c r="B167" s="4" t="s">
        <v>83</v>
      </c>
      <c r="G167" t="s">
        <v>84</v>
      </c>
    </row>
    <row r="170" spans="1:12" ht="15.75" x14ac:dyDescent="0.25">
      <c r="A170" s="2" t="s">
        <v>436</v>
      </c>
    </row>
    <row r="171" spans="1:12" x14ac:dyDescent="0.2">
      <c r="B171" s="594" t="s">
        <v>437</v>
      </c>
      <c r="C171" s="594"/>
      <c r="D171" s="594"/>
      <c r="E171" s="594"/>
      <c r="F171" s="594"/>
      <c r="G171" s="594"/>
      <c r="H171" s="594"/>
      <c r="I171" s="594"/>
      <c r="J171" s="594"/>
      <c r="K171" s="594"/>
      <c r="L171" s="594"/>
    </row>
    <row r="172" spans="1:12" x14ac:dyDescent="0.2">
      <c r="B172" s="594"/>
      <c r="C172" s="594"/>
      <c r="D172" s="594"/>
      <c r="E172" s="594"/>
      <c r="F172" s="594"/>
      <c r="G172" s="594"/>
      <c r="H172" s="594"/>
      <c r="I172" s="594"/>
      <c r="J172" s="594"/>
      <c r="K172" s="594"/>
      <c r="L172" s="594"/>
    </row>
    <row r="177" spans="1:6" ht="15.75" x14ac:dyDescent="0.25">
      <c r="A177" s="2"/>
      <c r="B177" s="2"/>
      <c r="C177" s="2"/>
    </row>
    <row r="178" spans="1:6" s="1" customFormat="1" x14ac:dyDescent="0.2">
      <c r="D178" s="261"/>
      <c r="E178" s="64"/>
      <c r="F178" s="16"/>
    </row>
    <row r="179" spans="1:6" s="1" customFormat="1" x14ac:dyDescent="0.2">
      <c r="B179" s="4"/>
      <c r="D179" s="261"/>
      <c r="E179" s="64"/>
      <c r="F179" s="16"/>
    </row>
    <row r="180" spans="1:6" s="12" customFormat="1" x14ac:dyDescent="0.2">
      <c r="D180" s="267"/>
      <c r="E180" s="64"/>
      <c r="F180" s="17"/>
    </row>
    <row r="181" spans="1:6" s="1" customFormat="1" x14ac:dyDescent="0.2">
      <c r="D181" s="261"/>
      <c r="E181" s="64"/>
      <c r="F181" s="16"/>
    </row>
    <row r="182" spans="1:6" x14ac:dyDescent="0.2">
      <c r="B182" s="4"/>
    </row>
    <row r="187" spans="1:6" x14ac:dyDescent="0.2">
      <c r="B187" s="4"/>
    </row>
    <row r="191" spans="1:6" x14ac:dyDescent="0.2">
      <c r="B191" s="4"/>
    </row>
    <row r="193" spans="2:6" ht="13.5" customHeight="1" x14ac:dyDescent="0.2">
      <c r="B193" s="592"/>
      <c r="C193" s="592"/>
      <c r="D193" s="592"/>
      <c r="E193" s="592"/>
      <c r="F193" s="592"/>
    </row>
    <row r="195" spans="2:6" ht="12.75" customHeight="1" x14ac:dyDescent="0.2">
      <c r="B195" s="4"/>
    </row>
    <row r="197" spans="2:6" x14ac:dyDescent="0.2">
      <c r="B197" s="4"/>
    </row>
    <row r="199" spans="2:6" ht="25.5" customHeight="1" x14ac:dyDescent="0.2">
      <c r="B199" s="592"/>
      <c r="C199" s="592"/>
      <c r="D199" s="592"/>
      <c r="E199" s="592"/>
      <c r="F199" s="592"/>
    </row>
  </sheetData>
  <mergeCells count="7">
    <mergeCell ref="A1:G1"/>
    <mergeCell ref="B193:F193"/>
    <mergeCell ref="B165:F165"/>
    <mergeCell ref="B199:F199"/>
    <mergeCell ref="G119:J119"/>
    <mergeCell ref="G120:J120"/>
    <mergeCell ref="B171:L172"/>
  </mergeCells>
  <phoneticPr fontId="4" type="noConversion"/>
  <conditionalFormatting sqref="A1 A4">
    <cfRule type="cellIs" dxfId="5" priority="1" stopIfTrue="1" operator="equal">
      <formula>0</formula>
    </cfRule>
    <cfRule type="cellIs" dxfId="4" priority="2" stopIfTrue="1" operator="notEqual">
      <formula>0</formula>
    </cfRule>
  </conditionalFormatting>
  <hyperlinks>
    <hyperlink ref="G8" r:id="rId1"/>
  </hyperlinks>
  <pageMargins left="0.75" right="0.75" top="1" bottom="1" header="0.5" footer="0.5"/>
  <pageSetup scale="15" orientation="landscape" r:id="rId2"/>
  <headerFooter alignWithMargins="0"/>
  <rowBreaks count="4" manualBreakCount="4">
    <brk id="37" max="12" man="1"/>
    <brk id="69" max="12" man="1"/>
    <brk id="90" max="12" man="1"/>
    <brk id="167" max="12" man="1"/>
  </rowBreaks>
  <ignoredErrors>
    <ignoredError sqref="D134" formulaRange="1"/>
    <ignoredError sqref="D86" formula="1"/>
  </ignoredError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L583"/>
  <sheetViews>
    <sheetView zoomScale="85" zoomScaleNormal="85" workbookViewId="0">
      <pane xSplit="12" ySplit="7" topLeftCell="BQ287" activePane="bottomRight" state="frozen"/>
      <selection pane="topRight" activeCell="M1" sqref="M1"/>
      <selection pane="bottomLeft" activeCell="A6" sqref="A6"/>
      <selection pane="bottomRight" activeCell="BQ313" sqref="BQ313"/>
    </sheetView>
  </sheetViews>
  <sheetFormatPr defaultRowHeight="12.75" x14ac:dyDescent="0.2"/>
  <cols>
    <col min="1" max="7" width="3.7109375" customWidth="1"/>
    <col min="16" max="16" width="11.28515625" customWidth="1"/>
    <col min="17" max="17" width="15" customWidth="1"/>
    <col min="18" max="18" width="12.28515625" style="146" customWidth="1"/>
    <col min="19" max="19" width="13" customWidth="1"/>
    <col min="20" max="20" width="12.42578125" customWidth="1"/>
    <col min="21" max="21" width="12.42578125" style="146" customWidth="1"/>
    <col min="22" max="25" width="12.42578125" customWidth="1"/>
    <col min="26" max="37" width="14.140625" customWidth="1"/>
    <col min="38" max="38" width="14" customWidth="1"/>
    <col min="39" max="39" width="0.85546875" style="203" customWidth="1"/>
    <col min="43" max="43" width="11.28515625" customWidth="1"/>
    <col min="44" max="44" width="11.5703125" customWidth="1"/>
    <col min="45" max="47" width="12.28515625" bestFit="1" customWidth="1"/>
    <col min="48" max="48" width="12.28515625" style="146" bestFit="1" customWidth="1"/>
    <col min="49" max="64" width="12.28515625" bestFit="1" customWidth="1"/>
    <col min="65" max="65" width="12.5703125" bestFit="1" customWidth="1"/>
    <col min="66" max="66" width="0.85546875" style="203" customWidth="1"/>
    <col min="68" max="69" width="9" customWidth="1"/>
    <col min="70" max="70" width="12.28515625" customWidth="1"/>
    <col min="71" max="72" width="11.28515625" bestFit="1" customWidth="1"/>
    <col min="73" max="73" width="11.28515625" style="146" bestFit="1" customWidth="1"/>
    <col min="74" max="89" width="11.5703125" bestFit="1" customWidth="1"/>
  </cols>
  <sheetData>
    <row r="1" spans="1:90" s="512" customFormat="1" ht="20.25" x14ac:dyDescent="0.3">
      <c r="B1" s="382" t="s">
        <v>554</v>
      </c>
    </row>
    <row r="2" spans="1:90" s="512" customFormat="1" ht="15" x14ac:dyDescent="0.2">
      <c r="B2" s="529" t="s">
        <v>555</v>
      </c>
      <c r="C2" s="529"/>
      <c r="D2" s="529"/>
      <c r="E2" s="529"/>
      <c r="F2" s="529"/>
    </row>
    <row r="3" spans="1:90" x14ac:dyDescent="0.2">
      <c r="A3" s="582">
        <f>IF('ERR &amp; Sensitivity Analysis'!$I$11="N","Note: Current calculations are based on user input and are not the original MCC estimates.",IF('ERR &amp; Sensitivity Analysis'!$I$12="N","Note: Current calculations are based on user input and are not the original MCC estimates.",0))</f>
        <v>0</v>
      </c>
      <c r="B3" s="582"/>
      <c r="C3" s="582"/>
      <c r="D3" s="582"/>
      <c r="E3" s="582"/>
      <c r="F3" s="582"/>
      <c r="G3" s="582"/>
      <c r="H3" s="582"/>
      <c r="I3" s="582"/>
      <c r="J3" s="582"/>
      <c r="K3" s="582"/>
      <c r="L3" s="582"/>
      <c r="M3" s="582"/>
      <c r="N3" s="582"/>
      <c r="S3" s="330" t="s">
        <v>12</v>
      </c>
      <c r="T3" s="378">
        <v>40726</v>
      </c>
    </row>
    <row r="4" spans="1:90" ht="15.75" x14ac:dyDescent="0.25">
      <c r="A4" s="2" t="s">
        <v>50</v>
      </c>
      <c r="B4" s="1"/>
      <c r="C4" s="1"/>
    </row>
    <row r="5" spans="1:90" ht="12.75" customHeight="1" x14ac:dyDescent="0.25">
      <c r="A5" s="2"/>
      <c r="B5" s="1"/>
      <c r="C5" s="1"/>
    </row>
    <row r="6" spans="1:90" ht="12.75" customHeight="1" thickBot="1" x14ac:dyDescent="0.25">
      <c r="C6" s="596">
        <f>'Data &amp; Assumptions'!D8</f>
        <v>1164</v>
      </c>
      <c r="D6" s="596"/>
      <c r="E6" s="18" t="s">
        <v>97</v>
      </c>
      <c r="F6" s="18"/>
      <c r="M6" t="s">
        <v>222</v>
      </c>
      <c r="P6" s="1" t="s">
        <v>413</v>
      </c>
      <c r="U6" s="233" t="s">
        <v>413</v>
      </c>
      <c r="Z6" s="1" t="s">
        <v>413</v>
      </c>
      <c r="AE6" s="1" t="s">
        <v>413</v>
      </c>
      <c r="AJ6" s="1" t="s">
        <v>413</v>
      </c>
      <c r="AN6" s="3" t="s">
        <v>222</v>
      </c>
      <c r="AQ6" s="1" t="s">
        <v>412</v>
      </c>
      <c r="AV6" s="233" t="s">
        <v>412</v>
      </c>
      <c r="BA6" s="1" t="s">
        <v>412</v>
      </c>
      <c r="BF6" s="1" t="s">
        <v>412</v>
      </c>
      <c r="BK6" s="1" t="s">
        <v>412</v>
      </c>
      <c r="BP6" s="1" t="s">
        <v>433</v>
      </c>
      <c r="BU6" s="1" t="s">
        <v>433</v>
      </c>
      <c r="BZ6" s="1" t="s">
        <v>433</v>
      </c>
      <c r="CE6" s="1" t="s">
        <v>433</v>
      </c>
      <c r="CJ6" s="1" t="s">
        <v>433</v>
      </c>
    </row>
    <row r="7" spans="1:90" ht="12.75" customHeight="1" thickBot="1" x14ac:dyDescent="0.25">
      <c r="B7" s="3"/>
      <c r="C7" s="600">
        <f>D323</f>
        <v>9.9828750914081832E-2</v>
      </c>
      <c r="D7" s="601"/>
      <c r="E7" s="18" t="s">
        <v>435</v>
      </c>
      <c r="F7" s="18"/>
      <c r="L7" t="s">
        <v>210</v>
      </c>
      <c r="M7" t="s">
        <v>223</v>
      </c>
      <c r="O7">
        <v>2004</v>
      </c>
      <c r="P7">
        <v>2005</v>
      </c>
      <c r="Q7">
        <v>2006</v>
      </c>
      <c r="R7" s="146">
        <v>2007</v>
      </c>
      <c r="S7">
        <v>2008</v>
      </c>
      <c r="T7">
        <v>2009</v>
      </c>
      <c r="U7" s="146">
        <v>2010</v>
      </c>
      <c r="V7">
        <v>2011</v>
      </c>
      <c r="W7">
        <v>2012</v>
      </c>
      <c r="X7">
        <v>2013</v>
      </c>
      <c r="Y7">
        <v>2014</v>
      </c>
      <c r="Z7">
        <v>2015</v>
      </c>
      <c r="AA7">
        <v>2016</v>
      </c>
      <c r="AB7">
        <v>2017</v>
      </c>
      <c r="AC7">
        <v>2018</v>
      </c>
      <c r="AD7">
        <v>2019</v>
      </c>
      <c r="AE7">
        <v>2020</v>
      </c>
      <c r="AF7">
        <v>2021</v>
      </c>
      <c r="AG7">
        <v>2022</v>
      </c>
      <c r="AH7">
        <v>2023</v>
      </c>
      <c r="AI7">
        <v>2024</v>
      </c>
      <c r="AJ7">
        <v>2025</v>
      </c>
      <c r="AK7">
        <v>2026</v>
      </c>
      <c r="AL7">
        <v>2027</v>
      </c>
      <c r="AN7" s="3" t="s">
        <v>223</v>
      </c>
      <c r="AP7">
        <v>2004</v>
      </c>
      <c r="AQ7">
        <v>2005</v>
      </c>
      <c r="AR7">
        <v>2006</v>
      </c>
      <c r="AS7">
        <v>2007</v>
      </c>
      <c r="AT7">
        <v>2008</v>
      </c>
      <c r="AU7">
        <v>2009</v>
      </c>
      <c r="AV7" s="146">
        <v>2010</v>
      </c>
      <c r="AW7">
        <v>2011</v>
      </c>
      <c r="AX7">
        <v>2012</v>
      </c>
      <c r="AY7">
        <v>2013</v>
      </c>
      <c r="AZ7">
        <v>2014</v>
      </c>
      <c r="BA7">
        <v>2015</v>
      </c>
      <c r="BB7">
        <v>2016</v>
      </c>
      <c r="BC7">
        <v>2017</v>
      </c>
      <c r="BD7">
        <v>2018</v>
      </c>
      <c r="BE7">
        <v>2019</v>
      </c>
      <c r="BF7">
        <v>2020</v>
      </c>
      <c r="BG7">
        <v>2021</v>
      </c>
      <c r="BH7">
        <v>2022</v>
      </c>
      <c r="BI7">
        <v>2023</v>
      </c>
      <c r="BJ7">
        <v>2024</v>
      </c>
      <c r="BK7">
        <v>2025</v>
      </c>
      <c r="BL7">
        <v>2026</v>
      </c>
      <c r="BM7">
        <v>2027</v>
      </c>
      <c r="BO7">
        <v>2004</v>
      </c>
      <c r="BP7">
        <v>2005</v>
      </c>
      <c r="BQ7">
        <v>2006</v>
      </c>
      <c r="BR7">
        <v>2007</v>
      </c>
      <c r="BS7">
        <v>2008</v>
      </c>
      <c r="BT7">
        <v>2009</v>
      </c>
      <c r="BU7" s="146">
        <v>2010</v>
      </c>
      <c r="BV7">
        <v>2011</v>
      </c>
      <c r="BW7">
        <v>2012</v>
      </c>
      <c r="BX7">
        <v>2013</v>
      </c>
      <c r="BY7">
        <v>2014</v>
      </c>
      <c r="BZ7">
        <v>2015</v>
      </c>
      <c r="CA7">
        <v>2016</v>
      </c>
      <c r="CB7">
        <v>2017</v>
      </c>
      <c r="CC7">
        <v>2018</v>
      </c>
      <c r="CD7">
        <v>2019</v>
      </c>
      <c r="CE7">
        <v>2020</v>
      </c>
      <c r="CF7">
        <v>2021</v>
      </c>
      <c r="CG7">
        <v>2022</v>
      </c>
      <c r="CH7">
        <v>2023</v>
      </c>
      <c r="CI7">
        <v>2024</v>
      </c>
      <c r="CJ7">
        <v>2025</v>
      </c>
      <c r="CK7">
        <v>2026</v>
      </c>
      <c r="CL7">
        <v>2027</v>
      </c>
    </row>
    <row r="8" spans="1:90" ht="12.75" customHeight="1" x14ac:dyDescent="0.2">
      <c r="A8" t="s">
        <v>409</v>
      </c>
      <c r="B8" s="3"/>
      <c r="C8" s="3"/>
      <c r="D8" s="3"/>
      <c r="E8" s="18"/>
      <c r="F8" s="18"/>
    </row>
    <row r="9" spans="1:90" ht="12.75" customHeight="1" x14ac:dyDescent="0.2">
      <c r="B9" s="202" t="s">
        <v>411</v>
      </c>
      <c r="C9" s="3"/>
      <c r="D9" s="3"/>
      <c r="E9" s="18"/>
      <c r="F9" s="18"/>
    </row>
    <row r="10" spans="1:90" ht="12.75" customHeight="1" x14ac:dyDescent="0.2">
      <c r="B10" s="201" t="s">
        <v>410</v>
      </c>
      <c r="C10" s="3"/>
      <c r="D10" s="3"/>
      <c r="E10" s="18"/>
      <c r="F10" s="18"/>
    </row>
    <row r="11" spans="1:90" ht="12.75" customHeight="1" x14ac:dyDescent="0.2">
      <c r="B11" s="3"/>
      <c r="C11" s="3"/>
      <c r="D11" s="3"/>
      <c r="E11" s="18"/>
      <c r="F11" s="18"/>
    </row>
    <row r="12" spans="1:90" x14ac:dyDescent="0.2">
      <c r="B12" s="4" t="s">
        <v>404</v>
      </c>
      <c r="C12" s="4"/>
      <c r="F12" s="146"/>
      <c r="G12" s="146"/>
      <c r="H12" s="146"/>
      <c r="I12" s="146"/>
      <c r="J12" s="146"/>
    </row>
    <row r="13" spans="1:90" x14ac:dyDescent="0.2">
      <c r="B13" s="4"/>
      <c r="C13" s="4"/>
    </row>
    <row r="14" spans="1:90" x14ac:dyDescent="0.2">
      <c r="B14" s="4"/>
      <c r="C14" t="s">
        <v>348</v>
      </c>
    </row>
    <row r="15" spans="1:90" x14ac:dyDescent="0.2">
      <c r="B15" s="4"/>
    </row>
    <row r="16" spans="1:90" x14ac:dyDescent="0.2">
      <c r="B16" s="4"/>
      <c r="D16" t="s">
        <v>349</v>
      </c>
      <c r="L16" s="3" t="s">
        <v>55</v>
      </c>
      <c r="P16" s="160">
        <f>'Data &amp; Assumptions'!D16</f>
        <v>7.0000000000000007E-2</v>
      </c>
      <c r="Q16" s="160">
        <v>7.0000000000000007E-2</v>
      </c>
      <c r="R16" s="245">
        <v>7.0000000000000007E-2</v>
      </c>
      <c r="S16" s="160">
        <v>7.0000000000000007E-2</v>
      </c>
      <c r="T16" s="160">
        <v>0.11</v>
      </c>
      <c r="U16" s="245">
        <v>0.06</v>
      </c>
      <c r="V16" s="160">
        <f>U16</f>
        <v>0.06</v>
      </c>
      <c r="W16" s="160">
        <f>V16</f>
        <v>0.06</v>
      </c>
      <c r="X16" s="160">
        <f>W16</f>
        <v>0.06</v>
      </c>
      <c r="Y16" s="160">
        <f>X16-1%</f>
        <v>4.9999999999999996E-2</v>
      </c>
      <c r="Z16" s="160">
        <f>Y16</f>
        <v>4.9999999999999996E-2</v>
      </c>
      <c r="AA16" s="160">
        <f>Z16</f>
        <v>4.9999999999999996E-2</v>
      </c>
      <c r="AB16" s="160">
        <f>AA16</f>
        <v>4.9999999999999996E-2</v>
      </c>
      <c r="AC16" s="160">
        <f>AB16</f>
        <v>4.9999999999999996E-2</v>
      </c>
      <c r="AD16" s="160">
        <f>AC16</f>
        <v>4.9999999999999996E-2</v>
      </c>
      <c r="AE16" s="160">
        <f>AD16-0.5%</f>
        <v>4.4999999999999998E-2</v>
      </c>
      <c r="AF16" s="160">
        <f t="shared" ref="AF16:AK17" si="0">AE16</f>
        <v>4.4999999999999998E-2</v>
      </c>
      <c r="AG16" s="160">
        <f t="shared" si="0"/>
        <v>4.4999999999999998E-2</v>
      </c>
      <c r="AH16" s="160">
        <f t="shared" si="0"/>
        <v>4.4999999999999998E-2</v>
      </c>
      <c r="AI16" s="160">
        <f t="shared" si="0"/>
        <v>4.4999999999999998E-2</v>
      </c>
      <c r="AJ16" s="160">
        <f t="shared" si="0"/>
        <v>4.4999999999999998E-2</v>
      </c>
      <c r="AK16" s="160">
        <f t="shared" si="0"/>
        <v>4.4999999999999998E-2</v>
      </c>
      <c r="AQ16" s="160">
        <f t="shared" ref="AQ16:AZ18" si="1">P16</f>
        <v>7.0000000000000007E-2</v>
      </c>
      <c r="AR16" s="160">
        <f t="shared" si="1"/>
        <v>7.0000000000000007E-2</v>
      </c>
      <c r="AS16" s="160">
        <f t="shared" si="1"/>
        <v>7.0000000000000007E-2</v>
      </c>
      <c r="AT16" s="160">
        <f t="shared" si="1"/>
        <v>7.0000000000000007E-2</v>
      </c>
      <c r="AU16" s="160">
        <f t="shared" si="1"/>
        <v>0.11</v>
      </c>
      <c r="AV16" s="245">
        <f t="shared" si="1"/>
        <v>0.06</v>
      </c>
      <c r="AW16" s="160">
        <f t="shared" si="1"/>
        <v>0.06</v>
      </c>
      <c r="AX16" s="160">
        <f t="shared" si="1"/>
        <v>0.06</v>
      </c>
      <c r="AY16" s="160">
        <f t="shared" si="1"/>
        <v>0.06</v>
      </c>
      <c r="AZ16" s="160">
        <f t="shared" si="1"/>
        <v>4.9999999999999996E-2</v>
      </c>
      <c r="BA16" s="160">
        <f t="shared" ref="BA16:BJ18" si="2">Z16</f>
        <v>4.9999999999999996E-2</v>
      </c>
      <c r="BB16" s="160">
        <f t="shared" si="2"/>
        <v>4.9999999999999996E-2</v>
      </c>
      <c r="BC16" s="160">
        <f t="shared" si="2"/>
        <v>4.9999999999999996E-2</v>
      </c>
      <c r="BD16" s="160">
        <f t="shared" si="2"/>
        <v>4.9999999999999996E-2</v>
      </c>
      <c r="BE16" s="160">
        <f t="shared" si="2"/>
        <v>4.9999999999999996E-2</v>
      </c>
      <c r="BF16" s="160">
        <f t="shared" si="2"/>
        <v>4.4999999999999998E-2</v>
      </c>
      <c r="BG16" s="160">
        <f t="shared" si="2"/>
        <v>4.4999999999999998E-2</v>
      </c>
      <c r="BH16" s="160">
        <f t="shared" si="2"/>
        <v>4.4999999999999998E-2</v>
      </c>
      <c r="BI16" s="160">
        <f t="shared" si="2"/>
        <v>4.4999999999999998E-2</v>
      </c>
      <c r="BJ16" s="160">
        <f t="shared" si="2"/>
        <v>4.4999999999999998E-2</v>
      </c>
      <c r="BK16" s="160">
        <f t="shared" ref="BK16:BL18" si="3">AJ16</f>
        <v>4.4999999999999998E-2</v>
      </c>
      <c r="BL16" s="160">
        <f t="shared" si="3"/>
        <v>4.4999999999999998E-2</v>
      </c>
      <c r="BM16" s="160"/>
    </row>
    <row r="17" spans="2:90" x14ac:dyDescent="0.2">
      <c r="B17" s="4"/>
      <c r="D17" t="s">
        <v>352</v>
      </c>
      <c r="L17" s="3" t="s">
        <v>55</v>
      </c>
      <c r="P17" s="160">
        <f>'Data &amp; Assumptions'!D19</f>
        <v>1.4E-2</v>
      </c>
      <c r="Q17" s="160">
        <f>P17</f>
        <v>1.4E-2</v>
      </c>
      <c r="R17" s="245">
        <f>Q17</f>
        <v>1.4E-2</v>
      </c>
      <c r="S17" s="160">
        <f>R17</f>
        <v>1.4E-2</v>
      </c>
      <c r="T17" s="160">
        <f>S17</f>
        <v>1.4E-2</v>
      </c>
      <c r="U17" s="245">
        <f>T17-0.1%</f>
        <v>1.3000000000000001E-2</v>
      </c>
      <c r="V17" s="160">
        <f>U17</f>
        <v>1.3000000000000001E-2</v>
      </c>
      <c r="W17" s="160">
        <f t="shared" ref="W17:AD17" si="4">V17</f>
        <v>1.3000000000000001E-2</v>
      </c>
      <c r="X17" s="160">
        <f t="shared" si="4"/>
        <v>1.3000000000000001E-2</v>
      </c>
      <c r="Y17" s="160">
        <f t="shared" si="4"/>
        <v>1.3000000000000001E-2</v>
      </c>
      <c r="Z17" s="160">
        <f t="shared" si="4"/>
        <v>1.3000000000000001E-2</v>
      </c>
      <c r="AA17" s="160">
        <f t="shared" si="4"/>
        <v>1.3000000000000001E-2</v>
      </c>
      <c r="AB17" s="160">
        <f t="shared" si="4"/>
        <v>1.3000000000000001E-2</v>
      </c>
      <c r="AC17" s="160">
        <f t="shared" si="4"/>
        <v>1.3000000000000001E-2</v>
      </c>
      <c r="AD17" s="160">
        <f t="shared" si="4"/>
        <v>1.3000000000000001E-2</v>
      </c>
      <c r="AE17" s="160">
        <f>AD17-0.1%</f>
        <v>1.2E-2</v>
      </c>
      <c r="AF17" s="160">
        <f t="shared" si="0"/>
        <v>1.2E-2</v>
      </c>
      <c r="AG17" s="160">
        <f t="shared" si="0"/>
        <v>1.2E-2</v>
      </c>
      <c r="AH17" s="160">
        <f t="shared" si="0"/>
        <v>1.2E-2</v>
      </c>
      <c r="AI17" s="160">
        <f t="shared" si="0"/>
        <v>1.2E-2</v>
      </c>
      <c r="AJ17" s="160">
        <f t="shared" si="0"/>
        <v>1.2E-2</v>
      </c>
      <c r="AK17" s="160">
        <f t="shared" si="0"/>
        <v>1.2E-2</v>
      </c>
      <c r="AQ17" s="160">
        <f t="shared" si="1"/>
        <v>1.4E-2</v>
      </c>
      <c r="AR17" s="160">
        <f t="shared" si="1"/>
        <v>1.4E-2</v>
      </c>
      <c r="AS17" s="160">
        <f t="shared" si="1"/>
        <v>1.4E-2</v>
      </c>
      <c r="AT17" s="160">
        <f t="shared" si="1"/>
        <v>1.4E-2</v>
      </c>
      <c r="AU17" s="160">
        <f t="shared" si="1"/>
        <v>1.4E-2</v>
      </c>
      <c r="AV17" s="245">
        <f t="shared" si="1"/>
        <v>1.3000000000000001E-2</v>
      </c>
      <c r="AW17" s="160">
        <f t="shared" si="1"/>
        <v>1.3000000000000001E-2</v>
      </c>
      <c r="AX17" s="160">
        <f t="shared" si="1"/>
        <v>1.3000000000000001E-2</v>
      </c>
      <c r="AY17" s="160">
        <f t="shared" si="1"/>
        <v>1.3000000000000001E-2</v>
      </c>
      <c r="AZ17" s="160">
        <f t="shared" si="1"/>
        <v>1.3000000000000001E-2</v>
      </c>
      <c r="BA17" s="160">
        <f t="shared" si="2"/>
        <v>1.3000000000000001E-2</v>
      </c>
      <c r="BB17" s="160">
        <f t="shared" si="2"/>
        <v>1.3000000000000001E-2</v>
      </c>
      <c r="BC17" s="160">
        <f t="shared" si="2"/>
        <v>1.3000000000000001E-2</v>
      </c>
      <c r="BD17" s="160">
        <f t="shared" si="2"/>
        <v>1.3000000000000001E-2</v>
      </c>
      <c r="BE17" s="160">
        <f t="shared" si="2"/>
        <v>1.3000000000000001E-2</v>
      </c>
      <c r="BF17" s="160">
        <f t="shared" si="2"/>
        <v>1.2E-2</v>
      </c>
      <c r="BG17" s="160">
        <f t="shared" si="2"/>
        <v>1.2E-2</v>
      </c>
      <c r="BH17" s="160">
        <f t="shared" si="2"/>
        <v>1.2E-2</v>
      </c>
      <c r="BI17" s="160">
        <f t="shared" si="2"/>
        <v>1.2E-2</v>
      </c>
      <c r="BJ17" s="160">
        <f t="shared" si="2"/>
        <v>1.2E-2</v>
      </c>
      <c r="BK17" s="160">
        <f t="shared" si="3"/>
        <v>1.2E-2</v>
      </c>
      <c r="BL17" s="160">
        <f t="shared" si="3"/>
        <v>1.2E-2</v>
      </c>
      <c r="BM17" s="160"/>
    </row>
    <row r="18" spans="2:90" x14ac:dyDescent="0.2">
      <c r="B18" s="4"/>
      <c r="D18" t="s">
        <v>353</v>
      </c>
      <c r="L18" s="3" t="s">
        <v>55</v>
      </c>
      <c r="P18" s="75">
        <f>(1+P16)/(1+P17)-1</f>
        <v>5.5226824457593748E-2</v>
      </c>
      <c r="Q18" s="75">
        <f t="shared" ref="Q18:AK18" si="5">(1+Q16)/(1+Q17)-1</f>
        <v>5.5226824457593748E-2</v>
      </c>
      <c r="R18" s="246">
        <f t="shared" si="5"/>
        <v>5.5226824457593748E-2</v>
      </c>
      <c r="S18" s="75">
        <f t="shared" si="5"/>
        <v>5.5226824457593748E-2</v>
      </c>
      <c r="T18" s="75">
        <f>(1+T16)/(1+T17)-1</f>
        <v>9.4674556213017791E-2</v>
      </c>
      <c r="U18" s="246">
        <f t="shared" si="5"/>
        <v>4.6396841066140393E-2</v>
      </c>
      <c r="V18" s="75">
        <f t="shared" si="5"/>
        <v>4.6396841066140393E-2</v>
      </c>
      <c r="W18" s="75">
        <f t="shared" si="5"/>
        <v>4.6396841066140393E-2</v>
      </c>
      <c r="X18" s="75">
        <f t="shared" si="5"/>
        <v>4.6396841066140393E-2</v>
      </c>
      <c r="Y18" s="75">
        <f t="shared" si="5"/>
        <v>3.6525172754195534E-2</v>
      </c>
      <c r="Z18" s="75">
        <f t="shared" si="5"/>
        <v>3.6525172754195534E-2</v>
      </c>
      <c r="AA18" s="75">
        <f t="shared" si="5"/>
        <v>3.6525172754195534E-2</v>
      </c>
      <c r="AB18" s="75">
        <f t="shared" si="5"/>
        <v>3.6525172754195534E-2</v>
      </c>
      <c r="AC18" s="75">
        <f t="shared" si="5"/>
        <v>3.6525172754195534E-2</v>
      </c>
      <c r="AD18" s="75">
        <f t="shared" si="5"/>
        <v>3.6525172754195534E-2</v>
      </c>
      <c r="AE18" s="75">
        <f t="shared" si="5"/>
        <v>3.2608695652173836E-2</v>
      </c>
      <c r="AF18" s="75">
        <f t="shared" si="5"/>
        <v>3.2608695652173836E-2</v>
      </c>
      <c r="AG18" s="75">
        <f t="shared" si="5"/>
        <v>3.2608695652173836E-2</v>
      </c>
      <c r="AH18" s="75">
        <f t="shared" si="5"/>
        <v>3.2608695652173836E-2</v>
      </c>
      <c r="AI18" s="75">
        <f t="shared" si="5"/>
        <v>3.2608695652173836E-2</v>
      </c>
      <c r="AJ18" s="75">
        <f t="shared" si="5"/>
        <v>3.2608695652173836E-2</v>
      </c>
      <c r="AK18" s="75">
        <f t="shared" si="5"/>
        <v>3.2608695652173836E-2</v>
      </c>
      <c r="AQ18" s="160">
        <f t="shared" si="1"/>
        <v>5.5226824457593748E-2</v>
      </c>
      <c r="AR18" s="160">
        <f t="shared" si="1"/>
        <v>5.5226824457593748E-2</v>
      </c>
      <c r="AS18" s="160">
        <f t="shared" si="1"/>
        <v>5.5226824457593748E-2</v>
      </c>
      <c r="AT18" s="160">
        <f t="shared" si="1"/>
        <v>5.5226824457593748E-2</v>
      </c>
      <c r="AU18" s="160">
        <f t="shared" si="1"/>
        <v>9.4674556213017791E-2</v>
      </c>
      <c r="AV18" s="245">
        <f t="shared" si="1"/>
        <v>4.6396841066140393E-2</v>
      </c>
      <c r="AW18" s="160">
        <f t="shared" si="1"/>
        <v>4.6396841066140393E-2</v>
      </c>
      <c r="AX18" s="160">
        <f t="shared" si="1"/>
        <v>4.6396841066140393E-2</v>
      </c>
      <c r="AY18" s="160">
        <f t="shared" si="1"/>
        <v>4.6396841066140393E-2</v>
      </c>
      <c r="AZ18" s="160">
        <f t="shared" si="1"/>
        <v>3.6525172754195534E-2</v>
      </c>
      <c r="BA18" s="160">
        <f t="shared" si="2"/>
        <v>3.6525172754195534E-2</v>
      </c>
      <c r="BB18" s="160">
        <f t="shared" si="2"/>
        <v>3.6525172754195534E-2</v>
      </c>
      <c r="BC18" s="160">
        <f t="shared" si="2"/>
        <v>3.6525172754195534E-2</v>
      </c>
      <c r="BD18" s="160">
        <f t="shared" si="2"/>
        <v>3.6525172754195534E-2</v>
      </c>
      <c r="BE18" s="160">
        <f t="shared" si="2"/>
        <v>3.6525172754195534E-2</v>
      </c>
      <c r="BF18" s="160">
        <f t="shared" si="2"/>
        <v>3.2608695652173836E-2</v>
      </c>
      <c r="BG18" s="160">
        <f t="shared" si="2"/>
        <v>3.2608695652173836E-2</v>
      </c>
      <c r="BH18" s="160">
        <f t="shared" si="2"/>
        <v>3.2608695652173836E-2</v>
      </c>
      <c r="BI18" s="160">
        <f t="shared" si="2"/>
        <v>3.2608695652173836E-2</v>
      </c>
      <c r="BJ18" s="160">
        <f t="shared" si="2"/>
        <v>3.2608695652173836E-2</v>
      </c>
      <c r="BK18" s="160">
        <f t="shared" si="3"/>
        <v>3.2608695652173836E-2</v>
      </c>
      <c r="BL18" s="160">
        <f t="shared" si="3"/>
        <v>3.2608695652173836E-2</v>
      </c>
      <c r="BM18" s="160"/>
    </row>
    <row r="19" spans="2:90" x14ac:dyDescent="0.2">
      <c r="B19" s="4"/>
      <c r="D19" t="s">
        <v>226</v>
      </c>
      <c r="L19" s="3" t="s">
        <v>55</v>
      </c>
      <c r="P19" s="68">
        <f>'Data &amp; Assumptions'!D47/'Data &amp; Assumptions'!D46</f>
        <v>322222.22222222219</v>
      </c>
      <c r="AQ19" s="208">
        <f>P19</f>
        <v>322222.22222222219</v>
      </c>
      <c r="AR19" s="160"/>
      <c r="AS19" s="160"/>
      <c r="AT19" s="160"/>
      <c r="AU19" s="160"/>
      <c r="AV19" s="245"/>
      <c r="AW19" s="160"/>
      <c r="AX19" s="160"/>
      <c r="AY19" s="160"/>
      <c r="AZ19" s="160"/>
      <c r="BA19" s="160"/>
      <c r="BB19" s="160"/>
      <c r="BC19" s="160"/>
      <c r="BD19" s="160"/>
      <c r="BE19" s="160"/>
      <c r="BF19" s="160"/>
      <c r="BG19" s="160"/>
      <c r="BH19" s="160"/>
      <c r="BI19" s="160"/>
      <c r="BJ19" s="160"/>
      <c r="BK19" s="160"/>
      <c r="BL19" s="160"/>
      <c r="BM19" s="160"/>
    </row>
    <row r="20" spans="2:90" x14ac:dyDescent="0.2">
      <c r="B20" s="4"/>
    </row>
    <row r="21" spans="2:90" x14ac:dyDescent="0.2">
      <c r="B21" s="4"/>
      <c r="C21" t="s">
        <v>67</v>
      </c>
    </row>
    <row r="22" spans="2:90" x14ac:dyDescent="0.2">
      <c r="B22" s="4"/>
    </row>
    <row r="23" spans="2:90" s="68" customFormat="1" x14ac:dyDescent="0.2">
      <c r="D23" t="s">
        <v>205</v>
      </c>
      <c r="E23"/>
      <c r="L23" s="69" t="s">
        <v>55</v>
      </c>
      <c r="M23" s="69"/>
      <c r="P23" s="68">
        <f>'Data &amp; Assumptions'!D47</f>
        <v>145000</v>
      </c>
      <c r="Q23" s="68">
        <f>P23+Q24</f>
        <v>161481.66666666666</v>
      </c>
      <c r="R23" s="209">
        <f t="shared" ref="R23:AK23" si="6">Q23+R24</f>
        <v>176430.53833333333</v>
      </c>
      <c r="S23" s="68">
        <f t="shared" si="6"/>
        <v>189989.16493500001</v>
      </c>
      <c r="T23" s="68">
        <f t="shared" si="6"/>
        <v>202286.83926271167</v>
      </c>
      <c r="U23" s="209">
        <f t="shared" si="6"/>
        <v>213440.82987794615</v>
      </c>
      <c r="V23" s="68">
        <f t="shared" si="6"/>
        <v>223557.49936596383</v>
      </c>
      <c r="W23" s="68">
        <f t="shared" si="6"/>
        <v>232733.31859159586</v>
      </c>
      <c r="X23" s="68">
        <f t="shared" si="6"/>
        <v>241055.7866292441</v>
      </c>
      <c r="Y23" s="68">
        <f t="shared" si="6"/>
        <v>248604.26513939106</v>
      </c>
      <c r="Z23" s="68">
        <f t="shared" si="6"/>
        <v>255450.73514809436</v>
      </c>
      <c r="AA23" s="68">
        <f t="shared" si="6"/>
        <v>261660.48344598824</v>
      </c>
      <c r="AB23" s="68">
        <f t="shared" si="6"/>
        <v>267292.72515217797</v>
      </c>
      <c r="AC23" s="68">
        <f t="shared" si="6"/>
        <v>272401.16837969207</v>
      </c>
      <c r="AD23" s="68">
        <f t="shared" si="6"/>
        <v>277034.52638704737</v>
      </c>
      <c r="AE23" s="68">
        <f t="shared" si="6"/>
        <v>281236.98209971865</v>
      </c>
      <c r="AF23" s="68">
        <f t="shared" si="6"/>
        <v>285048.60943111149</v>
      </c>
      <c r="AG23" s="68">
        <f t="shared" si="6"/>
        <v>288505.75542068476</v>
      </c>
      <c r="AH23" s="68">
        <f t="shared" si="6"/>
        <v>291641.38683322776</v>
      </c>
      <c r="AI23" s="68">
        <f t="shared" si="6"/>
        <v>294485.40452440426</v>
      </c>
      <c r="AJ23" s="68">
        <f t="shared" si="6"/>
        <v>297064.92857030133</v>
      </c>
      <c r="AK23" s="68">
        <f t="shared" si="6"/>
        <v>299404.55687992997</v>
      </c>
      <c r="AM23" s="204"/>
      <c r="AQ23" s="68">
        <f>P23</f>
        <v>145000</v>
      </c>
      <c r="AR23" s="68">
        <f>AQ23+AR24</f>
        <v>161481.66666666666</v>
      </c>
      <c r="AS23" s="68">
        <f>AR23+AS24</f>
        <v>172693.32041666665</v>
      </c>
      <c r="AT23" s="68">
        <f t="shared" ref="AT23:BL23" si="7">AS23+AT24</f>
        <v>182862.29036791666</v>
      </c>
      <c r="AU23" s="68">
        <f t="shared" si="7"/>
        <v>192085.5461137004</v>
      </c>
      <c r="AV23" s="209">
        <f t="shared" si="7"/>
        <v>200451.03907512626</v>
      </c>
      <c r="AW23" s="68">
        <f t="shared" si="7"/>
        <v>208038.54119113952</v>
      </c>
      <c r="AX23" s="68">
        <f t="shared" si="7"/>
        <v>214920.40561036355</v>
      </c>
      <c r="AY23" s="68">
        <f t="shared" si="7"/>
        <v>221162.25663859973</v>
      </c>
      <c r="AZ23" s="68">
        <f t="shared" si="7"/>
        <v>226823.61552120995</v>
      </c>
      <c r="BA23" s="68">
        <f t="shared" si="7"/>
        <v>231958.46802773743</v>
      </c>
      <c r="BB23" s="68">
        <f t="shared" si="7"/>
        <v>236615.77925115783</v>
      </c>
      <c r="BC23" s="68">
        <f t="shared" si="7"/>
        <v>240839.96053080016</v>
      </c>
      <c r="BD23" s="68">
        <f t="shared" si="7"/>
        <v>244671.29295143575</v>
      </c>
      <c r="BE23" s="68">
        <f t="shared" si="7"/>
        <v>248146.31145695221</v>
      </c>
      <c r="BF23" s="68">
        <f t="shared" si="7"/>
        <v>251298.15324145567</v>
      </c>
      <c r="BG23" s="68">
        <f t="shared" si="7"/>
        <v>254156.8737400003</v>
      </c>
      <c r="BH23" s="68">
        <f t="shared" si="7"/>
        <v>256749.73323218027</v>
      </c>
      <c r="BI23" s="68">
        <f t="shared" si="7"/>
        <v>259101.45679158749</v>
      </c>
      <c r="BJ23" s="68">
        <f t="shared" si="7"/>
        <v>261234.47005996987</v>
      </c>
      <c r="BK23" s="68">
        <f t="shared" si="7"/>
        <v>263169.1130943927</v>
      </c>
      <c r="BL23" s="68">
        <f t="shared" si="7"/>
        <v>264923.83432661416</v>
      </c>
      <c r="BN23" s="204"/>
      <c r="BU23" s="209"/>
    </row>
    <row r="24" spans="2:90" s="68" customFormat="1" x14ac:dyDescent="0.2">
      <c r="D24" t="s">
        <v>233</v>
      </c>
      <c r="E24"/>
      <c r="L24" s="69" t="s">
        <v>55</v>
      </c>
      <c r="M24" s="69"/>
      <c r="P24" s="70">
        <f>(Q24/R24)*Q24</f>
        <v>18171.62807791253</v>
      </c>
      <c r="Q24" s="68">
        <f>'Data &amp; Assumptions'!$D$67*('Registry Upgrade, Khashaa Reg.'!$P$19-'Registry Upgrade, Khashaa Reg.'!P23)</f>
        <v>16481.666666666664</v>
      </c>
      <c r="R24" s="209">
        <f>'Data &amp; Assumptions'!$D$67*('Registry Upgrade, Khashaa Reg.'!$P$19-'Registry Upgrade, Khashaa Reg.'!Q23)</f>
        <v>14948.871666666664</v>
      </c>
      <c r="S24" s="68">
        <f>'Data &amp; Assumptions'!$D$67*('Registry Upgrade, Khashaa Reg.'!$P$19-'Registry Upgrade, Khashaa Reg.'!R23)</f>
        <v>13558.626601666663</v>
      </c>
      <c r="T24" s="68">
        <f>'Data &amp; Assumptions'!$D$67*('Registry Upgrade, Khashaa Reg.'!$P$19-'Registry Upgrade, Khashaa Reg.'!S23)</f>
        <v>12297.674327711662</v>
      </c>
      <c r="U24" s="209">
        <f>'Data &amp; Assumptions'!$D$67*('Registry Upgrade, Khashaa Reg.'!$P$19-'Registry Upgrade, Khashaa Reg.'!T23)</f>
        <v>11153.990615234477</v>
      </c>
      <c r="V24" s="68">
        <f>'Data &amp; Assumptions'!$D$67*('Registry Upgrade, Khashaa Reg.'!$P$19-'Registry Upgrade, Khashaa Reg.'!U23)</f>
        <v>10116.669488017671</v>
      </c>
      <c r="W24" s="68">
        <f>'Data &amp; Assumptions'!$D$67*('Registry Upgrade, Khashaa Reg.'!$P$19-'Registry Upgrade, Khashaa Reg.'!V23)</f>
        <v>9175.8192256320272</v>
      </c>
      <c r="X24" s="68">
        <f>'Data &amp; Assumptions'!$D$67*('Registry Upgrade, Khashaa Reg.'!$P$19-'Registry Upgrade, Khashaa Reg.'!W23)</f>
        <v>8322.4680376482484</v>
      </c>
      <c r="Y24" s="68">
        <f>'Data &amp; Assumptions'!$D$67*('Registry Upgrade, Khashaa Reg.'!$P$19-'Registry Upgrade, Khashaa Reg.'!X23)</f>
        <v>7548.4785101469624</v>
      </c>
      <c r="Z24" s="68">
        <f>'Data &amp; Assumptions'!$D$67*('Registry Upgrade, Khashaa Reg.'!$P$19-'Registry Upgrade, Khashaa Reg.'!Y23)</f>
        <v>6846.4700087032943</v>
      </c>
      <c r="AA24" s="68">
        <f>'Data &amp; Assumptions'!$D$67*('Registry Upgrade, Khashaa Reg.'!$P$19-'Registry Upgrade, Khashaa Reg.'!Z23)</f>
        <v>6209.7482978938879</v>
      </c>
      <c r="AB24" s="68">
        <f>'Data &amp; Assumptions'!$D$67*('Registry Upgrade, Khashaa Reg.'!$P$19-'Registry Upgrade, Khashaa Reg.'!AA23)</f>
        <v>5632.2417061897577</v>
      </c>
      <c r="AC24" s="68">
        <f>'Data &amp; Assumptions'!$D$67*('Registry Upgrade, Khashaa Reg.'!$P$19-'Registry Upgrade, Khashaa Reg.'!AB23)</f>
        <v>5108.4432275141126</v>
      </c>
      <c r="AD24" s="68">
        <f>'Data &amp; Assumptions'!$D$67*('Registry Upgrade, Khashaa Reg.'!$P$19-'Registry Upgrade, Khashaa Reg.'!AC23)</f>
        <v>4633.3580073553012</v>
      </c>
      <c r="AE24" s="68">
        <f>'Data &amp; Assumptions'!$D$67*('Registry Upgrade, Khashaa Reg.'!$P$19-'Registry Upgrade, Khashaa Reg.'!AD23)</f>
        <v>4202.455712671258</v>
      </c>
      <c r="AF24" s="68">
        <f>'Data &amp; Assumptions'!$D$67*('Registry Upgrade, Khashaa Reg.'!$P$19-'Registry Upgrade, Khashaa Reg.'!AE23)</f>
        <v>3811.6273313928295</v>
      </c>
      <c r="AG24" s="68">
        <f>'Data &amp; Assumptions'!$D$67*('Registry Upgrade, Khashaa Reg.'!$P$19-'Registry Upgrade, Khashaa Reg.'!AF23)</f>
        <v>3457.1459895732955</v>
      </c>
      <c r="AH24" s="68">
        <f>'Data &amp; Assumptions'!$D$67*('Registry Upgrade, Khashaa Reg.'!$P$19-'Registry Upgrade, Khashaa Reg.'!AG23)</f>
        <v>3135.6314125429813</v>
      </c>
      <c r="AI24" s="68">
        <f>'Data &amp; Assumptions'!$D$67*('Registry Upgrade, Khashaa Reg.'!$P$19-'Registry Upgrade, Khashaa Reg.'!AH23)</f>
        <v>2844.0176911764815</v>
      </c>
      <c r="AJ24" s="68">
        <f>'Data &amp; Assumptions'!$D$67*('Registry Upgrade, Khashaa Reg.'!$P$19-'Registry Upgrade, Khashaa Reg.'!AI23)</f>
        <v>2579.524045897067</v>
      </c>
      <c r="AK24" s="68">
        <f>'Data &amp; Assumptions'!$D$67*('Registry Upgrade, Khashaa Reg.'!$P$19-'Registry Upgrade, Khashaa Reg.'!AJ23)</f>
        <v>2339.6283096286397</v>
      </c>
      <c r="AM24" s="204"/>
      <c r="AQ24" s="68">
        <f>P24</f>
        <v>18171.62807791253</v>
      </c>
      <c r="AR24" s="209">
        <f>Q24</f>
        <v>16481.666666666664</v>
      </c>
      <c r="AS24" s="209">
        <f>'Data &amp; Assumptions'!$D$68*'Registry Upgrade, Khashaa Reg.'!R24</f>
        <v>11211.653749999998</v>
      </c>
      <c r="AT24" s="209">
        <f>'Data &amp; Assumptions'!$D$68*'Registry Upgrade, Khashaa Reg.'!S24</f>
        <v>10168.969951249997</v>
      </c>
      <c r="AU24" s="209">
        <f>'Data &amp; Assumptions'!$D$68*'Registry Upgrade, Khashaa Reg.'!T24</f>
        <v>9223.2557457837465</v>
      </c>
      <c r="AV24" s="209">
        <f>'Data &amp; Assumptions'!$D$68*'Registry Upgrade, Khashaa Reg.'!U24</f>
        <v>8365.4929614258581</v>
      </c>
      <c r="AW24" s="209">
        <f>'Data &amp; Assumptions'!$D$68*'Registry Upgrade, Khashaa Reg.'!V24</f>
        <v>7587.5021160132528</v>
      </c>
      <c r="AX24" s="209">
        <f>'Data &amp; Assumptions'!$D$68*'Registry Upgrade, Khashaa Reg.'!W24</f>
        <v>6881.8644192240208</v>
      </c>
      <c r="AY24" s="209">
        <f>'Data &amp; Assumptions'!$D$68*'Registry Upgrade, Khashaa Reg.'!X24</f>
        <v>6241.8510282361858</v>
      </c>
      <c r="AZ24" s="209">
        <f>'Data &amp; Assumptions'!$D$68*'Registry Upgrade, Khashaa Reg.'!Y24</f>
        <v>5661.3588826102223</v>
      </c>
      <c r="BA24" s="209">
        <f>'Data &amp; Assumptions'!$D$68*'Registry Upgrade, Khashaa Reg.'!Z24</f>
        <v>5134.8525065274707</v>
      </c>
      <c r="BB24" s="209">
        <f>'Data &amp; Assumptions'!$D$68*'Registry Upgrade, Khashaa Reg.'!AA24</f>
        <v>4657.3112234204164</v>
      </c>
      <c r="BC24" s="209">
        <f>'Data &amp; Assumptions'!$D$68*'Registry Upgrade, Khashaa Reg.'!AB24</f>
        <v>4224.1812796423183</v>
      </c>
      <c r="BD24" s="209">
        <f>'Data &amp; Assumptions'!$D$68*'Registry Upgrade, Khashaa Reg.'!AC24</f>
        <v>3831.3324206355846</v>
      </c>
      <c r="BE24" s="209">
        <f>'Data &amp; Assumptions'!$D$68*'Registry Upgrade, Khashaa Reg.'!AD24</f>
        <v>3475.0185055164757</v>
      </c>
      <c r="BF24" s="209">
        <f>'Data &amp; Assumptions'!$D$68*'Registry Upgrade, Khashaa Reg.'!AE24</f>
        <v>3151.8417845034437</v>
      </c>
      <c r="BG24" s="209">
        <f>'Data &amp; Assumptions'!$D$68*'Registry Upgrade, Khashaa Reg.'!AF24</f>
        <v>2858.7204985446224</v>
      </c>
      <c r="BH24" s="209">
        <f>'Data &amp; Assumptions'!$D$68*'Registry Upgrade, Khashaa Reg.'!AG24</f>
        <v>2592.8594921799718</v>
      </c>
      <c r="BI24" s="209">
        <f>'Data &amp; Assumptions'!$D$68*'Registry Upgrade, Khashaa Reg.'!AH24</f>
        <v>2351.7235594072358</v>
      </c>
      <c r="BJ24" s="209">
        <f>'Data &amp; Assumptions'!$D$68*'Registry Upgrade, Khashaa Reg.'!AI24</f>
        <v>2133.0132683823613</v>
      </c>
      <c r="BK24" s="209">
        <f>'Data &amp; Assumptions'!$D$68*'Registry Upgrade, Khashaa Reg.'!AJ24</f>
        <v>1934.6430344228002</v>
      </c>
      <c r="BL24" s="209">
        <f>'Data &amp; Assumptions'!$D$68*'Registry Upgrade, Khashaa Reg.'!AK24</f>
        <v>1754.7212322214798</v>
      </c>
      <c r="BM24" s="209"/>
      <c r="BN24" s="204"/>
      <c r="BU24" s="209"/>
    </row>
    <row r="25" spans="2:90" x14ac:dyDescent="0.2">
      <c r="D25" t="s">
        <v>52</v>
      </c>
      <c r="L25" s="64" t="s">
        <v>209</v>
      </c>
      <c r="M25" s="64"/>
      <c r="P25" s="65">
        <f>'Data &amp; Assumptions'!D63</f>
        <v>10.008591065292096</v>
      </c>
      <c r="S25" s="154"/>
      <c r="AQ25" s="68">
        <f>P25</f>
        <v>10.008591065292096</v>
      </c>
    </row>
    <row r="26" spans="2:90" x14ac:dyDescent="0.2">
      <c r="D26" t="s">
        <v>54</v>
      </c>
      <c r="L26" s="64" t="s">
        <v>145</v>
      </c>
      <c r="M26" s="64"/>
      <c r="P26" s="71">
        <v>5</v>
      </c>
      <c r="AQ26" s="68">
        <f>P26</f>
        <v>5</v>
      </c>
    </row>
    <row r="27" spans="2:90" x14ac:dyDescent="0.2">
      <c r="D27" t="s">
        <v>53</v>
      </c>
      <c r="L27" s="64" t="s">
        <v>145</v>
      </c>
      <c r="M27" s="64"/>
      <c r="P27" s="63">
        <f>'Data &amp; Assumptions'!D65</f>
        <v>90</v>
      </c>
      <c r="AQ27" s="68">
        <f>P27</f>
        <v>90</v>
      </c>
    </row>
    <row r="28" spans="2:90" x14ac:dyDescent="0.2">
      <c r="B28" s="4"/>
    </row>
    <row r="29" spans="2:90" x14ac:dyDescent="0.2">
      <c r="C29" t="s">
        <v>51</v>
      </c>
    </row>
    <row r="31" spans="2:90" s="68" customFormat="1" x14ac:dyDescent="0.2">
      <c r="D31" t="s">
        <v>208</v>
      </c>
      <c r="E31"/>
      <c r="L31" s="69" t="s">
        <v>55</v>
      </c>
      <c r="M31" s="69"/>
      <c r="P31" s="68">
        <f>'Data &amp; Assumptions'!$D$48*'Registry Upgrade, Khashaa Reg.'!P23</f>
        <v>36975</v>
      </c>
      <c r="Q31" s="68">
        <f>P31+Q32</f>
        <v>41608.765159867697</v>
      </c>
      <c r="R31" s="209">
        <f t="shared" ref="R31:AK31" si="8">Q31+R32</f>
        <v>45811.590159867694</v>
      </c>
      <c r="S31" s="68">
        <f t="shared" si="8"/>
        <v>49623.552434867692</v>
      </c>
      <c r="T31" s="68">
        <f t="shared" si="8"/>
        <v>53599.619685806443</v>
      </c>
      <c r="U31" s="209">
        <f t="shared" si="8"/>
        <v>56735.526639372918</v>
      </c>
      <c r="V31" s="68">
        <f t="shared" si="8"/>
        <v>69579.794246257705</v>
      </c>
      <c r="W31" s="68">
        <f t="shared" si="8"/>
        <v>85159.544965702211</v>
      </c>
      <c r="X31" s="68">
        <f t="shared" si="8"/>
        <v>87499.378868238375</v>
      </c>
      <c r="Y31" s="68">
        <f t="shared" si="8"/>
        <v>89621.608217838671</v>
      </c>
      <c r="Z31" s="68">
        <f t="shared" si="8"/>
        <v>91546.470237926143</v>
      </c>
      <c r="AA31" s="68">
        <f t="shared" si="8"/>
        <v>93292.320090145484</v>
      </c>
      <c r="AB31" s="68">
        <f t="shared" si="8"/>
        <v>94875.80590610842</v>
      </c>
      <c r="AC31" s="68">
        <f t="shared" si="8"/>
        <v>96312.027541186806</v>
      </c>
      <c r="AD31" s="68">
        <f t="shared" si="8"/>
        <v>97614.680564202907</v>
      </c>
      <c r="AE31" s="68">
        <f t="shared" si="8"/>
        <v>98796.186856078508</v>
      </c>
      <c r="AF31" s="68">
        <f t="shared" si="8"/>
        <v>99867.813062809684</v>
      </c>
      <c r="AG31" s="68">
        <f t="shared" si="8"/>
        <v>100839.77803231486</v>
      </c>
      <c r="AH31" s="68">
        <f t="shared" si="8"/>
        <v>101721.35025965606</v>
      </c>
      <c r="AI31" s="68">
        <f t="shared" si="8"/>
        <v>102520.93626985452</v>
      </c>
      <c r="AJ31" s="68">
        <f t="shared" si="8"/>
        <v>103246.16078110453</v>
      </c>
      <c r="AK31" s="68">
        <f t="shared" si="8"/>
        <v>103903.93941280828</v>
      </c>
      <c r="AM31" s="204"/>
      <c r="AQ31" s="68">
        <f>P31</f>
        <v>36975</v>
      </c>
      <c r="AR31" s="68">
        <f>AQ31+AR32</f>
        <v>41608.765159867697</v>
      </c>
      <c r="AS31" s="68">
        <f>AR31+AS32</f>
        <v>45811.590159867694</v>
      </c>
      <c r="AT31" s="68">
        <f t="shared" ref="AT31:BL31" si="9">AS31+AT32</f>
        <v>48670.561866117692</v>
      </c>
      <c r="AU31" s="68">
        <f t="shared" si="9"/>
        <v>51263.649203686444</v>
      </c>
      <c r="AV31" s="209">
        <f t="shared" si="9"/>
        <v>53615.5794188613</v>
      </c>
      <c r="AW31" s="68">
        <f t="shared" si="9"/>
        <v>55748.780124024895</v>
      </c>
      <c r="AX31" s="68">
        <f t="shared" si="9"/>
        <v>57683.593163608275</v>
      </c>
      <c r="AY31" s="68">
        <f t="shared" si="9"/>
        <v>59438.468590510398</v>
      </c>
      <c r="AZ31" s="68">
        <f t="shared" si="9"/>
        <v>61030.140602710628</v>
      </c>
      <c r="BA31" s="68">
        <f t="shared" si="9"/>
        <v>62473.787117776235</v>
      </c>
      <c r="BB31" s="68">
        <f t="shared" si="9"/>
        <v>63783.174506940741</v>
      </c>
      <c r="BC31" s="68">
        <f t="shared" si="9"/>
        <v>64970.788868912947</v>
      </c>
      <c r="BD31" s="68">
        <f t="shared" si="9"/>
        <v>66047.95509522174</v>
      </c>
      <c r="BE31" s="68">
        <f t="shared" si="9"/>
        <v>67024.944862483811</v>
      </c>
      <c r="BF31" s="68">
        <f t="shared" si="9"/>
        <v>67911.074581390509</v>
      </c>
      <c r="BG31" s="68">
        <f t="shared" si="9"/>
        <v>68714.794236438887</v>
      </c>
      <c r="BH31" s="68">
        <f t="shared" si="9"/>
        <v>69443.767963567763</v>
      </c>
      <c r="BI31" s="68">
        <f t="shared" si="9"/>
        <v>70104.947134073649</v>
      </c>
      <c r="BJ31" s="68">
        <f t="shared" si="9"/>
        <v>70704.636641722493</v>
      </c>
      <c r="BK31" s="68">
        <f t="shared" si="9"/>
        <v>71248.555025159993</v>
      </c>
      <c r="BL31" s="68">
        <f t="shared" si="9"/>
        <v>71741.888998937808</v>
      </c>
      <c r="BN31" s="204"/>
      <c r="BP31" s="68">
        <f>P31-AQ31</f>
        <v>0</v>
      </c>
      <c r="BQ31" s="68">
        <f t="shared" ref="BQ31:CL31" si="10">Q31-AR31</f>
        <v>0</v>
      </c>
      <c r="BR31" s="68">
        <f t="shared" si="10"/>
        <v>0</v>
      </c>
      <c r="BS31" s="68">
        <f t="shared" si="10"/>
        <v>952.99056874999951</v>
      </c>
      <c r="BT31" s="68">
        <f t="shared" si="10"/>
        <v>2335.9704821199994</v>
      </c>
      <c r="BU31" s="68">
        <f t="shared" si="10"/>
        <v>3119.9472205116181</v>
      </c>
      <c r="BV31" s="68">
        <f t="shared" si="10"/>
        <v>13831.014122232809</v>
      </c>
      <c r="BW31" s="68">
        <f t="shared" si="10"/>
        <v>27475.951802093936</v>
      </c>
      <c r="BX31" s="68">
        <f t="shared" si="10"/>
        <v>28060.910277727977</v>
      </c>
      <c r="BY31" s="68">
        <f t="shared" si="10"/>
        <v>28591.467615128044</v>
      </c>
      <c r="BZ31" s="68">
        <f t="shared" si="10"/>
        <v>29072.683120149908</v>
      </c>
      <c r="CA31" s="68">
        <f t="shared" si="10"/>
        <v>29509.145583204743</v>
      </c>
      <c r="CB31" s="68">
        <f t="shared" si="10"/>
        <v>29905.017037195474</v>
      </c>
      <c r="CC31" s="68">
        <f t="shared" si="10"/>
        <v>30264.072445965066</v>
      </c>
      <c r="CD31" s="68">
        <f t="shared" si="10"/>
        <v>30589.735701719095</v>
      </c>
      <c r="CE31" s="68">
        <f t="shared" si="10"/>
        <v>30885.112274687999</v>
      </c>
      <c r="CF31" s="68">
        <f t="shared" si="10"/>
        <v>31153.018826370797</v>
      </c>
      <c r="CG31" s="68">
        <f t="shared" si="10"/>
        <v>31396.010068747099</v>
      </c>
      <c r="CH31" s="68">
        <f t="shared" si="10"/>
        <v>31616.403125582408</v>
      </c>
      <c r="CI31" s="68">
        <f t="shared" si="10"/>
        <v>31816.299628132023</v>
      </c>
      <c r="CJ31" s="68">
        <f t="shared" si="10"/>
        <v>31997.605755944533</v>
      </c>
      <c r="CK31" s="68">
        <f t="shared" si="10"/>
        <v>32162.050413870471</v>
      </c>
      <c r="CL31" s="68">
        <f t="shared" si="10"/>
        <v>0</v>
      </c>
    </row>
    <row r="32" spans="2:90" s="68" customFormat="1" x14ac:dyDescent="0.2">
      <c r="D32" t="s">
        <v>220</v>
      </c>
      <c r="E32"/>
      <c r="L32" s="69" t="s">
        <v>55</v>
      </c>
      <c r="M32" s="69"/>
      <c r="Q32" s="68">
        <f>'Data &amp; Assumptions'!$D$48*'Registry Upgrade, Khashaa Reg.'!P24</f>
        <v>4633.7651598676948</v>
      </c>
      <c r="R32" s="209">
        <f>'Data &amp; Assumptions'!$D$48*'Registry Upgrade, Khashaa Reg.'!Q24</f>
        <v>4202.8249999999998</v>
      </c>
      <c r="S32" s="68">
        <f>'Data &amp; Assumptions'!$D$48*'Registry Upgrade, Khashaa Reg.'!R24+'Data &amp; Assumptions'!D39</f>
        <v>3811.9622749999994</v>
      </c>
      <c r="T32" s="68">
        <f>'Data &amp; Assumptions'!$D$48*(1+'Data &amp; Assumptions'!$D$49)*'Registry Upgrade, Khashaa Reg.'!S24+'Data &amp; Assumptions'!D40</f>
        <v>3976.0672509387482</v>
      </c>
      <c r="U32" s="209">
        <f>'Data &amp; Assumptions'!$D$48*'Registry Upgrade, Khashaa Reg.'!T24+'Data &amp; Assumptions'!D41</f>
        <v>3135.9069535664739</v>
      </c>
      <c r="V32" s="68">
        <f>'Data &amp; Assumptions'!$D$48*'Registry Upgrade, Khashaa Reg.'!U24+'Data &amp; Assumptions'!D42</f>
        <v>12844.267606884792</v>
      </c>
      <c r="W32" s="68">
        <f>'Data &amp; Assumptions'!$D$48*'Registry Upgrade, Khashaa Reg.'!V24+'Data &amp; Assumptions'!D43</f>
        <v>15579.750719444506</v>
      </c>
      <c r="X32" s="68">
        <f>'Data &amp; Assumptions'!$D$48*'Registry Upgrade, Khashaa Reg.'!W24</f>
        <v>2339.833902536167</v>
      </c>
      <c r="Y32" s="68">
        <f>'Data &amp; Assumptions'!$D$48*'Registry Upgrade, Khashaa Reg.'!X24</f>
        <v>2122.2293496003035</v>
      </c>
      <c r="Z32" s="68">
        <f>'Data &amp; Assumptions'!$D$48*'Registry Upgrade, Khashaa Reg.'!Y24</f>
        <v>1924.8620200874755</v>
      </c>
      <c r="AA32" s="68">
        <f>'Data &amp; Assumptions'!$D$48*'Registry Upgrade, Khashaa Reg.'!Z24</f>
        <v>1745.8498522193402</v>
      </c>
      <c r="AB32" s="68">
        <f>'Data &amp; Assumptions'!$D$48*'Registry Upgrade, Khashaa Reg.'!AA24</f>
        <v>1583.4858159629414</v>
      </c>
      <c r="AC32" s="68">
        <f>'Data &amp; Assumptions'!$D$48*'Registry Upgrade, Khashaa Reg.'!AB24</f>
        <v>1436.2216350783883</v>
      </c>
      <c r="AD32" s="68">
        <f>'Data &amp; Assumptions'!$D$48*'Registry Upgrade, Khashaa Reg.'!AC24</f>
        <v>1302.6530230160988</v>
      </c>
      <c r="AE32" s="68">
        <f>'Data &amp; Assumptions'!$D$48*'Registry Upgrade, Khashaa Reg.'!AD24</f>
        <v>1181.5062918756018</v>
      </c>
      <c r="AF32" s="68">
        <f>'Data &amp; Assumptions'!$D$48*'Registry Upgrade, Khashaa Reg.'!AE24</f>
        <v>1071.6262067311709</v>
      </c>
      <c r="AG32" s="68">
        <f>'Data &amp; Assumptions'!$D$48*'Registry Upgrade, Khashaa Reg.'!AF24</f>
        <v>971.96496950517155</v>
      </c>
      <c r="AH32" s="68">
        <f>'Data &amp; Assumptions'!$D$48*'Registry Upgrade, Khashaa Reg.'!AG24</f>
        <v>881.57222734119034</v>
      </c>
      <c r="AI32" s="68">
        <f>'Data &amp; Assumptions'!$D$48*'Registry Upgrade, Khashaa Reg.'!AH24</f>
        <v>799.58601019846026</v>
      </c>
      <c r="AJ32" s="68">
        <f>'Data &amp; Assumptions'!$D$48*'Registry Upgrade, Khashaa Reg.'!AI24</f>
        <v>725.22451125000282</v>
      </c>
      <c r="AK32" s="68">
        <f>'Data &amp; Assumptions'!$D$48*'Registry Upgrade, Khashaa Reg.'!AJ24</f>
        <v>657.77863170375213</v>
      </c>
      <c r="AM32" s="204"/>
      <c r="AR32" s="68">
        <f>'Data &amp; Assumptions'!$D$48*'Registry Upgrade, Khashaa Reg.'!AQ24</f>
        <v>4633.7651598676948</v>
      </c>
      <c r="AS32" s="209">
        <f>'Data &amp; Assumptions'!$D$48*'Registry Upgrade, Khashaa Reg.'!AR24</f>
        <v>4202.8249999999998</v>
      </c>
      <c r="AT32" s="68">
        <f>'Data &amp; Assumptions'!$D$48*'Registry Upgrade, Khashaa Reg.'!AS24</f>
        <v>2858.9717062499994</v>
      </c>
      <c r="AU32" s="68">
        <f>'Data &amp; Assumptions'!$D$48*'Registry Upgrade, Khashaa Reg.'!AT24</f>
        <v>2593.0873375687493</v>
      </c>
      <c r="AV32" s="209">
        <f>'Data &amp; Assumptions'!$D$48*'Registry Upgrade, Khashaa Reg.'!AU24</f>
        <v>2351.9302151748552</v>
      </c>
      <c r="AW32" s="68">
        <f>'Data &amp; Assumptions'!$D$48*'Registry Upgrade, Khashaa Reg.'!AV24</f>
        <v>2133.2007051635937</v>
      </c>
      <c r="AX32" s="68">
        <f>'Data &amp; Assumptions'!$D$48*'Registry Upgrade, Khashaa Reg.'!AW24</f>
        <v>1934.8130395833796</v>
      </c>
      <c r="AY32" s="68">
        <f>'Data &amp; Assumptions'!$D$48*'Registry Upgrade, Khashaa Reg.'!AX24</f>
        <v>1754.8754269021254</v>
      </c>
      <c r="AZ32" s="68">
        <f>'Data &amp; Assumptions'!$D$48*'Registry Upgrade, Khashaa Reg.'!AY24</f>
        <v>1591.6720122002273</v>
      </c>
      <c r="BA32" s="68">
        <f>'Data &amp; Assumptions'!$D$48*'Registry Upgrade, Khashaa Reg.'!AZ24</f>
        <v>1443.6465150656068</v>
      </c>
      <c r="BB32" s="68">
        <f>'Data &amp; Assumptions'!$D$48*'Registry Upgrade, Khashaa Reg.'!BA24</f>
        <v>1309.3873891645051</v>
      </c>
      <c r="BC32" s="68">
        <f>'Data &amp; Assumptions'!$D$48*'Registry Upgrade, Khashaa Reg.'!BB24</f>
        <v>1187.6143619722061</v>
      </c>
      <c r="BD32" s="68">
        <f>'Data &amp; Assumptions'!$D$48*'Registry Upgrade, Khashaa Reg.'!BC24</f>
        <v>1077.1662263087912</v>
      </c>
      <c r="BE32" s="68">
        <f>'Data &amp; Assumptions'!$D$48*'Registry Upgrade, Khashaa Reg.'!BD24</f>
        <v>976.98976726207411</v>
      </c>
      <c r="BF32" s="68">
        <f>'Data &amp; Assumptions'!$D$48*'Registry Upgrade, Khashaa Reg.'!BE24</f>
        <v>886.12971890670133</v>
      </c>
      <c r="BG32" s="68">
        <f>'Data &amp; Assumptions'!$D$48*'Registry Upgrade, Khashaa Reg.'!BF24</f>
        <v>803.71965504837817</v>
      </c>
      <c r="BH32" s="68">
        <f>'Data &amp; Assumptions'!$D$48*'Registry Upgrade, Khashaa Reg.'!BG24</f>
        <v>728.97372712887875</v>
      </c>
      <c r="BI32" s="68">
        <f>'Data &amp; Assumptions'!$D$48*'Registry Upgrade, Khashaa Reg.'!BH24</f>
        <v>661.17917050589278</v>
      </c>
      <c r="BJ32" s="68">
        <f>'Data &amp; Assumptions'!$D$48*'Registry Upgrade, Khashaa Reg.'!BI24</f>
        <v>599.68950764884517</v>
      </c>
      <c r="BK32" s="68">
        <f>'Data &amp; Assumptions'!$D$48*'Registry Upgrade, Khashaa Reg.'!BJ24</f>
        <v>543.91838343750214</v>
      </c>
      <c r="BL32" s="68">
        <f>'Data &amp; Assumptions'!$D$48*'Registry Upgrade, Khashaa Reg.'!BK24</f>
        <v>493.33397377781404</v>
      </c>
      <c r="BN32" s="204"/>
      <c r="BU32" s="209"/>
    </row>
    <row r="33" spans="3:66" x14ac:dyDescent="0.2">
      <c r="D33" t="s">
        <v>52</v>
      </c>
      <c r="L33" s="64" t="s">
        <v>209</v>
      </c>
      <c r="M33" s="64"/>
      <c r="P33" s="63">
        <f>'Data &amp; Assumptions'!D64</f>
        <v>100</v>
      </c>
    </row>
    <row r="34" spans="3:66" x14ac:dyDescent="0.2">
      <c r="D34" t="s">
        <v>54</v>
      </c>
      <c r="L34" s="64" t="s">
        <v>145</v>
      </c>
      <c r="M34" s="64"/>
      <c r="P34">
        <v>1.5</v>
      </c>
      <c r="Q34" s="508" t="s">
        <v>552</v>
      </c>
      <c r="R34" s="507" t="s">
        <v>553</v>
      </c>
    </row>
    <row r="35" spans="3:66" x14ac:dyDescent="0.2">
      <c r="D35" t="s">
        <v>53</v>
      </c>
      <c r="L35" s="64" t="s">
        <v>145</v>
      </c>
      <c r="M35" s="64"/>
      <c r="P35">
        <v>5</v>
      </c>
    </row>
    <row r="37" spans="3:66" s="146" customFormat="1" x14ac:dyDescent="0.2">
      <c r="C37" s="146" t="s">
        <v>438</v>
      </c>
      <c r="P37" s="147"/>
      <c r="Q37" s="147"/>
      <c r="R37" s="147"/>
      <c r="S37" s="147"/>
      <c r="T37" s="147"/>
      <c r="U37" s="147"/>
    </row>
    <row r="38" spans="3:66" ht="12.75" customHeight="1" x14ac:dyDescent="0.2">
      <c r="D38" s="67" t="s">
        <v>224</v>
      </c>
      <c r="E38" s="67"/>
      <c r="L38" s="64" t="s">
        <v>175</v>
      </c>
      <c r="O38" s="63">
        <f>'Data tables'!AR114+500</f>
        <v>2520.0419999999999</v>
      </c>
      <c r="P38" s="63">
        <f>O38*(1+'Data &amp; Assumptions'!$D$81)</f>
        <v>2583.0430499999998</v>
      </c>
      <c r="Q38" s="63">
        <f>P38*(1+'Data &amp; Assumptions'!$D$81)</f>
        <v>2647.6191262499997</v>
      </c>
      <c r="R38" s="63">
        <f>Q38*(1+'Data &amp; Assumptions'!$D$81)</f>
        <v>2713.8096044062495</v>
      </c>
      <c r="S38" s="63">
        <f>R38*(1+'Data &amp; Assumptions'!$D$81)</f>
        <v>2781.6548445164053</v>
      </c>
      <c r="T38" s="63">
        <f>S38*(1+'Data &amp; Assumptions'!$D$81)</f>
        <v>2851.1962156293152</v>
      </c>
      <c r="U38" s="63">
        <f>T38*(1+'Data &amp; Assumptions'!$D$81)</f>
        <v>2922.4761210200477</v>
      </c>
      <c r="V38" s="63">
        <f>U38*(1+'Data &amp; Assumptions'!$D$81)</f>
        <v>2995.5380240455488</v>
      </c>
      <c r="W38" s="63">
        <f>V38*(1+'Data &amp; Assumptions'!$D$81)</f>
        <v>3070.4264746466874</v>
      </c>
      <c r="X38" s="63">
        <f>W38*(1+'Data &amp; Assumptions'!$D$81)</f>
        <v>3147.1871365128545</v>
      </c>
      <c r="Y38" s="63">
        <f>X38*(1+'Data &amp; Assumptions'!$D$81)</f>
        <v>3225.8668149256755</v>
      </c>
      <c r="Z38" s="63">
        <f>Y38*(1+'Data &amp; Assumptions'!$D$81)</f>
        <v>3306.5134852988172</v>
      </c>
      <c r="AA38" s="63">
        <f>Z38*(1+'Data &amp; Assumptions'!$D$81)</f>
        <v>3389.1763224312872</v>
      </c>
      <c r="AB38" s="63">
        <f>AA38*(1+'Data &amp; Assumptions'!$D$81)</f>
        <v>3473.9057304920689</v>
      </c>
      <c r="AC38" s="63">
        <f>AB38*(1+'Data &amp; Assumptions'!$D$81)</f>
        <v>3560.7533737543704</v>
      </c>
      <c r="AD38" s="63">
        <f>AC38*(1+'Data &amp; Assumptions'!$D$81)</f>
        <v>3649.7722080982294</v>
      </c>
      <c r="AE38" s="63">
        <f>AD38*(1+'Data &amp; Assumptions'!$D$81)</f>
        <v>3741.0165133006849</v>
      </c>
      <c r="AF38" s="63">
        <f>AE38*(1+'Data &amp; Assumptions'!$D$81)</f>
        <v>3834.5419261332017</v>
      </c>
      <c r="AG38" s="63">
        <f>AF38*(1+'Data &amp; Assumptions'!$D$81)</f>
        <v>3930.4054742865314</v>
      </c>
      <c r="AH38" s="63">
        <f>AG38*(1+'Data &amp; Assumptions'!$D$81)</f>
        <v>4028.6656111436946</v>
      </c>
      <c r="AI38" s="63">
        <f>AH38*(1+'Data &amp; Assumptions'!$D$81)</f>
        <v>4129.3822514222866</v>
      </c>
      <c r="AJ38" s="63">
        <f>AI38*(1+'Data &amp; Assumptions'!$D$81)</f>
        <v>4232.6168077078437</v>
      </c>
      <c r="AK38" s="63">
        <f>AJ38*(1+'Data &amp; Assumptions'!$D$81)</f>
        <v>4338.4322279005391</v>
      </c>
      <c r="AP38" s="63">
        <f>O38</f>
        <v>2520.0419999999999</v>
      </c>
      <c r="AQ38" s="63">
        <f t="shared" ref="AQ38:AS46" si="11">P38</f>
        <v>2583.0430499999998</v>
      </c>
      <c r="AR38" s="63">
        <f t="shared" si="11"/>
        <v>2647.6191262499997</v>
      </c>
      <c r="AS38" s="63">
        <f>R38</f>
        <v>2713.8096044062495</v>
      </c>
      <c r="AT38" s="147">
        <f>AS38*(1+'Data &amp; Assumptions'!$D$81*'Data &amp; Assumptions'!$D$82)</f>
        <v>2778.2625825108976</v>
      </c>
      <c r="AU38" s="147">
        <f>AT38*(1+'Data &amp; Assumptions'!$D$81*'Data &amp; Assumptions'!$D$82)</f>
        <v>2844.2463188455313</v>
      </c>
      <c r="AV38" s="147">
        <f>AU38*(1+'Data &amp; Assumptions'!$D$81*'Data &amp; Assumptions'!$D$82)</f>
        <v>2911.7971689181127</v>
      </c>
      <c r="AW38" s="147">
        <f>AV38*(1+'Data &amp; Assumptions'!$D$81*'Data &amp; Assumptions'!$D$82)</f>
        <v>2980.9523516799177</v>
      </c>
      <c r="AX38" s="147">
        <f>AW38*(1+'Data &amp; Assumptions'!$D$81*'Data &amp; Assumptions'!$D$82)</f>
        <v>3051.7499700323156</v>
      </c>
      <c r="AY38" s="147">
        <f>AX38*(1+'Data &amp; Assumptions'!$D$81*'Data &amp; Assumptions'!$D$82)</f>
        <v>3124.2290318205828</v>
      </c>
      <c r="AZ38" s="147">
        <f>AY38*(1+'Data &amp; Assumptions'!$D$81*'Data &amp; Assumptions'!$D$82)</f>
        <v>3198.4294713263216</v>
      </c>
      <c r="BA38" s="147">
        <f>AZ38*(1+'Data &amp; Assumptions'!$D$81*'Data &amp; Assumptions'!$D$82)</f>
        <v>3274.3921712703213</v>
      </c>
      <c r="BB38" s="147">
        <f>BA38*(1+'Data &amp; Assumptions'!$D$81*'Data &amp; Assumptions'!$D$82)</f>
        <v>3352.1589853379915</v>
      </c>
      <c r="BC38" s="147">
        <f>BB38*(1+'Data &amp; Assumptions'!$D$81*'Data &amp; Assumptions'!$D$82)</f>
        <v>3431.7727612397684</v>
      </c>
      <c r="BD38" s="147">
        <f>BC38*(1+'Data &amp; Assumptions'!$D$81*'Data &amp; Assumptions'!$D$82)</f>
        <v>3513.2773643192127</v>
      </c>
      <c r="BE38" s="147">
        <f>BD38*(1+'Data &amp; Assumptions'!$D$81*'Data &amp; Assumptions'!$D$82)</f>
        <v>3596.7177017217937</v>
      </c>
      <c r="BF38" s="147">
        <f>BE38*(1+'Data &amp; Assumptions'!$D$81*'Data &amp; Assumptions'!$D$82)</f>
        <v>3682.1397471376858</v>
      </c>
      <c r="BG38" s="147">
        <f>BF38*(1+'Data &amp; Assumptions'!$D$81*'Data &amp; Assumptions'!$D$82)</f>
        <v>3769.5905661322058</v>
      </c>
      <c r="BH38" s="147">
        <f>BG38*(1+'Data &amp; Assumptions'!$D$81*'Data &amp; Assumptions'!$D$82)</f>
        <v>3859.1183420778457</v>
      </c>
      <c r="BI38" s="147">
        <f>BH38*(1+'Data &amp; Assumptions'!$D$81*'Data &amp; Assumptions'!$D$82)</f>
        <v>3950.7724027021941</v>
      </c>
      <c r="BJ38" s="147">
        <f>BI38*(1+'Data &amp; Assumptions'!$D$81*'Data &amp; Assumptions'!$D$82)</f>
        <v>4044.603247266371</v>
      </c>
      <c r="BK38" s="147">
        <f>BJ38*(1+'Data &amp; Assumptions'!$D$81*'Data &amp; Assumptions'!$D$82)</f>
        <v>4140.6625743889472</v>
      </c>
      <c r="BL38" s="147">
        <f>BK38*(1+'Data &amp; Assumptions'!$D$81*'Data &amp; Assumptions'!$D$82)</f>
        <v>4239.0033105306848</v>
      </c>
    </row>
    <row r="39" spans="3:66" s="146" customFormat="1" ht="12.75" customHeight="1" x14ac:dyDescent="0.2">
      <c r="D39" s="231" t="s">
        <v>64</v>
      </c>
      <c r="E39" s="231"/>
      <c r="L39" s="187" t="s">
        <v>175</v>
      </c>
      <c r="O39" s="147">
        <f>'Data tables'!AB78*'Data &amp; Assumptions'!$D$15</f>
        <v>1383.5939289805269</v>
      </c>
      <c r="P39" s="147">
        <f>O39*(1+'Data &amp; Assumptions'!$D$85)</f>
        <v>1404.3478379152348</v>
      </c>
      <c r="Q39" s="147">
        <f>P39*(1+'Data &amp; Assumptions'!$D$85)</f>
        <v>1425.4130554839633</v>
      </c>
      <c r="R39" s="147">
        <f>Q39*(1+'Data &amp; Assumptions'!$D$85)</f>
        <v>1446.7942513162225</v>
      </c>
      <c r="S39" s="147">
        <f>R39*(1+'Data &amp; Assumptions'!$D$85)</f>
        <v>1468.4961650859657</v>
      </c>
      <c r="T39" s="147">
        <f>S39*(1+'Data &amp; Assumptions'!$D$85)</f>
        <v>1490.5236075622549</v>
      </c>
      <c r="U39" s="147">
        <f>T39*(1+'Data &amp; Assumptions'!$D$85)</f>
        <v>1512.8814616756886</v>
      </c>
      <c r="V39" s="147">
        <f>U39*(1+'Data &amp; Assumptions'!$D$85)</f>
        <v>1535.5746836008238</v>
      </c>
      <c r="W39" s="147">
        <f>V39*(1+'Data &amp; Assumptions'!$D$85)</f>
        <v>1558.6083038548361</v>
      </c>
      <c r="X39" s="147">
        <f>W39*(1+'Data &amp; Assumptions'!$D$85)</f>
        <v>1581.9874284126586</v>
      </c>
      <c r="Y39" s="147">
        <f>X39*(1+'Data &amp; Assumptions'!$D$85)</f>
        <v>1605.7172398388484</v>
      </c>
      <c r="Z39" s="147">
        <f>Y39*(1+'Data &amp; Assumptions'!$D$85)</f>
        <v>1629.8029984364309</v>
      </c>
      <c r="AA39" s="147">
        <f>Z39*(1+'Data &amp; Assumptions'!$D$85)</f>
        <v>1654.2500434129772</v>
      </c>
      <c r="AB39" s="147">
        <f>AA39*(1+'Data &amp; Assumptions'!$D$85)</f>
        <v>1679.0637940641718</v>
      </c>
      <c r="AC39" s="147">
        <f>AB39*(1+'Data &amp; Assumptions'!$D$85)</f>
        <v>1704.2497509751342</v>
      </c>
      <c r="AD39" s="147">
        <f>AC39*(1+'Data &amp; Assumptions'!$D$85)</f>
        <v>1729.8134972397611</v>
      </c>
      <c r="AE39" s="147">
        <f>AD39*(1+'Data &amp; Assumptions'!$D$85)</f>
        <v>1755.7606996983573</v>
      </c>
      <c r="AF39" s="147">
        <f>AE39*(1+'Data &amp; Assumptions'!$D$85)</f>
        <v>1782.0971101938323</v>
      </c>
      <c r="AG39" s="147">
        <f>AF39*(1+'Data &amp; Assumptions'!$D$85)</f>
        <v>1808.8285668467397</v>
      </c>
      <c r="AH39" s="147">
        <f>AG39*(1+'Data &amp; Assumptions'!$D$85)</f>
        <v>1835.9609953494407</v>
      </c>
      <c r="AI39" s="147">
        <f>AH39*(1+'Data &amp; Assumptions'!$D$85)</f>
        <v>1863.5004102796822</v>
      </c>
      <c r="AJ39" s="147">
        <f>AI39*(1+'Data &amp; Assumptions'!$D$85)</f>
        <v>1891.4529164338774</v>
      </c>
      <c r="AK39" s="147">
        <f>AJ39*(1+'Data &amp; Assumptions'!$D$85)</f>
        <v>1919.8247101803854</v>
      </c>
      <c r="AM39" s="203"/>
      <c r="AP39" s="147">
        <f t="shared" ref="AP39:AP46" si="12">O39</f>
        <v>1383.5939289805269</v>
      </c>
      <c r="AQ39" s="147">
        <f t="shared" si="11"/>
        <v>1404.3478379152348</v>
      </c>
      <c r="AR39" s="147">
        <f t="shared" si="11"/>
        <v>1425.4130554839633</v>
      </c>
      <c r="AS39" s="147">
        <f t="shared" si="11"/>
        <v>1446.7942513162225</v>
      </c>
      <c r="AT39" s="147">
        <f>AS39*(1+'Data &amp; Assumptions'!$D$85*'Data &amp; Assumptions'!$D$86)</f>
        <v>1467.4110693974787</v>
      </c>
      <c r="AU39" s="147">
        <f>AT39*(1+'Data &amp; Assumptions'!$D$85*'Data &amp; Assumptions'!$D$86)</f>
        <v>1488.321677136393</v>
      </c>
      <c r="AV39" s="147">
        <f>AU39*(1+'Data &amp; Assumptions'!$D$85*'Data &amp; Assumptions'!$D$86)</f>
        <v>1509.5302610355868</v>
      </c>
      <c r="AW39" s="147">
        <f>AV39*(1+'Data &amp; Assumptions'!$D$85*'Data &amp; Assumptions'!$D$86)</f>
        <v>1531.0410672553442</v>
      </c>
      <c r="AX39" s="147">
        <f>AW39*(1+'Data &amp; Assumptions'!$D$85*'Data &amp; Assumptions'!$D$86)</f>
        <v>1552.858402463733</v>
      </c>
      <c r="AY39" s="147">
        <f>AX39*(1+'Data &amp; Assumptions'!$D$85*'Data &amp; Assumptions'!$D$86)</f>
        <v>1574.9866346988413</v>
      </c>
      <c r="AZ39" s="147">
        <f>AY39*(1+'Data &amp; Assumptions'!$D$85*'Data &amp; Assumptions'!$D$86)</f>
        <v>1597.4301942432999</v>
      </c>
      <c r="BA39" s="147">
        <f>AZ39*(1+'Data &amp; Assumptions'!$D$85*'Data &amp; Assumptions'!$D$86)</f>
        <v>1620.1935745112671</v>
      </c>
      <c r="BB39" s="147">
        <f>BA39*(1+'Data &amp; Assumptions'!$D$85*'Data &amp; Assumptions'!$D$86)</f>
        <v>1643.2813329480527</v>
      </c>
      <c r="BC39" s="147">
        <f>BB39*(1+'Data &amp; Assumptions'!$D$85*'Data &amp; Assumptions'!$D$86)</f>
        <v>1666.6980919425628</v>
      </c>
      <c r="BD39" s="147">
        <f>BC39*(1+'Data &amp; Assumptions'!$D$85*'Data &amp; Assumptions'!$D$86)</f>
        <v>1690.4485397527444</v>
      </c>
      <c r="BE39" s="147">
        <f>BD39*(1+'Data &amp; Assumptions'!$D$85*'Data &amp; Assumptions'!$D$86)</f>
        <v>1714.5374314442213</v>
      </c>
      <c r="BF39" s="147">
        <f>BE39*(1+'Data &amp; Assumptions'!$D$85*'Data &amp; Assumptions'!$D$86)</f>
        <v>1738.9695898423015</v>
      </c>
      <c r="BG39" s="147">
        <f>BF39*(1+'Data &amp; Assumptions'!$D$85*'Data &amp; Assumptions'!$D$86)</f>
        <v>1763.7499064975545</v>
      </c>
      <c r="BH39" s="147">
        <f>BG39*(1+'Data &amp; Assumptions'!$D$85*'Data &amp; Assumptions'!$D$86)</f>
        <v>1788.8833426651449</v>
      </c>
      <c r="BI39" s="147">
        <f>BH39*(1+'Data &amp; Assumptions'!$D$85*'Data &amp; Assumptions'!$D$86)</f>
        <v>1814.3749302981234</v>
      </c>
      <c r="BJ39" s="147">
        <f>BI39*(1+'Data &amp; Assumptions'!$D$85*'Data &amp; Assumptions'!$D$86)</f>
        <v>1840.2297730548719</v>
      </c>
      <c r="BK39" s="147">
        <f>BJ39*(1+'Data &amp; Assumptions'!$D$85*'Data &amp; Assumptions'!$D$86)</f>
        <v>1866.453047320904</v>
      </c>
      <c r="BL39" s="147">
        <f>BK39*(1+'Data &amp; Assumptions'!$D$85*'Data &amp; Assumptions'!$D$86)</f>
        <v>1893.0500032452271</v>
      </c>
      <c r="BN39" s="203"/>
    </row>
    <row r="40" spans="3:66" ht="12.75" customHeight="1" x14ac:dyDescent="0.2">
      <c r="D40" s="67" t="s">
        <v>63</v>
      </c>
      <c r="E40" s="67"/>
      <c r="L40" s="64" t="s">
        <v>175</v>
      </c>
      <c r="O40" s="147">
        <f>'Data tables'!AB77*'Data &amp; Assumptions'!$D$15</f>
        <v>1877.9639175257735</v>
      </c>
      <c r="P40" s="63">
        <f>O40*(1+'Data &amp; Assumptions'!$D$85)</f>
        <v>1906.13337628866</v>
      </c>
      <c r="Q40" s="63">
        <f>P40*(1+'Data &amp; Assumptions'!$D$85)</f>
        <v>1934.7253769329898</v>
      </c>
      <c r="R40" s="63">
        <f>Q40*(1+'Data &amp; Assumptions'!$D$85)</f>
        <v>1963.7462575869845</v>
      </c>
      <c r="S40" s="63">
        <f>R40*(1+'Data &amp; Assumptions'!$D$85)</f>
        <v>1993.2024514507891</v>
      </c>
      <c r="T40" s="63">
        <f>S40*(1+'Data &amp; Assumptions'!$D$85)</f>
        <v>2023.1004882225507</v>
      </c>
      <c r="U40" s="63">
        <f>T40*(1+'Data &amp; Assumptions'!$D$85)</f>
        <v>2053.4469955458885</v>
      </c>
      <c r="V40" s="63">
        <f>U40*(1+'Data &amp; Assumptions'!$D$85)</f>
        <v>2084.2487004790764</v>
      </c>
      <c r="W40" s="63">
        <f>V40*(1+'Data &amp; Assumptions'!$D$85)</f>
        <v>2115.5124309862622</v>
      </c>
      <c r="X40" s="63">
        <f>W40*(1+'Data &amp; Assumptions'!$D$85)</f>
        <v>2147.2451174510561</v>
      </c>
      <c r="Y40" s="63">
        <f>X40*(1+'Data &amp; Assumptions'!$D$85)</f>
        <v>2179.4537942128218</v>
      </c>
      <c r="Z40" s="63">
        <f>Y40*(1+'Data &amp; Assumptions'!$D$85)</f>
        <v>2212.1456011260138</v>
      </c>
      <c r="AA40" s="63">
        <f>Z40*(1+'Data &amp; Assumptions'!$D$85)</f>
        <v>2245.3277851429038</v>
      </c>
      <c r="AB40" s="63">
        <f>AA40*(1+'Data &amp; Assumptions'!$D$85)</f>
        <v>2279.0077019200471</v>
      </c>
      <c r="AC40" s="63">
        <f>AB40*(1+'Data &amp; Assumptions'!$D$85)</f>
        <v>2313.1928174488476</v>
      </c>
      <c r="AD40" s="63">
        <f>AC40*(1+'Data &amp; Assumptions'!$D$85)</f>
        <v>2347.8907097105803</v>
      </c>
      <c r="AE40" s="63">
        <f>AD40*(1+'Data &amp; Assumptions'!$D$85)</f>
        <v>2383.1090703562386</v>
      </c>
      <c r="AF40" s="63">
        <f>AE40*(1+'Data &amp; Assumptions'!$D$85)</f>
        <v>2418.8557064115821</v>
      </c>
      <c r="AG40" s="63">
        <f>AF40*(1+'Data &amp; Assumptions'!$D$85)</f>
        <v>2455.1385420077554</v>
      </c>
      <c r="AH40" s="63">
        <f>AG40*(1+'Data &amp; Assumptions'!$D$85)</f>
        <v>2491.9656201378716</v>
      </c>
      <c r="AI40" s="63">
        <f>AH40*(1+'Data &amp; Assumptions'!$D$85)</f>
        <v>2529.3451044399394</v>
      </c>
      <c r="AJ40" s="63">
        <f>AI40*(1+'Data &amp; Assumptions'!$D$85)</f>
        <v>2567.2852810065383</v>
      </c>
      <c r="AK40" s="63">
        <f>AJ40*(1+'Data &amp; Assumptions'!$D$85)</f>
        <v>2605.7945602216359</v>
      </c>
      <c r="AP40" s="63">
        <f t="shared" si="12"/>
        <v>1877.9639175257735</v>
      </c>
      <c r="AQ40" s="63">
        <f t="shared" si="11"/>
        <v>1906.13337628866</v>
      </c>
      <c r="AR40" s="63">
        <f t="shared" si="11"/>
        <v>1934.7253769329898</v>
      </c>
      <c r="AS40" s="63">
        <f t="shared" si="11"/>
        <v>1963.7462575869845</v>
      </c>
      <c r="AT40" s="147">
        <f>AS40*(1+'Data &amp; Assumptions'!$D$85*'Data &amp; Assumptions'!$D$86)</f>
        <v>1991.7296417575992</v>
      </c>
      <c r="AU40" s="147">
        <f>AT40*(1+'Data &amp; Assumptions'!$D$85*'Data &amp; Assumptions'!$D$86)</f>
        <v>2020.1117891526451</v>
      </c>
      <c r="AV40" s="147">
        <f>AU40*(1+'Data &amp; Assumptions'!$D$85*'Data &amp; Assumptions'!$D$86)</f>
        <v>2048.8983821480706</v>
      </c>
      <c r="AW40" s="147">
        <f>AV40*(1+'Data &amp; Assumptions'!$D$85*'Data &amp; Assumptions'!$D$86)</f>
        <v>2078.0951840936809</v>
      </c>
      <c r="AX40" s="147">
        <f>AW40*(1+'Data &amp; Assumptions'!$D$85*'Data &amp; Assumptions'!$D$86)</f>
        <v>2107.708040467016</v>
      </c>
      <c r="AY40" s="147">
        <f>AX40*(1+'Data &amp; Assumptions'!$D$85*'Data &amp; Assumptions'!$D$86)</f>
        <v>2137.742880043671</v>
      </c>
      <c r="AZ40" s="147">
        <f>AY40*(1+'Data &amp; Assumptions'!$D$85*'Data &amp; Assumptions'!$D$86)</f>
        <v>2168.2057160842937</v>
      </c>
      <c r="BA40" s="147">
        <f>AZ40*(1+'Data &amp; Assumptions'!$D$85*'Data &amp; Assumptions'!$D$86)</f>
        <v>2199.1026475384951</v>
      </c>
      <c r="BB40" s="147">
        <f>BA40*(1+'Data &amp; Assumptions'!$D$85*'Data &amp; Assumptions'!$D$86)</f>
        <v>2230.4398602659189</v>
      </c>
      <c r="BC40" s="147">
        <f>BB40*(1+'Data &amp; Assumptions'!$D$85*'Data &amp; Assumptions'!$D$86)</f>
        <v>2262.2236282747085</v>
      </c>
      <c r="BD40" s="147">
        <f>BC40*(1+'Data &amp; Assumptions'!$D$85*'Data &amp; Assumptions'!$D$86)</f>
        <v>2294.4603149776235</v>
      </c>
      <c r="BE40" s="147">
        <f>BD40*(1+'Data &amp; Assumptions'!$D$85*'Data &amp; Assumptions'!$D$86)</f>
        <v>2327.1563744660548</v>
      </c>
      <c r="BF40" s="147">
        <f>BE40*(1+'Data &amp; Assumptions'!$D$85*'Data &amp; Assumptions'!$D$86)</f>
        <v>2360.3183528021964</v>
      </c>
      <c r="BG40" s="147">
        <f>BF40*(1+'Data &amp; Assumptions'!$D$85*'Data &amp; Assumptions'!$D$86)</f>
        <v>2393.9528893296279</v>
      </c>
      <c r="BH40" s="147">
        <f>BG40*(1+'Data &amp; Assumptions'!$D$85*'Data &amp; Assumptions'!$D$86)</f>
        <v>2428.0667180025753</v>
      </c>
      <c r="BI40" s="147">
        <f>BH40*(1+'Data &amp; Assumptions'!$D$85*'Data &amp; Assumptions'!$D$86)</f>
        <v>2462.6666687341121</v>
      </c>
      <c r="BJ40" s="147">
        <f>BI40*(1+'Data &amp; Assumptions'!$D$85*'Data &amp; Assumptions'!$D$86)</f>
        <v>2497.7596687635732</v>
      </c>
      <c r="BK40" s="147">
        <f>BJ40*(1+'Data &amp; Assumptions'!$D$85*'Data &amp; Assumptions'!$D$86)</f>
        <v>2533.3527440434545</v>
      </c>
      <c r="BL40" s="147">
        <f>BK40*(1+'Data &amp; Assumptions'!$D$85*'Data &amp; Assumptions'!$D$86)</f>
        <v>2569.453020646074</v>
      </c>
    </row>
    <row r="41" spans="3:66" ht="12.75" customHeight="1" x14ac:dyDescent="0.2">
      <c r="D41" s="67" t="s">
        <v>76</v>
      </c>
      <c r="E41" s="67"/>
      <c r="L41" s="64" t="s">
        <v>175</v>
      </c>
      <c r="O41" s="147">
        <f>'Data tables'!AB83*'Data &amp; Assumptions'!$D$15</f>
        <v>1460.6386025200457</v>
      </c>
      <c r="P41" s="63">
        <f>O41*(1+'Data &amp; Assumptions'!$D$85)</f>
        <v>1482.5481815578462</v>
      </c>
      <c r="Q41" s="63">
        <f>P41*(1+'Data &amp; Assumptions'!$D$85)</f>
        <v>1504.7864042812137</v>
      </c>
      <c r="R41" s="63">
        <f>Q41*(1+'Data &amp; Assumptions'!$D$85)</f>
        <v>1527.3582003454317</v>
      </c>
      <c r="S41" s="63">
        <f>R41*(1+'Data &amp; Assumptions'!$D$85)</f>
        <v>1550.268573350613</v>
      </c>
      <c r="T41" s="63">
        <f>S41*(1+'Data &amp; Assumptions'!$D$85)</f>
        <v>1573.5226019508721</v>
      </c>
      <c r="U41" s="63">
        <f>T41*(1+'Data &amp; Assumptions'!$D$85)</f>
        <v>1597.125440980135</v>
      </c>
      <c r="V41" s="63">
        <f>U41*(1+'Data &amp; Assumptions'!$D$85)</f>
        <v>1621.0823225948368</v>
      </c>
      <c r="W41" s="63">
        <f>V41*(1+'Data &amp; Assumptions'!$D$85)</f>
        <v>1645.3985574337592</v>
      </c>
      <c r="X41" s="63">
        <f>W41*(1+'Data &amp; Assumptions'!$D$85)</f>
        <v>1670.0795357952654</v>
      </c>
      <c r="Y41" s="63">
        <f>X41*(1+'Data &amp; Assumptions'!$D$85)</f>
        <v>1695.1307288321943</v>
      </c>
      <c r="Z41" s="63">
        <f>Y41*(1+'Data &amp; Assumptions'!$D$85)</f>
        <v>1720.557689764677</v>
      </c>
      <c r="AA41" s="63">
        <f>Z41*(1+'Data &amp; Assumptions'!$D$85)</f>
        <v>1746.366055111147</v>
      </c>
      <c r="AB41" s="63">
        <f>AA41*(1+'Data &amp; Assumptions'!$D$85)</f>
        <v>1772.5615459378141</v>
      </c>
      <c r="AC41" s="63">
        <f>AB41*(1+'Data &amp; Assumptions'!$D$85)</f>
        <v>1799.1499691268812</v>
      </c>
      <c r="AD41" s="63">
        <f>AC41*(1+'Data &amp; Assumptions'!$D$85)</f>
        <v>1826.1372186637841</v>
      </c>
      <c r="AE41" s="63">
        <f>AD41*(1+'Data &amp; Assumptions'!$D$85)</f>
        <v>1853.5292769437406</v>
      </c>
      <c r="AF41" s="63">
        <f>AE41*(1+'Data &amp; Assumptions'!$D$85)</f>
        <v>1881.3322160978964</v>
      </c>
      <c r="AG41" s="63">
        <f>AF41*(1+'Data &amp; Assumptions'!$D$85)</f>
        <v>1909.5521993393647</v>
      </c>
      <c r="AH41" s="63">
        <f>AG41*(1+'Data &amp; Assumptions'!$D$85)</f>
        <v>1938.195482329455</v>
      </c>
      <c r="AI41" s="63">
        <f>AH41*(1+'Data &amp; Assumptions'!$D$85)</f>
        <v>1967.2684145643966</v>
      </c>
      <c r="AJ41" s="63">
        <f>AI41*(1+'Data &amp; Assumptions'!$D$85)</f>
        <v>1996.7774407828624</v>
      </c>
      <c r="AK41" s="63">
        <f>AJ41*(1+'Data &amp; Assumptions'!$D$85)</f>
        <v>2026.7291023946052</v>
      </c>
      <c r="AP41" s="63">
        <f t="shared" si="12"/>
        <v>1460.6386025200457</v>
      </c>
      <c r="AQ41" s="63">
        <f t="shared" si="11"/>
        <v>1482.5481815578462</v>
      </c>
      <c r="AR41" s="63">
        <f t="shared" si="11"/>
        <v>1504.7864042812137</v>
      </c>
      <c r="AS41" s="63">
        <f t="shared" si="11"/>
        <v>1527.3582003454317</v>
      </c>
      <c r="AT41" s="147">
        <f>AS41*(1+'Data &amp; Assumptions'!$D$85*'Data &amp; Assumptions'!$D$86)</f>
        <v>1549.1230547003543</v>
      </c>
      <c r="AU41" s="147">
        <f>AT41*(1+'Data &amp; Assumptions'!$D$85*'Data &amp; Assumptions'!$D$86)</f>
        <v>1571.1980582298345</v>
      </c>
      <c r="AV41" s="147">
        <f>AU41*(1+'Data &amp; Assumptions'!$D$85*'Data &amp; Assumptions'!$D$86)</f>
        <v>1593.5876305596098</v>
      </c>
      <c r="AW41" s="147">
        <f>AV41*(1+'Data &amp; Assumptions'!$D$85*'Data &amp; Assumptions'!$D$86)</f>
        <v>1616.2962542950845</v>
      </c>
      <c r="AX41" s="147">
        <f>AW41*(1+'Data &amp; Assumptions'!$D$85*'Data &amp; Assumptions'!$D$86)</f>
        <v>1639.3284759187895</v>
      </c>
      <c r="AY41" s="147">
        <f>AX41*(1+'Data &amp; Assumptions'!$D$85*'Data &amp; Assumptions'!$D$86)</f>
        <v>1662.6889067006325</v>
      </c>
      <c r="AZ41" s="147">
        <f>AY41*(1+'Data &amp; Assumptions'!$D$85*'Data &amp; Assumptions'!$D$86)</f>
        <v>1686.3822236211167</v>
      </c>
      <c r="BA41" s="147">
        <f>AZ41*(1+'Data &amp; Assumptions'!$D$85*'Data &amp; Assumptions'!$D$86)</f>
        <v>1710.4131703077178</v>
      </c>
      <c r="BB41" s="147">
        <f>BA41*(1+'Data &amp; Assumptions'!$D$85*'Data &amp; Assumptions'!$D$86)</f>
        <v>1734.786557984603</v>
      </c>
      <c r="BC41" s="147">
        <f>BB41*(1+'Data &amp; Assumptions'!$D$85*'Data &amp; Assumptions'!$D$86)</f>
        <v>1759.5072664358838</v>
      </c>
      <c r="BD41" s="147">
        <f>BC41*(1+'Data &amp; Assumptions'!$D$85*'Data &amp; Assumptions'!$D$86)</f>
        <v>1784.5802449825953</v>
      </c>
      <c r="BE41" s="147">
        <f>BD41*(1+'Data &amp; Assumptions'!$D$85*'Data &amp; Assumptions'!$D$86)</f>
        <v>1810.0105134735975</v>
      </c>
      <c r="BF41" s="147">
        <f>BE41*(1+'Data &amp; Assumptions'!$D$85*'Data &amp; Assumptions'!$D$86)</f>
        <v>1835.8031632905963</v>
      </c>
      <c r="BG41" s="147">
        <f>BF41*(1+'Data &amp; Assumptions'!$D$85*'Data &amp; Assumptions'!$D$86)</f>
        <v>1861.9633583674874</v>
      </c>
      <c r="BH41" s="147">
        <f>BG41*(1+'Data &amp; Assumptions'!$D$85*'Data &amp; Assumptions'!$D$86)</f>
        <v>1888.4963362242243</v>
      </c>
      <c r="BI41" s="147">
        <f>BH41*(1+'Data &amp; Assumptions'!$D$85*'Data &amp; Assumptions'!$D$86)</f>
        <v>1915.4074090154197</v>
      </c>
      <c r="BJ41" s="147">
        <f>BI41*(1+'Data &amp; Assumptions'!$D$85*'Data &amp; Assumptions'!$D$86)</f>
        <v>1942.7019645938897</v>
      </c>
      <c r="BK41" s="147">
        <f>BJ41*(1+'Data &amp; Assumptions'!$D$85*'Data &amp; Assumptions'!$D$86)</f>
        <v>1970.3854675893529</v>
      </c>
      <c r="BL41" s="147">
        <f>BK41*(1+'Data &amp; Assumptions'!$D$85*'Data &amp; Assumptions'!$D$86)</f>
        <v>1998.4634605025012</v>
      </c>
    </row>
    <row r="42" spans="3:66" ht="12.75" customHeight="1" x14ac:dyDescent="0.2">
      <c r="D42" s="67" t="s">
        <v>72</v>
      </c>
      <c r="E42" s="67"/>
      <c r="L42" s="64" t="s">
        <v>175</v>
      </c>
      <c r="O42" s="147">
        <f>'Data tables'!AB90*'Data &amp; Assumptions'!$D$15</f>
        <v>1107.5171821305842</v>
      </c>
      <c r="P42" s="63">
        <f>O42*(1+'Data &amp; Assumptions'!$D$85)</f>
        <v>1124.1299398625429</v>
      </c>
      <c r="Q42" s="63">
        <f>P42*(1+'Data &amp; Assumptions'!$D$85)</f>
        <v>1140.991888960481</v>
      </c>
      <c r="R42" s="63">
        <f>Q42*(1+'Data &amp; Assumptions'!$D$85)</f>
        <v>1158.1067672948882</v>
      </c>
      <c r="S42" s="63">
        <f>R42*(1+'Data &amp; Assumptions'!$D$85)</f>
        <v>1175.4783688043115</v>
      </c>
      <c r="T42" s="63">
        <f>S42*(1+'Data &amp; Assumptions'!$D$85)</f>
        <v>1193.1105443363761</v>
      </c>
      <c r="U42" s="63">
        <f>T42*(1+'Data &amp; Assumptions'!$D$85)</f>
        <v>1211.0072025014215</v>
      </c>
      <c r="V42" s="63">
        <f>U42*(1+'Data &amp; Assumptions'!$D$85)</f>
        <v>1229.1723105389426</v>
      </c>
      <c r="W42" s="63">
        <f>V42*(1+'Data &amp; Assumptions'!$D$85)</f>
        <v>1247.6098951970266</v>
      </c>
      <c r="X42" s="63">
        <f>W42*(1+'Data &amp; Assumptions'!$D$85)</f>
        <v>1266.3240436249819</v>
      </c>
      <c r="Y42" s="63">
        <f>X42*(1+'Data &amp; Assumptions'!$D$85)</f>
        <v>1285.3189042793565</v>
      </c>
      <c r="Z42" s="63">
        <f>Y42*(1+'Data &amp; Assumptions'!$D$85)</f>
        <v>1304.5986878435467</v>
      </c>
      <c r="AA42" s="63">
        <f>Z42*(1+'Data &amp; Assumptions'!$D$85)</f>
        <v>1324.1676681611998</v>
      </c>
      <c r="AB42" s="63">
        <f>AA42*(1+'Data &amp; Assumptions'!$D$85)</f>
        <v>1344.0301831836177</v>
      </c>
      <c r="AC42" s="63">
        <f>AB42*(1+'Data &amp; Assumptions'!$D$85)</f>
        <v>1364.1906359313718</v>
      </c>
      <c r="AD42" s="63">
        <f>AC42*(1+'Data &amp; Assumptions'!$D$85)</f>
        <v>1384.6534954703422</v>
      </c>
      <c r="AE42" s="63">
        <f>AD42*(1+'Data &amp; Assumptions'!$D$85)</f>
        <v>1405.4232979023973</v>
      </c>
      <c r="AF42" s="63">
        <f>AE42*(1+'Data &amp; Assumptions'!$D$85)</f>
        <v>1426.5046473709331</v>
      </c>
      <c r="AG42" s="63">
        <f>AF42*(1+'Data &amp; Assumptions'!$D$85)</f>
        <v>1447.9022170814969</v>
      </c>
      <c r="AH42" s="63">
        <f>AG42*(1+'Data &amp; Assumptions'!$D$85)</f>
        <v>1469.6207503377193</v>
      </c>
      <c r="AI42" s="63">
        <f>AH42*(1+'Data &amp; Assumptions'!$D$85)</f>
        <v>1491.6650615927849</v>
      </c>
      <c r="AJ42" s="63">
        <f>AI42*(1+'Data &amp; Assumptions'!$D$85)</f>
        <v>1514.0400375166766</v>
      </c>
      <c r="AK42" s="63">
        <f>AJ42*(1+'Data &amp; Assumptions'!$D$85)</f>
        <v>1536.7506380794266</v>
      </c>
      <c r="AP42" s="63">
        <f t="shared" si="12"/>
        <v>1107.5171821305842</v>
      </c>
      <c r="AQ42" s="63">
        <f t="shared" si="11"/>
        <v>1124.1299398625429</v>
      </c>
      <c r="AR42" s="63">
        <f t="shared" si="11"/>
        <v>1140.991888960481</v>
      </c>
      <c r="AS42" s="63">
        <f t="shared" si="11"/>
        <v>1158.1067672948882</v>
      </c>
      <c r="AT42" s="147">
        <f>AS42*(1+'Data &amp; Assumptions'!$D$85*'Data &amp; Assumptions'!$D$86)</f>
        <v>1174.6097887288404</v>
      </c>
      <c r="AU42" s="147">
        <f>AT42*(1+'Data &amp; Assumptions'!$D$85*'Data &amp; Assumptions'!$D$86)</f>
        <v>1191.3479782182264</v>
      </c>
      <c r="AV42" s="147">
        <f>AU42*(1+'Data &amp; Assumptions'!$D$85*'Data &amp; Assumptions'!$D$86)</f>
        <v>1208.3246869078364</v>
      </c>
      <c r="AW42" s="147">
        <f>AV42*(1+'Data &amp; Assumptions'!$D$85*'Data &amp; Assumptions'!$D$86)</f>
        <v>1225.5433136962731</v>
      </c>
      <c r="AX42" s="147">
        <f>AW42*(1+'Data &amp; Assumptions'!$D$85*'Data &amp; Assumptions'!$D$86)</f>
        <v>1243.0073059164451</v>
      </c>
      <c r="AY42" s="147">
        <f>AX42*(1+'Data &amp; Assumptions'!$D$85*'Data &amp; Assumptions'!$D$86)</f>
        <v>1260.7201600257547</v>
      </c>
      <c r="AZ42" s="147">
        <f>AY42*(1+'Data &amp; Assumptions'!$D$85*'Data &amp; Assumptions'!$D$86)</f>
        <v>1278.6854223061218</v>
      </c>
      <c r="BA42" s="147">
        <f>AZ42*(1+'Data &amp; Assumptions'!$D$85*'Data &amp; Assumptions'!$D$86)</f>
        <v>1296.9066895739843</v>
      </c>
      <c r="BB42" s="147">
        <f>BA42*(1+'Data &amp; Assumptions'!$D$85*'Data &amp; Assumptions'!$D$86)</f>
        <v>1315.3876099004137</v>
      </c>
      <c r="BC42" s="147">
        <f>BB42*(1+'Data &amp; Assumptions'!$D$85*'Data &amp; Assumptions'!$D$86)</f>
        <v>1334.1318833414948</v>
      </c>
      <c r="BD42" s="147">
        <f>BC42*(1+'Data &amp; Assumptions'!$D$85*'Data &amp; Assumptions'!$D$86)</f>
        <v>1353.1432626791113</v>
      </c>
      <c r="BE42" s="147">
        <f>BD42*(1+'Data &amp; Assumptions'!$D$85*'Data &amp; Assumptions'!$D$86)</f>
        <v>1372.4255541722887</v>
      </c>
      <c r="BF42" s="147">
        <f>BE42*(1+'Data &amp; Assumptions'!$D$85*'Data &amp; Assumptions'!$D$86)</f>
        <v>1391.982618319244</v>
      </c>
      <c r="BG42" s="147">
        <f>BF42*(1+'Data &amp; Assumptions'!$D$85*'Data &amp; Assumptions'!$D$86)</f>
        <v>1411.8183706302934</v>
      </c>
      <c r="BH42" s="147">
        <f>BG42*(1+'Data &amp; Assumptions'!$D$85*'Data &amp; Assumptions'!$D$86)</f>
        <v>1431.9367824117753</v>
      </c>
      <c r="BI42" s="147">
        <f>BH42*(1+'Data &amp; Assumptions'!$D$85*'Data &amp; Assumptions'!$D$86)</f>
        <v>1452.3418815611433</v>
      </c>
      <c r="BJ42" s="147">
        <f>BI42*(1+'Data &amp; Assumptions'!$D$85*'Data &amp; Assumptions'!$D$86)</f>
        <v>1473.0377533733897</v>
      </c>
      <c r="BK42" s="147">
        <f>BJ42*(1+'Data &amp; Assumptions'!$D$85*'Data &amp; Assumptions'!$D$86)</f>
        <v>1494.0285413589606</v>
      </c>
      <c r="BL42" s="147">
        <f>BK42*(1+'Data &amp; Assumptions'!$D$85*'Data &amp; Assumptions'!$D$86)</f>
        <v>1515.318448073326</v>
      </c>
    </row>
    <row r="43" spans="3:66" ht="12.75" customHeight="1" x14ac:dyDescent="0.2">
      <c r="D43" s="67" t="s">
        <v>73</v>
      </c>
      <c r="E43" s="67"/>
      <c r="L43" s="64" t="s">
        <v>175</v>
      </c>
      <c r="O43" s="147">
        <f>'Data tables'!AB85*'Data &amp; Assumptions'!$D$15</f>
        <v>770.44673539518897</v>
      </c>
      <c r="P43" s="63">
        <f>O43*(1+'Data &amp; Assumptions'!$D$85)</f>
        <v>782.00343642611676</v>
      </c>
      <c r="Q43" s="63">
        <f>P43*(1+'Data &amp; Assumptions'!$D$85)</f>
        <v>793.73348797250844</v>
      </c>
      <c r="R43" s="63">
        <f>Q43*(1+'Data &amp; Assumptions'!$D$85)</f>
        <v>805.63949029209596</v>
      </c>
      <c r="S43" s="63">
        <f>R43*(1+'Data &amp; Assumptions'!$D$85)</f>
        <v>817.72408264647731</v>
      </c>
      <c r="T43" s="63">
        <f>S43*(1+'Data &amp; Assumptions'!$D$85)</f>
        <v>829.98994388617439</v>
      </c>
      <c r="U43" s="63">
        <f>T43*(1+'Data &amp; Assumptions'!$D$85)</f>
        <v>842.43979304446691</v>
      </c>
      <c r="V43" s="63">
        <f>U43*(1+'Data &amp; Assumptions'!$D$85)</f>
        <v>855.07638994013382</v>
      </c>
      <c r="W43" s="63">
        <f>V43*(1+'Data &amp; Assumptions'!$D$85)</f>
        <v>867.9025357892358</v>
      </c>
      <c r="X43" s="63">
        <f>W43*(1+'Data &amp; Assumptions'!$D$85)</f>
        <v>880.92107382607423</v>
      </c>
      <c r="Y43" s="63">
        <f>X43*(1+'Data &amp; Assumptions'!$D$85)</f>
        <v>894.13488993346527</v>
      </c>
      <c r="Z43" s="63">
        <f>Y43*(1+'Data &amp; Assumptions'!$D$85)</f>
        <v>907.54691328246713</v>
      </c>
      <c r="AA43" s="63">
        <f>Z43*(1+'Data &amp; Assumptions'!$D$85)</f>
        <v>921.16011698170405</v>
      </c>
      <c r="AB43" s="63">
        <f>AA43*(1+'Data &amp; Assumptions'!$D$85)</f>
        <v>934.97751873642949</v>
      </c>
      <c r="AC43" s="63">
        <f>AB43*(1+'Data &amp; Assumptions'!$D$85)</f>
        <v>949.00218151747583</v>
      </c>
      <c r="AD43" s="63">
        <f>AC43*(1+'Data &amp; Assumptions'!$D$85)</f>
        <v>963.2372142402379</v>
      </c>
      <c r="AE43" s="63">
        <f>AD43*(1+'Data &amp; Assumptions'!$D$85)</f>
        <v>977.68577245384142</v>
      </c>
      <c r="AF43" s="63">
        <f>AE43*(1+'Data &amp; Assumptions'!$D$85)</f>
        <v>992.35105904064892</v>
      </c>
      <c r="AG43" s="63">
        <f>AF43*(1+'Data &amp; Assumptions'!$D$85)</f>
        <v>1007.2363249262586</v>
      </c>
      <c r="AH43" s="63">
        <f>AG43*(1+'Data &amp; Assumptions'!$D$85)</f>
        <v>1022.3448698001524</v>
      </c>
      <c r="AI43" s="63">
        <f>AH43*(1+'Data &amp; Assumptions'!$D$85)</f>
        <v>1037.6800428471547</v>
      </c>
      <c r="AJ43" s="63">
        <f>AI43*(1+'Data &amp; Assumptions'!$D$85)</f>
        <v>1053.2452434898619</v>
      </c>
      <c r="AK43" s="63">
        <f>AJ43*(1+'Data &amp; Assumptions'!$D$85)</f>
        <v>1069.0439221422098</v>
      </c>
      <c r="AP43" s="63">
        <f t="shared" si="12"/>
        <v>770.44673539518897</v>
      </c>
      <c r="AQ43" s="63">
        <f t="shared" si="11"/>
        <v>782.00343642611676</v>
      </c>
      <c r="AR43" s="63">
        <f t="shared" si="11"/>
        <v>793.73348797250844</v>
      </c>
      <c r="AS43" s="63">
        <f t="shared" si="11"/>
        <v>805.63949029209596</v>
      </c>
      <c r="AT43" s="147">
        <f>AS43*(1+'Data &amp; Assumptions'!$D$85*'Data &amp; Assumptions'!$D$86)</f>
        <v>817.11985302875837</v>
      </c>
      <c r="AU43" s="147">
        <f>AT43*(1+'Data &amp; Assumptions'!$D$85*'Data &amp; Assumptions'!$D$86)</f>
        <v>828.7638109344183</v>
      </c>
      <c r="AV43" s="147">
        <f>AU43*(1+'Data &amp; Assumptions'!$D$85*'Data &amp; Assumptions'!$D$86)</f>
        <v>840.57369524023386</v>
      </c>
      <c r="AW43" s="147">
        <f>AV43*(1+'Data &amp; Assumptions'!$D$85*'Data &amp; Assumptions'!$D$86)</f>
        <v>852.55187039740724</v>
      </c>
      <c r="AX43" s="147">
        <f>AW43*(1+'Data &amp; Assumptions'!$D$85*'Data &amp; Assumptions'!$D$86)</f>
        <v>864.70073455057036</v>
      </c>
      <c r="AY43" s="147">
        <f>AX43*(1+'Data &amp; Assumptions'!$D$85*'Data &amp; Assumptions'!$D$86)</f>
        <v>877.02272001791607</v>
      </c>
      <c r="AZ43" s="147">
        <f>AY43*(1+'Data &amp; Assumptions'!$D$85*'Data &amp; Assumptions'!$D$86)</f>
        <v>889.52029377817144</v>
      </c>
      <c r="BA43" s="147">
        <f>AZ43*(1+'Data &amp; Assumptions'!$D$85*'Data &amp; Assumptions'!$D$86)</f>
        <v>902.19595796451051</v>
      </c>
      <c r="BB43" s="147">
        <f>BA43*(1+'Data &amp; Assumptions'!$D$85*'Data &amp; Assumptions'!$D$86)</f>
        <v>915.05225036550485</v>
      </c>
      <c r="BC43" s="147">
        <f>BB43*(1+'Data &amp; Assumptions'!$D$85*'Data &amp; Assumptions'!$D$86)</f>
        <v>928.09174493321336</v>
      </c>
      <c r="BD43" s="147">
        <f>BC43*(1+'Data &amp; Assumptions'!$D$85*'Data &amp; Assumptions'!$D$86)</f>
        <v>941.31705229851173</v>
      </c>
      <c r="BE43" s="147">
        <f>BD43*(1+'Data &amp; Assumptions'!$D$85*'Data &amp; Assumptions'!$D$86)</f>
        <v>954.73082029376565</v>
      </c>
      <c r="BF43" s="147">
        <f>BE43*(1+'Data &amp; Assumptions'!$D$85*'Data &amp; Assumptions'!$D$86)</f>
        <v>968.33573448295192</v>
      </c>
      <c r="BG43" s="147">
        <f>BF43*(1+'Data &amp; Assumptions'!$D$85*'Data &amp; Assumptions'!$D$86)</f>
        <v>982.13451869933408</v>
      </c>
      <c r="BH43" s="147">
        <f>BG43*(1+'Data &amp; Assumptions'!$D$85*'Data &amp; Assumptions'!$D$86)</f>
        <v>996.12993559079973</v>
      </c>
      <c r="BI43" s="147">
        <f>BH43*(1+'Data &amp; Assumptions'!$D$85*'Data &amp; Assumptions'!$D$86)</f>
        <v>1010.3247871729687</v>
      </c>
      <c r="BJ43" s="147">
        <f>BI43*(1+'Data &amp; Assumptions'!$D$85*'Data &amp; Assumptions'!$D$86)</f>
        <v>1024.7219153901835</v>
      </c>
      <c r="BK43" s="147">
        <f>BJ43*(1+'Data &amp; Assumptions'!$D$85*'Data &amp; Assumptions'!$D$86)</f>
        <v>1039.3242026844937</v>
      </c>
      <c r="BL43" s="147">
        <f>BK43*(1+'Data &amp; Assumptions'!$D$85*'Data &amp; Assumptions'!$D$86)</f>
        <v>1054.1345725727479</v>
      </c>
    </row>
    <row r="44" spans="3:66" ht="12.75" customHeight="1" x14ac:dyDescent="0.2">
      <c r="D44" s="67" t="s">
        <v>180</v>
      </c>
      <c r="E44" s="67"/>
      <c r="L44" s="64" t="s">
        <v>175</v>
      </c>
      <c r="O44" s="147">
        <f>'Data tables'!AB98*'Data &amp; Assumptions'!$D$15</f>
        <v>1573.6374570446737</v>
      </c>
      <c r="P44" s="63">
        <f>O44*(1+'Data &amp; Assumptions'!$D$85)</f>
        <v>1597.2420189003437</v>
      </c>
      <c r="Q44" s="63">
        <f>P44*(1+'Data &amp; Assumptions'!$D$85)</f>
        <v>1621.2006491838488</v>
      </c>
      <c r="R44" s="63">
        <f>Q44*(1+'Data &amp; Assumptions'!$D$85)</f>
        <v>1645.5186589216064</v>
      </c>
      <c r="S44" s="63">
        <f>R44*(1+'Data &amp; Assumptions'!$D$85)</f>
        <v>1670.2014388054304</v>
      </c>
      <c r="T44" s="63">
        <f>S44*(1+'Data &amp; Assumptions'!$D$85)</f>
        <v>1695.2544603875117</v>
      </c>
      <c r="U44" s="63">
        <f>T44*(1+'Data &amp; Assumptions'!$D$85)</f>
        <v>1720.6832772933242</v>
      </c>
      <c r="V44" s="63">
        <f>U44*(1+'Data &amp; Assumptions'!$D$85)</f>
        <v>1746.4935264527239</v>
      </c>
      <c r="W44" s="63">
        <f>V44*(1+'Data &amp; Assumptions'!$D$85)</f>
        <v>1772.6909293495146</v>
      </c>
      <c r="X44" s="63">
        <f>W44*(1+'Data &amp; Assumptions'!$D$85)</f>
        <v>1799.2812932897571</v>
      </c>
      <c r="Y44" s="63">
        <f>X44*(1+'Data &amp; Assumptions'!$D$85)</f>
        <v>1826.2705126891033</v>
      </c>
      <c r="Z44" s="63">
        <f>Y44*(1+'Data &amp; Assumptions'!$D$85)</f>
        <v>1853.6645703794397</v>
      </c>
      <c r="AA44" s="63">
        <f>Z44*(1+'Data &amp; Assumptions'!$D$85)</f>
        <v>1881.4695389351311</v>
      </c>
      <c r="AB44" s="63">
        <f>AA44*(1+'Data &amp; Assumptions'!$D$85)</f>
        <v>1909.691582019158</v>
      </c>
      <c r="AC44" s="63">
        <f>AB44*(1+'Data &amp; Assumptions'!$D$85)</f>
        <v>1938.3369557494452</v>
      </c>
      <c r="AD44" s="63">
        <f>AC44*(1+'Data &amp; Assumptions'!$D$85)</f>
        <v>1967.4120100856867</v>
      </c>
      <c r="AE44" s="63">
        <f>AD44*(1+'Data &amp; Assumptions'!$D$85)</f>
        <v>1996.9231902369718</v>
      </c>
      <c r="AF44" s="63">
        <f>AE44*(1+'Data &amp; Assumptions'!$D$85)</f>
        <v>2026.8770380905262</v>
      </c>
      <c r="AG44" s="63">
        <f>AF44*(1+'Data &amp; Assumptions'!$D$85)</f>
        <v>2057.2801936618839</v>
      </c>
      <c r="AH44" s="63">
        <f>AG44*(1+'Data &amp; Assumptions'!$D$85)</f>
        <v>2088.1393965668121</v>
      </c>
      <c r="AI44" s="63">
        <f>AH44*(1+'Data &amp; Assumptions'!$D$85)</f>
        <v>2119.4614875153143</v>
      </c>
      <c r="AJ44" s="63">
        <f>AI44*(1+'Data &amp; Assumptions'!$D$85)</f>
        <v>2151.2534098280439</v>
      </c>
      <c r="AK44" s="63">
        <f>AJ44*(1+'Data &amp; Assumptions'!$D$85)</f>
        <v>2183.5222109754645</v>
      </c>
      <c r="AP44" s="63">
        <f t="shared" si="12"/>
        <v>1573.6374570446737</v>
      </c>
      <c r="AQ44" s="63">
        <f t="shared" si="11"/>
        <v>1597.2420189003437</v>
      </c>
      <c r="AR44" s="63">
        <f t="shared" si="11"/>
        <v>1621.2006491838488</v>
      </c>
      <c r="AS44" s="63">
        <f t="shared" si="11"/>
        <v>1645.5186589216064</v>
      </c>
      <c r="AT44" s="147">
        <f>AS44*(1+'Data &amp; Assumptions'!$D$85*'Data &amp; Assumptions'!$D$86)</f>
        <v>1668.9672998112394</v>
      </c>
      <c r="AU44" s="147">
        <f>AT44*(1+'Data &amp; Assumptions'!$D$85*'Data &amp; Assumptions'!$D$86)</f>
        <v>1692.7500838335498</v>
      </c>
      <c r="AV44" s="147">
        <f>AU44*(1+'Data &amp; Assumptions'!$D$85*'Data &amp; Assumptions'!$D$86)</f>
        <v>1716.8717725281781</v>
      </c>
      <c r="AW44" s="147">
        <f>AV44*(1+'Data &amp; Assumptions'!$D$85*'Data &amp; Assumptions'!$D$86)</f>
        <v>1741.3371952867049</v>
      </c>
      <c r="AX44" s="147">
        <f>AW44*(1+'Data &amp; Assumptions'!$D$85*'Data &amp; Assumptions'!$D$86)</f>
        <v>1766.1512503195406</v>
      </c>
      <c r="AY44" s="147">
        <f>AX44*(1+'Data &amp; Assumptions'!$D$85*'Data &amp; Assumptions'!$D$86)</f>
        <v>1791.3189056365943</v>
      </c>
      <c r="AZ44" s="147">
        <f>AY44*(1+'Data &amp; Assumptions'!$D$85*'Data &amp; Assumptions'!$D$86)</f>
        <v>1816.8452000419159</v>
      </c>
      <c r="BA44" s="147">
        <f>AZ44*(1+'Data &amp; Assumptions'!$D$85*'Data &amp; Assumptions'!$D$86)</f>
        <v>1842.7352441425132</v>
      </c>
      <c r="BB44" s="147">
        <f>BA44*(1+'Data &amp; Assumptions'!$D$85*'Data &amp; Assumptions'!$D$86)</f>
        <v>1868.9942213715442</v>
      </c>
      <c r="BC44" s="147">
        <f>BB44*(1+'Data &amp; Assumptions'!$D$85*'Data &amp; Assumptions'!$D$86)</f>
        <v>1895.6273890260888</v>
      </c>
      <c r="BD44" s="147">
        <f>BC44*(1+'Data &amp; Assumptions'!$D$85*'Data &amp; Assumptions'!$D$86)</f>
        <v>1922.6400793197108</v>
      </c>
      <c r="BE44" s="147">
        <f>BD44*(1+'Data &amp; Assumptions'!$D$85*'Data &amp; Assumptions'!$D$86)</f>
        <v>1950.0377004500169</v>
      </c>
      <c r="BF44" s="147">
        <f>BE44*(1+'Data &amp; Assumptions'!$D$85*'Data &amp; Assumptions'!$D$86)</f>
        <v>1977.8257376814299</v>
      </c>
      <c r="BG44" s="147">
        <f>BF44*(1+'Data &amp; Assumptions'!$D$85*'Data &amp; Assumptions'!$D$86)</f>
        <v>2006.0097544433904</v>
      </c>
      <c r="BH44" s="147">
        <f>BG44*(1+'Data &amp; Assumptions'!$D$85*'Data &amp; Assumptions'!$D$86)</f>
        <v>2034.5953934442089</v>
      </c>
      <c r="BI44" s="147">
        <f>BH44*(1+'Data &amp; Assumptions'!$D$85*'Data &amp; Assumptions'!$D$86)</f>
        <v>2063.5883778007892</v>
      </c>
      <c r="BJ44" s="147">
        <f>BI44*(1+'Data &amp; Assumptions'!$D$85*'Data &amp; Assumptions'!$D$86)</f>
        <v>2092.9945121844507</v>
      </c>
      <c r="BK44" s="147">
        <f>BJ44*(1+'Data &amp; Assumptions'!$D$85*'Data &amp; Assumptions'!$D$86)</f>
        <v>2122.8196839830794</v>
      </c>
      <c r="BL44" s="147">
        <f>BK44*(1+'Data &amp; Assumptions'!$D$85*'Data &amp; Assumptions'!$D$86)</f>
        <v>2153.0698644798385</v>
      </c>
    </row>
    <row r="45" spans="3:66" ht="12.75" customHeight="1" x14ac:dyDescent="0.2">
      <c r="D45" s="67" t="s">
        <v>75</v>
      </c>
      <c r="E45" s="67"/>
      <c r="L45" s="64" t="s">
        <v>175</v>
      </c>
      <c r="O45" s="147">
        <f>'Data tables'!AB71*'Data &amp; Assumptions'!$D$15</f>
        <v>1046.5234822451316</v>
      </c>
      <c r="P45" s="63">
        <f>O45*(1+'Data &amp; Assumptions'!$D$85)</f>
        <v>1062.2213344788086</v>
      </c>
      <c r="Q45" s="63">
        <f>P45*(1+'Data &amp; Assumptions'!$D$85)</f>
        <v>1078.1546544959906</v>
      </c>
      <c r="R45" s="63">
        <f>Q45*(1+'Data &amp; Assumptions'!$D$85)</f>
        <v>1094.3269743134304</v>
      </c>
      <c r="S45" s="63">
        <f>R45*(1+'Data &amp; Assumptions'!$D$85)</f>
        <v>1110.7418789281317</v>
      </c>
      <c r="T45" s="63">
        <f>S45*(1+'Data &amp; Assumptions'!$D$85)</f>
        <v>1127.4030071120535</v>
      </c>
      <c r="U45" s="63">
        <f>T45*(1+'Data &amp; Assumptions'!$D$85)</f>
        <v>1144.3140522187341</v>
      </c>
      <c r="V45" s="63">
        <f>U45*(1+'Data &amp; Assumptions'!$D$85)</f>
        <v>1161.4787630020151</v>
      </c>
      <c r="W45" s="63">
        <f>V45*(1+'Data &amp; Assumptions'!$D$85)</f>
        <v>1178.9009444470453</v>
      </c>
      <c r="X45" s="63">
        <f>W45*(1+'Data &amp; Assumptions'!$D$85)</f>
        <v>1196.5844586137509</v>
      </c>
      <c r="Y45" s="63">
        <f>X45*(1+'Data &amp; Assumptions'!$D$85)</f>
        <v>1214.5332254929572</v>
      </c>
      <c r="Z45" s="63">
        <f>Y45*(1+'Data &amp; Assumptions'!$D$85)</f>
        <v>1232.7512238753513</v>
      </c>
      <c r="AA45" s="63">
        <f>Z45*(1+'Data &amp; Assumptions'!$D$85)</f>
        <v>1251.2424922334815</v>
      </c>
      <c r="AB45" s="63">
        <f>AA45*(1+'Data &amp; Assumptions'!$D$85)</f>
        <v>1270.0111296169837</v>
      </c>
      <c r="AC45" s="63">
        <f>AB45*(1+'Data &amp; Assumptions'!$D$85)</f>
        <v>1289.0612965612384</v>
      </c>
      <c r="AD45" s="63">
        <f>AC45*(1+'Data &amp; Assumptions'!$D$85)</f>
        <v>1308.3972160096569</v>
      </c>
      <c r="AE45" s="63">
        <f>AD45*(1+'Data &amp; Assumptions'!$D$85)</f>
        <v>1328.0231742498015</v>
      </c>
      <c r="AF45" s="63">
        <f>AE45*(1+'Data &amp; Assumptions'!$D$85)</f>
        <v>1347.9435218635483</v>
      </c>
      <c r="AG45" s="63">
        <f>AF45*(1+'Data &amp; Assumptions'!$D$85)</f>
        <v>1368.1626746915015</v>
      </c>
      <c r="AH45" s="63">
        <f>AG45*(1+'Data &amp; Assumptions'!$D$85)</f>
        <v>1388.685114811874</v>
      </c>
      <c r="AI45" s="63">
        <f>AH45*(1+'Data &amp; Assumptions'!$D$85)</f>
        <v>1409.515391534052</v>
      </c>
      <c r="AJ45" s="63">
        <f>AI45*(1+'Data &amp; Assumptions'!$D$85)</f>
        <v>1430.6581224070626</v>
      </c>
      <c r="AK45" s="63">
        <f>AJ45*(1+'Data &amp; Assumptions'!$D$85)</f>
        <v>1452.1179942431684</v>
      </c>
      <c r="AP45" s="63">
        <f t="shared" si="12"/>
        <v>1046.5234822451316</v>
      </c>
      <c r="AQ45" s="63">
        <f t="shared" si="11"/>
        <v>1062.2213344788086</v>
      </c>
      <c r="AR45" s="63">
        <f t="shared" si="11"/>
        <v>1078.1546544959906</v>
      </c>
      <c r="AS45" s="63">
        <f t="shared" si="11"/>
        <v>1094.3269743134304</v>
      </c>
      <c r="AT45" s="147">
        <f>AS45*(1+'Data &amp; Assumptions'!$D$85*'Data &amp; Assumptions'!$D$86)</f>
        <v>1109.921133697397</v>
      </c>
      <c r="AU45" s="147">
        <f>AT45*(1+'Data &amp; Assumptions'!$D$85*'Data &amp; Assumptions'!$D$86)</f>
        <v>1125.7375098525849</v>
      </c>
      <c r="AV45" s="147">
        <f>AU45*(1+'Data &amp; Assumptions'!$D$85*'Data &amp; Assumptions'!$D$86)</f>
        <v>1141.7792693679844</v>
      </c>
      <c r="AW45" s="147">
        <f>AV45*(1+'Data &amp; Assumptions'!$D$85*'Data &amp; Assumptions'!$D$86)</f>
        <v>1158.0496239564782</v>
      </c>
      <c r="AX45" s="147">
        <f>AW45*(1+'Data &amp; Assumptions'!$D$85*'Data &amp; Assumptions'!$D$86)</f>
        <v>1174.551831097858</v>
      </c>
      <c r="AY45" s="147">
        <f>AX45*(1+'Data &amp; Assumptions'!$D$85*'Data &amp; Assumptions'!$D$86)</f>
        <v>1191.2891946910026</v>
      </c>
      <c r="AZ45" s="147">
        <f>AY45*(1+'Data &amp; Assumptions'!$D$85*'Data &amp; Assumptions'!$D$86)</f>
        <v>1208.2650657153495</v>
      </c>
      <c r="BA45" s="147">
        <f>AZ45*(1+'Data &amp; Assumptions'!$D$85*'Data &amp; Assumptions'!$D$86)</f>
        <v>1225.4828429017932</v>
      </c>
      <c r="BB45" s="147">
        <f>BA45*(1+'Data &amp; Assumptions'!$D$85*'Data &amp; Assumptions'!$D$86)</f>
        <v>1242.945973413144</v>
      </c>
      <c r="BC45" s="147">
        <f>BB45*(1+'Data &amp; Assumptions'!$D$85*'Data &amp; Assumptions'!$D$86)</f>
        <v>1260.6579535342814</v>
      </c>
      <c r="BD45" s="147">
        <f>BC45*(1+'Data &amp; Assumptions'!$D$85*'Data &amp; Assumptions'!$D$86)</f>
        <v>1278.622329372145</v>
      </c>
      <c r="BE45" s="147">
        <f>BD45*(1+'Data &amp; Assumptions'!$D$85*'Data &amp; Assumptions'!$D$86)</f>
        <v>1296.8426975656982</v>
      </c>
      <c r="BF45" s="147">
        <f>BE45*(1+'Data &amp; Assumptions'!$D$85*'Data &amp; Assumptions'!$D$86)</f>
        <v>1315.3227060060096</v>
      </c>
      <c r="BG45" s="147">
        <f>BF45*(1+'Data &amp; Assumptions'!$D$85*'Data &amp; Assumptions'!$D$86)</f>
        <v>1334.0660545665953</v>
      </c>
      <c r="BH45" s="147">
        <f>BG45*(1+'Data &amp; Assumptions'!$D$85*'Data &amp; Assumptions'!$D$86)</f>
        <v>1353.0764958441694</v>
      </c>
      <c r="BI45" s="147">
        <f>BH45*(1+'Data &amp; Assumptions'!$D$85*'Data &amp; Assumptions'!$D$86)</f>
        <v>1372.3578359099488</v>
      </c>
      <c r="BJ45" s="147">
        <f>BI45*(1+'Data &amp; Assumptions'!$D$85*'Data &amp; Assumptions'!$D$86)</f>
        <v>1391.9139350716657</v>
      </c>
      <c r="BK45" s="147">
        <f>BJ45*(1+'Data &amp; Assumptions'!$D$85*'Data &amp; Assumptions'!$D$86)</f>
        <v>1411.7487086464371</v>
      </c>
      <c r="BL45" s="147">
        <f>BK45*(1+'Data &amp; Assumptions'!$D$85*'Data &amp; Assumptions'!$D$86)</f>
        <v>1431.866127744649</v>
      </c>
    </row>
    <row r="46" spans="3:66" ht="12.75" customHeight="1" x14ac:dyDescent="0.2">
      <c r="D46" s="67" t="s">
        <v>181</v>
      </c>
      <c r="E46" s="67"/>
      <c r="L46" s="64" t="s">
        <v>175</v>
      </c>
      <c r="O46" s="147">
        <f>'Data tables'!AB89*'Data &amp; Assumptions'!$D$15</f>
        <v>1011.2113402061856</v>
      </c>
      <c r="P46" s="63">
        <f>O46*(1+'Data &amp; Assumptions'!$D$85)</f>
        <v>1026.3795103092782</v>
      </c>
      <c r="Q46" s="63">
        <f>P46*(1+'Data &amp; Assumptions'!$D$85)</f>
        <v>1041.7752029639173</v>
      </c>
      <c r="R46" s="63">
        <f>Q46*(1+'Data &amp; Assumptions'!$D$85)</f>
        <v>1057.4018310083759</v>
      </c>
      <c r="S46" s="63">
        <f>R46*(1+'Data &amp; Assumptions'!$D$85)</f>
        <v>1073.2628584735014</v>
      </c>
      <c r="T46" s="63">
        <f>S46*(1+'Data &amp; Assumptions'!$D$85)</f>
        <v>1089.3618013506039</v>
      </c>
      <c r="U46" s="63">
        <f>T46*(1+'Data &amp; Assumptions'!$D$85)</f>
        <v>1105.7022283708627</v>
      </c>
      <c r="V46" s="63">
        <f>U46*(1+'Data &amp; Assumptions'!$D$85)</f>
        <v>1122.2877617964255</v>
      </c>
      <c r="W46" s="63">
        <f>V46*(1+'Data &amp; Assumptions'!$D$85)</f>
        <v>1139.1220782233718</v>
      </c>
      <c r="X46" s="63">
        <f>W46*(1+'Data &amp; Assumptions'!$D$85)</f>
        <v>1156.2089093967222</v>
      </c>
      <c r="Y46" s="63">
        <f>X46*(1+'Data &amp; Assumptions'!$D$85)</f>
        <v>1173.552043037673</v>
      </c>
      <c r="Z46" s="63">
        <f>Y46*(1+'Data &amp; Assumptions'!$D$85)</f>
        <v>1191.1553236832381</v>
      </c>
      <c r="AA46" s="63">
        <f>Z46*(1+'Data &amp; Assumptions'!$D$85)</f>
        <v>1209.0226535384866</v>
      </c>
      <c r="AB46" s="63">
        <f>AA46*(1+'Data &amp; Assumptions'!$D$85)</f>
        <v>1227.1579933415637</v>
      </c>
      <c r="AC46" s="63">
        <f>AB46*(1+'Data &amp; Assumptions'!$D$85)</f>
        <v>1245.565363241687</v>
      </c>
      <c r="AD46" s="63">
        <f>AC46*(1+'Data &amp; Assumptions'!$D$85)</f>
        <v>1264.2488436903122</v>
      </c>
      <c r="AE46" s="63">
        <f>AD46*(1+'Data &amp; Assumptions'!$D$85)</f>
        <v>1283.2125763456668</v>
      </c>
      <c r="AF46" s="63">
        <f>AE46*(1+'Data &amp; Assumptions'!$D$85)</f>
        <v>1302.4607649908517</v>
      </c>
      <c r="AG46" s="63">
        <f>AF46*(1+'Data &amp; Assumptions'!$D$85)</f>
        <v>1321.9976764657142</v>
      </c>
      <c r="AH46" s="63">
        <f>AG46*(1+'Data &amp; Assumptions'!$D$85)</f>
        <v>1341.8276416126998</v>
      </c>
      <c r="AI46" s="63">
        <f>AH46*(1+'Data &amp; Assumptions'!$D$85)</f>
        <v>1361.9550562368902</v>
      </c>
      <c r="AJ46" s="63">
        <f>AI46*(1+'Data &amp; Assumptions'!$D$85)</f>
        <v>1382.3843820804434</v>
      </c>
      <c r="AK46" s="63">
        <f>AJ46*(1+'Data &amp; Assumptions'!$D$85)</f>
        <v>1403.12014781165</v>
      </c>
      <c r="AP46" s="63">
        <f t="shared" si="12"/>
        <v>1011.2113402061856</v>
      </c>
      <c r="AQ46" s="63">
        <f t="shared" si="11"/>
        <v>1026.3795103092782</v>
      </c>
      <c r="AR46" s="63">
        <f t="shared" si="11"/>
        <v>1041.7752029639173</v>
      </c>
      <c r="AS46" s="63">
        <f t="shared" si="11"/>
        <v>1057.4018310083759</v>
      </c>
      <c r="AT46" s="147">
        <f>AS46*(1+'Data &amp; Assumptions'!$D$85*'Data &amp; Assumptions'!$D$86)</f>
        <v>1072.4698071002454</v>
      </c>
      <c r="AU46" s="147">
        <f>AT46*(1+'Data &amp; Assumptions'!$D$85*'Data &amp; Assumptions'!$D$86)</f>
        <v>1087.7525018514239</v>
      </c>
      <c r="AV46" s="147">
        <f>AU46*(1+'Data &amp; Assumptions'!$D$85*'Data &amp; Assumptions'!$D$86)</f>
        <v>1103.2529750028068</v>
      </c>
      <c r="AW46" s="147">
        <f>AV46*(1+'Data &amp; Assumptions'!$D$85*'Data &amp; Assumptions'!$D$86)</f>
        <v>1118.9743298965968</v>
      </c>
      <c r="AX46" s="147">
        <f>AW46*(1+'Data &amp; Assumptions'!$D$85*'Data &amp; Assumptions'!$D$86)</f>
        <v>1134.9197140976235</v>
      </c>
      <c r="AY46" s="147">
        <f>AX46*(1+'Data &amp; Assumptions'!$D$85*'Data &amp; Assumptions'!$D$86)</f>
        <v>1151.0923200235147</v>
      </c>
      <c r="AZ46" s="147">
        <f>AY46*(1+'Data &amp; Assumptions'!$D$85*'Data &amp; Assumptions'!$D$86)</f>
        <v>1167.4953855838498</v>
      </c>
      <c r="BA46" s="147">
        <f>AZ46*(1+'Data &amp; Assumptions'!$D$85*'Data &amp; Assumptions'!$D$86)</f>
        <v>1184.1321948284199</v>
      </c>
      <c r="BB46" s="147">
        <f>BA46*(1+'Data &amp; Assumptions'!$D$85*'Data &amp; Assumptions'!$D$86)</f>
        <v>1201.006078604725</v>
      </c>
      <c r="BC46" s="147">
        <f>BB46*(1+'Data &amp; Assumptions'!$D$85*'Data &amp; Assumptions'!$D$86)</f>
        <v>1218.1204152248424</v>
      </c>
      <c r="BD46" s="147">
        <f>BC46*(1+'Data &amp; Assumptions'!$D$85*'Data &amp; Assumptions'!$D$86)</f>
        <v>1235.4786311417965</v>
      </c>
      <c r="BE46" s="147">
        <f>BD46*(1+'Data &amp; Assumptions'!$D$85*'Data &amp; Assumptions'!$D$86)</f>
        <v>1253.0842016355673</v>
      </c>
      <c r="BF46" s="147">
        <f>BE46*(1+'Data &amp; Assumptions'!$D$85*'Data &amp; Assumptions'!$D$86)</f>
        <v>1270.9406515088742</v>
      </c>
      <c r="BG46" s="147">
        <f>BF46*(1+'Data &amp; Assumptions'!$D$85*'Data &amp; Assumptions'!$D$86)</f>
        <v>1289.0515557928759</v>
      </c>
      <c r="BH46" s="147">
        <f>BG46*(1+'Data &amp; Assumptions'!$D$85*'Data &amp; Assumptions'!$D$86)</f>
        <v>1307.4205404629245</v>
      </c>
      <c r="BI46" s="147">
        <f>BH46*(1+'Data &amp; Assumptions'!$D$85*'Data &amp; Assumptions'!$D$86)</f>
        <v>1326.0512831645212</v>
      </c>
      <c r="BJ46" s="147">
        <f>BI46*(1+'Data &amp; Assumptions'!$D$85*'Data &amp; Assumptions'!$D$86)</f>
        <v>1344.9475139496158</v>
      </c>
      <c r="BK46" s="147">
        <f>BJ46*(1+'Data &amp; Assumptions'!$D$85*'Data &amp; Assumptions'!$D$86)</f>
        <v>1364.1130160233979</v>
      </c>
      <c r="BL46" s="147">
        <f>BK46*(1+'Data &amp; Assumptions'!$D$85*'Data &amp; Assumptions'!$D$86)</f>
        <v>1383.5516265017316</v>
      </c>
    </row>
    <row r="47" spans="3:66" x14ac:dyDescent="0.2">
      <c r="O47" s="146"/>
      <c r="Q47" s="63"/>
    </row>
    <row r="48" spans="3:66" x14ac:dyDescent="0.2">
      <c r="C48" t="s">
        <v>237</v>
      </c>
    </row>
    <row r="49" spans="3:64" x14ac:dyDescent="0.2">
      <c r="D49" t="s">
        <v>221</v>
      </c>
      <c r="L49" s="64" t="s">
        <v>55</v>
      </c>
      <c r="M49" s="66">
        <f>'Data &amp; Assumptions'!$D$79</f>
        <v>1.7999999999999999E-2</v>
      </c>
      <c r="AN49" s="66">
        <f>'Data &amp; Assumptions'!$D$79</f>
        <v>1.7999999999999999E-2</v>
      </c>
    </row>
    <row r="50" spans="3:64" x14ac:dyDescent="0.2">
      <c r="D50" s="67" t="s">
        <v>224</v>
      </c>
      <c r="E50" s="67"/>
      <c r="L50" s="64" t="s">
        <v>175</v>
      </c>
      <c r="M50" s="66"/>
      <c r="O50" s="63">
        <f t="shared" ref="O50:AK50" si="13">O38*$M$49</f>
        <v>45.360755999999995</v>
      </c>
      <c r="P50" s="63">
        <f>P38*$M$49</f>
        <v>46.494774899999989</v>
      </c>
      <c r="Q50" s="63">
        <f t="shared" si="13"/>
        <v>47.657144272499991</v>
      </c>
      <c r="R50" s="147">
        <f>R38*$M$49</f>
        <v>48.848572879312485</v>
      </c>
      <c r="S50" s="63">
        <f t="shared" si="13"/>
        <v>50.069787201295291</v>
      </c>
      <c r="T50" s="63">
        <f t="shared" si="13"/>
        <v>51.321531881327672</v>
      </c>
      <c r="U50" s="147">
        <f t="shared" si="13"/>
        <v>52.604570178360852</v>
      </c>
      <c r="V50" s="63">
        <f t="shared" si="13"/>
        <v>53.919684432819878</v>
      </c>
      <c r="W50" s="63">
        <f t="shared" si="13"/>
        <v>55.26767654364037</v>
      </c>
      <c r="X50" s="63">
        <f t="shared" si="13"/>
        <v>56.649368457231375</v>
      </c>
      <c r="Y50" s="63">
        <f t="shared" si="13"/>
        <v>58.065602668662152</v>
      </c>
      <c r="Z50" s="63">
        <f t="shared" si="13"/>
        <v>59.517242735378701</v>
      </c>
      <c r="AA50" s="63">
        <f t="shared" si="13"/>
        <v>61.005173803763164</v>
      </c>
      <c r="AB50" s="63">
        <f t="shared" si="13"/>
        <v>62.530303148857236</v>
      </c>
      <c r="AC50" s="63">
        <f t="shared" si="13"/>
        <v>64.093560727578662</v>
      </c>
      <c r="AD50" s="63">
        <f t="shared" si="13"/>
        <v>65.695899745768131</v>
      </c>
      <c r="AE50" s="63">
        <f t="shared" si="13"/>
        <v>67.338297239412327</v>
      </c>
      <c r="AF50" s="63">
        <f t="shared" si="13"/>
        <v>69.021754670397627</v>
      </c>
      <c r="AG50" s="63">
        <f t="shared" si="13"/>
        <v>70.747298537157562</v>
      </c>
      <c r="AH50" s="63">
        <f t="shared" si="13"/>
        <v>72.515981000586493</v>
      </c>
      <c r="AI50" s="63">
        <f t="shared" si="13"/>
        <v>74.32888052560115</v>
      </c>
      <c r="AJ50" s="63">
        <f t="shared" si="13"/>
        <v>76.187102538741186</v>
      </c>
      <c r="AK50" s="63">
        <f t="shared" si="13"/>
        <v>78.091780102209697</v>
      </c>
      <c r="AP50" s="63">
        <f>AP38*$AN$49</f>
        <v>45.360755999999995</v>
      </c>
      <c r="AQ50" s="63">
        <f t="shared" ref="AQ50:BL50" si="14">AQ38*$AN$49</f>
        <v>46.494774899999989</v>
      </c>
      <c r="AR50" s="63">
        <f t="shared" si="14"/>
        <v>47.657144272499991</v>
      </c>
      <c r="AS50" s="63">
        <f t="shared" si="14"/>
        <v>48.848572879312485</v>
      </c>
      <c r="AT50" s="63">
        <f t="shared" si="14"/>
        <v>50.008726485196149</v>
      </c>
      <c r="AU50" s="63">
        <f t="shared" si="14"/>
        <v>51.196433739219557</v>
      </c>
      <c r="AV50" s="147">
        <f t="shared" si="14"/>
        <v>52.412349040526024</v>
      </c>
      <c r="AW50" s="63">
        <f t="shared" si="14"/>
        <v>53.657142330238514</v>
      </c>
      <c r="AX50" s="63">
        <f t="shared" si="14"/>
        <v>54.931499460581676</v>
      </c>
      <c r="AY50" s="63">
        <f t="shared" si="14"/>
        <v>56.236122572770483</v>
      </c>
      <c r="AZ50" s="63">
        <f t="shared" si="14"/>
        <v>57.571730483873786</v>
      </c>
      <c r="BA50" s="63">
        <f t="shared" si="14"/>
        <v>58.939059082865782</v>
      </c>
      <c r="BB50" s="63">
        <f t="shared" si="14"/>
        <v>60.338861736083842</v>
      </c>
      <c r="BC50" s="63">
        <f t="shared" si="14"/>
        <v>61.771909702315824</v>
      </c>
      <c r="BD50" s="63">
        <f t="shared" si="14"/>
        <v>63.238992557745824</v>
      </c>
      <c r="BE50" s="63">
        <f t="shared" si="14"/>
        <v>64.740918630992283</v>
      </c>
      <c r="BF50" s="63">
        <f t="shared" si="14"/>
        <v>66.278515448478345</v>
      </c>
      <c r="BG50" s="63">
        <f t="shared" si="14"/>
        <v>67.852630190379699</v>
      </c>
      <c r="BH50" s="63">
        <f t="shared" si="14"/>
        <v>69.464130157401215</v>
      </c>
      <c r="BI50" s="63">
        <f t="shared" si="14"/>
        <v>71.113903248639488</v>
      </c>
      <c r="BJ50" s="63">
        <f t="shared" si="14"/>
        <v>72.802858450794673</v>
      </c>
      <c r="BK50" s="63">
        <f t="shared" si="14"/>
        <v>74.531926339001046</v>
      </c>
      <c r="BL50" s="63">
        <f t="shared" si="14"/>
        <v>76.302059589552314</v>
      </c>
    </row>
    <row r="51" spans="3:64" x14ac:dyDescent="0.2">
      <c r="D51" s="67" t="s">
        <v>64</v>
      </c>
      <c r="E51" s="67"/>
      <c r="L51" s="64" t="s">
        <v>175</v>
      </c>
      <c r="M51" s="66"/>
      <c r="O51" s="63">
        <f t="shared" ref="O51:AK51" si="15">O39*$M$49</f>
        <v>24.904690721649484</v>
      </c>
      <c r="P51" s="63">
        <f t="shared" si="15"/>
        <v>25.278261082474224</v>
      </c>
      <c r="Q51" s="63">
        <f t="shared" si="15"/>
        <v>25.657434998711338</v>
      </c>
      <c r="R51" s="147">
        <f t="shared" si="15"/>
        <v>26.042296523692002</v>
      </c>
      <c r="S51" s="63">
        <f t="shared" si="15"/>
        <v>26.432930971547382</v>
      </c>
      <c r="T51" s="63">
        <f t="shared" si="15"/>
        <v>26.829424936120589</v>
      </c>
      <c r="U51" s="147">
        <f t="shared" si="15"/>
        <v>27.231866310162392</v>
      </c>
      <c r="V51" s="63">
        <f t="shared" si="15"/>
        <v>27.640344304814828</v>
      </c>
      <c r="W51" s="63">
        <f t="shared" si="15"/>
        <v>28.054949469387047</v>
      </c>
      <c r="X51" s="63">
        <f t="shared" si="15"/>
        <v>28.475773711427852</v>
      </c>
      <c r="Y51" s="63">
        <f t="shared" si="15"/>
        <v>28.90291031709927</v>
      </c>
      <c r="Z51" s="63">
        <f t="shared" si="15"/>
        <v>29.336453971855754</v>
      </c>
      <c r="AA51" s="63">
        <f t="shared" si="15"/>
        <v>29.776500781433587</v>
      </c>
      <c r="AB51" s="63">
        <f t="shared" si="15"/>
        <v>30.223148293155091</v>
      </c>
      <c r="AC51" s="63">
        <f t="shared" si="15"/>
        <v>30.676495517552414</v>
      </c>
      <c r="AD51" s="63">
        <f t="shared" si="15"/>
        <v>31.136642950315697</v>
      </c>
      <c r="AE51" s="63">
        <f t="shared" si="15"/>
        <v>31.603692594570429</v>
      </c>
      <c r="AF51" s="63">
        <f t="shared" si="15"/>
        <v>32.077747983488983</v>
      </c>
      <c r="AG51" s="63">
        <f t="shared" si="15"/>
        <v>32.558914203241315</v>
      </c>
      <c r="AH51" s="63">
        <f t="shared" si="15"/>
        <v>33.047297916289928</v>
      </c>
      <c r="AI51" s="63">
        <f t="shared" si="15"/>
        <v>33.543007385034279</v>
      </c>
      <c r="AJ51" s="63">
        <f t="shared" si="15"/>
        <v>34.046152495809793</v>
      </c>
      <c r="AK51" s="63">
        <f t="shared" si="15"/>
        <v>34.556844783246937</v>
      </c>
      <c r="AP51" s="63">
        <f t="shared" ref="AP51:BL51" si="16">AP39*$AN$49</f>
        <v>24.904690721649484</v>
      </c>
      <c r="AQ51" s="63">
        <f t="shared" si="16"/>
        <v>25.278261082474224</v>
      </c>
      <c r="AR51" s="63">
        <f t="shared" si="16"/>
        <v>25.657434998711338</v>
      </c>
      <c r="AS51" s="63">
        <f t="shared" si="16"/>
        <v>26.042296523692002</v>
      </c>
      <c r="AT51" s="63">
        <f t="shared" si="16"/>
        <v>26.413399249154615</v>
      </c>
      <c r="AU51" s="63">
        <f t="shared" si="16"/>
        <v>26.789790188455072</v>
      </c>
      <c r="AV51" s="147">
        <f t="shared" si="16"/>
        <v>27.17154469864056</v>
      </c>
      <c r="AW51" s="63">
        <f t="shared" si="16"/>
        <v>27.558739210596194</v>
      </c>
      <c r="AX51" s="63">
        <f t="shared" si="16"/>
        <v>27.951451244347194</v>
      </c>
      <c r="AY51" s="63">
        <f t="shared" si="16"/>
        <v>28.34975942457914</v>
      </c>
      <c r="AZ51" s="63">
        <f t="shared" si="16"/>
        <v>28.753743496379396</v>
      </c>
      <c r="BA51" s="63">
        <f t="shared" si="16"/>
        <v>29.163484341202807</v>
      </c>
      <c r="BB51" s="63">
        <f t="shared" si="16"/>
        <v>29.579063993064945</v>
      </c>
      <c r="BC51" s="63">
        <f t="shared" si="16"/>
        <v>30.000565654966127</v>
      </c>
      <c r="BD51" s="63">
        <f t="shared" si="16"/>
        <v>30.428073715549399</v>
      </c>
      <c r="BE51" s="63">
        <f t="shared" si="16"/>
        <v>30.861673765995981</v>
      </c>
      <c r="BF51" s="63">
        <f t="shared" si="16"/>
        <v>31.301452617161424</v>
      </c>
      <c r="BG51" s="63">
        <f t="shared" si="16"/>
        <v>31.74749831695598</v>
      </c>
      <c r="BH51" s="63">
        <f t="shared" si="16"/>
        <v>32.199900167972608</v>
      </c>
      <c r="BI51" s="63">
        <f t="shared" si="16"/>
        <v>32.658748745366218</v>
      </c>
      <c r="BJ51" s="63">
        <f t="shared" si="16"/>
        <v>33.12413591498769</v>
      </c>
      <c r="BK51" s="63">
        <f t="shared" si="16"/>
        <v>33.596154851776269</v>
      </c>
      <c r="BL51" s="63">
        <f t="shared" si="16"/>
        <v>34.074900058414087</v>
      </c>
    </row>
    <row r="52" spans="3:64" x14ac:dyDescent="0.2">
      <c r="D52" s="67" t="s">
        <v>63</v>
      </c>
      <c r="E52" s="67"/>
      <c r="L52" s="64" t="s">
        <v>175</v>
      </c>
      <c r="M52" s="66"/>
      <c r="O52" s="63">
        <f t="shared" ref="O52:AK52" si="17">O40*$M$49</f>
        <v>33.803350515463919</v>
      </c>
      <c r="P52" s="63">
        <f>P40*$M$49</f>
        <v>34.31040077319588</v>
      </c>
      <c r="Q52" s="63">
        <f t="shared" si="17"/>
        <v>34.825056784793816</v>
      </c>
      <c r="R52" s="147">
        <f t="shared" si="17"/>
        <v>35.347432636565721</v>
      </c>
      <c r="S52" s="63">
        <f t="shared" si="17"/>
        <v>35.877644126114198</v>
      </c>
      <c r="T52" s="63">
        <f t="shared" si="17"/>
        <v>36.415808788005911</v>
      </c>
      <c r="U52" s="147">
        <f t="shared" si="17"/>
        <v>36.962045919825989</v>
      </c>
      <c r="V52" s="63">
        <f t="shared" si="17"/>
        <v>37.516476608623371</v>
      </c>
      <c r="W52" s="63">
        <f t="shared" si="17"/>
        <v>38.079223757752715</v>
      </c>
      <c r="X52" s="63">
        <f t="shared" si="17"/>
        <v>38.650412114119007</v>
      </c>
      <c r="Y52" s="63">
        <f t="shared" si="17"/>
        <v>39.230168295830786</v>
      </c>
      <c r="Z52" s="63">
        <f t="shared" si="17"/>
        <v>39.818620820268244</v>
      </c>
      <c r="AA52" s="63">
        <f t="shared" si="17"/>
        <v>40.415900132572268</v>
      </c>
      <c r="AB52" s="63">
        <f t="shared" si="17"/>
        <v>41.022138634560847</v>
      </c>
      <c r="AC52" s="63">
        <f t="shared" si="17"/>
        <v>41.637470714079249</v>
      </c>
      <c r="AD52" s="63">
        <f t="shared" si="17"/>
        <v>42.262032774790441</v>
      </c>
      <c r="AE52" s="63">
        <f t="shared" si="17"/>
        <v>42.895963266412288</v>
      </c>
      <c r="AF52" s="63">
        <f t="shared" si="17"/>
        <v>43.539402715408471</v>
      </c>
      <c r="AG52" s="63">
        <f t="shared" si="17"/>
        <v>44.192493756139591</v>
      </c>
      <c r="AH52" s="63">
        <f t="shared" si="17"/>
        <v>44.855381162481684</v>
      </c>
      <c r="AI52" s="63">
        <f t="shared" si="17"/>
        <v>45.528211879918906</v>
      </c>
      <c r="AJ52" s="63">
        <f t="shared" si="17"/>
        <v>46.211135058117684</v>
      </c>
      <c r="AK52" s="63">
        <f t="shared" si="17"/>
        <v>46.904302083989442</v>
      </c>
      <c r="AP52" s="63">
        <f t="shared" ref="AP52:BL52" si="18">AP40*$AN$49</f>
        <v>33.803350515463919</v>
      </c>
      <c r="AQ52" s="63">
        <f t="shared" si="18"/>
        <v>34.31040077319588</v>
      </c>
      <c r="AR52" s="63">
        <f t="shared" si="18"/>
        <v>34.825056784793816</v>
      </c>
      <c r="AS52" s="63">
        <f t="shared" si="18"/>
        <v>35.347432636565721</v>
      </c>
      <c r="AT52" s="63">
        <f t="shared" si="18"/>
        <v>35.851133551636785</v>
      </c>
      <c r="AU52" s="63">
        <f t="shared" si="18"/>
        <v>36.362012204747607</v>
      </c>
      <c r="AV52" s="147">
        <f t="shared" si="18"/>
        <v>36.880170878665268</v>
      </c>
      <c r="AW52" s="63">
        <f t="shared" si="18"/>
        <v>37.405713313686256</v>
      </c>
      <c r="AX52" s="63">
        <f t="shared" si="18"/>
        <v>37.938744728406284</v>
      </c>
      <c r="AY52" s="63">
        <f t="shared" si="18"/>
        <v>38.479371840786072</v>
      </c>
      <c r="AZ52" s="63">
        <f t="shared" si="18"/>
        <v>39.027702889517286</v>
      </c>
      <c r="BA52" s="63">
        <f t="shared" si="18"/>
        <v>39.583847655692907</v>
      </c>
      <c r="BB52" s="63">
        <f t="shared" si="18"/>
        <v>40.147917484786539</v>
      </c>
      <c r="BC52" s="63">
        <f t="shared" si="18"/>
        <v>40.720025308944749</v>
      </c>
      <c r="BD52" s="63">
        <f t="shared" si="18"/>
        <v>41.300285669597223</v>
      </c>
      <c r="BE52" s="63">
        <f t="shared" si="18"/>
        <v>41.88881474038898</v>
      </c>
      <c r="BF52" s="63">
        <f t="shared" si="18"/>
        <v>42.485730350439532</v>
      </c>
      <c r="BG52" s="63">
        <f t="shared" si="18"/>
        <v>43.091152007933296</v>
      </c>
      <c r="BH52" s="63">
        <f t="shared" si="18"/>
        <v>43.705200924046352</v>
      </c>
      <c r="BI52" s="63">
        <f t="shared" si="18"/>
        <v>44.328000037214018</v>
      </c>
      <c r="BJ52" s="63">
        <f t="shared" si="18"/>
        <v>44.959674037744314</v>
      </c>
      <c r="BK52" s="63">
        <f t="shared" si="18"/>
        <v>45.600349392782178</v>
      </c>
      <c r="BL52" s="63">
        <f t="shared" si="18"/>
        <v>46.250154371629328</v>
      </c>
    </row>
    <row r="53" spans="3:64" x14ac:dyDescent="0.2">
      <c r="D53" s="67" t="s">
        <v>76</v>
      </c>
      <c r="E53" s="67"/>
      <c r="L53" s="64" t="s">
        <v>175</v>
      </c>
      <c r="M53" s="66"/>
      <c r="O53" s="63">
        <f t="shared" ref="O53:AK53" si="19">O41*$M$49</f>
        <v>26.29149484536082</v>
      </c>
      <c r="P53" s="63">
        <f t="shared" si="19"/>
        <v>26.685867268041228</v>
      </c>
      <c r="Q53" s="63">
        <f t="shared" si="19"/>
        <v>27.086155277061845</v>
      </c>
      <c r="R53" s="147">
        <f t="shared" si="19"/>
        <v>27.49244760621777</v>
      </c>
      <c r="S53" s="63">
        <f t="shared" si="19"/>
        <v>27.904834320311032</v>
      </c>
      <c r="T53" s="63">
        <f t="shared" si="19"/>
        <v>28.323406835115694</v>
      </c>
      <c r="U53" s="147">
        <f t="shared" si="19"/>
        <v>28.748257937642428</v>
      </c>
      <c r="V53" s="63">
        <f t="shared" si="19"/>
        <v>29.179481806707059</v>
      </c>
      <c r="W53" s="63">
        <f t="shared" si="19"/>
        <v>29.617174033807661</v>
      </c>
      <c r="X53" s="63">
        <f t="shared" si="19"/>
        <v>30.061431644314776</v>
      </c>
      <c r="Y53" s="63">
        <f t="shared" si="19"/>
        <v>30.512353118979497</v>
      </c>
      <c r="Z53" s="63">
        <f t="shared" si="19"/>
        <v>30.970038415764183</v>
      </c>
      <c r="AA53" s="63">
        <f t="shared" si="19"/>
        <v>31.434588992000645</v>
      </c>
      <c r="AB53" s="63">
        <f t="shared" si="19"/>
        <v>31.906107826880653</v>
      </c>
      <c r="AC53" s="63">
        <f t="shared" si="19"/>
        <v>32.384699444283861</v>
      </c>
      <c r="AD53" s="63">
        <f t="shared" si="19"/>
        <v>32.870469935948108</v>
      </c>
      <c r="AE53" s="63">
        <f t="shared" si="19"/>
        <v>33.363526984987331</v>
      </c>
      <c r="AF53" s="63">
        <f t="shared" si="19"/>
        <v>33.863979889762135</v>
      </c>
      <c r="AG53" s="63">
        <f t="shared" si="19"/>
        <v>34.37193958810856</v>
      </c>
      <c r="AH53" s="63">
        <f t="shared" si="19"/>
        <v>34.887518681930189</v>
      </c>
      <c r="AI53" s="63">
        <f t="shared" si="19"/>
        <v>35.410831462159138</v>
      </c>
      <c r="AJ53" s="63">
        <f t="shared" si="19"/>
        <v>35.941993934091521</v>
      </c>
      <c r="AK53" s="63">
        <f t="shared" si="19"/>
        <v>36.481123843102893</v>
      </c>
      <c r="AP53" s="63">
        <f t="shared" ref="AP53:BL53" si="20">AP41*$AN$49</f>
        <v>26.29149484536082</v>
      </c>
      <c r="AQ53" s="63">
        <f t="shared" si="20"/>
        <v>26.685867268041228</v>
      </c>
      <c r="AR53" s="63">
        <f t="shared" si="20"/>
        <v>27.086155277061845</v>
      </c>
      <c r="AS53" s="63">
        <f t="shared" si="20"/>
        <v>27.49244760621777</v>
      </c>
      <c r="AT53" s="63">
        <f t="shared" si="20"/>
        <v>27.884214984606373</v>
      </c>
      <c r="AU53" s="63">
        <f t="shared" si="20"/>
        <v>28.281565048137018</v>
      </c>
      <c r="AV53" s="147">
        <f t="shared" si="20"/>
        <v>28.684577350072974</v>
      </c>
      <c r="AW53" s="63">
        <f t="shared" si="20"/>
        <v>29.093332577311518</v>
      </c>
      <c r="AX53" s="63">
        <f t="shared" si="20"/>
        <v>29.507912566538209</v>
      </c>
      <c r="AY53" s="63">
        <f t="shared" si="20"/>
        <v>29.928400320611384</v>
      </c>
      <c r="AZ53" s="63">
        <f t="shared" si="20"/>
        <v>30.354880025180098</v>
      </c>
      <c r="BA53" s="63">
        <f t="shared" si="20"/>
        <v>30.787437065538917</v>
      </c>
      <c r="BB53" s="63">
        <f t="shared" si="20"/>
        <v>31.226158043722851</v>
      </c>
      <c r="BC53" s="63">
        <f t="shared" si="20"/>
        <v>31.671130795845908</v>
      </c>
      <c r="BD53" s="63">
        <f t="shared" si="20"/>
        <v>32.122444409686715</v>
      </c>
      <c r="BE53" s="63">
        <f t="shared" si="20"/>
        <v>32.580189242524753</v>
      </c>
      <c r="BF53" s="63">
        <f t="shared" si="20"/>
        <v>33.044456939230734</v>
      </c>
      <c r="BG53" s="63">
        <f t="shared" si="20"/>
        <v>33.515340450614772</v>
      </c>
      <c r="BH53" s="63">
        <f t="shared" si="20"/>
        <v>33.992934052036034</v>
      </c>
      <c r="BI53" s="63">
        <f t="shared" si="20"/>
        <v>34.477333362277555</v>
      </c>
      <c r="BJ53" s="63">
        <f t="shared" si="20"/>
        <v>34.968635362690009</v>
      </c>
      <c r="BK53" s="63">
        <f t="shared" si="20"/>
        <v>35.46693841660835</v>
      </c>
      <c r="BL53" s="63">
        <f t="shared" si="20"/>
        <v>35.972342289045017</v>
      </c>
    </row>
    <row r="54" spans="3:64" x14ac:dyDescent="0.2">
      <c r="D54" s="67" t="s">
        <v>72</v>
      </c>
      <c r="E54" s="67"/>
      <c r="L54" s="64" t="s">
        <v>175</v>
      </c>
      <c r="M54" s="66"/>
      <c r="O54" s="63">
        <f t="shared" ref="O54:AK54" si="21">O42*$M$49</f>
        <v>19.935309278350513</v>
      </c>
      <c r="P54" s="63">
        <f t="shared" si="21"/>
        <v>20.234338917525768</v>
      </c>
      <c r="Q54" s="63">
        <f t="shared" si="21"/>
        <v>20.537854001288657</v>
      </c>
      <c r="R54" s="147">
        <f t="shared" si="21"/>
        <v>20.845921811307985</v>
      </c>
      <c r="S54" s="63">
        <f t="shared" si="21"/>
        <v>21.158610638477604</v>
      </c>
      <c r="T54" s="63">
        <f t="shared" si="21"/>
        <v>21.475989798054766</v>
      </c>
      <c r="U54" s="147">
        <f t="shared" si="21"/>
        <v>21.798129645025586</v>
      </c>
      <c r="V54" s="63">
        <f t="shared" si="21"/>
        <v>22.125101589700964</v>
      </c>
      <c r="W54" s="63">
        <f t="shared" si="21"/>
        <v>22.456978113546477</v>
      </c>
      <c r="X54" s="63">
        <f t="shared" si="21"/>
        <v>22.793832785249673</v>
      </c>
      <c r="Y54" s="63">
        <f t="shared" si="21"/>
        <v>23.135740277028415</v>
      </c>
      <c r="Z54" s="63">
        <f t="shared" si="21"/>
        <v>23.482776381183839</v>
      </c>
      <c r="AA54" s="63">
        <f t="shared" si="21"/>
        <v>23.835018026901594</v>
      </c>
      <c r="AB54" s="63">
        <f t="shared" si="21"/>
        <v>24.192543297305118</v>
      </c>
      <c r="AC54" s="63">
        <f t="shared" si="21"/>
        <v>24.55543144676469</v>
      </c>
      <c r="AD54" s="63">
        <f t="shared" si="21"/>
        <v>24.92376291846616</v>
      </c>
      <c r="AE54" s="63">
        <f t="shared" si="21"/>
        <v>25.29761936224315</v>
      </c>
      <c r="AF54" s="63">
        <f t="shared" si="21"/>
        <v>25.677083652676792</v>
      </c>
      <c r="AG54" s="63">
        <f t="shared" si="21"/>
        <v>26.062239907466942</v>
      </c>
      <c r="AH54" s="63">
        <f t="shared" si="21"/>
        <v>26.453173506078944</v>
      </c>
      <c r="AI54" s="63">
        <f t="shared" si="21"/>
        <v>26.849971108670125</v>
      </c>
      <c r="AJ54" s="63">
        <f t="shared" si="21"/>
        <v>27.252720675300178</v>
      </c>
      <c r="AK54" s="63">
        <f t="shared" si="21"/>
        <v>27.661511485429678</v>
      </c>
      <c r="AP54" s="63">
        <f t="shared" ref="AP54:BL54" si="22">AP42*$AN$49</f>
        <v>19.935309278350513</v>
      </c>
      <c r="AQ54" s="63">
        <f t="shared" si="22"/>
        <v>20.234338917525768</v>
      </c>
      <c r="AR54" s="63">
        <f t="shared" si="22"/>
        <v>20.537854001288657</v>
      </c>
      <c r="AS54" s="63">
        <f t="shared" si="22"/>
        <v>20.845921811307985</v>
      </c>
      <c r="AT54" s="63">
        <f t="shared" si="22"/>
        <v>21.142976197119125</v>
      </c>
      <c r="AU54" s="63">
        <f t="shared" si="22"/>
        <v>21.444263607928075</v>
      </c>
      <c r="AV54" s="147">
        <f t="shared" si="22"/>
        <v>21.749844364341055</v>
      </c>
      <c r="AW54" s="63">
        <f t="shared" si="22"/>
        <v>22.059779646532913</v>
      </c>
      <c r="AX54" s="63">
        <f t="shared" si="22"/>
        <v>22.37413150649601</v>
      </c>
      <c r="AY54" s="63">
        <f t="shared" si="22"/>
        <v>22.692962880463583</v>
      </c>
      <c r="AZ54" s="63">
        <f t="shared" si="22"/>
        <v>23.016337601510191</v>
      </c>
      <c r="BA54" s="63">
        <f t="shared" si="22"/>
        <v>23.344320412331715</v>
      </c>
      <c r="BB54" s="63">
        <f t="shared" si="22"/>
        <v>23.676976978207446</v>
      </c>
      <c r="BC54" s="63">
        <f t="shared" si="22"/>
        <v>24.014373900146904</v>
      </c>
      <c r="BD54" s="63">
        <f t="shared" si="22"/>
        <v>24.356578728224001</v>
      </c>
      <c r="BE54" s="63">
        <f t="shared" si="22"/>
        <v>24.703659975101193</v>
      </c>
      <c r="BF54" s="63">
        <f t="shared" si="22"/>
        <v>25.055687129746389</v>
      </c>
      <c r="BG54" s="63">
        <f t="shared" si="22"/>
        <v>25.41273067134528</v>
      </c>
      <c r="BH54" s="63">
        <f t="shared" si="22"/>
        <v>25.774862083411954</v>
      </c>
      <c r="BI54" s="63">
        <f t="shared" si="22"/>
        <v>26.142153868100579</v>
      </c>
      <c r="BJ54" s="63">
        <f t="shared" si="22"/>
        <v>26.514679560721014</v>
      </c>
      <c r="BK54" s="63">
        <f t="shared" si="22"/>
        <v>26.89251374446129</v>
      </c>
      <c r="BL54" s="63">
        <f t="shared" si="22"/>
        <v>27.275732065319865</v>
      </c>
    </row>
    <row r="55" spans="3:64" x14ac:dyDescent="0.2">
      <c r="D55" s="67" t="s">
        <v>73</v>
      </c>
      <c r="E55" s="67"/>
      <c r="L55" s="64" t="s">
        <v>175</v>
      </c>
      <c r="M55" s="66"/>
      <c r="O55" s="63">
        <f t="shared" ref="O55:AK55" si="23">O43*$M$49</f>
        <v>13.868041237113401</v>
      </c>
      <c r="P55" s="63">
        <f t="shared" si="23"/>
        <v>14.076061855670101</v>
      </c>
      <c r="Q55" s="63">
        <f t="shared" si="23"/>
        <v>14.287202783505151</v>
      </c>
      <c r="R55" s="147">
        <f t="shared" si="23"/>
        <v>14.501510825257727</v>
      </c>
      <c r="S55" s="63">
        <f t="shared" si="23"/>
        <v>14.71903348763659</v>
      </c>
      <c r="T55" s="63">
        <f t="shared" si="23"/>
        <v>14.939818989951139</v>
      </c>
      <c r="U55" s="147">
        <f t="shared" si="23"/>
        <v>15.163916274800403</v>
      </c>
      <c r="V55" s="63">
        <f t="shared" si="23"/>
        <v>15.391375018922407</v>
      </c>
      <c r="W55" s="63">
        <f t="shared" si="23"/>
        <v>15.622245644206243</v>
      </c>
      <c r="X55" s="63">
        <f t="shared" si="23"/>
        <v>15.856579328869335</v>
      </c>
      <c r="Y55" s="63">
        <f t="shared" si="23"/>
        <v>16.094428018802375</v>
      </c>
      <c r="Z55" s="63">
        <f t="shared" si="23"/>
        <v>16.335844439084408</v>
      </c>
      <c r="AA55" s="63">
        <f t="shared" si="23"/>
        <v>16.580882105670671</v>
      </c>
      <c r="AB55" s="63">
        <f t="shared" si="23"/>
        <v>16.829595337255729</v>
      </c>
      <c r="AC55" s="63">
        <f t="shared" si="23"/>
        <v>17.082039267314563</v>
      </c>
      <c r="AD55" s="63">
        <f t="shared" si="23"/>
        <v>17.338269856324281</v>
      </c>
      <c r="AE55" s="63">
        <f t="shared" si="23"/>
        <v>17.598343904169145</v>
      </c>
      <c r="AF55" s="63">
        <f t="shared" si="23"/>
        <v>17.862319062731679</v>
      </c>
      <c r="AG55" s="63">
        <f t="shared" si="23"/>
        <v>18.130253848672652</v>
      </c>
      <c r="AH55" s="63">
        <f t="shared" si="23"/>
        <v>18.402207656402741</v>
      </c>
      <c r="AI55" s="63">
        <f t="shared" si="23"/>
        <v>18.678240771248785</v>
      </c>
      <c r="AJ55" s="63">
        <f t="shared" si="23"/>
        <v>18.958414382817512</v>
      </c>
      <c r="AK55" s="63">
        <f t="shared" si="23"/>
        <v>19.242790598559775</v>
      </c>
      <c r="AP55" s="63">
        <f t="shared" ref="AP55:BL55" si="24">AP43*$AN$49</f>
        <v>13.868041237113401</v>
      </c>
      <c r="AQ55" s="63">
        <f t="shared" si="24"/>
        <v>14.076061855670101</v>
      </c>
      <c r="AR55" s="63">
        <f t="shared" si="24"/>
        <v>14.287202783505151</v>
      </c>
      <c r="AS55" s="63">
        <f t="shared" si="24"/>
        <v>14.501510825257727</v>
      </c>
      <c r="AT55" s="63">
        <f t="shared" si="24"/>
        <v>14.708157354517649</v>
      </c>
      <c r="AU55" s="63">
        <f t="shared" si="24"/>
        <v>14.917748596819528</v>
      </c>
      <c r="AV55" s="147">
        <f t="shared" si="24"/>
        <v>15.130326514324208</v>
      </c>
      <c r="AW55" s="63">
        <f t="shared" si="24"/>
        <v>15.345933667153329</v>
      </c>
      <c r="AX55" s="63">
        <f t="shared" si="24"/>
        <v>15.564613221910266</v>
      </c>
      <c r="AY55" s="63">
        <f t="shared" si="24"/>
        <v>15.786408960322488</v>
      </c>
      <c r="AZ55" s="63">
        <f t="shared" si="24"/>
        <v>16.011365288007084</v>
      </c>
      <c r="BA55" s="63">
        <f t="shared" si="24"/>
        <v>16.239527243361188</v>
      </c>
      <c r="BB55" s="63">
        <f t="shared" si="24"/>
        <v>16.470940506579087</v>
      </c>
      <c r="BC55" s="63">
        <f t="shared" si="24"/>
        <v>16.705651408797838</v>
      </c>
      <c r="BD55" s="63">
        <f t="shared" si="24"/>
        <v>16.943706941373211</v>
      </c>
      <c r="BE55" s="63">
        <f t="shared" si="24"/>
        <v>17.185154765287781</v>
      </c>
      <c r="BF55" s="63">
        <f t="shared" si="24"/>
        <v>17.430043220693133</v>
      </c>
      <c r="BG55" s="63">
        <f t="shared" si="24"/>
        <v>17.678421336588013</v>
      </c>
      <c r="BH55" s="63">
        <f t="shared" si="24"/>
        <v>17.930338840634395</v>
      </c>
      <c r="BI55" s="63">
        <f t="shared" si="24"/>
        <v>18.185846169113436</v>
      </c>
      <c r="BJ55" s="63">
        <f t="shared" si="24"/>
        <v>18.444994477023304</v>
      </c>
      <c r="BK55" s="63">
        <f t="shared" si="24"/>
        <v>18.707835648320884</v>
      </c>
      <c r="BL55" s="63">
        <f t="shared" si="24"/>
        <v>18.97442230630946</v>
      </c>
    </row>
    <row r="56" spans="3:64" x14ac:dyDescent="0.2">
      <c r="D56" s="67" t="s">
        <v>180</v>
      </c>
      <c r="E56" s="67"/>
      <c r="L56" s="64" t="s">
        <v>175</v>
      </c>
      <c r="M56" s="66"/>
      <c r="O56" s="63">
        <f t="shared" ref="O56:AK56" si="25">O44*$M$49</f>
        <v>28.325474226804126</v>
      </c>
      <c r="P56" s="63">
        <f t="shared" si="25"/>
        <v>28.750356340206185</v>
      </c>
      <c r="Q56" s="63">
        <f t="shared" si="25"/>
        <v>29.181611685309274</v>
      </c>
      <c r="R56" s="147">
        <f t="shared" si="25"/>
        <v>29.619335860588912</v>
      </c>
      <c r="S56" s="63">
        <f t="shared" si="25"/>
        <v>30.063625898497744</v>
      </c>
      <c r="T56" s="63">
        <f t="shared" si="25"/>
        <v>30.514580286975207</v>
      </c>
      <c r="U56" s="147">
        <f t="shared" si="25"/>
        <v>30.972298991279832</v>
      </c>
      <c r="V56" s="63">
        <f t="shared" si="25"/>
        <v>31.436883476149028</v>
      </c>
      <c r="W56" s="63">
        <f t="shared" si="25"/>
        <v>31.90843672829126</v>
      </c>
      <c r="X56" s="63">
        <f t="shared" si="25"/>
        <v>32.387063279215624</v>
      </c>
      <c r="Y56" s="63">
        <f t="shared" si="25"/>
        <v>32.872869228403857</v>
      </c>
      <c r="Z56" s="63">
        <f t="shared" si="25"/>
        <v>33.365962266829911</v>
      </c>
      <c r="AA56" s="63">
        <f t="shared" si="25"/>
        <v>33.866451700832357</v>
      </c>
      <c r="AB56" s="63">
        <f t="shared" si="25"/>
        <v>34.374448476344838</v>
      </c>
      <c r="AC56" s="63">
        <f t="shared" si="25"/>
        <v>34.890065203490011</v>
      </c>
      <c r="AD56" s="63">
        <f t="shared" si="25"/>
        <v>35.41341618154236</v>
      </c>
      <c r="AE56" s="63">
        <f t="shared" si="25"/>
        <v>35.944617424265488</v>
      </c>
      <c r="AF56" s="63">
        <f t="shared" si="25"/>
        <v>36.483786685629468</v>
      </c>
      <c r="AG56" s="63">
        <f t="shared" si="25"/>
        <v>37.031043485913905</v>
      </c>
      <c r="AH56" s="63">
        <f t="shared" si="25"/>
        <v>37.586509138202615</v>
      </c>
      <c r="AI56" s="63">
        <f t="shared" si="25"/>
        <v>38.150306775275652</v>
      </c>
      <c r="AJ56" s="63">
        <f t="shared" si="25"/>
        <v>38.722561376904785</v>
      </c>
      <c r="AK56" s="63">
        <f t="shared" si="25"/>
        <v>39.303399797558356</v>
      </c>
      <c r="AP56" s="63">
        <f t="shared" ref="AP56:BL56" si="26">AP44*$AN$49</f>
        <v>28.325474226804126</v>
      </c>
      <c r="AQ56" s="63">
        <f t="shared" si="26"/>
        <v>28.750356340206185</v>
      </c>
      <c r="AR56" s="63">
        <f t="shared" si="26"/>
        <v>29.181611685309274</v>
      </c>
      <c r="AS56" s="63">
        <f t="shared" si="26"/>
        <v>29.619335860588912</v>
      </c>
      <c r="AT56" s="63">
        <f t="shared" si="26"/>
        <v>30.041411396602307</v>
      </c>
      <c r="AU56" s="63">
        <f t="shared" si="26"/>
        <v>30.469501509003894</v>
      </c>
      <c r="AV56" s="147">
        <f t="shared" si="26"/>
        <v>30.903691905507202</v>
      </c>
      <c r="AW56" s="63">
        <f t="shared" si="26"/>
        <v>31.344069515160687</v>
      </c>
      <c r="AX56" s="63">
        <f t="shared" si="26"/>
        <v>31.790722505751727</v>
      </c>
      <c r="AY56" s="63">
        <f t="shared" si="26"/>
        <v>32.243740301458693</v>
      </c>
      <c r="AZ56" s="63">
        <f t="shared" si="26"/>
        <v>32.703213600754481</v>
      </c>
      <c r="BA56" s="63">
        <f t="shared" si="26"/>
        <v>33.169234394565237</v>
      </c>
      <c r="BB56" s="63">
        <f t="shared" si="26"/>
        <v>33.641895984687793</v>
      </c>
      <c r="BC56" s="63">
        <f t="shared" si="26"/>
        <v>34.121293002469599</v>
      </c>
      <c r="BD56" s="63">
        <f t="shared" si="26"/>
        <v>34.60752142775479</v>
      </c>
      <c r="BE56" s="63">
        <f t="shared" si="26"/>
        <v>35.100678608100303</v>
      </c>
      <c r="BF56" s="63">
        <f t="shared" si="26"/>
        <v>35.600863278265734</v>
      </c>
      <c r="BG56" s="63">
        <f t="shared" si="26"/>
        <v>36.108175579981022</v>
      </c>
      <c r="BH56" s="63">
        <f t="shared" si="26"/>
        <v>36.622717081995759</v>
      </c>
      <c r="BI56" s="63">
        <f t="shared" si="26"/>
        <v>37.1445908004142</v>
      </c>
      <c r="BJ56" s="63">
        <f t="shared" si="26"/>
        <v>37.673901219320108</v>
      </c>
      <c r="BK56" s="63">
        <f t="shared" si="26"/>
        <v>38.210754311695425</v>
      </c>
      <c r="BL56" s="63">
        <f t="shared" si="26"/>
        <v>38.755257560637091</v>
      </c>
    </row>
    <row r="57" spans="3:64" x14ac:dyDescent="0.2">
      <c r="D57" s="67" t="s">
        <v>75</v>
      </c>
      <c r="E57" s="67"/>
      <c r="L57" s="64" t="s">
        <v>175</v>
      </c>
      <c r="M57" s="66"/>
      <c r="O57" s="63">
        <f t="shared" ref="O57:AK57" si="27">O45*$M$49</f>
        <v>18.837422680412367</v>
      </c>
      <c r="P57" s="63">
        <f t="shared" si="27"/>
        <v>19.119984020618553</v>
      </c>
      <c r="Q57" s="63">
        <f t="shared" si="27"/>
        <v>19.406783780927828</v>
      </c>
      <c r="R57" s="147">
        <f t="shared" si="27"/>
        <v>19.697885537641746</v>
      </c>
      <c r="S57" s="63">
        <f t="shared" si="27"/>
        <v>19.993353820706368</v>
      </c>
      <c r="T57" s="63">
        <f t="shared" si="27"/>
        <v>20.293254128016962</v>
      </c>
      <c r="U57" s="147">
        <f t="shared" si="27"/>
        <v>20.597652939937213</v>
      </c>
      <c r="V57" s="63">
        <f t="shared" si="27"/>
        <v>20.906617734036271</v>
      </c>
      <c r="W57" s="63">
        <f t="shared" si="27"/>
        <v>21.220217000046812</v>
      </c>
      <c r="X57" s="63">
        <f t="shared" si="27"/>
        <v>21.538520255047516</v>
      </c>
      <c r="Y57" s="63">
        <f t="shared" si="27"/>
        <v>21.861598058873227</v>
      </c>
      <c r="Z57" s="63">
        <f t="shared" si="27"/>
        <v>22.189522029756322</v>
      </c>
      <c r="AA57" s="63">
        <f t="shared" si="27"/>
        <v>22.522364860202664</v>
      </c>
      <c r="AB57" s="63">
        <f t="shared" si="27"/>
        <v>22.860200333105706</v>
      </c>
      <c r="AC57" s="63">
        <f t="shared" si="27"/>
        <v>23.203103338102288</v>
      </c>
      <c r="AD57" s="63">
        <f t="shared" si="27"/>
        <v>23.551149888173821</v>
      </c>
      <c r="AE57" s="63">
        <f t="shared" si="27"/>
        <v>23.904417136496427</v>
      </c>
      <c r="AF57" s="63">
        <f t="shared" si="27"/>
        <v>24.262983393543866</v>
      </c>
      <c r="AG57" s="63">
        <f t="shared" si="27"/>
        <v>24.626928144447024</v>
      </c>
      <c r="AH57" s="63">
        <f t="shared" si="27"/>
        <v>24.996332066613729</v>
      </c>
      <c r="AI57" s="63">
        <f t="shared" si="27"/>
        <v>25.371277047612935</v>
      </c>
      <c r="AJ57" s="63">
        <f t="shared" si="27"/>
        <v>25.751846203327126</v>
      </c>
      <c r="AK57" s="63">
        <f t="shared" si="27"/>
        <v>26.138123896377028</v>
      </c>
      <c r="AP57" s="63">
        <f t="shared" ref="AP57:BL57" si="28">AP45*$AN$49</f>
        <v>18.837422680412367</v>
      </c>
      <c r="AQ57" s="63">
        <f t="shared" si="28"/>
        <v>19.119984020618553</v>
      </c>
      <c r="AR57" s="63">
        <f t="shared" si="28"/>
        <v>19.406783780927828</v>
      </c>
      <c r="AS57" s="63">
        <f t="shared" si="28"/>
        <v>19.697885537641746</v>
      </c>
      <c r="AT57" s="63">
        <f t="shared" si="28"/>
        <v>19.978580406553142</v>
      </c>
      <c r="AU57" s="63">
        <f t="shared" si="28"/>
        <v>20.263275177346529</v>
      </c>
      <c r="AV57" s="147">
        <f t="shared" si="28"/>
        <v>20.552026848623719</v>
      </c>
      <c r="AW57" s="63">
        <f t="shared" si="28"/>
        <v>20.844893231216606</v>
      </c>
      <c r="AX57" s="63">
        <f t="shared" si="28"/>
        <v>21.141932959761441</v>
      </c>
      <c r="AY57" s="63">
        <f t="shared" si="28"/>
        <v>21.443205504438048</v>
      </c>
      <c r="AZ57" s="63">
        <f t="shared" si="28"/>
        <v>21.74877118287629</v>
      </c>
      <c r="BA57" s="63">
        <f t="shared" si="28"/>
        <v>22.058691172232276</v>
      </c>
      <c r="BB57" s="63">
        <f t="shared" si="28"/>
        <v>22.37302752143659</v>
      </c>
      <c r="BC57" s="63">
        <f t="shared" si="28"/>
        <v>22.691843163617065</v>
      </c>
      <c r="BD57" s="63">
        <f t="shared" si="28"/>
        <v>23.015201928698609</v>
      </c>
      <c r="BE57" s="63">
        <f t="shared" si="28"/>
        <v>23.343168556182565</v>
      </c>
      <c r="BF57" s="63">
        <f t="shared" si="28"/>
        <v>23.675808708108171</v>
      </c>
      <c r="BG57" s="63">
        <f t="shared" si="28"/>
        <v>24.013188982198713</v>
      </c>
      <c r="BH57" s="63">
        <f t="shared" si="28"/>
        <v>24.355376925195046</v>
      </c>
      <c r="BI57" s="63">
        <f t="shared" si="28"/>
        <v>24.702441046379075</v>
      </c>
      <c r="BJ57" s="63">
        <f t="shared" si="28"/>
        <v>25.05445083128998</v>
      </c>
      <c r="BK57" s="63">
        <f t="shared" si="28"/>
        <v>25.411476755635867</v>
      </c>
      <c r="BL57" s="63">
        <f t="shared" si="28"/>
        <v>25.773590299403679</v>
      </c>
    </row>
    <row r="58" spans="3:64" x14ac:dyDescent="0.2">
      <c r="D58" s="67" t="s">
        <v>181</v>
      </c>
      <c r="E58" s="67"/>
      <c r="L58" s="64" t="s">
        <v>175</v>
      </c>
      <c r="M58" s="66"/>
      <c r="O58" s="63">
        <f t="shared" ref="O58:AK58" si="29">O46*$M$49</f>
        <v>18.201804123711341</v>
      </c>
      <c r="P58" s="63">
        <f t="shared" si="29"/>
        <v>18.474831185567005</v>
      </c>
      <c r="Q58" s="63">
        <f t="shared" si="29"/>
        <v>18.751953653350512</v>
      </c>
      <c r="R58" s="147">
        <f t="shared" si="29"/>
        <v>19.033232958150766</v>
      </c>
      <c r="S58" s="63">
        <f>S46*$M$49</f>
        <v>19.318731452523025</v>
      </c>
      <c r="T58" s="63">
        <f t="shared" si="29"/>
        <v>19.608512424310867</v>
      </c>
      <c r="U58" s="147">
        <f t="shared" si="29"/>
        <v>19.902640110675527</v>
      </c>
      <c r="V58" s="63">
        <f t="shared" si="29"/>
        <v>20.201179712335655</v>
      </c>
      <c r="W58" s="63">
        <f t="shared" si="29"/>
        <v>20.504197408020691</v>
      </c>
      <c r="X58" s="63">
        <f t="shared" si="29"/>
        <v>20.811760369140998</v>
      </c>
      <c r="Y58" s="63">
        <f t="shared" si="29"/>
        <v>21.123936774678114</v>
      </c>
      <c r="Z58" s="63">
        <f t="shared" si="29"/>
        <v>21.440795826298285</v>
      </c>
      <c r="AA58" s="63">
        <f t="shared" si="29"/>
        <v>21.762407763692757</v>
      </c>
      <c r="AB58" s="63">
        <f t="shared" si="29"/>
        <v>22.088843880148147</v>
      </c>
      <c r="AC58" s="63">
        <f t="shared" si="29"/>
        <v>22.420176538350365</v>
      </c>
      <c r="AD58" s="63">
        <f t="shared" si="29"/>
        <v>22.756479186425619</v>
      </c>
      <c r="AE58" s="63">
        <f t="shared" si="29"/>
        <v>23.097826374221999</v>
      </c>
      <c r="AF58" s="63">
        <f t="shared" si="29"/>
        <v>23.44429376983533</v>
      </c>
      <c r="AG58" s="63">
        <f t="shared" si="29"/>
        <v>23.795958176382854</v>
      </c>
      <c r="AH58" s="63">
        <f t="shared" si="29"/>
        <v>24.152897549028594</v>
      </c>
      <c r="AI58" s="63">
        <f t="shared" si="29"/>
        <v>24.515191012264022</v>
      </c>
      <c r="AJ58" s="63">
        <f t="shared" si="29"/>
        <v>24.882918877447981</v>
      </c>
      <c r="AK58" s="63">
        <f t="shared" si="29"/>
        <v>25.256162660609697</v>
      </c>
      <c r="AP58" s="63">
        <f t="shared" ref="AP58:BL58" si="30">AP46*$AN$49</f>
        <v>18.201804123711341</v>
      </c>
      <c r="AQ58" s="63">
        <f t="shared" si="30"/>
        <v>18.474831185567005</v>
      </c>
      <c r="AR58" s="63">
        <f t="shared" si="30"/>
        <v>18.751953653350512</v>
      </c>
      <c r="AS58" s="63">
        <f t="shared" si="30"/>
        <v>19.033232958150766</v>
      </c>
      <c r="AT58" s="63">
        <f t="shared" si="30"/>
        <v>19.304456527804415</v>
      </c>
      <c r="AU58" s="63">
        <f t="shared" si="30"/>
        <v>19.579545033325626</v>
      </c>
      <c r="AV58" s="147">
        <f t="shared" si="30"/>
        <v>19.858553550050519</v>
      </c>
      <c r="AW58" s="63">
        <f t="shared" si="30"/>
        <v>20.14153793813874</v>
      </c>
      <c r="AX58" s="63">
        <f t="shared" si="30"/>
        <v>20.42855485375722</v>
      </c>
      <c r="AY58" s="63">
        <f t="shared" si="30"/>
        <v>20.719661760423264</v>
      </c>
      <c r="AZ58" s="63">
        <f t="shared" si="30"/>
        <v>21.014916940509295</v>
      </c>
      <c r="BA58" s="63">
        <f t="shared" si="30"/>
        <v>21.314379506911557</v>
      </c>
      <c r="BB58" s="63">
        <f t="shared" si="30"/>
        <v>21.618109414885048</v>
      </c>
      <c r="BC58" s="63">
        <f t="shared" si="30"/>
        <v>21.926167474047162</v>
      </c>
      <c r="BD58" s="63">
        <f t="shared" si="30"/>
        <v>22.238615360552338</v>
      </c>
      <c r="BE58" s="63">
        <f t="shared" si="30"/>
        <v>22.555515629440208</v>
      </c>
      <c r="BF58" s="63">
        <f t="shared" si="30"/>
        <v>22.876931727159736</v>
      </c>
      <c r="BG58" s="63">
        <f t="shared" si="30"/>
        <v>23.202928004271765</v>
      </c>
      <c r="BH58" s="63">
        <f t="shared" si="30"/>
        <v>23.533569728332637</v>
      </c>
      <c r="BI58" s="63">
        <f t="shared" si="30"/>
        <v>23.868923096961382</v>
      </c>
      <c r="BJ58" s="63">
        <f t="shared" si="30"/>
        <v>24.209055251093083</v>
      </c>
      <c r="BK58" s="63">
        <f t="shared" si="30"/>
        <v>24.55403428842116</v>
      </c>
      <c r="BL58" s="63">
        <f t="shared" si="30"/>
        <v>24.903929277031168</v>
      </c>
    </row>
    <row r="59" spans="3:64" x14ac:dyDescent="0.2">
      <c r="D59" s="67"/>
      <c r="E59" s="67"/>
      <c r="L59" s="64"/>
      <c r="M59" s="66"/>
      <c r="O59" s="63"/>
      <c r="P59" s="63"/>
      <c r="Q59" s="63"/>
      <c r="R59" s="147"/>
      <c r="S59" s="63"/>
      <c r="T59" s="63"/>
      <c r="U59" s="147"/>
      <c r="V59" s="63"/>
      <c r="W59" s="63"/>
      <c r="X59" s="63"/>
      <c r="Y59" s="63"/>
      <c r="Z59" s="63"/>
      <c r="AA59" s="63"/>
      <c r="AB59" s="63"/>
      <c r="AC59" s="63"/>
      <c r="AD59" s="63"/>
      <c r="AE59" s="63"/>
      <c r="AF59" s="63"/>
      <c r="AG59" s="63"/>
      <c r="AH59" s="63"/>
      <c r="AI59" s="63"/>
      <c r="AJ59" s="63"/>
      <c r="AK59" s="63"/>
    </row>
    <row r="60" spans="3:64" x14ac:dyDescent="0.2">
      <c r="C60" t="s">
        <v>239</v>
      </c>
      <c r="D60" s="67"/>
      <c r="E60" s="67"/>
      <c r="L60" s="64"/>
      <c r="M60" s="66" t="s">
        <v>238</v>
      </c>
      <c r="N60" s="66"/>
      <c r="O60" s="63"/>
      <c r="P60" s="63"/>
      <c r="Q60" s="63"/>
      <c r="R60" s="147"/>
      <c r="S60" s="63"/>
      <c r="T60" s="63"/>
      <c r="U60" s="147"/>
      <c r="V60" s="63"/>
      <c r="W60" s="63"/>
      <c r="X60" s="63"/>
      <c r="Y60" s="63"/>
      <c r="Z60" s="63"/>
      <c r="AA60" s="63"/>
      <c r="AB60" s="63"/>
      <c r="AC60" s="63"/>
      <c r="AD60" s="63"/>
      <c r="AE60" s="63"/>
      <c r="AF60" s="63"/>
      <c r="AG60" s="63"/>
      <c r="AH60" s="63"/>
      <c r="AI60" s="63"/>
      <c r="AJ60" s="63"/>
      <c r="AK60" s="63"/>
    </row>
    <row r="61" spans="3:64" x14ac:dyDescent="0.2">
      <c r="D61" s="67" t="s">
        <v>224</v>
      </c>
      <c r="E61" s="67"/>
      <c r="L61" s="64" t="s">
        <v>55</v>
      </c>
      <c r="M61" s="63">
        <f>'Data tables'!R63</f>
        <v>56520</v>
      </c>
      <c r="N61" s="75">
        <f t="shared" ref="N61:N70" si="31">M61/$M$70</f>
        <v>0.56224819696592887</v>
      </c>
      <c r="O61" s="63"/>
      <c r="P61" s="63">
        <f>$N61*P$31</f>
        <v>20789.127082815219</v>
      </c>
      <c r="Q61" s="63">
        <f t="shared" ref="P61:Y69" si="32">$N61*Q$31</f>
        <v>23394.453189114371</v>
      </c>
      <c r="R61" s="147">
        <f t="shared" si="32"/>
        <v>25757.4839675277</v>
      </c>
      <c r="S61" s="63">
        <f t="shared" si="32"/>
        <v>27900.75288354859</v>
      </c>
      <c r="T61" s="63">
        <f t="shared" si="32"/>
        <v>30136.28952640418</v>
      </c>
      <c r="U61" s="147">
        <f t="shared" si="32"/>
        <v>31899.44755689985</v>
      </c>
      <c r="V61" s="63">
        <f t="shared" si="32"/>
        <v>39121.113860218706</v>
      </c>
      <c r="W61" s="63">
        <f t="shared" si="32"/>
        <v>47880.800611405015</v>
      </c>
      <c r="X61" s="63">
        <f t="shared" si="32"/>
        <v>49196.368004305725</v>
      </c>
      <c r="Y61" s="63">
        <f t="shared" si="32"/>
        <v>50389.587629666668</v>
      </c>
      <c r="Z61" s="63">
        <f t="shared" ref="Z61:AK69" si="33">$N61*Z$31</f>
        <v>51471.837829869044</v>
      </c>
      <c r="AA61" s="63">
        <f t="shared" si="33"/>
        <v>52453.438761452599</v>
      </c>
      <c r="AB61" s="63">
        <f t="shared" si="33"/>
        <v>53343.750806398886</v>
      </c>
      <c r="AC61" s="63">
        <f t="shared" si="33"/>
        <v>54151.263831165168</v>
      </c>
      <c r="AD61" s="63">
        <f t="shared" si="33"/>
        <v>54883.678144628182</v>
      </c>
      <c r="AE61" s="63">
        <f t="shared" si="33"/>
        <v>55547.977926939144</v>
      </c>
      <c r="AF61" s="63">
        <f t="shared" si="33"/>
        <v>56150.497829495187</v>
      </c>
      <c r="AG61" s="63">
        <f t="shared" si="33"/>
        <v>56696.98338111351</v>
      </c>
      <c r="AH61" s="63">
        <f t="shared" si="33"/>
        <v>57192.645776431338</v>
      </c>
      <c r="AI61" s="63">
        <f t="shared" si="33"/>
        <v>57642.211568984603</v>
      </c>
      <c r="AJ61" s="63">
        <f t="shared" si="33"/>
        <v>58049.96774283042</v>
      </c>
      <c r="AK61" s="63">
        <f t="shared" si="33"/>
        <v>58419.802592508568</v>
      </c>
      <c r="AQ61" s="63">
        <f t="shared" ref="AQ61:AQ69" si="34">$N61*AQ$31</f>
        <v>20789.127082815219</v>
      </c>
      <c r="AR61" s="63">
        <f t="shared" ref="AR61:BG69" si="35">$N61*AR$31</f>
        <v>23394.453189114371</v>
      </c>
      <c r="AS61" s="63">
        <f t="shared" si="35"/>
        <v>25757.4839675277</v>
      </c>
      <c r="AT61" s="63">
        <f>$N61*AT$31</f>
        <v>27364.935654543366</v>
      </c>
      <c r="AU61" s="63">
        <f t="shared" si="35"/>
        <v>28822.89433466658</v>
      </c>
      <c r="AV61" s="147">
        <f t="shared" si="35"/>
        <v>30145.262857538331</v>
      </c>
      <c r="AW61" s="63">
        <f t="shared" si="35"/>
        <v>31344.651107783011</v>
      </c>
      <c r="AX61" s="63">
        <f t="shared" si="35"/>
        <v>32432.496250754932</v>
      </c>
      <c r="AY61" s="63">
        <f t="shared" si="35"/>
        <v>33419.17179543047</v>
      </c>
      <c r="AZ61" s="63">
        <f t="shared" si="35"/>
        <v>34314.086514451177</v>
      </c>
      <c r="BA61" s="63">
        <f t="shared" si="35"/>
        <v>35125.774164602961</v>
      </c>
      <c r="BB61" s="63">
        <f t="shared" si="35"/>
        <v>35861.974863290634</v>
      </c>
      <c r="BC61" s="63">
        <f t="shared" si="35"/>
        <v>36529.708897000346</v>
      </c>
      <c r="BD61" s="63">
        <f t="shared" si="35"/>
        <v>37135.343665575056</v>
      </c>
      <c r="BE61" s="63">
        <f t="shared" si="35"/>
        <v>37684.65440067232</v>
      </c>
      <c r="BF61" s="63">
        <f t="shared" si="35"/>
        <v>38182.879237405534</v>
      </c>
      <c r="BG61" s="63">
        <f t="shared" si="35"/>
        <v>38634.769164322563</v>
      </c>
      <c r="BH61" s="63">
        <f t="shared" ref="BH61:BL69" si="36">$N61*BH$31</f>
        <v>39044.633328036311</v>
      </c>
      <c r="BI61" s="63">
        <f t="shared" si="36"/>
        <v>39416.380124524672</v>
      </c>
      <c r="BJ61" s="63">
        <f t="shared" si="36"/>
        <v>39753.554468939619</v>
      </c>
      <c r="BK61" s="63">
        <f t="shared" si="36"/>
        <v>40059.371599323975</v>
      </c>
      <c r="BL61" s="63">
        <f t="shared" si="36"/>
        <v>40336.747736582591</v>
      </c>
    </row>
    <row r="62" spans="3:64" x14ac:dyDescent="0.2">
      <c r="D62" s="67" t="s">
        <v>64</v>
      </c>
      <c r="E62" s="67"/>
      <c r="L62" s="64" t="s">
        <v>55</v>
      </c>
      <c r="M62" s="63">
        <f>'Data tables'!R41</f>
        <v>5660</v>
      </c>
      <c r="N62" s="75">
        <f t="shared" si="31"/>
        <v>5.6304401890077092E-2</v>
      </c>
      <c r="O62" s="63"/>
      <c r="P62" s="63">
        <f t="shared" si="32"/>
        <v>2081.8552598856004</v>
      </c>
      <c r="Q62" s="63">
        <f t="shared" si="32"/>
        <v>2342.7566357110286</v>
      </c>
      <c r="R62" s="147">
        <f t="shared" si="32"/>
        <v>2579.3941835846917</v>
      </c>
      <c r="S62" s="63">
        <f t="shared" si="32"/>
        <v>2794.024439506104</v>
      </c>
      <c r="T62" s="63">
        <f t="shared" si="32"/>
        <v>3017.8945279449335</v>
      </c>
      <c r="U62" s="147">
        <f t="shared" si="32"/>
        <v>3194.4598933484276</v>
      </c>
      <c r="V62" s="63">
        <f t="shared" si="32"/>
        <v>3917.6486986701675</v>
      </c>
      <c r="W62" s="63">
        <f t="shared" si="32"/>
        <v>4794.8572445249883</v>
      </c>
      <c r="X62" s="63">
        <f t="shared" si="32"/>
        <v>4926.6001929294125</v>
      </c>
      <c r="Y62" s="63">
        <f t="shared" si="32"/>
        <v>5046.091047132224</v>
      </c>
      <c r="Z62" s="63">
        <f t="shared" si="33"/>
        <v>5154.4692518941747</v>
      </c>
      <c r="AA62" s="63">
        <f t="shared" si="33"/>
        <v>5252.7682836132644</v>
      </c>
      <c r="AB62" s="63">
        <f t="shared" si="33"/>
        <v>5341.9255053824781</v>
      </c>
      <c r="AC62" s="63">
        <f t="shared" si="33"/>
        <v>5422.7911055271552</v>
      </c>
      <c r="AD62" s="63">
        <f t="shared" si="33"/>
        <v>5496.1362048583778</v>
      </c>
      <c r="AE62" s="63">
        <f t="shared" si="33"/>
        <v>5562.6602099517959</v>
      </c>
      <c r="AF62" s="63">
        <f t="shared" si="33"/>
        <v>5622.9974825715271</v>
      </c>
      <c r="AG62" s="63">
        <f t="shared" si="33"/>
        <v>5677.7233888376231</v>
      </c>
      <c r="AH62" s="63">
        <f t="shared" si="33"/>
        <v>5727.3597858209723</v>
      </c>
      <c r="AI62" s="63">
        <f t="shared" si="33"/>
        <v>5772.3799978848701</v>
      </c>
      <c r="AJ62" s="63">
        <f t="shared" si="33"/>
        <v>5813.2133302268248</v>
      </c>
      <c r="AK62" s="63">
        <f t="shared" si="33"/>
        <v>5850.2491626609781</v>
      </c>
      <c r="AQ62" s="63">
        <f t="shared" si="34"/>
        <v>2081.8552598856004</v>
      </c>
      <c r="AR62" s="63">
        <f t="shared" si="35"/>
        <v>2342.7566357110286</v>
      </c>
      <c r="AS62" s="63">
        <f t="shared" si="35"/>
        <v>2579.3941835846917</v>
      </c>
      <c r="AT62" s="63">
        <f t="shared" si="35"/>
        <v>2740.3668755257509</v>
      </c>
      <c r="AU62" s="63">
        <f t="shared" si="35"/>
        <v>2886.3691071162921</v>
      </c>
      <c r="AV62" s="147">
        <f t="shared" si="35"/>
        <v>3018.7931311689126</v>
      </c>
      <c r="AW62" s="63">
        <f t="shared" si="35"/>
        <v>3138.9017209846397</v>
      </c>
      <c r="AX62" s="63">
        <f t="shared" si="35"/>
        <v>3247.840211947504</v>
      </c>
      <c r="AY62" s="63">
        <f t="shared" si="35"/>
        <v>3346.6474232508217</v>
      </c>
      <c r="AZ62" s="63">
        <f t="shared" si="35"/>
        <v>3436.2655639029308</v>
      </c>
      <c r="BA62" s="63">
        <f t="shared" si="35"/>
        <v>3517.549217474394</v>
      </c>
      <c r="BB62" s="63">
        <f t="shared" si="35"/>
        <v>3591.2734912637111</v>
      </c>
      <c r="BC62" s="63">
        <f t="shared" si="35"/>
        <v>3658.1414075906218</v>
      </c>
      <c r="BD62" s="63">
        <f t="shared" si="35"/>
        <v>3718.7906076991299</v>
      </c>
      <c r="BE62" s="63">
        <f t="shared" si="35"/>
        <v>3773.7994321975466</v>
      </c>
      <c r="BF62" s="63">
        <f t="shared" si="35"/>
        <v>3823.6924360176104</v>
      </c>
      <c r="BG62" s="63">
        <f t="shared" si="35"/>
        <v>3868.9453904824081</v>
      </c>
      <c r="BH62" s="63">
        <f t="shared" si="36"/>
        <v>3909.9898201819797</v>
      </c>
      <c r="BI62" s="63">
        <f t="shared" si="36"/>
        <v>3947.2171179194911</v>
      </c>
      <c r="BJ62" s="63">
        <f t="shared" si="36"/>
        <v>3980.9822769674138</v>
      </c>
      <c r="BK62" s="63">
        <f t="shared" si="36"/>
        <v>4011.60727622388</v>
      </c>
      <c r="BL62" s="63">
        <f t="shared" si="36"/>
        <v>4039.3841505494947</v>
      </c>
    </row>
    <row r="63" spans="3:64" x14ac:dyDescent="0.2">
      <c r="D63" s="67" t="s">
        <v>63</v>
      </c>
      <c r="E63" s="67"/>
      <c r="L63" s="64" t="s">
        <v>55</v>
      </c>
      <c r="M63" s="63">
        <f>'Data tables'!R44</f>
        <v>7140</v>
      </c>
      <c r="N63" s="75">
        <f t="shared" si="31"/>
        <v>7.102710768465556E-2</v>
      </c>
      <c r="O63" s="63"/>
      <c r="P63" s="63">
        <f t="shared" si="32"/>
        <v>2626.2273066401394</v>
      </c>
      <c r="Q63" s="63">
        <f t="shared" si="32"/>
        <v>2955.3502436354675</v>
      </c>
      <c r="R63" s="147">
        <f t="shared" si="32"/>
        <v>3253.8647474902295</v>
      </c>
      <c r="S63" s="63">
        <f t="shared" si="32"/>
        <v>3524.617402486499</v>
      </c>
      <c r="T63" s="63">
        <f t="shared" si="32"/>
        <v>3807.0259592803582</v>
      </c>
      <c r="U63" s="147">
        <f t="shared" si="32"/>
        <v>4029.7603601603846</v>
      </c>
      <c r="V63" s="63">
        <f t="shared" si="32"/>
        <v>4942.0515386051238</v>
      </c>
      <c r="W63" s="63">
        <f t="shared" si="32"/>
        <v>6048.6361706551979</v>
      </c>
      <c r="X63" s="63">
        <f t="shared" si="32"/>
        <v>6214.8278052148426</v>
      </c>
      <c r="Y63" s="63">
        <f t="shared" si="32"/>
        <v>6365.5636177604392</v>
      </c>
      <c r="Z63" s="63">
        <f t="shared" si="33"/>
        <v>6502.2809997392951</v>
      </c>
      <c r="AA63" s="63">
        <f t="shared" si="33"/>
        <v>6626.2836651941188</v>
      </c>
      <c r="AB63" s="63">
        <f t="shared" si="33"/>
        <v>6738.7540827616431</v>
      </c>
      <c r="AC63" s="63">
        <f t="shared" si="33"/>
        <v>6840.7647514953878</v>
      </c>
      <c r="AD63" s="63">
        <f t="shared" si="33"/>
        <v>6933.2884280368944</v>
      </c>
      <c r="AE63" s="63">
        <f t="shared" si="33"/>
        <v>7017.2074026600403</v>
      </c>
      <c r="AF63" s="63">
        <f t="shared" si="33"/>
        <v>7093.321912643235</v>
      </c>
      <c r="AG63" s="63">
        <f t="shared" si="33"/>
        <v>7162.3577731979922</v>
      </c>
      <c r="AH63" s="63">
        <f t="shared" si="33"/>
        <v>7224.9732987211564</v>
      </c>
      <c r="AI63" s="63">
        <f t="shared" si="33"/>
        <v>7281.7655803706666</v>
      </c>
      <c r="AJ63" s="63">
        <f t="shared" si="33"/>
        <v>7333.2761798267729</v>
      </c>
      <c r="AK63" s="63">
        <f t="shared" si="33"/>
        <v>7379.9962935334606</v>
      </c>
      <c r="AQ63" s="63">
        <f t="shared" si="34"/>
        <v>2626.2273066401394</v>
      </c>
      <c r="AR63" s="63">
        <f t="shared" si="35"/>
        <v>2955.3502436354675</v>
      </c>
      <c r="AS63" s="63">
        <f t="shared" si="35"/>
        <v>3253.8647474902295</v>
      </c>
      <c r="AT63" s="63">
        <f t="shared" si="35"/>
        <v>3456.9292387374317</v>
      </c>
      <c r="AU63" s="63">
        <f t="shared" si="35"/>
        <v>3641.1087322986441</v>
      </c>
      <c r="AV63" s="147">
        <f t="shared" si="35"/>
        <v>3808.1595329586639</v>
      </c>
      <c r="AW63" s="63">
        <f t="shared" si="35"/>
        <v>3959.6746091573018</v>
      </c>
      <c r="AX63" s="63">
        <f t="shared" si="35"/>
        <v>4097.0987832694664</v>
      </c>
      <c r="AY63" s="63">
        <f t="shared" si="35"/>
        <v>4221.7425091891992</v>
      </c>
      <c r="AZ63" s="63">
        <f t="shared" si="35"/>
        <v>4334.7943685983973</v>
      </c>
      <c r="BA63" s="63">
        <f t="shared" si="35"/>
        <v>4437.3324050825404</v>
      </c>
      <c r="BB63" s="63">
        <f t="shared" si="35"/>
        <v>4530.3344041736573</v>
      </c>
      <c r="BC63" s="63">
        <f t="shared" si="35"/>
        <v>4614.6872173493011</v>
      </c>
      <c r="BD63" s="63">
        <f t="shared" si="35"/>
        <v>4691.1952188996092</v>
      </c>
      <c r="BE63" s="63">
        <f t="shared" si="35"/>
        <v>4760.5879763057392</v>
      </c>
      <c r="BF63" s="63">
        <f t="shared" si="35"/>
        <v>4823.5272072730986</v>
      </c>
      <c r="BG63" s="63">
        <f t="shared" si="35"/>
        <v>4880.6130897604944</v>
      </c>
      <c r="BH63" s="63">
        <f t="shared" si="36"/>
        <v>4932.3899851765618</v>
      </c>
      <c r="BI63" s="63">
        <f t="shared" si="36"/>
        <v>4979.3516293189341</v>
      </c>
      <c r="BJ63" s="63">
        <f t="shared" si="36"/>
        <v>5021.9458405560672</v>
      </c>
      <c r="BK63" s="63">
        <f t="shared" si="36"/>
        <v>5060.5787901481463</v>
      </c>
      <c r="BL63" s="63">
        <f t="shared" si="36"/>
        <v>5095.618875428162</v>
      </c>
    </row>
    <row r="64" spans="3:64" x14ac:dyDescent="0.2">
      <c r="D64" s="67" t="s">
        <v>76</v>
      </c>
      <c r="E64" s="67"/>
      <c r="L64" s="64" t="s">
        <v>55</v>
      </c>
      <c r="M64" s="63">
        <f>'Data tables'!R47</f>
        <v>3958</v>
      </c>
      <c r="N64" s="75">
        <f t="shared" si="31"/>
        <v>3.9373290226311863E-2</v>
      </c>
      <c r="O64" s="63"/>
      <c r="P64" s="63">
        <f t="shared" si="32"/>
        <v>1455.8274061178811</v>
      </c>
      <c r="Q64" s="63">
        <f t="shared" si="32"/>
        <v>1638.2739865979242</v>
      </c>
      <c r="R64" s="147">
        <f t="shared" si="32"/>
        <v>1803.7530350933234</v>
      </c>
      <c r="S64" s="63">
        <f t="shared" si="32"/>
        <v>1953.8425320786503</v>
      </c>
      <c r="T64" s="63">
        <f t="shared" si="32"/>
        <v>2110.3933819091958</v>
      </c>
      <c r="U64" s="147">
        <f t="shared" si="32"/>
        <v>2233.8643565146781</v>
      </c>
      <c r="V64" s="63">
        <f t="shared" si="32"/>
        <v>2739.5854327449688</v>
      </c>
      <c r="W64" s="63">
        <f t="shared" si="32"/>
        <v>3353.0114794752485</v>
      </c>
      <c r="X64" s="63">
        <f t="shared" si="32"/>
        <v>3445.1384388011688</v>
      </c>
      <c r="Y64" s="63">
        <f t="shared" si="32"/>
        <v>3528.6975909097782</v>
      </c>
      <c r="Z64" s="63">
        <f t="shared" si="33"/>
        <v>3604.4857418722872</v>
      </c>
      <c r="AA64" s="63">
        <f t="shared" si="33"/>
        <v>3673.2255947952831</v>
      </c>
      <c r="AB64" s="63">
        <f t="shared" si="33"/>
        <v>3735.5726413964398</v>
      </c>
      <c r="AC64" s="63">
        <f t="shared" si="33"/>
        <v>3792.1214126636896</v>
      </c>
      <c r="AD64" s="63">
        <f t="shared" si="33"/>
        <v>3843.4111482030848</v>
      </c>
      <c r="AE64" s="63">
        <f t="shared" si="33"/>
        <v>3889.9309383373165</v>
      </c>
      <c r="AF64" s="63">
        <f t="shared" si="33"/>
        <v>3932.1243879890649</v>
      </c>
      <c r="AG64" s="63">
        <f t="shared" si="33"/>
        <v>3970.3938468232004</v>
      </c>
      <c r="AH64" s="63">
        <f t="shared" si="33"/>
        <v>4005.1042459857617</v>
      </c>
      <c r="AI64" s="63">
        <f t="shared" si="33"/>
        <v>4036.5865780262043</v>
      </c>
      <c r="AJ64" s="63">
        <f t="shared" si="33"/>
        <v>4065.141053186886</v>
      </c>
      <c r="AK64" s="63">
        <f t="shared" si="33"/>
        <v>4091.0399621576244</v>
      </c>
      <c r="AQ64" s="63">
        <f t="shared" si="34"/>
        <v>1455.8274061178811</v>
      </c>
      <c r="AR64" s="63">
        <f t="shared" si="35"/>
        <v>1638.2739865979242</v>
      </c>
      <c r="AS64" s="63">
        <f t="shared" si="35"/>
        <v>1803.7530350933234</v>
      </c>
      <c r="AT64" s="63">
        <f t="shared" si="35"/>
        <v>1916.3201578323187</v>
      </c>
      <c r="AU64" s="63">
        <f t="shared" si="35"/>
        <v>2018.4185381565874</v>
      </c>
      <c r="AV64" s="147">
        <f t="shared" si="35"/>
        <v>2111.0217691106991</v>
      </c>
      <c r="AW64" s="63">
        <f t="shared" si="35"/>
        <v>2195.0128995860787</v>
      </c>
      <c r="AX64" s="63">
        <f t="shared" si="35"/>
        <v>2271.1928549272475</v>
      </c>
      <c r="AY64" s="63">
        <f t="shared" si="35"/>
        <v>2340.2880744216877</v>
      </c>
      <c r="AZ64" s="63">
        <f t="shared" si="35"/>
        <v>2402.9574385031451</v>
      </c>
      <c r="BA64" s="63">
        <f t="shared" si="35"/>
        <v>2459.7985517250272</v>
      </c>
      <c r="BB64" s="63">
        <f t="shared" si="35"/>
        <v>2511.3534414172736</v>
      </c>
      <c r="BC64" s="63">
        <f t="shared" si="35"/>
        <v>2558.1137263681417</v>
      </c>
      <c r="BD64" s="63">
        <f t="shared" si="35"/>
        <v>2600.5253048185791</v>
      </c>
      <c r="BE64" s="63">
        <f t="shared" si="35"/>
        <v>2638.9926064731253</v>
      </c>
      <c r="BF64" s="63">
        <f t="shared" si="35"/>
        <v>2673.8824490737989</v>
      </c>
      <c r="BG64" s="63">
        <f t="shared" si="35"/>
        <v>2705.5275363126102</v>
      </c>
      <c r="BH64" s="63">
        <f t="shared" si="36"/>
        <v>2734.2296304382116</v>
      </c>
      <c r="BI64" s="63">
        <f t="shared" si="36"/>
        <v>2760.2624298101318</v>
      </c>
      <c r="BJ64" s="63">
        <f t="shared" si="36"/>
        <v>2783.8741788404641</v>
      </c>
      <c r="BK64" s="63">
        <f t="shared" si="36"/>
        <v>2805.290035210975</v>
      </c>
      <c r="BL64" s="63">
        <f t="shared" si="36"/>
        <v>2824.7142169390286</v>
      </c>
    </row>
    <row r="65" spans="3:89" x14ac:dyDescent="0.2">
      <c r="D65" s="67" t="s">
        <v>72</v>
      </c>
      <c r="E65" s="67"/>
      <c r="L65" s="64" t="s">
        <v>55</v>
      </c>
      <c r="M65" s="63">
        <f>'Data tables'!R42</f>
        <v>7210</v>
      </c>
      <c r="N65" s="75">
        <f t="shared" si="31"/>
        <v>7.1723451877642383E-2</v>
      </c>
      <c r="O65" s="63"/>
      <c r="P65" s="63">
        <f t="shared" si="32"/>
        <v>2651.974633175827</v>
      </c>
      <c r="Q65" s="63">
        <f t="shared" si="32"/>
        <v>2984.3242656318939</v>
      </c>
      <c r="R65" s="147">
        <f t="shared" si="32"/>
        <v>3285.7653822695456</v>
      </c>
      <c r="S65" s="63">
        <f t="shared" si="32"/>
        <v>3559.1724750598964</v>
      </c>
      <c r="T65" s="63">
        <f t="shared" si="32"/>
        <v>3844.3497431948717</v>
      </c>
      <c r="U65" s="147">
        <f t="shared" si="32"/>
        <v>4069.2678146717608</v>
      </c>
      <c r="V65" s="63">
        <f t="shared" si="32"/>
        <v>4990.5030242777229</v>
      </c>
      <c r="W65" s="63">
        <f t="shared" si="32"/>
        <v>6107.9365252694652</v>
      </c>
      <c r="X65" s="63">
        <f t="shared" si="32"/>
        <v>6275.7574895796943</v>
      </c>
      <c r="Y65" s="63">
        <f t="shared" si="32"/>
        <v>6427.9711042090712</v>
      </c>
      <c r="Z65" s="63">
        <f t="shared" si="33"/>
        <v>6566.0288526779168</v>
      </c>
      <c r="AA65" s="63">
        <f t="shared" si="33"/>
        <v>6691.2472305391593</v>
      </c>
      <c r="AB65" s="63">
        <f t="shared" si="33"/>
        <v>6804.820299259306</v>
      </c>
      <c r="AC65" s="63">
        <f t="shared" si="33"/>
        <v>6907.8310725884794</v>
      </c>
      <c r="AD65" s="63">
        <f t="shared" si="33"/>
        <v>7001.2618439980406</v>
      </c>
      <c r="AE65" s="63">
        <f t="shared" si="33"/>
        <v>7086.0035536665118</v>
      </c>
      <c r="AF65" s="63">
        <f t="shared" si="33"/>
        <v>7162.8642843358157</v>
      </c>
      <c r="AG65" s="63">
        <f t="shared" si="33"/>
        <v>7232.5769670528744</v>
      </c>
      <c r="AH65" s="63">
        <f t="shared" si="33"/>
        <v>7295.806370277247</v>
      </c>
      <c r="AI65" s="63">
        <f t="shared" si="33"/>
        <v>7353.1554390017518</v>
      </c>
      <c r="AJ65" s="63">
        <f t="shared" si="33"/>
        <v>7405.1710443348784</v>
      </c>
      <c r="AK65" s="63">
        <f t="shared" si="33"/>
        <v>7452.3491983720241</v>
      </c>
      <c r="AQ65" s="63">
        <f t="shared" si="34"/>
        <v>2651.974633175827</v>
      </c>
      <c r="AR65" s="63">
        <f t="shared" si="35"/>
        <v>2984.3242656318939</v>
      </c>
      <c r="AS65" s="63">
        <f t="shared" si="35"/>
        <v>3285.7653822695456</v>
      </c>
      <c r="AT65" s="63">
        <f t="shared" si="35"/>
        <v>3490.8207018623089</v>
      </c>
      <c r="AU65" s="63">
        <f t="shared" si="35"/>
        <v>3676.8058767329449</v>
      </c>
      <c r="AV65" s="147">
        <f t="shared" si="35"/>
        <v>3845.4944303406119</v>
      </c>
      <c r="AW65" s="63">
        <f t="shared" si="35"/>
        <v>3998.4949484627659</v>
      </c>
      <c r="AX65" s="63">
        <f t="shared" si="35"/>
        <v>4137.2664183995594</v>
      </c>
      <c r="AY65" s="63">
        <f t="shared" si="35"/>
        <v>4263.1321416322307</v>
      </c>
      <c r="AZ65" s="63">
        <f t="shared" si="35"/>
        <v>4377.2923526042641</v>
      </c>
      <c r="BA65" s="63">
        <f t="shared" si="35"/>
        <v>4480.8356639558988</v>
      </c>
      <c r="BB65" s="63">
        <f t="shared" si="35"/>
        <v>4574.7494473518309</v>
      </c>
      <c r="BC65" s="63">
        <f t="shared" si="35"/>
        <v>4659.9292488919409</v>
      </c>
      <c r="BD65" s="63">
        <f t="shared" si="35"/>
        <v>4737.1873288888219</v>
      </c>
      <c r="BE65" s="63">
        <f t="shared" si="35"/>
        <v>4807.2604074459914</v>
      </c>
      <c r="BF65" s="63">
        <f t="shared" si="35"/>
        <v>4870.8166896973453</v>
      </c>
      <c r="BG65" s="63">
        <f t="shared" si="35"/>
        <v>4928.4622376993229</v>
      </c>
      <c r="BH65" s="63">
        <f t="shared" si="36"/>
        <v>4980.7467497371163</v>
      </c>
      <c r="BI65" s="63">
        <f t="shared" si="36"/>
        <v>5028.1688021553946</v>
      </c>
      <c r="BJ65" s="63">
        <f t="shared" si="36"/>
        <v>5071.1806036987737</v>
      </c>
      <c r="BK65" s="63">
        <f t="shared" si="36"/>
        <v>5110.1923076986177</v>
      </c>
      <c r="BL65" s="63">
        <f t="shared" si="36"/>
        <v>5145.5759232264772</v>
      </c>
    </row>
    <row r="66" spans="3:89" x14ac:dyDescent="0.2">
      <c r="D66" s="67" t="s">
        <v>73</v>
      </c>
      <c r="E66" s="67"/>
      <c r="L66" s="64" t="s">
        <v>55</v>
      </c>
      <c r="M66" s="63">
        <f>'Data tables'!R43</f>
        <v>1031</v>
      </c>
      <c r="N66" s="75">
        <f t="shared" si="31"/>
        <v>1.0256155185277295E-2</v>
      </c>
      <c r="O66" s="63"/>
      <c r="P66" s="63">
        <f t="shared" si="32"/>
        <v>379.22133797562799</v>
      </c>
      <c r="Q66" s="63">
        <f t="shared" si="32"/>
        <v>426.74595254736232</v>
      </c>
      <c r="R66" s="147">
        <f t="shared" si="32"/>
        <v>469.85077796392534</v>
      </c>
      <c r="S66" s="63">
        <f t="shared" si="32"/>
        <v>508.946854616748</v>
      </c>
      <c r="T66" s="63">
        <f t="shared" si="32"/>
        <v>549.72601736947468</v>
      </c>
      <c r="U66" s="147">
        <f t="shared" si="32"/>
        <v>581.88836573184267</v>
      </c>
      <c r="V66" s="63">
        <f t="shared" si="32"/>
        <v>713.6211675492832</v>
      </c>
      <c r="W66" s="63">
        <f t="shared" si="32"/>
        <v>873.40950867584172</v>
      </c>
      <c r="X66" s="63">
        <f t="shared" si="32"/>
        <v>897.40720828802557</v>
      </c>
      <c r="Y66" s="63">
        <f t="shared" si="32"/>
        <v>919.17312183627632</v>
      </c>
      <c r="Z66" s="63">
        <f t="shared" si="33"/>
        <v>938.91480542453974</v>
      </c>
      <c r="AA66" s="63">
        <f t="shared" si="33"/>
        <v>956.82051243909473</v>
      </c>
      <c r="AB66" s="63">
        <f t="shared" si="33"/>
        <v>973.06098870129608</v>
      </c>
      <c r="AC66" s="63">
        <f t="shared" si="33"/>
        <v>987.79110067111264</v>
      </c>
      <c r="AD66" s="63">
        <f t="shared" si="33"/>
        <v>1001.1513122277364</v>
      </c>
      <c r="AE66" s="63">
        <f t="shared" si="33"/>
        <v>1013.2690241095941</v>
      </c>
      <c r="AF66" s="63">
        <f t="shared" si="33"/>
        <v>1024.259788786439</v>
      </c>
      <c r="AG66" s="63">
        <f t="shared" si="33"/>
        <v>1034.2284123483375</v>
      </c>
      <c r="AH66" s="63">
        <f t="shared" si="33"/>
        <v>1043.2699539189794</v>
      </c>
      <c r="AI66" s="63">
        <f t="shared" si="33"/>
        <v>1051.4706321235515</v>
      </c>
      <c r="AJ66" s="63">
        <f t="shared" si="33"/>
        <v>1058.9086472550985</v>
      </c>
      <c r="AK66" s="63">
        <f t="shared" si="33"/>
        <v>1065.6549269794116</v>
      </c>
      <c r="AQ66" s="63">
        <f t="shared" si="34"/>
        <v>379.22133797562799</v>
      </c>
      <c r="AR66" s="63">
        <f t="shared" si="35"/>
        <v>426.74595254736232</v>
      </c>
      <c r="AS66" s="63">
        <f t="shared" si="35"/>
        <v>469.85077796392534</v>
      </c>
      <c r="AT66" s="63">
        <f t="shared" si="35"/>
        <v>499.17283545354235</v>
      </c>
      <c r="AU66" s="63">
        <f t="shared" si="35"/>
        <v>525.76794159662495</v>
      </c>
      <c r="AV66" s="147">
        <f t="shared" si="35"/>
        <v>549.88970286840095</v>
      </c>
      <c r="AW66" s="63">
        <f t="shared" si="35"/>
        <v>571.7681403419017</v>
      </c>
      <c r="AX66" s="63">
        <f t="shared" si="35"/>
        <v>591.61188313036689</v>
      </c>
      <c r="AY66" s="63">
        <f t="shared" si="35"/>
        <v>609.61015783950484</v>
      </c>
      <c r="AZ66" s="63">
        <f t="shared" si="35"/>
        <v>625.93459300069298</v>
      </c>
      <c r="BA66" s="63">
        <f t="shared" si="35"/>
        <v>640.7408556918906</v>
      </c>
      <c r="BB66" s="63">
        <f t="shared" si="35"/>
        <v>654.17013595280685</v>
      </c>
      <c r="BC66" s="63">
        <f t="shared" si="35"/>
        <v>666.35049314945786</v>
      </c>
      <c r="BD66" s="63">
        <f t="shared" si="35"/>
        <v>677.39807712682034</v>
      </c>
      <c r="BE66" s="63">
        <f t="shared" si="35"/>
        <v>687.41823579428808</v>
      </c>
      <c r="BF66" s="63">
        <f t="shared" si="35"/>
        <v>696.5065197056814</v>
      </c>
      <c r="BG66" s="63">
        <f t="shared" si="35"/>
        <v>704.74959321331505</v>
      </c>
      <c r="BH66" s="63">
        <f t="shared" si="36"/>
        <v>712.22606088473879</v>
      </c>
      <c r="BI66" s="63">
        <f t="shared" si="36"/>
        <v>719.00721706272009</v>
      </c>
      <c r="BJ66" s="63">
        <f t="shared" si="36"/>
        <v>725.15772571614912</v>
      </c>
      <c r="BK66" s="63">
        <f t="shared" si="36"/>
        <v>730.7362370648093</v>
      </c>
      <c r="BL66" s="63">
        <f t="shared" si="36"/>
        <v>735.79594685804409</v>
      </c>
    </row>
    <row r="67" spans="3:89" x14ac:dyDescent="0.2">
      <c r="D67" s="67" t="s">
        <v>180</v>
      </c>
      <c r="E67" s="67"/>
      <c r="L67" s="64" t="s">
        <v>55</v>
      </c>
      <c r="M67" s="63">
        <f>'Data tables'!R45</f>
        <v>7646</v>
      </c>
      <c r="N67" s="75">
        <f t="shared" si="31"/>
        <v>7.6060681422531709E-2</v>
      </c>
      <c r="O67" s="63"/>
      <c r="P67" s="63">
        <f t="shared" si="32"/>
        <v>2812.3436955981101</v>
      </c>
      <c r="Q67" s="63">
        <f t="shared" si="32"/>
        <v>3164.7910312096337</v>
      </c>
      <c r="R67" s="147">
        <f t="shared" si="32"/>
        <v>3484.460764609285</v>
      </c>
      <c r="S67" s="63">
        <f t="shared" si="32"/>
        <v>3774.4012128027694</v>
      </c>
      <c r="T67" s="63">
        <f t="shared" si="32"/>
        <v>4076.8235972909829</v>
      </c>
      <c r="U67" s="147">
        <f t="shared" si="32"/>
        <v>4315.342817056905</v>
      </c>
      <c r="V67" s="63">
        <f t="shared" si="32"/>
        <v>5292.2865636099123</v>
      </c>
      <c r="W67" s="63">
        <f t="shared" si="32"/>
        <v>6477.2930197240403</v>
      </c>
      <c r="X67" s="63">
        <f t="shared" si="32"/>
        <v>6655.2623807664822</v>
      </c>
      <c r="Y67" s="63">
        <f t="shared" si="32"/>
        <v>6816.6805912319769</v>
      </c>
      <c r="Z67" s="63">
        <f t="shared" si="33"/>
        <v>6963.0869081241808</v>
      </c>
      <c r="AA67" s="63">
        <f t="shared" si="33"/>
        <v>7095.8774375454104</v>
      </c>
      <c r="AB67" s="63">
        <f t="shared" si="33"/>
        <v>7216.3184477304649</v>
      </c>
      <c r="AC67" s="63">
        <f t="shared" si="33"/>
        <v>7325.5584439683098</v>
      </c>
      <c r="AD67" s="63">
        <f t="shared" si="33"/>
        <v>7424.6391205560349</v>
      </c>
      <c r="AE67" s="63">
        <f t="shared" si="33"/>
        <v>7514.5052942211023</v>
      </c>
      <c r="AF67" s="63">
        <f t="shared" si="33"/>
        <v>7596.0139137353181</v>
      </c>
      <c r="AG67" s="63">
        <f t="shared" si="33"/>
        <v>7669.9422316347118</v>
      </c>
      <c r="AH67" s="63">
        <f t="shared" si="33"/>
        <v>7736.9952159694622</v>
      </c>
      <c r="AI67" s="63">
        <f t="shared" si="33"/>
        <v>7797.8122727610807</v>
      </c>
      <c r="AJ67" s="63">
        <f t="shared" si="33"/>
        <v>7852.9733432710791</v>
      </c>
      <c r="AK67" s="63">
        <f t="shared" si="33"/>
        <v>7903.004434223647</v>
      </c>
      <c r="AQ67" s="63">
        <f t="shared" si="34"/>
        <v>2812.3436955981101</v>
      </c>
      <c r="AR67" s="63">
        <f t="shared" si="35"/>
        <v>3164.7910312096337</v>
      </c>
      <c r="AS67" s="63">
        <f t="shared" si="35"/>
        <v>3484.460764609285</v>
      </c>
      <c r="AT67" s="63">
        <f t="shared" si="35"/>
        <v>3701.916100754398</v>
      </c>
      <c r="AU67" s="63">
        <f t="shared" si="35"/>
        <v>3899.1480906380161</v>
      </c>
      <c r="AV67" s="147">
        <f t="shared" si="35"/>
        <v>4078.0375054624569</v>
      </c>
      <c r="AW67" s="63">
        <f t="shared" si="35"/>
        <v>4240.2902047082252</v>
      </c>
      <c r="AX67" s="63">
        <f t="shared" si="35"/>
        <v>4387.4534029241368</v>
      </c>
      <c r="AY67" s="63">
        <f t="shared" si="35"/>
        <v>4520.9304237059687</v>
      </c>
      <c r="AZ67" s="63">
        <f t="shared" si="35"/>
        <v>4641.9940815550908</v>
      </c>
      <c r="BA67" s="63">
        <f t="shared" si="35"/>
        <v>4751.7988192242437</v>
      </c>
      <c r="BB67" s="63">
        <f t="shared" si="35"/>
        <v>4851.3917162901653</v>
      </c>
      <c r="BC67" s="63">
        <f t="shared" si="35"/>
        <v>4941.7224739289568</v>
      </c>
      <c r="BD67" s="63">
        <f t="shared" si="35"/>
        <v>5023.6524711073407</v>
      </c>
      <c r="BE67" s="63">
        <f t="shared" si="35"/>
        <v>5097.9629785481347</v>
      </c>
      <c r="BF67" s="63">
        <f t="shared" si="35"/>
        <v>5165.3626087969342</v>
      </c>
      <c r="BG67" s="63">
        <f t="shared" si="35"/>
        <v>5226.4940734325965</v>
      </c>
      <c r="BH67" s="63">
        <f t="shared" si="36"/>
        <v>5281.9403118571408</v>
      </c>
      <c r="BI67" s="63">
        <f t="shared" si="36"/>
        <v>5332.2300501082036</v>
      </c>
      <c r="BJ67" s="63">
        <f t="shared" si="36"/>
        <v>5377.8428427019171</v>
      </c>
      <c r="BK67" s="63">
        <f t="shared" si="36"/>
        <v>5419.2136455844147</v>
      </c>
      <c r="BL67" s="63">
        <f t="shared" si="36"/>
        <v>5456.7369637988413</v>
      </c>
    </row>
    <row r="68" spans="3:89" x14ac:dyDescent="0.2">
      <c r="D68" s="67" t="s">
        <v>75</v>
      </c>
      <c r="E68" s="67"/>
      <c r="L68" s="64" t="s">
        <v>55</v>
      </c>
      <c r="M68" s="63">
        <f>'Data tables'!R46</f>
        <v>6491</v>
      </c>
      <c r="N68" s="75">
        <f t="shared" si="31"/>
        <v>6.4571002238249187E-2</v>
      </c>
      <c r="O68" s="63"/>
      <c r="P68" s="63">
        <f t="shared" si="32"/>
        <v>2387.5128077592635</v>
      </c>
      <c r="Q68" s="63">
        <f t="shared" si="32"/>
        <v>2686.7196682686017</v>
      </c>
      <c r="R68" s="147">
        <f t="shared" si="32"/>
        <v>2958.1002907505713</v>
      </c>
      <c r="S68" s="63">
        <f t="shared" si="32"/>
        <v>3204.2425153417175</v>
      </c>
      <c r="T68" s="63">
        <f t="shared" si="32"/>
        <v>3460.9811627015129</v>
      </c>
      <c r="U68" s="147">
        <f t="shared" si="32"/>
        <v>3663.4698176191951</v>
      </c>
      <c r="V68" s="63">
        <f t="shared" si="32"/>
        <v>4492.8370500120245</v>
      </c>
      <c r="W68" s="63">
        <f t="shared" si="32"/>
        <v>5498.8371685886395</v>
      </c>
      <c r="X68" s="63">
        <f t="shared" si="32"/>
        <v>5649.9225887464336</v>
      </c>
      <c r="Y68" s="63">
        <f t="shared" si="32"/>
        <v>5786.9570648295521</v>
      </c>
      <c r="Z68" s="63">
        <f t="shared" si="33"/>
        <v>5911.2473346369416</v>
      </c>
      <c r="AA68" s="63">
        <f t="shared" si="33"/>
        <v>6023.9786093522434</v>
      </c>
      <c r="AB68" s="63">
        <f t="shared" si="33"/>
        <v>6126.2258755190223</v>
      </c>
      <c r="AC68" s="63">
        <f t="shared" si="33"/>
        <v>6218.9641459322902</v>
      </c>
      <c r="AD68" s="63">
        <f t="shared" si="33"/>
        <v>6303.0777571971248</v>
      </c>
      <c r="AE68" s="63">
        <f t="shared" si="33"/>
        <v>6379.36880261433</v>
      </c>
      <c r="AF68" s="63">
        <f t="shared" si="33"/>
        <v>6448.5647808077356</v>
      </c>
      <c r="AG68" s="63">
        <f t="shared" si="33"/>
        <v>6511.325533029154</v>
      </c>
      <c r="AH68" s="63">
        <f t="shared" si="33"/>
        <v>6568.2495352939804</v>
      </c>
      <c r="AI68" s="63">
        <f t="shared" si="33"/>
        <v>6619.8796053481783</v>
      </c>
      <c r="AJ68" s="63">
        <f t="shared" si="33"/>
        <v>6666.7080788873354</v>
      </c>
      <c r="AK68" s="63">
        <f t="shared" si="33"/>
        <v>6709.1815043873512</v>
      </c>
      <c r="AQ68" s="63">
        <f t="shared" si="34"/>
        <v>2387.5128077592635</v>
      </c>
      <c r="AR68" s="63">
        <f t="shared" si="35"/>
        <v>2686.7196682686017</v>
      </c>
      <c r="AS68" s="63">
        <f t="shared" si="35"/>
        <v>2958.1002907505713</v>
      </c>
      <c r="AT68" s="63">
        <f t="shared" si="35"/>
        <v>3142.7069591939312</v>
      </c>
      <c r="AU68" s="63">
        <f t="shared" si="35"/>
        <v>3310.1452074720587</v>
      </c>
      <c r="AV68" s="147">
        <f t="shared" si="35"/>
        <v>3462.0116986603202</v>
      </c>
      <c r="AW68" s="63">
        <f t="shared" si="35"/>
        <v>3599.7546061680732</v>
      </c>
      <c r="AX68" s="63">
        <f t="shared" si="35"/>
        <v>3724.6874232776054</v>
      </c>
      <c r="AY68" s="63">
        <f t="shared" si="35"/>
        <v>3838.0014883959507</v>
      </c>
      <c r="AZ68" s="63">
        <f t="shared" si="35"/>
        <v>3940.7773454582907</v>
      </c>
      <c r="BA68" s="63">
        <f t="shared" si="35"/>
        <v>4033.9950478138326</v>
      </c>
      <c r="BB68" s="63">
        <f t="shared" si="35"/>
        <v>4118.5435038503092</v>
      </c>
      <c r="BC68" s="63">
        <f t="shared" si="35"/>
        <v>4195.2289534753936</v>
      </c>
      <c r="BD68" s="63">
        <f t="shared" si="35"/>
        <v>4264.7826562853443</v>
      </c>
      <c r="BE68" s="63">
        <f t="shared" si="35"/>
        <v>4327.8678647339702</v>
      </c>
      <c r="BF68" s="63">
        <f t="shared" si="35"/>
        <v>4385.0861487968741</v>
      </c>
      <c r="BG68" s="63">
        <f t="shared" si="35"/>
        <v>4436.9831324419274</v>
      </c>
      <c r="BH68" s="63">
        <f t="shared" si="36"/>
        <v>4484.0536966079908</v>
      </c>
      <c r="BI68" s="63">
        <f t="shared" si="36"/>
        <v>4526.7466983066106</v>
      </c>
      <c r="BJ68" s="63">
        <f t="shared" si="36"/>
        <v>4565.4692508472581</v>
      </c>
      <c r="BK68" s="63">
        <f t="shared" si="36"/>
        <v>4600.5906060016259</v>
      </c>
      <c r="BL68" s="63">
        <f t="shared" si="36"/>
        <v>4632.445675126638</v>
      </c>
    </row>
    <row r="69" spans="3:89" x14ac:dyDescent="0.2">
      <c r="D69" s="67" t="s">
        <v>181</v>
      </c>
      <c r="E69" s="67"/>
      <c r="L69" s="64" t="s">
        <v>55</v>
      </c>
      <c r="M69" s="73">
        <f>'Data tables'!R48</f>
        <v>4869</v>
      </c>
      <c r="N69" s="76">
        <f t="shared" si="31"/>
        <v>4.8435712509326038E-2</v>
      </c>
      <c r="O69" s="63"/>
      <c r="P69" s="63">
        <f t="shared" si="32"/>
        <v>1790.9104700323303</v>
      </c>
      <c r="Q69" s="63">
        <f t="shared" si="32"/>
        <v>2015.3501871514131</v>
      </c>
      <c r="R69" s="147">
        <f t="shared" si="32"/>
        <v>2218.9170105784215</v>
      </c>
      <c r="S69" s="63">
        <f t="shared" si="32"/>
        <v>2403.5521194267176</v>
      </c>
      <c r="T69" s="63">
        <f t="shared" si="32"/>
        <v>2596.1357697109333</v>
      </c>
      <c r="U69" s="147">
        <f t="shared" si="32"/>
        <v>2748.0256573698757</v>
      </c>
      <c r="V69" s="63">
        <f t="shared" si="32"/>
        <v>3370.1469105697961</v>
      </c>
      <c r="W69" s="63">
        <f t="shared" si="32"/>
        <v>4124.763237383776</v>
      </c>
      <c r="X69" s="63">
        <f t="shared" si="32"/>
        <v>4238.0947596065917</v>
      </c>
      <c r="Y69" s="63">
        <f t="shared" si="32"/>
        <v>4340.8864502626857</v>
      </c>
      <c r="Z69" s="63">
        <f t="shared" si="33"/>
        <v>4434.118513687763</v>
      </c>
      <c r="AA69" s="63">
        <f t="shared" si="33"/>
        <v>4518.6799952143083</v>
      </c>
      <c r="AB69" s="63">
        <f t="shared" si="33"/>
        <v>4595.3772589588852</v>
      </c>
      <c r="AC69" s="63">
        <f t="shared" si="33"/>
        <v>4664.9416771752158</v>
      </c>
      <c r="AD69" s="63">
        <f t="shared" si="33"/>
        <v>4728.036604497428</v>
      </c>
      <c r="AE69" s="63">
        <f t="shared" si="33"/>
        <v>4785.2637035786747</v>
      </c>
      <c r="AF69" s="63">
        <f t="shared" si="33"/>
        <v>4837.1686824453654</v>
      </c>
      <c r="AG69" s="63">
        <f t="shared" si="33"/>
        <v>4884.2464982774536</v>
      </c>
      <c r="AH69" s="63">
        <f t="shared" si="33"/>
        <v>4926.9460772371585</v>
      </c>
      <c r="AI69" s="63">
        <f t="shared" si="33"/>
        <v>4965.6745953536101</v>
      </c>
      <c r="AJ69" s="63">
        <f t="shared" si="33"/>
        <v>5000.8013612852319</v>
      </c>
      <c r="AK69" s="63">
        <f t="shared" si="33"/>
        <v>5032.6613379852124</v>
      </c>
      <c r="AQ69" s="63">
        <f t="shared" si="34"/>
        <v>1790.9104700323303</v>
      </c>
      <c r="AR69" s="63">
        <f t="shared" si="35"/>
        <v>2015.3501871514131</v>
      </c>
      <c r="AS69" s="63">
        <f t="shared" si="35"/>
        <v>2218.9170105784215</v>
      </c>
      <c r="AT69" s="63">
        <f t="shared" si="35"/>
        <v>2357.3933422146438</v>
      </c>
      <c r="AU69" s="63">
        <f t="shared" si="35"/>
        <v>2482.9913750086971</v>
      </c>
      <c r="AV69" s="147">
        <f t="shared" si="35"/>
        <v>2596.9087907529038</v>
      </c>
      <c r="AW69" s="63">
        <f t="shared" si="35"/>
        <v>2700.2318868328994</v>
      </c>
      <c r="AX69" s="63">
        <f t="shared" si="35"/>
        <v>2793.9459349774552</v>
      </c>
      <c r="AY69" s="63">
        <f t="shared" si="35"/>
        <v>2878.9445766445674</v>
      </c>
      <c r="AZ69" s="63">
        <f t="shared" si="35"/>
        <v>2956.0383446366382</v>
      </c>
      <c r="BA69" s="63">
        <f t="shared" si="35"/>
        <v>3025.9623922054461</v>
      </c>
      <c r="BB69" s="63">
        <f t="shared" si="35"/>
        <v>3089.3835033503551</v>
      </c>
      <c r="BC69" s="63">
        <f t="shared" si="35"/>
        <v>3146.9064511587876</v>
      </c>
      <c r="BD69" s="63">
        <f t="shared" si="35"/>
        <v>3199.079764821036</v>
      </c>
      <c r="BE69" s="63">
        <f t="shared" si="35"/>
        <v>3246.4009603126951</v>
      </c>
      <c r="BF69" s="63">
        <f t="shared" si="35"/>
        <v>3289.3212846236297</v>
      </c>
      <c r="BG69" s="63">
        <f t="shared" si="35"/>
        <v>3328.2500187736478</v>
      </c>
      <c r="BH69" s="63">
        <f t="shared" si="36"/>
        <v>3363.5583806477139</v>
      </c>
      <c r="BI69" s="63">
        <f t="shared" si="36"/>
        <v>3395.5830648674914</v>
      </c>
      <c r="BJ69" s="63">
        <f t="shared" si="36"/>
        <v>3424.6294534548301</v>
      </c>
      <c r="BK69" s="63">
        <f t="shared" si="36"/>
        <v>3450.9745279035465</v>
      </c>
      <c r="BL69" s="63">
        <f t="shared" si="36"/>
        <v>3474.8695104285321</v>
      </c>
    </row>
    <row r="70" spans="3:89" x14ac:dyDescent="0.2">
      <c r="D70" s="67"/>
      <c r="E70" s="67"/>
      <c r="L70" s="64"/>
      <c r="M70" s="124">
        <f>SUM(M61:M69)</f>
        <v>100525</v>
      </c>
      <c r="N70" s="216">
        <f t="shared" si="31"/>
        <v>1</v>
      </c>
      <c r="O70" s="63"/>
      <c r="P70" s="63"/>
      <c r="Q70" s="63"/>
      <c r="R70" s="63"/>
      <c r="S70" s="63"/>
      <c r="T70" s="63"/>
      <c r="U70" s="63"/>
      <c r="V70" s="63"/>
      <c r="W70" s="63"/>
      <c r="X70" s="63"/>
      <c r="Y70" s="63"/>
      <c r="Z70" s="63"/>
      <c r="AA70" s="63"/>
      <c r="AB70" s="63"/>
      <c r="AC70" s="63"/>
      <c r="AD70" s="63"/>
      <c r="AE70" s="63"/>
      <c r="AF70" s="63"/>
      <c r="AG70" s="63"/>
      <c r="AH70" s="63"/>
      <c r="AI70" s="63"/>
      <c r="AJ70" s="63"/>
      <c r="AK70" s="63"/>
    </row>
    <row r="72" spans="3:89" s="193" customFormat="1" ht="25.5" customHeight="1" x14ac:dyDescent="0.2">
      <c r="C72" s="602" t="s">
        <v>268</v>
      </c>
      <c r="D72" s="602"/>
      <c r="E72" s="602"/>
      <c r="F72" s="602"/>
      <c r="G72" s="602"/>
      <c r="H72" s="602"/>
      <c r="I72" s="602"/>
      <c r="J72" s="602"/>
      <c r="L72" s="184"/>
      <c r="M72" s="194"/>
      <c r="O72" s="195"/>
      <c r="P72" s="195"/>
      <c r="Q72" s="195"/>
      <c r="R72" s="225"/>
      <c r="S72" s="195"/>
      <c r="T72" s="195"/>
      <c r="U72" s="225"/>
      <c r="V72" s="195"/>
      <c r="W72" s="195"/>
      <c r="X72" s="195"/>
      <c r="Y72" s="195"/>
      <c r="Z72" s="195"/>
      <c r="AA72" s="195"/>
      <c r="AB72" s="195"/>
      <c r="AC72" s="195"/>
      <c r="AD72" s="195"/>
      <c r="AE72" s="195"/>
      <c r="AF72" s="195"/>
      <c r="AG72" s="195"/>
      <c r="AH72" s="195"/>
      <c r="AI72" s="195"/>
      <c r="AJ72" s="195"/>
      <c r="AK72" s="195"/>
      <c r="AM72" s="205"/>
      <c r="AV72" s="221"/>
      <c r="BN72" s="205"/>
      <c r="BU72" s="221"/>
    </row>
    <row r="73" spans="3:89" s="193" customFormat="1" x14ac:dyDescent="0.2">
      <c r="D73" s="196" t="s">
        <v>224</v>
      </c>
      <c r="E73" s="196"/>
      <c r="L73" s="184" t="s">
        <v>175</v>
      </c>
      <c r="M73" s="194"/>
      <c r="O73" s="195"/>
      <c r="P73" s="197">
        <f>P50*P61</f>
        <v>966585.784082987</v>
      </c>
      <c r="Q73" s="197">
        <f>Q50*Q61</f>
        <v>1114912.830809871</v>
      </c>
      <c r="R73" s="247">
        <f t="shared" ref="R73:AK73" si="37">R50*R61</f>
        <v>1258216.3327754997</v>
      </c>
      <c r="S73" s="197">
        <f t="shared" si="37"/>
        <v>1396984.759635204</v>
      </c>
      <c r="T73" s="197">
        <f t="shared" si="37"/>
        <v>1546640.5437142733</v>
      </c>
      <c r="U73" s="247">
        <f t="shared" si="37"/>
        <v>1678056.7276578797</v>
      </c>
      <c r="V73" s="197">
        <f t="shared" si="37"/>
        <v>2109398.1140034087</v>
      </c>
      <c r="W73" s="197">
        <f t="shared" si="37"/>
        <v>2646260.6008416703</v>
      </c>
      <c r="X73" s="197">
        <f t="shared" si="37"/>
        <v>2786943.1778334635</v>
      </c>
      <c r="Y73" s="197">
        <f t="shared" si="37"/>
        <v>2925901.7739419583</v>
      </c>
      <c r="Z73" s="197">
        <f t="shared" si="37"/>
        <v>3063461.8661563639</v>
      </c>
      <c r="AA73" s="197">
        <f t="shared" si="37"/>
        <v>3199931.1482474632</v>
      </c>
      <c r="AB73" s="197">
        <f t="shared" si="37"/>
        <v>3335600.9090212202</v>
      </c>
      <c r="AC73" s="197">
        <f t="shared" si="37"/>
        <v>3470747.3168379185</v>
      </c>
      <c r="AD73" s="197">
        <f t="shared" si="37"/>
        <v>3605632.6170684984</v>
      </c>
      <c r="AE73" s="197">
        <f t="shared" si="37"/>
        <v>3740506.2486925432</v>
      </c>
      <c r="AF73" s="197">
        <f t="shared" si="37"/>
        <v>3875605.8858081112</v>
      </c>
      <c r="AG73" s="197">
        <f t="shared" si="37"/>
        <v>4011158.4094198984</v>
      </c>
      <c r="AH73" s="197">
        <f t="shared" si="37"/>
        <v>4147380.8144969684</v>
      </c>
      <c r="AI73" s="197">
        <f t="shared" si="37"/>
        <v>4284481.0569424806</v>
      </c>
      <c r="AJ73" s="197">
        <f t="shared" si="37"/>
        <v>4422658.8447936391</v>
      </c>
      <c r="AK73" s="197">
        <f t="shared" si="37"/>
        <v>4562106.3776686788</v>
      </c>
      <c r="AM73" s="205"/>
      <c r="AQ73" s="197">
        <f t="shared" ref="AQ73:AQ81" si="38">AQ50*AQ61</f>
        <v>966585.784082987</v>
      </c>
      <c r="AR73" s="197">
        <f t="shared" ref="AR73:BL80" si="39">AR50*AR61</f>
        <v>1114912.830809871</v>
      </c>
      <c r="AS73" s="197">
        <f t="shared" si="39"/>
        <v>1258216.3327754997</v>
      </c>
      <c r="AT73" s="197">
        <f t="shared" si="39"/>
        <v>1368485.5824330512</v>
      </c>
      <c r="AU73" s="197">
        <f t="shared" si="39"/>
        <v>1475629.3999772843</v>
      </c>
      <c r="AV73" s="247">
        <f t="shared" si="39"/>
        <v>1579984.0388077039</v>
      </c>
      <c r="AW73" s="197">
        <f t="shared" si="39"/>
        <v>1681864.4057819813</v>
      </c>
      <c r="AX73" s="197">
        <f t="shared" si="39"/>
        <v>1781565.6503036618</v>
      </c>
      <c r="AY73" s="197">
        <f t="shared" si="39"/>
        <v>1879364.6413683021</v>
      </c>
      <c r="AZ73" s="197">
        <f t="shared" si="39"/>
        <v>1975521.3406103111</v>
      </c>
      <c r="BA73" s="197">
        <f t="shared" si="39"/>
        <v>2070280.0788189343</v>
      </c>
      <c r="BB73" s="197">
        <f t="shared" si="39"/>
        <v>2163870.7428590078</v>
      </c>
      <c r="BC73" s="197">
        <f t="shared" si="39"/>
        <v>2256509.8794373884</v>
      </c>
      <c r="BD73" s="197">
        <f t="shared" si="39"/>
        <v>2348401.7216966343</v>
      </c>
      <c r="BE73" s="197">
        <f t="shared" si="39"/>
        <v>2439739.1441909918</v>
      </c>
      <c r="BF73" s="197">
        <f t="shared" si="39"/>
        <v>2530704.5514037656</v>
      </c>
      <c r="BG73" s="197">
        <f t="shared" si="39"/>
        <v>2621470.7045974638</v>
      </c>
      <c r="BH73" s="197">
        <f t="shared" si="39"/>
        <v>2712201.4914467195</v>
      </c>
      <c r="BI73" s="197">
        <f t="shared" si="39"/>
        <v>2803052.6425870443</v>
      </c>
      <c r="BJ73" s="197">
        <f t="shared" si="39"/>
        <v>2894172.3989181672</v>
      </c>
      <c r="BK73" s="197">
        <f t="shared" si="39"/>
        <v>2985702.1332274852</v>
      </c>
      <c r="BL73" s="197">
        <f t="shared" si="39"/>
        <v>3077776.9294454642</v>
      </c>
      <c r="BN73" s="205"/>
      <c r="BP73" s="213">
        <f>P73-AQ73</f>
        <v>0</v>
      </c>
      <c r="BQ73" s="213">
        <f t="shared" ref="BQ73:BQ82" si="40">Q73-AR73</f>
        <v>0</v>
      </c>
      <c r="BR73" s="213">
        <f t="shared" ref="BR73:BR82" si="41">R73-AS73</f>
        <v>0</v>
      </c>
      <c r="BS73" s="213">
        <f t="shared" ref="BS73:BS82" si="42">S73-AT73</f>
        <v>28499.177202152787</v>
      </c>
      <c r="BT73" s="213">
        <f t="shared" ref="BT73:BT82" si="43">T73-AU73</f>
        <v>71011.143736989005</v>
      </c>
      <c r="BU73" s="256">
        <f t="shared" ref="BU73:BU82" si="44">U73-AV73</f>
        <v>98072.688850175822</v>
      </c>
      <c r="BV73" s="213">
        <f t="shared" ref="BV73:BV82" si="45">V73-AW73</f>
        <v>427533.7082214274</v>
      </c>
      <c r="BW73" s="213">
        <f t="shared" ref="BW73:BW82" si="46">W73-AX73</f>
        <v>864694.95053800847</v>
      </c>
      <c r="BX73" s="213">
        <f t="shared" ref="BX73:BX82" si="47">X73-AY73</f>
        <v>907578.53646516148</v>
      </c>
      <c r="BY73" s="213">
        <f t="shared" ref="BY73:BY82" si="48">Y73-AZ73</f>
        <v>950380.43333164719</v>
      </c>
      <c r="BZ73" s="213">
        <f t="shared" ref="BZ73:BZ82" si="49">Z73-BA73</f>
        <v>993181.78733742959</v>
      </c>
      <c r="CA73" s="213">
        <f t="shared" ref="CA73:CA82" si="50">AA73-BB73</f>
        <v>1036060.4053884554</v>
      </c>
      <c r="CB73" s="213">
        <f t="shared" ref="CB73:CB82" si="51">AB73-BC73</f>
        <v>1079091.0295838318</v>
      </c>
      <c r="CC73" s="213">
        <f t="shared" ref="CC73:CC82" si="52">AC73-BD73</f>
        <v>1122345.5951412842</v>
      </c>
      <c r="CD73" s="213">
        <f t="shared" ref="CD73:CD82" si="53">AD73-BE73</f>
        <v>1165893.4728775066</v>
      </c>
      <c r="CE73" s="213">
        <f t="shared" ref="CE73:CE82" si="54">AE73-BF73</f>
        <v>1209801.6972887777</v>
      </c>
      <c r="CF73" s="213">
        <f t="shared" ref="CF73:CF82" si="55">AF73-BG73</f>
        <v>1254135.1812106473</v>
      </c>
      <c r="CG73" s="213">
        <f t="shared" ref="CG73:CG82" si="56">AG73-BH73</f>
        <v>1298956.9179731789</v>
      </c>
      <c r="CH73" s="213">
        <f t="shared" ref="CH73:CH82" si="57">AH73-BI73</f>
        <v>1344328.1719099241</v>
      </c>
      <c r="CI73" s="213">
        <f t="shared" ref="CI73:CI82" si="58">AI73-BJ73</f>
        <v>1390308.6580243134</v>
      </c>
      <c r="CJ73" s="213">
        <f t="shared" ref="CJ73:CJ82" si="59">AJ73-BK73</f>
        <v>1436956.7115661539</v>
      </c>
      <c r="CK73" s="213">
        <f t="shared" ref="CK73:CK82" si="60">AK73-BL73</f>
        <v>1484329.4482232146</v>
      </c>
    </row>
    <row r="74" spans="3:89" s="193" customFormat="1" x14ac:dyDescent="0.2">
      <c r="D74" s="196" t="s">
        <v>64</v>
      </c>
      <c r="E74" s="196"/>
      <c r="L74" s="184" t="s">
        <v>175</v>
      </c>
      <c r="M74" s="194"/>
      <c r="O74" s="195"/>
      <c r="P74" s="197">
        <f t="shared" ref="P74:AK74" si="61">P51*P62</f>
        <v>52625.680795310436</v>
      </c>
      <c r="Q74" s="197">
        <f t="shared" si="61"/>
        <v>60109.126098555374</v>
      </c>
      <c r="R74" s="247">
        <f t="shared" si="61"/>
        <v>67173.348180398985</v>
      </c>
      <c r="S74" s="197">
        <f t="shared" si="61"/>
        <v>73854.25514228121</v>
      </c>
      <c r="T74" s="197">
        <f t="shared" si="61"/>
        <v>80968.374702627669</v>
      </c>
      <c r="U74" s="247">
        <f t="shared" si="61"/>
        <v>86991.104748839993</v>
      </c>
      <c r="V74" s="197">
        <f t="shared" si="61"/>
        <v>108285.15889655318</v>
      </c>
      <c r="W74" s="197">
        <f t="shared" si="61"/>
        <v>134519.47770807295</v>
      </c>
      <c r="X74" s="197">
        <f t="shared" si="61"/>
        <v>140288.75226053476</v>
      </c>
      <c r="Y74" s="197">
        <f t="shared" si="61"/>
        <v>145846.7169871802</v>
      </c>
      <c r="Z74" s="197">
        <f t="shared" si="61"/>
        <v>151213.84995753921</v>
      </c>
      <c r="AA74" s="197">
        <f t="shared" si="61"/>
        <v>156409.05890169993</v>
      </c>
      <c r="AB74" s="197">
        <f t="shared" si="61"/>
        <v>161449.8067201621</v>
      </c>
      <c r="AC74" s="197">
        <f t="shared" si="61"/>
        <v>166352.22704132687</v>
      </c>
      <c r="AD74" s="197">
        <f t="shared" si="61"/>
        <v>171131.23061697849</v>
      </c>
      <c r="AE74" s="197">
        <f t="shared" si="61"/>
        <v>175800.60328336517</v>
      </c>
      <c r="AF74" s="197">
        <f t="shared" si="61"/>
        <v>180373.09615772244</v>
      </c>
      <c r="AG74" s="197">
        <f t="shared" si="61"/>
        <v>184860.50868690069</v>
      </c>
      <c r="AH74" s="197">
        <f t="shared" si="61"/>
        <v>189273.76511580416</v>
      </c>
      <c r="AI74" s="197">
        <f t="shared" si="61"/>
        <v>193622.98489827637</v>
      </c>
      <c r="AJ74" s="197">
        <f t="shared" si="61"/>
        <v>197917.54753157677</v>
      </c>
      <c r="AK74" s="197">
        <f t="shared" si="61"/>
        <v>202166.15225739579</v>
      </c>
      <c r="AM74" s="205"/>
      <c r="AQ74" s="197">
        <f t="shared" si="38"/>
        <v>52625.680795310436</v>
      </c>
      <c r="AR74" s="197">
        <f t="shared" ref="AR74:BF74" si="62">AR51*AR62</f>
        <v>60109.126098555374</v>
      </c>
      <c r="AS74" s="197">
        <f t="shared" si="62"/>
        <v>67173.348180398985</v>
      </c>
      <c r="AT74" s="197">
        <f t="shared" si="62"/>
        <v>72382.404372420046</v>
      </c>
      <c r="AU74" s="197">
        <f t="shared" si="62"/>
        <v>77325.222786083861</v>
      </c>
      <c r="AV74" s="247">
        <f t="shared" si="62"/>
        <v>82025.272499505198</v>
      </c>
      <c r="AW74" s="197">
        <f t="shared" si="62"/>
        <v>86504.17393630727</v>
      </c>
      <c r="AX74" s="197">
        <f t="shared" si="62"/>
        <v>90781.847333680911</v>
      </c>
      <c r="AY74" s="197">
        <f t="shared" si="62"/>
        <v>94876.649328048472</v>
      </c>
      <c r="AZ74" s="197">
        <f t="shared" si="62"/>
        <v>98805.498609906383</v>
      </c>
      <c r="BA74" s="197">
        <f t="shared" si="62"/>
        <v>102583.99152322467</v>
      </c>
      <c r="BB74" s="197">
        <f t="shared" si="62"/>
        <v>106226.50841468708</v>
      </c>
      <c r="BC74" s="197">
        <f t="shared" si="62"/>
        <v>109746.31147357266</v>
      </c>
      <c r="BD74" s="197">
        <f t="shared" si="62"/>
        <v>113155.63474376187</v>
      </c>
      <c r="BE74" s="197">
        <f t="shared" si="62"/>
        <v>116465.76693478155</v>
      </c>
      <c r="BF74" s="197">
        <f t="shared" si="62"/>
        <v>119687.12760860377</v>
      </c>
      <c r="BG74" s="197">
        <f t="shared" si="39"/>
        <v>122829.33727273485</v>
      </c>
      <c r="BH74" s="197">
        <f t="shared" si="39"/>
        <v>125901.28186764891</v>
      </c>
      <c r="BI74" s="197">
        <f t="shared" si="39"/>
        <v>128911.17209754123</v>
      </c>
      <c r="BJ74" s="197">
        <f t="shared" si="39"/>
        <v>131866.59801742577</v>
      </c>
      <c r="BK74" s="197">
        <f t="shared" si="39"/>
        <v>134774.57925652989</v>
      </c>
      <c r="BL74" s="197">
        <f t="shared" si="39"/>
        <v>137641.61122751591</v>
      </c>
      <c r="BN74" s="205"/>
      <c r="BP74" s="213">
        <f t="shared" ref="BP74:BP82" si="63">P74-AQ74</f>
        <v>0</v>
      </c>
      <c r="BQ74" s="213">
        <f t="shared" si="40"/>
        <v>0</v>
      </c>
      <c r="BR74" s="213">
        <f t="shared" si="41"/>
        <v>0</v>
      </c>
      <c r="BS74" s="213">
        <f t="shared" si="42"/>
        <v>1471.8507698611647</v>
      </c>
      <c r="BT74" s="213">
        <f t="shared" si="43"/>
        <v>3643.1519165438076</v>
      </c>
      <c r="BU74" s="256">
        <f t="shared" si="44"/>
        <v>4965.8322493347951</v>
      </c>
      <c r="BV74" s="213">
        <f t="shared" si="45"/>
        <v>21780.984960245914</v>
      </c>
      <c r="BW74" s="213">
        <f t="shared" si="46"/>
        <v>43737.630374392043</v>
      </c>
      <c r="BX74" s="213">
        <f t="shared" si="47"/>
        <v>45412.10293248629</v>
      </c>
      <c r="BY74" s="213">
        <f t="shared" si="48"/>
        <v>47041.218377273821</v>
      </c>
      <c r="BZ74" s="213">
        <f t="shared" si="49"/>
        <v>48629.858434314534</v>
      </c>
      <c r="CA74" s="213">
        <f t="shared" si="50"/>
        <v>50182.55048701285</v>
      </c>
      <c r="CB74" s="213">
        <f t="shared" si="51"/>
        <v>51703.495246589446</v>
      </c>
      <c r="CC74" s="213">
        <f t="shared" si="52"/>
        <v>53196.592297565003</v>
      </c>
      <c r="CD74" s="213">
        <f t="shared" si="53"/>
        <v>54665.463682196932</v>
      </c>
      <c r="CE74" s="213">
        <f t="shared" si="54"/>
        <v>56113.475674761401</v>
      </c>
      <c r="CF74" s="213">
        <f t="shared" si="55"/>
        <v>57543.75888498759</v>
      </c>
      <c r="CG74" s="213">
        <f t="shared" si="56"/>
        <v>58959.22681925178</v>
      </c>
      <c r="CH74" s="213">
        <f t="shared" si="57"/>
        <v>60362.593018262924</v>
      </c>
      <c r="CI74" s="213">
        <f t="shared" si="58"/>
        <v>61756.386880850594</v>
      </c>
      <c r="CJ74" s="213">
        <f t="shared" si="59"/>
        <v>63142.968275046878</v>
      </c>
      <c r="CK74" s="213">
        <f t="shared" si="60"/>
        <v>64524.541029879882</v>
      </c>
    </row>
    <row r="75" spans="3:89" s="193" customFormat="1" x14ac:dyDescent="0.2">
      <c r="D75" s="196" t="s">
        <v>63</v>
      </c>
      <c r="E75" s="196"/>
      <c r="L75" s="184" t="s">
        <v>175</v>
      </c>
      <c r="M75" s="194"/>
      <c r="O75" s="195"/>
      <c r="P75" s="197">
        <f t="shared" ref="P75:AK75" si="64">P52*P63</f>
        <v>90106.911412333968</v>
      </c>
      <c r="Q75" s="197">
        <f t="shared" si="64"/>
        <v>102920.24005355939</v>
      </c>
      <c r="R75" s="247">
        <f t="shared" si="64"/>
        <v>115015.76497040682</v>
      </c>
      <c r="S75" s="197">
        <f t="shared" si="64"/>
        <v>126454.96884711963</v>
      </c>
      <c r="T75" s="197">
        <f t="shared" si="64"/>
        <v>138635.92938412831</v>
      </c>
      <c r="U75" s="247">
        <f t="shared" si="64"/>
        <v>148948.18747814264</v>
      </c>
      <c r="V75" s="197">
        <f t="shared" si="64"/>
        <v>185408.36094669026</v>
      </c>
      <c r="W75" s="197">
        <f t="shared" si="64"/>
        <v>230327.37017161582</v>
      </c>
      <c r="X75" s="197">
        <f t="shared" si="64"/>
        <v>240205.6558898394</v>
      </c>
      <c r="Y75" s="197">
        <f t="shared" si="64"/>
        <v>249722.1320225595</v>
      </c>
      <c r="Z75" s="197">
        <f t="shared" si="64"/>
        <v>258911.86159545369</v>
      </c>
      <c r="AA75" s="197">
        <f t="shared" si="64"/>
        <v>267807.21886258043</v>
      </c>
      <c r="AB75" s="197">
        <f t="shared" si="64"/>
        <v>276438.10420726106</v>
      </c>
      <c r="AC75" s="197">
        <f t="shared" si="64"/>
        <v>284832.14200229483</v>
      </c>
      <c r="AD75" s="197">
        <f t="shared" si="64"/>
        <v>293014.86278277053</v>
      </c>
      <c r="AE75" s="197">
        <f t="shared" si="64"/>
        <v>301009.87097730144</v>
      </c>
      <c r="AF75" s="197">
        <f t="shared" si="64"/>
        <v>308838.99934460525</v>
      </c>
      <c r="AG75" s="197">
        <f t="shared" si="64"/>
        <v>316522.45117129013</v>
      </c>
      <c r="AH75" s="197">
        <f t="shared" si="64"/>
        <v>324078.93120289012</v>
      </c>
      <c r="AI75" s="197">
        <f t="shared" si="64"/>
        <v>331525.76620301639</v>
      </c>
      <c r="AJ75" s="197">
        <f t="shared" si="64"/>
        <v>338879.01596445229</v>
      </c>
      <c r="AK75" s="197">
        <f t="shared" si="64"/>
        <v>346153.57553061587</v>
      </c>
      <c r="AM75" s="205"/>
      <c r="AQ75" s="197">
        <f t="shared" si="38"/>
        <v>90106.911412333968</v>
      </c>
      <c r="AR75" s="197">
        <f t="shared" si="39"/>
        <v>102920.24005355939</v>
      </c>
      <c r="AS75" s="197">
        <f t="shared" si="39"/>
        <v>115015.76497040682</v>
      </c>
      <c r="AT75" s="197">
        <f t="shared" si="39"/>
        <v>123934.83181653374</v>
      </c>
      <c r="AU75" s="197">
        <f t="shared" si="39"/>
        <v>132398.0401626564</v>
      </c>
      <c r="AV75" s="247">
        <f t="shared" si="39"/>
        <v>140445.57430873366</v>
      </c>
      <c r="AW75" s="197">
        <f t="shared" si="39"/>
        <v>148114.45324562071</v>
      </c>
      <c r="AX75" s="197">
        <f t="shared" si="39"/>
        <v>155438.78486552427</v>
      </c>
      <c r="AY75" s="197">
        <f t="shared" si="39"/>
        <v>162449.99982714441</v>
      </c>
      <c r="AZ75" s="197">
        <f t="shared" si="39"/>
        <v>169177.06670481095</v>
      </c>
      <c r="BA75" s="197">
        <f t="shared" si="39"/>
        <v>175646.68992045667</v>
      </c>
      <c r="BB75" s="197">
        <f t="shared" si="39"/>
        <v>181883.49183725359</v>
      </c>
      <c r="BC75" s="197">
        <f t="shared" si="39"/>
        <v>187910.18028332735</v>
      </c>
      <c r="BD75" s="197">
        <f t="shared" si="39"/>
        <v>193747.70267240255</v>
      </c>
      <c r="BE75" s="197">
        <f t="shared" si="39"/>
        <v>199415.3877947944</v>
      </c>
      <c r="BF75" s="197">
        <f t="shared" si="39"/>
        <v>204931.07626621352</v>
      </c>
      <c r="BG75" s="197">
        <f t="shared" si="39"/>
        <v>210311.24054277845</v>
      </c>
      <c r="BH75" s="197">
        <f t="shared" si="39"/>
        <v>215571.09533789565</v>
      </c>
      <c r="BI75" s="197">
        <f t="shared" si="39"/>
        <v>220724.69920975139</v>
      </c>
      <c r="BJ75" s="197">
        <f t="shared" si="39"/>
        <v>225785.04802660667</v>
      </c>
      <c r="BK75" s="197">
        <f t="shared" si="39"/>
        <v>230764.16096045839</v>
      </c>
      <c r="BL75" s="197">
        <f t="shared" si="39"/>
        <v>235673.15960754073</v>
      </c>
      <c r="BN75" s="205"/>
      <c r="BP75" s="213">
        <f t="shared" si="63"/>
        <v>0</v>
      </c>
      <c r="BQ75" s="213">
        <f t="shared" si="40"/>
        <v>0</v>
      </c>
      <c r="BR75" s="213">
        <f t="shared" si="41"/>
        <v>0</v>
      </c>
      <c r="BS75" s="213">
        <f t="shared" si="42"/>
        <v>2520.1370305858873</v>
      </c>
      <c r="BT75" s="213">
        <f t="shared" si="43"/>
        <v>6237.889221471909</v>
      </c>
      <c r="BU75" s="256">
        <f t="shared" si="44"/>
        <v>8502.6131694089854</v>
      </c>
      <c r="BV75" s="213">
        <f t="shared" si="45"/>
        <v>37293.907701069547</v>
      </c>
      <c r="BW75" s="213">
        <f t="shared" si="46"/>
        <v>74888.585306091554</v>
      </c>
      <c r="BX75" s="213">
        <f t="shared" si="47"/>
        <v>77755.656062694994</v>
      </c>
      <c r="BY75" s="213">
        <f t="shared" si="48"/>
        <v>80545.065317748551</v>
      </c>
      <c r="BZ75" s="213">
        <f t="shared" si="49"/>
        <v>83265.171674997022</v>
      </c>
      <c r="CA75" s="213">
        <f t="shared" si="50"/>
        <v>85923.727025326836</v>
      </c>
      <c r="CB75" s="213">
        <f t="shared" si="51"/>
        <v>88527.923923933704</v>
      </c>
      <c r="CC75" s="213">
        <f t="shared" si="52"/>
        <v>91084.439329892281</v>
      </c>
      <c r="CD75" s="213">
        <f t="shared" si="53"/>
        <v>93599.474987976137</v>
      </c>
      <c r="CE75" s="213">
        <f t="shared" si="54"/>
        <v>96078.794711087918</v>
      </c>
      <c r="CF75" s="213">
        <f t="shared" si="55"/>
        <v>98527.7588018268</v>
      </c>
      <c r="CG75" s="213">
        <f t="shared" si="56"/>
        <v>100951.35583339448</v>
      </c>
      <c r="CH75" s="213">
        <f t="shared" si="57"/>
        <v>103354.23199313873</v>
      </c>
      <c r="CI75" s="213">
        <f t="shared" si="58"/>
        <v>105740.71817640972</v>
      </c>
      <c r="CJ75" s="213">
        <f t="shared" si="59"/>
        <v>108114.8550039939</v>
      </c>
      <c r="CK75" s="213">
        <f t="shared" si="60"/>
        <v>110480.41592307514</v>
      </c>
    </row>
    <row r="76" spans="3:89" s="193" customFormat="1" x14ac:dyDescent="0.2">
      <c r="D76" s="196" t="s">
        <v>76</v>
      </c>
      <c r="E76" s="196"/>
      <c r="L76" s="184" t="s">
        <v>175</v>
      </c>
      <c r="M76" s="194"/>
      <c r="O76" s="195"/>
      <c r="P76" s="197">
        <f t="shared" ref="P76:AK76" si="65">P53*P64</f>
        <v>38850.016924838528</v>
      </c>
      <c r="Q76" s="197">
        <f t="shared" si="65"/>
        <v>44374.54358736251</v>
      </c>
      <c r="R76" s="247">
        <f t="shared" si="65"/>
        <v>49589.585811859477</v>
      </c>
      <c r="S76" s="197">
        <f t="shared" si="65"/>
        <v>54521.652145631728</v>
      </c>
      <c r="T76" s="197">
        <f t="shared" si="65"/>
        <v>59773.530337949844</v>
      </c>
      <c r="U76" s="247">
        <f t="shared" si="65"/>
        <v>64219.708718789589</v>
      </c>
      <c r="V76" s="197">
        <f t="shared" si="65"/>
        <v>79939.683292701506</v>
      </c>
      <c r="W76" s="197">
        <f t="shared" si="65"/>
        <v>99306.724524973339</v>
      </c>
      <c r="X76" s="197">
        <f t="shared" si="65"/>
        <v>103565.79368322267</v>
      </c>
      <c r="Y76" s="197">
        <f t="shared" si="65"/>
        <v>107668.86694393141</v>
      </c>
      <c r="Z76" s="197">
        <f t="shared" si="65"/>
        <v>111631.061894859</v>
      </c>
      <c r="AA76" s="197">
        <f t="shared" si="65"/>
        <v>115466.33684728683</v>
      </c>
      <c r="AB76" s="197">
        <f t="shared" si="65"/>
        <v>119187.58349154018</v>
      </c>
      <c r="AC76" s="197">
        <f t="shared" si="65"/>
        <v>122806.71220534672</v>
      </c>
      <c r="AD76" s="197">
        <f t="shared" si="65"/>
        <v>126334.73059849731</v>
      </c>
      <c r="AE76" s="197">
        <f t="shared" si="65"/>
        <v>129781.81583095415</v>
      </c>
      <c r="AF76" s="197">
        <f t="shared" si="65"/>
        <v>133157.38119890494</v>
      </c>
      <c r="AG76" s="197">
        <f t="shared" si="65"/>
        <v>136470.137444005</v>
      </c>
      <c r="AH76" s="197">
        <f t="shared" si="65"/>
        <v>139728.14920490619</v>
      </c>
      <c r="AI76" s="197">
        <f t="shared" si="65"/>
        <v>142938.88699689962</v>
      </c>
      <c r="AJ76" s="197">
        <f t="shared" si="65"/>
        <v>146109.27507486948</v>
      </c>
      <c r="AK76" s="197">
        <f t="shared" si="65"/>
        <v>149245.73550655527</v>
      </c>
      <c r="AM76" s="205"/>
      <c r="AQ76" s="197">
        <f t="shared" si="38"/>
        <v>38850.016924838528</v>
      </c>
      <c r="AR76" s="197">
        <f t="shared" si="39"/>
        <v>44374.54358736251</v>
      </c>
      <c r="AS76" s="197">
        <f t="shared" si="39"/>
        <v>49589.585811859477</v>
      </c>
      <c r="AT76" s="197">
        <f t="shared" si="39"/>
        <v>53435.083260331194</v>
      </c>
      <c r="AU76" s="197">
        <f t="shared" si="39"/>
        <v>57084.035181241154</v>
      </c>
      <c r="AV76" s="247">
        <f t="shared" si="39"/>
        <v>60553.767223743736</v>
      </c>
      <c r="AW76" s="197">
        <f t="shared" si="39"/>
        <v>63860.240299146681</v>
      </c>
      <c r="AX76" s="197">
        <f t="shared" si="39"/>
        <v>67018.160184939523</v>
      </c>
      <c r="AY76" s="197">
        <f t="shared" si="39"/>
        <v>70041.078356845042</v>
      </c>
      <c r="AZ76" s="197">
        <f t="shared" si="39"/>
        <v>72941.484751377051</v>
      </c>
      <c r="BA76" s="197">
        <f t="shared" si="39"/>
        <v>75730.89310513805</v>
      </c>
      <c r="BB76" s="197">
        <f t="shared" si="39"/>
        <v>78419.91946534306</v>
      </c>
      <c r="BC76" s="197">
        <f t="shared" si="39"/>
        <v>81018.354418454182</v>
      </c>
      <c r="BD76" s="197">
        <f t="shared" si="39"/>
        <v>83535.229540018408</v>
      </c>
      <c r="BE76" s="197">
        <f t="shared" si="39"/>
        <v>85978.878528518078</v>
      </c>
      <c r="BF76" s="197">
        <f t="shared" si="39"/>
        <v>88356.993448983965</v>
      </c>
      <c r="BG76" s="197">
        <f t="shared" si="39"/>
        <v>90676.676478030146</v>
      </c>
      <c r="BH76" s="197">
        <f t="shared" si="39"/>
        <v>92944.487510608989</v>
      </c>
      <c r="BI76" s="197">
        <f t="shared" si="39"/>
        <v>95166.487959934166</v>
      </c>
      <c r="BJ76" s="197">
        <f t="shared" si="39"/>
        <v>97348.281055480256</v>
      </c>
      <c r="BK76" s="197">
        <f t="shared" si="39"/>
        <v>99495.048919552719</v>
      </c>
      <c r="BL76" s="197">
        <f t="shared" si="39"/>
        <v>101611.5866804625</v>
      </c>
      <c r="BN76" s="205"/>
      <c r="BP76" s="213">
        <f t="shared" si="63"/>
        <v>0</v>
      </c>
      <c r="BQ76" s="213">
        <f t="shared" si="40"/>
        <v>0</v>
      </c>
      <c r="BR76" s="213">
        <f t="shared" si="41"/>
        <v>0</v>
      </c>
      <c r="BS76" s="213">
        <f t="shared" si="42"/>
        <v>1086.568885300534</v>
      </c>
      <c r="BT76" s="213">
        <f t="shared" si="43"/>
        <v>2689.49515670869</v>
      </c>
      <c r="BU76" s="256">
        <f t="shared" si="44"/>
        <v>3665.9414950458522</v>
      </c>
      <c r="BV76" s="213">
        <f t="shared" si="45"/>
        <v>16079.442993554825</v>
      </c>
      <c r="BW76" s="213">
        <f t="shared" si="46"/>
        <v>32288.564340033816</v>
      </c>
      <c r="BX76" s="213">
        <f t="shared" si="47"/>
        <v>33524.715326377627</v>
      </c>
      <c r="BY76" s="213">
        <f t="shared" si="48"/>
        <v>34727.38219255436</v>
      </c>
      <c r="BZ76" s="213">
        <f t="shared" si="49"/>
        <v>35900.168789720949</v>
      </c>
      <c r="CA76" s="213">
        <f t="shared" si="50"/>
        <v>37046.417381943771</v>
      </c>
      <c r="CB76" s="213">
        <f t="shared" si="51"/>
        <v>38169.229073085997</v>
      </c>
      <c r="CC76" s="213">
        <f t="shared" si="52"/>
        <v>39271.482665328309</v>
      </c>
      <c r="CD76" s="213">
        <f t="shared" si="53"/>
        <v>40355.852069979228</v>
      </c>
      <c r="CE76" s="213">
        <f t="shared" si="54"/>
        <v>41424.822381970182</v>
      </c>
      <c r="CF76" s="213">
        <f t="shared" si="55"/>
        <v>42480.704720874797</v>
      </c>
      <c r="CG76" s="213">
        <f t="shared" si="56"/>
        <v>43525.649933396009</v>
      </c>
      <c r="CH76" s="213">
        <f t="shared" si="57"/>
        <v>44561.661244972027</v>
      </c>
      <c r="CI76" s="213">
        <f t="shared" si="58"/>
        <v>45590.605941419359</v>
      </c>
      <c r="CJ76" s="213">
        <f t="shared" si="59"/>
        <v>46614.226155316763</v>
      </c>
      <c r="CK76" s="213">
        <f t="shared" si="60"/>
        <v>47634.148826092773</v>
      </c>
    </row>
    <row r="77" spans="3:89" s="193" customFormat="1" x14ac:dyDescent="0.2">
      <c r="D77" s="196" t="s">
        <v>72</v>
      </c>
      <c r="E77" s="196"/>
      <c r="L77" s="184" t="s">
        <v>175</v>
      </c>
      <c r="M77" s="194"/>
      <c r="O77" s="195"/>
      <c r="P77" s="197">
        <f t="shared" ref="P77:AK77" si="66">P54*P65</f>
        <v>53660.953528360762</v>
      </c>
      <c r="Q77" s="197">
        <f t="shared" si="66"/>
        <v>61291.61606005083</v>
      </c>
      <c r="R77" s="247">
        <f t="shared" si="66"/>
        <v>68494.808249093447</v>
      </c>
      <c r="S77" s="197">
        <f t="shared" si="66"/>
        <v>75307.144594978992</v>
      </c>
      <c r="T77" s="197">
        <f t="shared" si="66"/>
        <v>82561.215865007529</v>
      </c>
      <c r="U77" s="247">
        <f t="shared" si="66"/>
        <v>88702.427384544993</v>
      </c>
      <c r="V77" s="197">
        <f t="shared" si="66"/>
        <v>110415.38639585451</v>
      </c>
      <c r="W77" s="197">
        <f t="shared" si="66"/>
        <v>137165.79686690751</v>
      </c>
      <c r="X77" s="197">
        <f t="shared" si="66"/>
        <v>143048.56681825782</v>
      </c>
      <c r="Y77" s="197">
        <f t="shared" si="66"/>
        <v>148715.86997522463</v>
      </c>
      <c r="Z77" s="197">
        <f t="shared" si="66"/>
        <v>154188.58725983661</v>
      </c>
      <c r="AA77" s="197">
        <f t="shared" si="66"/>
        <v>159485.99836235621</v>
      </c>
      <c r="AB77" s="197">
        <f t="shared" si="66"/>
        <v>164625.90972021152</v>
      </c>
      <c r="AC77" s="197">
        <f t="shared" si="66"/>
        <v>169624.77234877739</v>
      </c>
      <c r="AD77" s="197">
        <f t="shared" si="66"/>
        <v>174497.79032991038</v>
      </c>
      <c r="AE77" s="197">
        <f t="shared" si="66"/>
        <v>179259.02070015771</v>
      </c>
      <c r="AF77" s="197">
        <f t="shared" si="66"/>
        <v>183921.46542166162</v>
      </c>
      <c r="AG77" s="197">
        <f t="shared" si="66"/>
        <v>188497.15606455164</v>
      </c>
      <c r="AH77" s="197">
        <f t="shared" si="66"/>
        <v>192997.23177970006</v>
      </c>
      <c r="AI77" s="197">
        <f t="shared" si="66"/>
        <v>197432.01109475762</v>
      </c>
      <c r="AJ77" s="197">
        <f t="shared" si="66"/>
        <v>201811.05802407936</v>
      </c>
      <c r="AK77" s="197">
        <f t="shared" si="66"/>
        <v>206143.24294420041</v>
      </c>
      <c r="AM77" s="205"/>
      <c r="AQ77" s="197">
        <f t="shared" si="38"/>
        <v>53660.953528360762</v>
      </c>
      <c r="AR77" s="197">
        <f t="shared" si="39"/>
        <v>61291.61606005083</v>
      </c>
      <c r="AS77" s="197">
        <f t="shared" si="39"/>
        <v>68494.808249093447</v>
      </c>
      <c r="AT77" s="197">
        <f t="shared" si="39"/>
        <v>73806.339007885472</v>
      </c>
      <c r="AU77" s="197">
        <f t="shared" si="39"/>
        <v>78846.394455840375</v>
      </c>
      <c r="AV77" s="247">
        <f t="shared" si="39"/>
        <v>83638.905363848666</v>
      </c>
      <c r="AW77" s="197">
        <f t="shared" si="39"/>
        <v>88205.917480863587</v>
      </c>
      <c r="AX77" s="197">
        <f t="shared" si="39"/>
        <v>92567.742922681486</v>
      </c>
      <c r="AY77" s="197">
        <f t="shared" si="39"/>
        <v>96743.099444571431</v>
      </c>
      <c r="AZ77" s="197">
        <f t="shared" si="39"/>
        <v>100749.23856804853</v>
      </c>
      <c r="BA77" s="197">
        <f t="shared" si="39"/>
        <v>104602.06345438962</v>
      </c>
      <c r="BB77" s="197">
        <f t="shared" si="39"/>
        <v>108316.23734601654</v>
      </c>
      <c r="BC77" s="197">
        <f t="shared" si="39"/>
        <v>111905.28333112178</v>
      </c>
      <c r="BD77" s="197">
        <f t="shared" si="39"/>
        <v>115381.67612642575</v>
      </c>
      <c r="BE77" s="197">
        <f t="shared" si="39"/>
        <v>118756.9265173122</v>
      </c>
      <c r="BF77" s="197">
        <f t="shared" si="39"/>
        <v>122041.65904340368</v>
      </c>
      <c r="BG77" s="197">
        <f t="shared" si="39"/>
        <v>125245.68347054857</v>
      </c>
      <c r="BH77" s="197">
        <f t="shared" si="39"/>
        <v>128378.06054687653</v>
      </c>
      <c r="BI77" s="197">
        <f t="shared" si="39"/>
        <v>131447.16250072929</v>
      </c>
      <c r="BJ77" s="197">
        <f t="shared" si="39"/>
        <v>134460.72870161672</v>
      </c>
      <c r="BK77" s="197">
        <f t="shared" si="39"/>
        <v>137425.91687162544</v>
      </c>
      <c r="BL77" s="197">
        <f t="shared" si="39"/>
        <v>140349.35020368628</v>
      </c>
      <c r="BN77" s="205"/>
      <c r="BP77" s="213">
        <f t="shared" si="63"/>
        <v>0</v>
      </c>
      <c r="BQ77" s="213">
        <f t="shared" si="40"/>
        <v>0</v>
      </c>
      <c r="BR77" s="213">
        <f t="shared" si="41"/>
        <v>0</v>
      </c>
      <c r="BS77" s="213">
        <f t="shared" si="42"/>
        <v>1500.8055870935204</v>
      </c>
      <c r="BT77" s="213">
        <f t="shared" si="43"/>
        <v>3714.8214091671543</v>
      </c>
      <c r="BU77" s="256">
        <f t="shared" si="44"/>
        <v>5063.5220206963277</v>
      </c>
      <c r="BV77" s="213">
        <f t="shared" si="45"/>
        <v>22209.468914990925</v>
      </c>
      <c r="BW77" s="213">
        <f t="shared" si="46"/>
        <v>44598.05394422602</v>
      </c>
      <c r="BX77" s="213">
        <f t="shared" si="47"/>
        <v>46305.467373686392</v>
      </c>
      <c r="BY77" s="213">
        <f t="shared" si="48"/>
        <v>47966.631407176101</v>
      </c>
      <c r="BZ77" s="213">
        <f t="shared" si="49"/>
        <v>49586.523805446996</v>
      </c>
      <c r="CA77" s="213">
        <f t="shared" si="50"/>
        <v>51169.761016339675</v>
      </c>
      <c r="CB77" s="213">
        <f t="shared" si="51"/>
        <v>52720.626389089739</v>
      </c>
      <c r="CC77" s="213">
        <f t="shared" si="52"/>
        <v>54243.09622235164</v>
      </c>
      <c r="CD77" s="213">
        <f t="shared" si="53"/>
        <v>55740.863812598182</v>
      </c>
      <c r="CE77" s="213">
        <f t="shared" si="54"/>
        <v>57217.36165675403</v>
      </c>
      <c r="CF77" s="213">
        <f t="shared" si="55"/>
        <v>58675.781951113051</v>
      </c>
      <c r="CG77" s="213">
        <f t="shared" si="56"/>
        <v>60119.095517675116</v>
      </c>
      <c r="CH77" s="213">
        <f t="shared" si="57"/>
        <v>61550.069278970768</v>
      </c>
      <c r="CI77" s="213">
        <f t="shared" si="58"/>
        <v>62971.282393140893</v>
      </c>
      <c r="CJ77" s="213">
        <f t="shared" si="59"/>
        <v>64385.141152453929</v>
      </c>
      <c r="CK77" s="213">
        <f t="shared" si="60"/>
        <v>65793.892740514129</v>
      </c>
    </row>
    <row r="78" spans="3:89" s="193" customFormat="1" x14ac:dyDescent="0.2">
      <c r="D78" s="196" t="s">
        <v>73</v>
      </c>
      <c r="E78" s="196"/>
      <c r="L78" s="184" t="s">
        <v>175</v>
      </c>
      <c r="M78" s="194"/>
      <c r="O78" s="195"/>
      <c r="P78" s="197">
        <f t="shared" ref="P78:AK78" si="67">P55*P66</f>
        <v>5337.9430103349168</v>
      </c>
      <c r="Q78" s="197">
        <f t="shared" si="67"/>
        <v>6097.0059610842318</v>
      </c>
      <c r="R78" s="247">
        <f t="shared" si="67"/>
        <v>6813.5461428996277</v>
      </c>
      <c r="S78" s="197">
        <f t="shared" si="67"/>
        <v>7491.2057965312251</v>
      </c>
      <c r="T78" s="197">
        <f t="shared" si="67"/>
        <v>8212.8071935666867</v>
      </c>
      <c r="U78" s="247">
        <f t="shared" si="67"/>
        <v>8823.7064592380975</v>
      </c>
      <c r="V78" s="197">
        <f t="shared" si="67"/>
        <v>10983.611011192279</v>
      </c>
      <c r="W78" s="197">
        <f t="shared" si="67"/>
        <v>13644.617892519484</v>
      </c>
      <c r="X78" s="197">
        <f t="shared" si="67"/>
        <v>14229.808588518245</v>
      </c>
      <c r="Y78" s="197">
        <f t="shared" si="67"/>
        <v>14793.565646211815</v>
      </c>
      <c r="Z78" s="197">
        <f t="shared" si="67"/>
        <v>15337.966202968486</v>
      </c>
      <c r="AA78" s="197">
        <f t="shared" si="67"/>
        <v>15864.928113040027</v>
      </c>
      <c r="AB78" s="197">
        <f t="shared" si="67"/>
        <v>16376.222678312783</v>
      </c>
      <c r="AC78" s="197">
        <f t="shared" si="67"/>
        <v>16873.486369567818</v>
      </c>
      <c r="AD78" s="197">
        <f t="shared" si="67"/>
        <v>17358.23161841766</v>
      </c>
      <c r="AE78" s="197">
        <f t="shared" si="67"/>
        <v>17831.856753722492</v>
      </c>
      <c r="AF78" s="197">
        <f t="shared" si="67"/>
        <v>18295.655150429531</v>
      </c>
      <c r="AG78" s="197">
        <f t="shared" si="67"/>
        <v>18750.823653385054</v>
      </c>
      <c r="AH78" s="197">
        <f t="shared" si="67"/>
        <v>19198.470333702775</v>
      </c>
      <c r="AI78" s="197">
        <f t="shared" si="67"/>
        <v>19639.621630700851</v>
      </c>
      <c r="AJ78" s="197">
        <f t="shared" si="67"/>
        <v>20075.228928210894</v>
      </c>
      <c r="AK78" s="197">
        <f t="shared" si="67"/>
        <v>20506.174610188325</v>
      </c>
      <c r="AM78" s="205"/>
      <c r="AQ78" s="197">
        <f t="shared" si="38"/>
        <v>5337.9430103349168</v>
      </c>
      <c r="AR78" s="197">
        <f t="shared" si="39"/>
        <v>6097.0059610842318</v>
      </c>
      <c r="AS78" s="197">
        <f t="shared" si="39"/>
        <v>6813.5461428996277</v>
      </c>
      <c r="AT78" s="197">
        <f t="shared" si="39"/>
        <v>7341.9126109514473</v>
      </c>
      <c r="AU78" s="197">
        <f t="shared" si="39"/>
        <v>7843.2739730057438</v>
      </c>
      <c r="AV78" s="247">
        <f t="shared" si="39"/>
        <v>8320.0107512636278</v>
      </c>
      <c r="AW78" s="197">
        <f t="shared" si="39"/>
        <v>8774.3159546784391</v>
      </c>
      <c r="AX78" s="197">
        <f t="shared" si="39"/>
        <v>9208.2101384101388</v>
      </c>
      <c r="AY78" s="197">
        <f t="shared" si="39"/>
        <v>9623.5552580211661</v>
      </c>
      <c r="AZ78" s="197">
        <f t="shared" si="39"/>
        <v>10022.067414934138</v>
      </c>
      <c r="BA78" s="197">
        <f t="shared" si="39"/>
        <v>10405.328581943017</v>
      </c>
      <c r="BB78" s="197">
        <f t="shared" si="39"/>
        <v>10774.797390459435</v>
      </c>
      <c r="BC78" s="197">
        <f t="shared" si="39"/>
        <v>11131.819054635374</v>
      </c>
      <c r="BD78" s="197">
        <f t="shared" si="39"/>
        <v>11477.634501486571</v>
      </c>
      <c r="BE78" s="197">
        <f t="shared" si="39"/>
        <v>11813.388770605929</v>
      </c>
      <c r="BF78" s="197">
        <f t="shared" si="39"/>
        <v>12140.13874196458</v>
      </c>
      <c r="BG78" s="197">
        <f t="shared" si="39"/>
        <v>12458.860245613991</v>
      </c>
      <c r="BH78" s="197">
        <f t="shared" si="39"/>
        <v>12770.454602793669</v>
      </c>
      <c r="BI78" s="197">
        <f t="shared" si="39"/>
        <v>13075.754643984981</v>
      </c>
      <c r="BJ78" s="197">
        <f t="shared" si="39"/>
        <v>13375.53024580515</v>
      </c>
      <c r="BK78" s="197">
        <f t="shared" si="39"/>
        <v>13670.4934252809</v>
      </c>
      <c r="BL78" s="197">
        <f t="shared" si="39"/>
        <v>13961.303026955362</v>
      </c>
      <c r="BN78" s="205"/>
      <c r="BP78" s="213">
        <f t="shared" si="63"/>
        <v>0</v>
      </c>
      <c r="BQ78" s="213">
        <f t="shared" si="40"/>
        <v>0</v>
      </c>
      <c r="BR78" s="213">
        <f t="shared" si="41"/>
        <v>0</v>
      </c>
      <c r="BS78" s="213">
        <f t="shared" si="42"/>
        <v>149.29318557977786</v>
      </c>
      <c r="BT78" s="213">
        <f t="shared" si="43"/>
        <v>369.53322056094294</v>
      </c>
      <c r="BU78" s="256">
        <f t="shared" si="44"/>
        <v>503.69570797446977</v>
      </c>
      <c r="BV78" s="213">
        <f t="shared" si="45"/>
        <v>2209.2950565138399</v>
      </c>
      <c r="BW78" s="213">
        <f t="shared" si="46"/>
        <v>4436.4077541093448</v>
      </c>
      <c r="BX78" s="213">
        <f t="shared" si="47"/>
        <v>4606.2533304970784</v>
      </c>
      <c r="BY78" s="213">
        <f t="shared" si="48"/>
        <v>4771.4982312776774</v>
      </c>
      <c r="BZ78" s="213">
        <f t="shared" si="49"/>
        <v>4932.6376210254693</v>
      </c>
      <c r="CA78" s="213">
        <f t="shared" si="50"/>
        <v>5090.1307225805922</v>
      </c>
      <c r="CB78" s="213">
        <f t="shared" si="51"/>
        <v>5244.4036236774082</v>
      </c>
      <c r="CC78" s="213">
        <f t="shared" si="52"/>
        <v>5395.8518680812467</v>
      </c>
      <c r="CD78" s="213">
        <f t="shared" si="53"/>
        <v>5544.8428478117312</v>
      </c>
      <c r="CE78" s="213">
        <f t="shared" si="54"/>
        <v>5691.7180117579119</v>
      </c>
      <c r="CF78" s="213">
        <f t="shared" si="55"/>
        <v>5836.7949048155406</v>
      </c>
      <c r="CG78" s="213">
        <f t="shared" si="56"/>
        <v>5980.3690505913855</v>
      </c>
      <c r="CH78" s="213">
        <f t="shared" si="57"/>
        <v>6122.7156897177938</v>
      </c>
      <c r="CI78" s="213">
        <f t="shared" si="58"/>
        <v>6264.0913848957007</v>
      </c>
      <c r="CJ78" s="213">
        <f t="shared" si="59"/>
        <v>6404.7355029299943</v>
      </c>
      <c r="CK78" s="213">
        <f t="shared" si="60"/>
        <v>6544.8715832329635</v>
      </c>
    </row>
    <row r="79" spans="3:89" s="193" customFormat="1" x14ac:dyDescent="0.2">
      <c r="D79" s="196" t="s">
        <v>180</v>
      </c>
      <c r="E79" s="196"/>
      <c r="L79" s="184" t="s">
        <v>175</v>
      </c>
      <c r="M79" s="194"/>
      <c r="O79" s="195"/>
      <c r="P79" s="197">
        <f t="shared" ref="P79:AK79" si="68">P56*P67</f>
        <v>80855.883399578015</v>
      </c>
      <c r="Q79" s="197">
        <f t="shared" si="68"/>
        <v>92353.702937909038</v>
      </c>
      <c r="R79" s="247">
        <f t="shared" si="68"/>
        <v>103207.41368000685</v>
      </c>
      <c r="S79" s="197">
        <f t="shared" si="68"/>
        <v>113472.18605253863</v>
      </c>
      <c r="T79" s="197">
        <f t="shared" si="68"/>
        <v>124402.56097537077</v>
      </c>
      <c r="U79" s="247">
        <f t="shared" si="68"/>
        <v>133656.08797975825</v>
      </c>
      <c r="V79" s="197">
        <f t="shared" si="68"/>
        <v>166372.99602259396</v>
      </c>
      <c r="W79" s="197">
        <f t="shared" si="68"/>
        <v>206680.29449046717</v>
      </c>
      <c r="X79" s="197">
        <f t="shared" si="68"/>
        <v>215544.40386566729</v>
      </c>
      <c r="Y79" s="197">
        <f t="shared" si="68"/>
        <v>224083.84964736746</v>
      </c>
      <c r="Z79" s="197">
        <f t="shared" si="68"/>
        <v>232330.09503712878</v>
      </c>
      <c r="AA79" s="197">
        <f t="shared" si="68"/>
        <v>240312.19051365773</v>
      </c>
      <c r="AB79" s="197">
        <f t="shared" si="68"/>
        <v>248056.96667040762</v>
      </c>
      <c r="AC79" s="197">
        <f t="shared" si="68"/>
        <v>255589.21176203116</v>
      </c>
      <c r="AD79" s="197">
        <f t="shared" si="68"/>
        <v>262931.83517401153</v>
      </c>
      <c r="AE79" s="197">
        <f t="shared" si="68"/>
        <v>270106.01793339511</v>
      </c>
      <c r="AF79" s="197">
        <f t="shared" si="68"/>
        <v>277131.3512897928</v>
      </c>
      <c r="AG79" s="197">
        <f t="shared" si="68"/>
        <v>284025.96431411256</v>
      </c>
      <c r="AH79" s="197">
        <f t="shared" si="68"/>
        <v>290806.64138726611</v>
      </c>
      <c r="AI79" s="197">
        <f t="shared" si="68"/>
        <v>297488.93038184469</v>
      </c>
      <c r="AJ79" s="197">
        <f t="shared" si="68"/>
        <v>304087.24227601156</v>
      </c>
      <c r="AK79" s="197">
        <f t="shared" si="68"/>
        <v>310614.9428801685</v>
      </c>
      <c r="AM79" s="205"/>
      <c r="AQ79" s="197">
        <f t="shared" si="38"/>
        <v>80855.883399578015</v>
      </c>
      <c r="AR79" s="197">
        <f t="shared" si="39"/>
        <v>92353.702937909038</v>
      </c>
      <c r="AS79" s="197">
        <f t="shared" si="39"/>
        <v>103207.41368000685</v>
      </c>
      <c r="AT79" s="197">
        <f t="shared" si="39"/>
        <v>111210.78453846874</v>
      </c>
      <c r="AU79" s="197">
        <f t="shared" si="39"/>
        <v>118805.09863152468</v>
      </c>
      <c r="AV79" s="247">
        <f t="shared" si="39"/>
        <v>126026.41464791491</v>
      </c>
      <c r="AW79" s="197">
        <f t="shared" si="39"/>
        <v>132907.95094082956</v>
      </c>
      <c r="AX79" s="197">
        <f t="shared" si="39"/>
        <v>139480.31363927736</v>
      </c>
      <c r="AY79" s="197">
        <f t="shared" si="39"/>
        <v>145771.70650293888</v>
      </c>
      <c r="AZ79" s="197">
        <f t="shared" si="39"/>
        <v>151808.12398253425</v>
      </c>
      <c r="BA79" s="197">
        <f t="shared" si="39"/>
        <v>157613.52883066726</v>
      </c>
      <c r="BB79" s="197">
        <f t="shared" si="39"/>
        <v>163210.01550040973</v>
      </c>
      <c r="BC79" s="197">
        <f t="shared" si="39"/>
        <v>168617.96046981888</v>
      </c>
      <c r="BD79" s="197">
        <f t="shared" si="39"/>
        <v>173856.16053944061</v>
      </c>
      <c r="BE79" s="197">
        <f t="shared" si="39"/>
        <v>178941.96006601182</v>
      </c>
      <c r="BF79" s="197">
        <f t="shared" si="39"/>
        <v>183891.36801844568</v>
      </c>
      <c r="BG79" s="197">
        <f t="shared" si="39"/>
        <v>188719.16567123443</v>
      </c>
      <c r="BH79" s="197">
        <f t="shared" si="39"/>
        <v>193439.00568513252</v>
      </c>
      <c r="BI79" s="197">
        <f t="shared" si="39"/>
        <v>198063.50326494133</v>
      </c>
      <c r="BJ79" s="197">
        <f t="shared" si="39"/>
        <v>202604.32002897968</v>
      </c>
      <c r="BK79" s="197">
        <f t="shared" si="39"/>
        <v>207072.24117401335</v>
      </c>
      <c r="BL79" s="197">
        <f t="shared" si="39"/>
        <v>211477.24647267294</v>
      </c>
      <c r="BN79" s="205"/>
      <c r="BP79" s="213">
        <f t="shared" si="63"/>
        <v>0</v>
      </c>
      <c r="BQ79" s="213">
        <f t="shared" si="40"/>
        <v>0</v>
      </c>
      <c r="BR79" s="213">
        <f t="shared" si="41"/>
        <v>0</v>
      </c>
      <c r="BS79" s="213">
        <f t="shared" si="42"/>
        <v>2261.4015140698903</v>
      </c>
      <c r="BT79" s="213">
        <f t="shared" si="43"/>
        <v>5597.462343846084</v>
      </c>
      <c r="BU79" s="256">
        <f t="shared" si="44"/>
        <v>7629.6733318433398</v>
      </c>
      <c r="BV79" s="213">
        <f t="shared" si="45"/>
        <v>33465.045081764401</v>
      </c>
      <c r="BW79" s="213">
        <f t="shared" si="46"/>
        <v>67199.980851189815</v>
      </c>
      <c r="BX79" s="213">
        <f t="shared" si="47"/>
        <v>69772.697362728417</v>
      </c>
      <c r="BY79" s="213">
        <f t="shared" si="48"/>
        <v>72275.725664833211</v>
      </c>
      <c r="BZ79" s="213">
        <f t="shared" si="49"/>
        <v>74716.566206461517</v>
      </c>
      <c r="CA79" s="213">
        <f t="shared" si="50"/>
        <v>77102.175013247994</v>
      </c>
      <c r="CB79" s="213">
        <f t="shared" si="51"/>
        <v>79439.006200588745</v>
      </c>
      <c r="CC79" s="213">
        <f t="shared" si="52"/>
        <v>81733.051222590555</v>
      </c>
      <c r="CD79" s="213">
        <f t="shared" si="53"/>
        <v>83989.875107999716</v>
      </c>
      <c r="CE79" s="213">
        <f t="shared" si="54"/>
        <v>86214.649914949434</v>
      </c>
      <c r="CF79" s="213">
        <f t="shared" si="55"/>
        <v>88412.185618558375</v>
      </c>
      <c r="CG79" s="213">
        <f t="shared" si="56"/>
        <v>90586.958628980035</v>
      </c>
      <c r="CH79" s="213">
        <f t="shared" si="57"/>
        <v>92743.138122324774</v>
      </c>
      <c r="CI79" s="213">
        <f t="shared" si="58"/>
        <v>94884.610352865013</v>
      </c>
      <c r="CJ79" s="213">
        <f t="shared" si="59"/>
        <v>97015.001101998205</v>
      </c>
      <c r="CK79" s="213">
        <f t="shared" si="60"/>
        <v>99137.696407495561</v>
      </c>
    </row>
    <row r="80" spans="3:89" s="193" customFormat="1" x14ac:dyDescent="0.2">
      <c r="D80" s="196" t="s">
        <v>75</v>
      </c>
      <c r="E80" s="196"/>
      <c r="L80" s="184" t="s">
        <v>175</v>
      </c>
      <c r="M80" s="194"/>
      <c r="O80" s="195"/>
      <c r="P80" s="197">
        <f t="shared" ref="P80:AK80" si="69">P57*P68</f>
        <v>45649.206733379251</v>
      </c>
      <c r="Q80" s="197">
        <f t="shared" si="69"/>
        <v>52140.587682054895</v>
      </c>
      <c r="R80" s="247">
        <f t="shared" si="69"/>
        <v>58268.320936069518</v>
      </c>
      <c r="S80" s="197">
        <f t="shared" si="69"/>
        <v>64063.554336577108</v>
      </c>
      <c r="T80" s="197">
        <f t="shared" si="69"/>
        <v>70234.57026698142</v>
      </c>
      <c r="U80" s="247">
        <f t="shared" si="69"/>
        <v>75458.879859255263</v>
      </c>
      <c r="V80" s="197">
        <f t="shared" si="69"/>
        <v>93930.026745916592</v>
      </c>
      <c r="W80" s="197">
        <f t="shared" si="69"/>
        <v>116686.51796537393</v>
      </c>
      <c r="X80" s="197">
        <f t="shared" si="69"/>
        <v>121690.97211716555</v>
      </c>
      <c r="Y80" s="197">
        <f t="shared" si="69"/>
        <v>126512.12933526044</v>
      </c>
      <c r="Z80" s="197">
        <f t="shared" si="69"/>
        <v>131167.75295526476</v>
      </c>
      <c r="AA80" s="197">
        <f t="shared" si="69"/>
        <v>135674.24414988747</v>
      </c>
      <c r="AB80" s="197">
        <f t="shared" si="69"/>
        <v>140046.75080022076</v>
      </c>
      <c r="AC80" s="197">
        <f t="shared" si="69"/>
        <v>144299.26773401996</v>
      </c>
      <c r="AD80" s="197">
        <f t="shared" si="69"/>
        <v>148444.72901656397</v>
      </c>
      <c r="AE80" s="197">
        <f t="shared" si="69"/>
        <v>152495.09292524468</v>
      </c>
      <c r="AF80" s="197">
        <f t="shared" si="69"/>
        <v>156461.42018892994</v>
      </c>
      <c r="AG80" s="197">
        <f t="shared" si="69"/>
        <v>160353.94602701219</v>
      </c>
      <c r="AH80" s="197">
        <f t="shared" si="69"/>
        <v>164182.14648058964</v>
      </c>
      <c r="AI80" s="197">
        <f t="shared" si="69"/>
        <v>167954.7994891312</v>
      </c>
      <c r="AJ80" s="197">
        <f t="shared" si="69"/>
        <v>171680.0411299851</v>
      </c>
      <c r="AK80" s="197">
        <f t="shared" si="69"/>
        <v>175365.41740495781</v>
      </c>
      <c r="AM80" s="205"/>
      <c r="AQ80" s="197">
        <f t="shared" si="38"/>
        <v>45649.206733379251</v>
      </c>
      <c r="AR80" s="197">
        <f t="shared" si="39"/>
        <v>52140.587682054895</v>
      </c>
      <c r="AS80" s="197">
        <f t="shared" si="39"/>
        <v>58268.320936069518</v>
      </c>
      <c r="AT80" s="197">
        <f t="shared" si="39"/>
        <v>62786.82367849008</v>
      </c>
      <c r="AU80" s="197">
        <f t="shared" si="39"/>
        <v>67074.383215981143</v>
      </c>
      <c r="AV80" s="247">
        <f t="shared" si="39"/>
        <v>71151.357381116308</v>
      </c>
      <c r="AW80" s="197">
        <f t="shared" si="39"/>
        <v>75036.500424153666</v>
      </c>
      <c r="AX80" s="197">
        <f t="shared" si="39"/>
        <v>78747.091799001719</v>
      </c>
      <c r="AY80" s="197">
        <f t="shared" si="39"/>
        <v>82299.054642013463</v>
      </c>
      <c r="AZ80" s="197">
        <f t="shared" si="39"/>
        <v>85707.064769035002</v>
      </c>
      <c r="BA80" s="197">
        <f t="shared" si="39"/>
        <v>88984.650950039708</v>
      </c>
      <c r="BB80" s="197">
        <f t="shared" si="39"/>
        <v>92144.287159876854</v>
      </c>
      <c r="BC80" s="197">
        <f t="shared" si="39"/>
        <v>95197.47744772899</v>
      </c>
      <c r="BD80" s="197">
        <f t="shared" si="39"/>
        <v>98154.834016418827</v>
      </c>
      <c r="BE80" s="197">
        <f t="shared" si="39"/>
        <v>101026.14905537099</v>
      </c>
      <c r="BF80" s="197">
        <f t="shared" si="39"/>
        <v>103820.46082748956</v>
      </c>
      <c r="BG80" s="197">
        <f t="shared" si="39"/>
        <v>106546.11447015603</v>
      </c>
      <c r="BH80" s="197">
        <f t="shared" si="39"/>
        <v>109210.81793370181</v>
      </c>
      <c r="BI80" s="197">
        <f t="shared" si="39"/>
        <v>111821.69344681017</v>
      </c>
      <c r="BJ80" s="197">
        <f t="shared" si="39"/>
        <v>114385.32486711892</v>
      </c>
      <c r="BK80" s="197">
        <f t="shared" si="39"/>
        <v>116907.80124660705</v>
      </c>
      <c r="BL80" s="197">
        <f t="shared" si="39"/>
        <v>119394.75691495845</v>
      </c>
      <c r="BN80" s="205"/>
      <c r="BP80" s="213">
        <f t="shared" si="63"/>
        <v>0</v>
      </c>
      <c r="BQ80" s="213">
        <f t="shared" si="40"/>
        <v>0</v>
      </c>
      <c r="BR80" s="213">
        <f t="shared" si="41"/>
        <v>0</v>
      </c>
      <c r="BS80" s="213">
        <f t="shared" si="42"/>
        <v>1276.7306580870281</v>
      </c>
      <c r="BT80" s="213">
        <f t="shared" si="43"/>
        <v>3160.1870510002773</v>
      </c>
      <c r="BU80" s="256">
        <f t="shared" si="44"/>
        <v>4307.5224781389552</v>
      </c>
      <c r="BV80" s="213">
        <f t="shared" si="45"/>
        <v>18893.526321762925</v>
      </c>
      <c r="BW80" s="213">
        <f t="shared" si="46"/>
        <v>37939.426166372214</v>
      </c>
      <c r="BX80" s="213">
        <f t="shared" si="47"/>
        <v>39391.917475152091</v>
      </c>
      <c r="BY80" s="213">
        <f t="shared" si="48"/>
        <v>40805.064566225439</v>
      </c>
      <c r="BZ80" s="213">
        <f t="shared" si="49"/>
        <v>42183.102005225053</v>
      </c>
      <c r="CA80" s="213">
        <f t="shared" si="50"/>
        <v>43529.956990010614</v>
      </c>
      <c r="CB80" s="213">
        <f t="shared" si="51"/>
        <v>44849.273352491771</v>
      </c>
      <c r="CC80" s="213">
        <f t="shared" si="52"/>
        <v>46144.433717601132</v>
      </c>
      <c r="CD80" s="213">
        <f t="shared" si="53"/>
        <v>47418.579961192983</v>
      </c>
      <c r="CE80" s="213">
        <f t="shared" si="54"/>
        <v>48674.632097755122</v>
      </c>
      <c r="CF80" s="213">
        <f t="shared" si="55"/>
        <v>49915.305718773918</v>
      </c>
      <c r="CG80" s="213">
        <f t="shared" si="56"/>
        <v>51143.128093310384</v>
      </c>
      <c r="CH80" s="213">
        <f t="shared" si="57"/>
        <v>52360.453033779471</v>
      </c>
      <c r="CI80" s="213">
        <f t="shared" si="58"/>
        <v>53569.474622012276</v>
      </c>
      <c r="CJ80" s="213">
        <f t="shared" si="59"/>
        <v>54772.239883378046</v>
      </c>
      <c r="CK80" s="213">
        <f t="shared" si="60"/>
        <v>55970.660489999369</v>
      </c>
    </row>
    <row r="81" spans="3:89" s="193" customFormat="1" x14ac:dyDescent="0.2">
      <c r="D81" s="196" t="s">
        <v>181</v>
      </c>
      <c r="E81" s="196"/>
      <c r="L81" s="184" t="s">
        <v>175</v>
      </c>
      <c r="M81" s="194"/>
      <c r="O81" s="195"/>
      <c r="P81" s="197">
        <f t="shared" ref="P81:AK81" si="70">P58*P69</f>
        <v>33086.768602311757</v>
      </c>
      <c r="Q81" s="197">
        <f t="shared" si="70"/>
        <v>37791.753304734579</v>
      </c>
      <c r="R81" s="247">
        <f t="shared" si="70"/>
        <v>42233.164377142581</v>
      </c>
      <c r="S81" s="197">
        <f t="shared" si="70"/>
        <v>46433.577927347309</v>
      </c>
      <c r="T81" s="197">
        <f t="shared" si="70"/>
        <v>50906.360495574692</v>
      </c>
      <c r="U81" s="247">
        <f t="shared" si="70"/>
        <v>54692.965673535175</v>
      </c>
      <c r="V81" s="197">
        <f t="shared" si="70"/>
        <v>68080.943397393246</v>
      </c>
      <c r="W81" s="197">
        <f t="shared" si="70"/>
        <v>84574.959680663451</v>
      </c>
      <c r="X81" s="197">
        <f t="shared" si="70"/>
        <v>88202.212558644605</v>
      </c>
      <c r="Y81" s="197">
        <f t="shared" si="70"/>
        <v>91696.610921405882</v>
      </c>
      <c r="Z81" s="197">
        <f t="shared" si="70"/>
        <v>95071.029721588537</v>
      </c>
      <c r="AA81" s="197">
        <f t="shared" si="70"/>
        <v>98337.356609495007</v>
      </c>
      <c r="AB81" s="197">
        <f t="shared" si="70"/>
        <v>101506.57084352594</v>
      </c>
      <c r="AC81" s="197">
        <f t="shared" si="70"/>
        <v>104588.81594337657</v>
      </c>
      <c r="AD81" s="197">
        <f t="shared" si="70"/>
        <v>107593.46658290418</v>
      </c>
      <c r="AE81" s="197">
        <f t="shared" si="70"/>
        <v>110529.19018012675</v>
      </c>
      <c r="AF81" s="197">
        <f t="shared" si="70"/>
        <v>113404.00360549646</v>
      </c>
      <c r="AG81" s="197">
        <f t="shared" si="70"/>
        <v>116225.3253961547</v>
      </c>
      <c r="AH81" s="197">
        <f t="shared" si="70"/>
        <v>119000.02383309741</v>
      </c>
      <c r="AI81" s="197">
        <f t="shared" si="70"/>
        <v>121734.46120984061</v>
      </c>
      <c r="AJ81" s="197">
        <f t="shared" si="70"/>
        <v>124434.53459509186</v>
      </c>
      <c r="AK81" s="197">
        <f t="shared" si="70"/>
        <v>127105.71336791616</v>
      </c>
      <c r="AM81" s="205"/>
      <c r="AQ81" s="197">
        <f t="shared" si="38"/>
        <v>33086.768602311757</v>
      </c>
      <c r="AR81" s="197">
        <f t="shared" ref="AR81:BL81" si="71">AR58*AR69</f>
        <v>37791.753304734579</v>
      </c>
      <c r="AS81" s="197">
        <f t="shared" si="71"/>
        <v>42233.164377142581</v>
      </c>
      <c r="AT81" s="197">
        <f t="shared" si="71"/>
        <v>45508.197293718149</v>
      </c>
      <c r="AU81" s="197">
        <f t="shared" si="71"/>
        <v>48615.841444341902</v>
      </c>
      <c r="AV81" s="247">
        <f t="shared" si="71"/>
        <v>51570.852285763482</v>
      </c>
      <c r="AW81" s="197">
        <f t="shared" si="71"/>
        <v>54386.822990416797</v>
      </c>
      <c r="AX81" s="197">
        <f t="shared" si="71"/>
        <v>57076.277791118948</v>
      </c>
      <c r="AY81" s="197">
        <f t="shared" si="71"/>
        <v>59650.757855080388</v>
      </c>
      <c r="AZ81" s="197">
        <f t="shared" si="71"/>
        <v>62120.900285499541</v>
      </c>
      <c r="BA81" s="197">
        <f t="shared" si="71"/>
        <v>64496.51080110883</v>
      </c>
      <c r="BB81" s="197">
        <f t="shared" si="71"/>
        <v>66786.630599968863</v>
      </c>
      <c r="BC81" s="197">
        <f t="shared" si="71"/>
        <v>68999.59787326699</v>
      </c>
      <c r="BD81" s="197">
        <f t="shared" si="71"/>
        <v>71143.10439758125</v>
      </c>
      <c r="BE81" s="197">
        <f t="shared" si="71"/>
        <v>73224.24759976269</v>
      </c>
      <c r="BF81" s="197">
        <f t="shared" si="71"/>
        <v>75249.578457028139</v>
      </c>
      <c r="BG81" s="197">
        <f t="shared" si="71"/>
        <v>77225.145565821105</v>
      </c>
      <c r="BH81" s="197">
        <f t="shared" si="71"/>
        <v>79156.53568629059</v>
      </c>
      <c r="BI81" s="197">
        <f t="shared" si="71"/>
        <v>81048.911044666587</v>
      </c>
      <c r="BJ81" s="197">
        <f t="shared" si="71"/>
        <v>82907.04365320869</v>
      </c>
      <c r="BK81" s="197">
        <f t="shared" si="71"/>
        <v>84735.346886611704</v>
      </c>
      <c r="BL81" s="197">
        <f t="shared" si="71"/>
        <v>86537.904534624075</v>
      </c>
      <c r="BN81" s="205"/>
      <c r="BP81" s="213">
        <f t="shared" si="63"/>
        <v>0</v>
      </c>
      <c r="BQ81" s="213">
        <f t="shared" si="40"/>
        <v>0</v>
      </c>
      <c r="BR81" s="213">
        <f t="shared" si="41"/>
        <v>0</v>
      </c>
      <c r="BS81" s="213">
        <f t="shared" si="42"/>
        <v>925.38063362916</v>
      </c>
      <c r="BT81" s="213">
        <f t="shared" si="43"/>
        <v>2290.5190512327899</v>
      </c>
      <c r="BU81" s="256">
        <f t="shared" si="44"/>
        <v>3122.1133877716929</v>
      </c>
      <c r="BV81" s="213">
        <f t="shared" si="45"/>
        <v>13694.12040697645</v>
      </c>
      <c r="BW81" s="213">
        <f t="shared" si="46"/>
        <v>27498.681889544503</v>
      </c>
      <c r="BX81" s="213">
        <f t="shared" si="47"/>
        <v>28551.454703564217</v>
      </c>
      <c r="BY81" s="213">
        <f t="shared" si="48"/>
        <v>29575.71063590634</v>
      </c>
      <c r="BZ81" s="213">
        <f t="shared" si="49"/>
        <v>30574.518920479706</v>
      </c>
      <c r="CA81" s="213">
        <f t="shared" si="50"/>
        <v>31550.726009526144</v>
      </c>
      <c r="CB81" s="213">
        <f t="shared" si="51"/>
        <v>32506.972970258954</v>
      </c>
      <c r="CC81" s="213">
        <f t="shared" si="52"/>
        <v>33445.711545795319</v>
      </c>
      <c r="CD81" s="213">
        <f t="shared" si="53"/>
        <v>34369.218983141487</v>
      </c>
      <c r="CE81" s="213">
        <f t="shared" si="54"/>
        <v>35279.611723098613</v>
      </c>
      <c r="CF81" s="213">
        <f t="shared" si="55"/>
        <v>36178.858039675353</v>
      </c>
      <c r="CG81" s="213">
        <f t="shared" si="56"/>
        <v>37068.789709864112</v>
      </c>
      <c r="CH81" s="213">
        <f t="shared" si="57"/>
        <v>37951.112788430823</v>
      </c>
      <c r="CI81" s="213">
        <f t="shared" si="58"/>
        <v>38827.417556631917</v>
      </c>
      <c r="CJ81" s="213">
        <f t="shared" si="59"/>
        <v>39699.187708480153</v>
      </c>
      <c r="CK81" s="213">
        <f t="shared" si="60"/>
        <v>40567.808833292089</v>
      </c>
    </row>
    <row r="82" spans="3:89" s="198" customFormat="1" x14ac:dyDescent="0.2">
      <c r="D82" s="199" t="s">
        <v>374</v>
      </c>
      <c r="E82" s="199"/>
      <c r="L82" s="191"/>
      <c r="M82" s="200"/>
      <c r="P82" s="198">
        <f>SUM(P73:P81)</f>
        <v>1366759.1484894347</v>
      </c>
      <c r="Q82" s="198">
        <f t="shared" ref="Q82:AK82" si="72">SUM(Q73:Q81)</f>
        <v>1571991.4064951818</v>
      </c>
      <c r="R82" s="248">
        <f t="shared" si="72"/>
        <v>1769012.2851233771</v>
      </c>
      <c r="S82" s="198">
        <f t="shared" si="72"/>
        <v>1958583.3044782099</v>
      </c>
      <c r="T82" s="198">
        <f t="shared" si="72"/>
        <v>2162335.89293548</v>
      </c>
      <c r="U82" s="248">
        <f t="shared" si="72"/>
        <v>2339549.7959599835</v>
      </c>
      <c r="V82" s="198">
        <f t="shared" si="72"/>
        <v>2932814.2807123046</v>
      </c>
      <c r="W82" s="198">
        <f t="shared" si="72"/>
        <v>3669166.3601422645</v>
      </c>
      <c r="X82" s="198">
        <f t="shared" si="72"/>
        <v>3853719.3436153135</v>
      </c>
      <c r="Y82" s="198">
        <f t="shared" si="72"/>
        <v>4034941.515421099</v>
      </c>
      <c r="Z82" s="198">
        <f t="shared" si="72"/>
        <v>4213314.0707810028</v>
      </c>
      <c r="AA82" s="198">
        <f t="shared" si="72"/>
        <v>4389288.4806074668</v>
      </c>
      <c r="AB82" s="198">
        <f t="shared" si="72"/>
        <v>4563288.8241528617</v>
      </c>
      <c r="AC82" s="198">
        <f t="shared" si="72"/>
        <v>4735713.9522446599</v>
      </c>
      <c r="AD82" s="198">
        <f t="shared" si="72"/>
        <v>4906939.4937885534</v>
      </c>
      <c r="AE82" s="198">
        <f t="shared" si="72"/>
        <v>5077319.7172768107</v>
      </c>
      <c r="AF82" s="198">
        <f t="shared" si="72"/>
        <v>5247189.2581656538</v>
      </c>
      <c r="AG82" s="198">
        <f t="shared" si="72"/>
        <v>5416864.7221773108</v>
      </c>
      <c r="AH82" s="198">
        <f t="shared" si="72"/>
        <v>5586646.1738349246</v>
      </c>
      <c r="AI82" s="198">
        <f t="shared" si="72"/>
        <v>5756818.5188469477</v>
      </c>
      <c r="AJ82" s="198">
        <f t="shared" si="72"/>
        <v>5927652.7883179169</v>
      </c>
      <c r="AK82" s="198">
        <f t="shared" si="72"/>
        <v>6099407.3321706764</v>
      </c>
      <c r="AM82" s="206"/>
      <c r="AQ82" s="198">
        <f t="shared" ref="AQ82:BL82" si="73">SUM(AQ73:AQ81)</f>
        <v>1366759.1484894347</v>
      </c>
      <c r="AR82" s="198">
        <f t="shared" si="73"/>
        <v>1571991.4064951818</v>
      </c>
      <c r="AS82" s="198">
        <f t="shared" si="73"/>
        <v>1769012.2851233771</v>
      </c>
      <c r="AT82" s="198">
        <f t="shared" si="73"/>
        <v>1918891.9590118499</v>
      </c>
      <c r="AU82" s="198">
        <f t="shared" si="73"/>
        <v>2063621.6898279595</v>
      </c>
      <c r="AV82" s="248">
        <f t="shared" si="73"/>
        <v>2203716.1932695936</v>
      </c>
      <c r="AW82" s="198">
        <f t="shared" si="73"/>
        <v>2339654.781053998</v>
      </c>
      <c r="AX82" s="198">
        <f t="shared" si="73"/>
        <v>2471884.0789782964</v>
      </c>
      <c r="AY82" s="198">
        <f t="shared" si="73"/>
        <v>2600820.542582965</v>
      </c>
      <c r="AZ82" s="198">
        <f t="shared" si="73"/>
        <v>2726852.7856964576</v>
      </c>
      <c r="BA82" s="198">
        <f t="shared" si="73"/>
        <v>2850343.7359859026</v>
      </c>
      <c r="BB82" s="198">
        <f t="shared" si="73"/>
        <v>2971632.6305730231</v>
      </c>
      <c r="BC82" s="198">
        <f t="shared" si="73"/>
        <v>3091036.8637893139</v>
      </c>
      <c r="BD82" s="198">
        <f t="shared" si="73"/>
        <v>3208853.6982341702</v>
      </c>
      <c r="BE82" s="198">
        <f t="shared" si="73"/>
        <v>3325361.8494581496</v>
      </c>
      <c r="BF82" s="198">
        <f t="shared" si="73"/>
        <v>3440822.9538158979</v>
      </c>
      <c r="BG82" s="198">
        <f t="shared" si="73"/>
        <v>3555482.9283143813</v>
      </c>
      <c r="BH82" s="198">
        <f t="shared" si="73"/>
        <v>3669573.2306176685</v>
      </c>
      <c r="BI82" s="198">
        <f t="shared" si="73"/>
        <v>3783312.0267554042</v>
      </c>
      <c r="BJ82" s="198">
        <f t="shared" si="73"/>
        <v>3896905.2735144091</v>
      </c>
      <c r="BK82" s="198">
        <f t="shared" si="73"/>
        <v>4010547.7219681647</v>
      </c>
      <c r="BL82" s="198">
        <f t="shared" si="73"/>
        <v>4124423.848113881</v>
      </c>
      <c r="BN82" s="206"/>
      <c r="BP82" s="213">
        <f t="shared" si="63"/>
        <v>0</v>
      </c>
      <c r="BQ82" s="213">
        <f t="shared" si="40"/>
        <v>0</v>
      </c>
      <c r="BR82" s="213">
        <f t="shared" si="41"/>
        <v>0</v>
      </c>
      <c r="BS82" s="213">
        <f t="shared" si="42"/>
        <v>39691.345466359984</v>
      </c>
      <c r="BT82" s="213">
        <f t="shared" si="43"/>
        <v>98714.203107520472</v>
      </c>
      <c r="BU82" s="256">
        <f t="shared" si="44"/>
        <v>135833.60269038985</v>
      </c>
      <c r="BV82" s="213">
        <f t="shared" si="45"/>
        <v>593159.49965830659</v>
      </c>
      <c r="BW82" s="213">
        <f t="shared" si="46"/>
        <v>1197282.2811639681</v>
      </c>
      <c r="BX82" s="213">
        <f t="shared" si="47"/>
        <v>1252898.8010323485</v>
      </c>
      <c r="BY82" s="213">
        <f t="shared" si="48"/>
        <v>1308088.7297246414</v>
      </c>
      <c r="BZ82" s="213">
        <f t="shared" si="49"/>
        <v>1362970.3347951001</v>
      </c>
      <c r="CA82" s="213">
        <f t="shared" si="50"/>
        <v>1417655.8500344437</v>
      </c>
      <c r="CB82" s="213">
        <f t="shared" si="51"/>
        <v>1472251.9603635478</v>
      </c>
      <c r="CC82" s="213">
        <f t="shared" si="52"/>
        <v>1526860.2540104897</v>
      </c>
      <c r="CD82" s="213">
        <f t="shared" si="53"/>
        <v>1581577.6443304038</v>
      </c>
      <c r="CE82" s="213">
        <f t="shared" si="54"/>
        <v>1636496.7634609127</v>
      </c>
      <c r="CF82" s="213">
        <f t="shared" si="55"/>
        <v>1691706.3298512725</v>
      </c>
      <c r="CG82" s="213">
        <f t="shared" si="56"/>
        <v>1747291.4915596424</v>
      </c>
      <c r="CH82" s="213">
        <f t="shared" si="57"/>
        <v>1803334.1470795204</v>
      </c>
      <c r="CI82" s="213">
        <f t="shared" si="58"/>
        <v>1859913.2453325386</v>
      </c>
      <c r="CJ82" s="213">
        <f t="shared" si="59"/>
        <v>1917105.0663497522</v>
      </c>
      <c r="CK82" s="213">
        <f t="shared" si="60"/>
        <v>1974983.4840567955</v>
      </c>
    </row>
    <row r="83" spans="3:89" x14ac:dyDescent="0.2">
      <c r="D83" s="67"/>
      <c r="E83" s="67"/>
      <c r="L83" s="64"/>
      <c r="M83" s="78"/>
      <c r="O83" s="63"/>
      <c r="P83" s="63"/>
      <c r="Q83" s="63"/>
      <c r="R83" s="147"/>
      <c r="S83" s="63"/>
      <c r="T83" s="63"/>
      <c r="U83" s="147"/>
      <c r="V83" s="63"/>
      <c r="W83" s="63"/>
      <c r="X83" s="63"/>
      <c r="Y83" s="63"/>
      <c r="Z83" s="63"/>
      <c r="AA83" s="63"/>
      <c r="AB83" s="63"/>
      <c r="AC83" s="63"/>
      <c r="AD83" s="63"/>
      <c r="AE83" s="63"/>
      <c r="AF83" s="63"/>
      <c r="AG83" s="63"/>
      <c r="AH83" s="63"/>
      <c r="AI83" s="63"/>
      <c r="AJ83" s="63"/>
      <c r="AK83" s="63"/>
    </row>
    <row r="84" spans="3:89" x14ac:dyDescent="0.2">
      <c r="K84" s="3"/>
      <c r="P84" s="63"/>
    </row>
    <row r="85" spans="3:89" x14ac:dyDescent="0.2">
      <c r="C85" t="s">
        <v>65</v>
      </c>
      <c r="M85" s="63"/>
      <c r="R85" s="507" t="s">
        <v>551</v>
      </c>
    </row>
    <row r="86" spans="3:89" x14ac:dyDescent="0.2">
      <c r="D86" t="s">
        <v>313</v>
      </c>
      <c r="M86" s="63"/>
    </row>
    <row r="87" spans="3:89" x14ac:dyDescent="0.2">
      <c r="E87" t="s">
        <v>314</v>
      </c>
      <c r="M87" s="63"/>
    </row>
    <row r="88" spans="3:89" x14ac:dyDescent="0.2">
      <c r="F88" t="s">
        <v>269</v>
      </c>
      <c r="G88" s="67"/>
      <c r="L88" s="63"/>
    </row>
    <row r="89" spans="3:89" x14ac:dyDescent="0.2">
      <c r="G89" s="67" t="s">
        <v>224</v>
      </c>
      <c r="L89" s="64" t="s">
        <v>175</v>
      </c>
      <c r="Q89" s="68">
        <f t="shared" ref="Q89:AL89" si="74">P38*P61</f>
        <v>53699210.226832621</v>
      </c>
      <c r="R89" s="209">
        <f>Q38*Q61</f>
        <v>61939601.711659506</v>
      </c>
      <c r="S89" s="68">
        <f t="shared" si="74"/>
        <v>69900907.376416653</v>
      </c>
      <c r="T89" s="68">
        <f t="shared" si="74"/>
        <v>77610264.424178004</v>
      </c>
      <c r="U89" s="209">
        <f t="shared" si="74"/>
        <v>85924474.650792971</v>
      </c>
      <c r="V89" s="68">
        <f t="shared" si="74"/>
        <v>93225373.758771107</v>
      </c>
      <c r="W89" s="68">
        <f t="shared" si="74"/>
        <v>117188784.11130047</v>
      </c>
      <c r="X89" s="68">
        <f t="shared" si="74"/>
        <v>147014477.82453725</v>
      </c>
      <c r="Y89" s="68">
        <f t="shared" si="74"/>
        <v>154830176.54630354</v>
      </c>
      <c r="Z89" s="68">
        <f t="shared" si="74"/>
        <v>162550098.55233103</v>
      </c>
      <c r="AA89" s="68">
        <f t="shared" si="74"/>
        <v>170192325.8975758</v>
      </c>
      <c r="AB89" s="68">
        <f t="shared" si="74"/>
        <v>177773952.68041465</v>
      </c>
      <c r="AC89" s="68">
        <f t="shared" si="74"/>
        <v>185311161.61229002</v>
      </c>
      <c r="AD89" s="68">
        <f t="shared" si="74"/>
        <v>192819295.37988439</v>
      </c>
      <c r="AE89" s="68">
        <f t="shared" si="74"/>
        <v>200312923.17047215</v>
      </c>
      <c r="AF89" s="68">
        <f t="shared" si="74"/>
        <v>207805902.70514128</v>
      </c>
      <c r="AG89" s="68">
        <f t="shared" si="74"/>
        <v>215311438.10045063</v>
      </c>
      <c r="AH89" s="68">
        <f t="shared" si="74"/>
        <v>222842133.85666105</v>
      </c>
      <c r="AI89" s="68">
        <f t="shared" si="74"/>
        <v>230410045.24983159</v>
      </c>
      <c r="AJ89" s="68">
        <f t="shared" si="74"/>
        <v>238026725.3856934</v>
      </c>
      <c r="AK89" s="68">
        <f t="shared" si="74"/>
        <v>245703269.15520218</v>
      </c>
      <c r="AL89" s="68">
        <f t="shared" si="74"/>
        <v>253450354.31492662</v>
      </c>
      <c r="AR89" s="68">
        <f t="shared" ref="AR89:BL89" si="75">AQ38*AQ61</f>
        <v>53699210.226832621</v>
      </c>
      <c r="AS89" s="68">
        <f t="shared" si="75"/>
        <v>61939601.711659506</v>
      </c>
      <c r="AT89" s="68">
        <f t="shared" si="75"/>
        <v>69900907.376416653</v>
      </c>
      <c r="AU89" s="68">
        <f t="shared" si="75"/>
        <v>76026976.801836193</v>
      </c>
      <c r="AV89" s="209">
        <f t="shared" si="75"/>
        <v>81979411.10984914</v>
      </c>
      <c r="AW89" s="68">
        <f t="shared" si="75"/>
        <v>87776891.044872448</v>
      </c>
      <c r="AX89" s="68">
        <f t="shared" si="75"/>
        <v>93436911.432332307</v>
      </c>
      <c r="AY89" s="68">
        <f t="shared" si="75"/>
        <v>98975869.461314544</v>
      </c>
      <c r="AZ89" s="68">
        <f t="shared" si="75"/>
        <v>104409146.74268347</v>
      </c>
      <c r="BA89" s="68">
        <f t="shared" si="75"/>
        <v>109751185.58946174</v>
      </c>
      <c r="BB89" s="68">
        <f t="shared" si="75"/>
        <v>115015559.93438524</v>
      </c>
      <c r="BC89" s="68">
        <f t="shared" si="75"/>
        <v>120215041.26994489</v>
      </c>
      <c r="BD89" s="68">
        <f t="shared" si="75"/>
        <v>125361659.96874382</v>
      </c>
      <c r="BE89" s="68">
        <f t="shared" si="75"/>
        <v>130466762.3164797</v>
      </c>
      <c r="BF89" s="68">
        <f t="shared" si="75"/>
        <v>135541063.56616622</v>
      </c>
      <c r="BG89" s="68">
        <f t="shared" si="75"/>
        <v>140594697.30020919</v>
      </c>
      <c r="BH89" s="68">
        <f t="shared" si="75"/>
        <v>145637261.36652577</v>
      </c>
      <c r="BI89" s="68">
        <f t="shared" si="75"/>
        <v>150677860.6359289</v>
      </c>
      <c r="BJ89" s="68">
        <f t="shared" si="75"/>
        <v>155725146.81039134</v>
      </c>
      <c r="BK89" s="68">
        <f t="shared" si="75"/>
        <v>160787355.49545375</v>
      </c>
      <c r="BL89" s="68">
        <f t="shared" si="75"/>
        <v>165872340.73486027</v>
      </c>
      <c r="BM89" s="68"/>
    </row>
    <row r="90" spans="3:89" x14ac:dyDescent="0.2">
      <c r="G90" s="67" t="s">
        <v>64</v>
      </c>
      <c r="L90" s="64" t="s">
        <v>175</v>
      </c>
      <c r="Q90" s="68">
        <f t="shared" ref="Q90:AL90" si="76">P39*P62</f>
        <v>2923648.9330728021</v>
      </c>
      <c r="R90" s="209">
        <f t="shared" si="76"/>
        <v>3339395.8943641875</v>
      </c>
      <c r="S90" s="68">
        <f t="shared" si="76"/>
        <v>3731852.6766888332</v>
      </c>
      <c r="T90" s="68">
        <f t="shared" si="76"/>
        <v>4103014.1745711784</v>
      </c>
      <c r="U90" s="209">
        <f t="shared" si="76"/>
        <v>4498243.0390348705</v>
      </c>
      <c r="V90" s="68">
        <f t="shared" si="76"/>
        <v>4832839.1527133333</v>
      </c>
      <c r="W90" s="68">
        <f t="shared" si="76"/>
        <v>6015842.1609196216</v>
      </c>
      <c r="X90" s="68">
        <f t="shared" si="76"/>
        <v>7473304.3171151653</v>
      </c>
      <c r="Y90" s="68">
        <f t="shared" si="76"/>
        <v>7793819.5700297086</v>
      </c>
      <c r="Z90" s="68">
        <f t="shared" si="76"/>
        <v>8102595.3881766787</v>
      </c>
      <c r="AA90" s="68">
        <f t="shared" si="76"/>
        <v>8400769.442085512</v>
      </c>
      <c r="AB90" s="68">
        <f t="shared" si="76"/>
        <v>8689392.1612055525</v>
      </c>
      <c r="AC90" s="68">
        <f t="shared" si="76"/>
        <v>8969433.7066756729</v>
      </c>
      <c r="AD90" s="68">
        <f t="shared" si="76"/>
        <v>9241790.3911848273</v>
      </c>
      <c r="AE90" s="68">
        <f t="shared" si="76"/>
        <v>9507290.5898321383</v>
      </c>
      <c r="AF90" s="68">
        <f t="shared" si="76"/>
        <v>9766700.1824091766</v>
      </c>
      <c r="AG90" s="68">
        <f t="shared" si="76"/>
        <v>10020727.564317912</v>
      </c>
      <c r="AH90" s="68">
        <f t="shared" si="76"/>
        <v>10270028.260383371</v>
      </c>
      <c r="AI90" s="68">
        <f t="shared" si="76"/>
        <v>10515209.173100231</v>
      </c>
      <c r="AJ90" s="68">
        <f t="shared" si="76"/>
        <v>10756832.494348686</v>
      </c>
      <c r="AK90" s="68">
        <f t="shared" si="76"/>
        <v>10995419.307309821</v>
      </c>
      <c r="AL90" s="68">
        <f t="shared" si="76"/>
        <v>11231452.903188655</v>
      </c>
      <c r="AR90" s="68">
        <f t="shared" ref="AR90:BL90" si="77">AQ39*AQ62</f>
        <v>2923648.9330728021</v>
      </c>
      <c r="AS90" s="68">
        <f t="shared" si="77"/>
        <v>3339395.8943641875</v>
      </c>
      <c r="AT90" s="68">
        <f t="shared" si="77"/>
        <v>3731852.6766888332</v>
      </c>
      <c r="AU90" s="68">
        <f t="shared" si="77"/>
        <v>4021244.6873566695</v>
      </c>
      <c r="AV90" s="209">
        <f t="shared" si="77"/>
        <v>4295845.7103379928</v>
      </c>
      <c r="AW90" s="68">
        <f t="shared" si="77"/>
        <v>4556959.583305845</v>
      </c>
      <c r="AX90" s="68">
        <f t="shared" si="77"/>
        <v>4805787.4409059593</v>
      </c>
      <c r="AY90" s="68">
        <f t="shared" si="77"/>
        <v>5043435.9629822727</v>
      </c>
      <c r="AZ90" s="68">
        <f t="shared" si="77"/>
        <v>5270924.9626693605</v>
      </c>
      <c r="BA90" s="68">
        <f t="shared" si="77"/>
        <v>5489194.3672170211</v>
      </c>
      <c r="BB90" s="68">
        <f t="shared" si="77"/>
        <v>5699110.6401791489</v>
      </c>
      <c r="BC90" s="68">
        <f t="shared" si="77"/>
        <v>5901472.6897048382</v>
      </c>
      <c r="BD90" s="68">
        <f t="shared" si="77"/>
        <v>6097017.3040873706</v>
      </c>
      <c r="BE90" s="68">
        <f t="shared" si="77"/>
        <v>6286424.1524312152</v>
      </c>
      <c r="BF90" s="68">
        <f t="shared" si="77"/>
        <v>6470320.3852656418</v>
      </c>
      <c r="BG90" s="68">
        <f t="shared" si="77"/>
        <v>6649284.8671446545</v>
      </c>
      <c r="BH90" s="68">
        <f t="shared" si="77"/>
        <v>6823852.0707074916</v>
      </c>
      <c r="BI90" s="68">
        <f t="shared" si="77"/>
        <v>6994515.6593138287</v>
      </c>
      <c r="BJ90" s="68">
        <f t="shared" si="77"/>
        <v>7161731.7831967361</v>
      </c>
      <c r="BK90" s="68">
        <f t="shared" si="77"/>
        <v>7325922.1120792106</v>
      </c>
      <c r="BL90" s="68">
        <f t="shared" si="77"/>
        <v>7487476.6253627725</v>
      </c>
      <c r="BM90" s="68"/>
    </row>
    <row r="91" spans="3:89" x14ac:dyDescent="0.2">
      <c r="G91" s="67" t="s">
        <v>63</v>
      </c>
      <c r="L91" s="64" t="s">
        <v>175</v>
      </c>
      <c r="Q91" s="68">
        <f t="shared" ref="Q91:AL91" si="78">P40*P63</f>
        <v>5005939.5229074433</v>
      </c>
      <c r="R91" s="209">
        <f t="shared" si="78"/>
        <v>5717791.1140866326</v>
      </c>
      <c r="S91" s="68">
        <f t="shared" si="78"/>
        <v>6389764.7205781564</v>
      </c>
      <c r="T91" s="68">
        <f t="shared" si="78"/>
        <v>7025276.0470622024</v>
      </c>
      <c r="U91" s="209">
        <f t="shared" si="78"/>
        <v>7701996.0768960165</v>
      </c>
      <c r="V91" s="68">
        <f t="shared" si="78"/>
        <v>8274899.3043412594</v>
      </c>
      <c r="W91" s="68">
        <f t="shared" si="78"/>
        <v>10300464.49703835</v>
      </c>
      <c r="X91" s="68">
        <f t="shared" si="78"/>
        <v>12795965.009534214</v>
      </c>
      <c r="Y91" s="68">
        <f t="shared" si="78"/>
        <v>13344758.660546634</v>
      </c>
      <c r="Z91" s="68">
        <f t="shared" si="78"/>
        <v>13873451.779031085</v>
      </c>
      <c r="AA91" s="68">
        <f t="shared" si="78"/>
        <v>14383992.310858542</v>
      </c>
      <c r="AB91" s="68">
        <f t="shared" si="78"/>
        <v>14878178.825698914</v>
      </c>
      <c r="AC91" s="68">
        <f t="shared" si="78"/>
        <v>15357672.455958948</v>
      </c>
      <c r="AD91" s="68">
        <f t="shared" si="78"/>
        <v>15824007.889016382</v>
      </c>
      <c r="AE91" s="68">
        <f t="shared" si="78"/>
        <v>16278603.487931697</v>
      </c>
      <c r="AF91" s="68">
        <f t="shared" si="78"/>
        <v>16722770.609850084</v>
      </c>
      <c r="AG91" s="68">
        <f t="shared" si="78"/>
        <v>17157722.185811408</v>
      </c>
      <c r="AH91" s="68">
        <f t="shared" si="78"/>
        <v>17584580.620627232</v>
      </c>
      <c r="AI91" s="68">
        <f t="shared" si="78"/>
        <v>18004385.06682723</v>
      </c>
      <c r="AJ91" s="68">
        <f t="shared" si="78"/>
        <v>18418098.122389801</v>
      </c>
      <c r="AK91" s="68">
        <f t="shared" si="78"/>
        <v>18826611.99802513</v>
      </c>
      <c r="AL91" s="68">
        <f t="shared" si="78"/>
        <v>19230754.196145326</v>
      </c>
      <c r="AR91" s="68">
        <f t="shared" ref="AR91:BL91" si="79">AQ40*AQ63</f>
        <v>5005939.5229074433</v>
      </c>
      <c r="AS91" s="68">
        <f t="shared" si="79"/>
        <v>5717791.1140866326</v>
      </c>
      <c r="AT91" s="68">
        <f t="shared" si="79"/>
        <v>6389764.7205781564</v>
      </c>
      <c r="AU91" s="68">
        <f t="shared" si="79"/>
        <v>6885268.4342518747</v>
      </c>
      <c r="AV91" s="209">
        <f t="shared" si="79"/>
        <v>7355446.6757031335</v>
      </c>
      <c r="AW91" s="68">
        <f t="shared" si="79"/>
        <v>7802531.9060407588</v>
      </c>
      <c r="AX91" s="68">
        <f t="shared" si="79"/>
        <v>8228580.735867817</v>
      </c>
      <c r="AY91" s="68">
        <f t="shared" si="79"/>
        <v>8635488.0480846819</v>
      </c>
      <c r="AZ91" s="68">
        <f t="shared" si="79"/>
        <v>9024999.9903969131</v>
      </c>
      <c r="BA91" s="68">
        <f t="shared" si="79"/>
        <v>9398725.9280450512</v>
      </c>
      <c r="BB91" s="68">
        <f t="shared" si="79"/>
        <v>9758149.4400253724</v>
      </c>
      <c r="BC91" s="68">
        <f t="shared" si="79"/>
        <v>10104638.435402976</v>
      </c>
      <c r="BD91" s="68">
        <f t="shared" si="79"/>
        <v>10439454.460184854</v>
      </c>
      <c r="BE91" s="68">
        <f t="shared" si="79"/>
        <v>10763761.259577919</v>
      </c>
      <c r="BF91" s="68">
        <f t="shared" si="79"/>
        <v>11078632.655266358</v>
      </c>
      <c r="BG91" s="68">
        <f t="shared" si="79"/>
        <v>11385059.792567419</v>
      </c>
      <c r="BH91" s="68">
        <f t="shared" si="79"/>
        <v>11683957.807932138</v>
      </c>
      <c r="BI91" s="68">
        <f t="shared" si="79"/>
        <v>11976171.963216426</v>
      </c>
      <c r="BJ91" s="68">
        <f t="shared" si="79"/>
        <v>12262483.289430633</v>
      </c>
      <c r="BK91" s="68">
        <f t="shared" si="79"/>
        <v>12543613.779255927</v>
      </c>
      <c r="BL91" s="68">
        <f t="shared" si="79"/>
        <v>12820231.164469911</v>
      </c>
      <c r="BM91" s="68"/>
    </row>
    <row r="92" spans="3:89" x14ac:dyDescent="0.2">
      <c r="G92" s="67" t="s">
        <v>76</v>
      </c>
      <c r="L92" s="64" t="s">
        <v>175</v>
      </c>
      <c r="Q92" s="68">
        <f t="shared" ref="Q92:Q97" si="80">P41*P64</f>
        <v>2158334.2736021406</v>
      </c>
      <c r="R92" s="209">
        <f t="shared" ref="R92:AL97" si="81">Q41*Q64</f>
        <v>2465252.4215201396</v>
      </c>
      <c r="S92" s="68">
        <f t="shared" si="81"/>
        <v>2754976.9895477486</v>
      </c>
      <c r="T92" s="68">
        <f t="shared" si="81"/>
        <v>3028980.6747573186</v>
      </c>
      <c r="U92" s="209">
        <f t="shared" si="81"/>
        <v>3320751.6854416584</v>
      </c>
      <c r="V92" s="68">
        <f t="shared" si="81"/>
        <v>3567761.5954883108</v>
      </c>
      <c r="W92" s="68">
        <f t="shared" si="81"/>
        <v>4441093.5162611948</v>
      </c>
      <c r="X92" s="68">
        <f t="shared" si="81"/>
        <v>5517040.251387408</v>
      </c>
      <c r="Y92" s="68">
        <f t="shared" si="81"/>
        <v>5753655.2046234813</v>
      </c>
      <c r="Z92" s="68">
        <f t="shared" si="81"/>
        <v>5981603.719107301</v>
      </c>
      <c r="AA92" s="68">
        <f t="shared" si="81"/>
        <v>6201725.6608255003</v>
      </c>
      <c r="AB92" s="68">
        <f t="shared" si="81"/>
        <v>6414796.4915159354</v>
      </c>
      <c r="AC92" s="68">
        <f t="shared" si="81"/>
        <v>6621532.4161966769</v>
      </c>
      <c r="AD92" s="68">
        <f t="shared" si="81"/>
        <v>6822595.1225192621</v>
      </c>
      <c r="AE92" s="68">
        <f t="shared" si="81"/>
        <v>7018596.1443609623</v>
      </c>
      <c r="AF92" s="68">
        <f t="shared" si="81"/>
        <v>7210100.8794974526</v>
      </c>
      <c r="AG92" s="68">
        <f t="shared" si="81"/>
        <v>7397632.2888280526</v>
      </c>
      <c r="AH92" s="68">
        <f t="shared" si="81"/>
        <v>7581674.3024447234</v>
      </c>
      <c r="AI92" s="68">
        <f t="shared" si="81"/>
        <v>7762674.9558281219</v>
      </c>
      <c r="AJ92" s="68">
        <f t="shared" si="81"/>
        <v>7941049.2776055336</v>
      </c>
      <c r="AK92" s="68">
        <f t="shared" si="81"/>
        <v>8117181.9486038601</v>
      </c>
      <c r="AL92" s="68">
        <f t="shared" si="81"/>
        <v>8291429.7503641816</v>
      </c>
      <c r="AR92" s="68">
        <f t="shared" ref="AR92:AR97" si="82">AQ41*AQ64</f>
        <v>2158334.2736021406</v>
      </c>
      <c r="AS92" s="68">
        <f t="shared" ref="AS92:AS97" si="83">AR41*AR64</f>
        <v>2465252.4215201396</v>
      </c>
      <c r="AT92" s="68">
        <f t="shared" ref="AT92:AT97" si="84">AS41*AS64</f>
        <v>2754976.9895477486</v>
      </c>
      <c r="AU92" s="68">
        <f t="shared" ref="AU92:AU97" si="85">AT41*AT64</f>
        <v>2968615.7366850665</v>
      </c>
      <c r="AV92" s="209">
        <f t="shared" ref="AV92:AV97" si="86">AU41*AU64</f>
        <v>3171335.287846731</v>
      </c>
      <c r="AW92" s="68">
        <f t="shared" ref="AW92:AW97" si="87">AV41*AV64</f>
        <v>3364098.1790968748</v>
      </c>
      <c r="AX92" s="68">
        <f t="shared" ref="AX92:AX97" si="88">AW41*AW64</f>
        <v>3547791.1277303714</v>
      </c>
      <c r="AY92" s="68">
        <f t="shared" ref="AY92:AY97" si="89">AX41*AX64</f>
        <v>3723231.1213855292</v>
      </c>
      <c r="AZ92" s="68">
        <f t="shared" ref="AZ92:AZ97" si="90">AY41*AY64</f>
        <v>3891171.0198247246</v>
      </c>
      <c r="BA92" s="68">
        <f t="shared" ref="BA92:BA97" si="91">AZ41*AZ64</f>
        <v>4052304.7084098365</v>
      </c>
      <c r="BB92" s="68">
        <f t="shared" ref="BB92:BB97" si="92">BA41*BA64</f>
        <v>4207271.8391743368</v>
      </c>
      <c r="BC92" s="68">
        <f t="shared" ref="BC92:BC97" si="93">BB41*BB64</f>
        <v>4356662.1925190594</v>
      </c>
      <c r="BD92" s="68">
        <f t="shared" ref="BD92:BD97" si="94">BC41*BC64</f>
        <v>4501019.6899141213</v>
      </c>
      <c r="BE92" s="68">
        <f t="shared" ref="BE92:BE97" si="95">BD41*BD64</f>
        <v>4640846.0855565779</v>
      </c>
      <c r="BF92" s="68">
        <f t="shared" ref="BF92:BF97" si="96">BE41*BE64</f>
        <v>4776604.362695449</v>
      </c>
      <c r="BG92" s="68">
        <f t="shared" ref="BG92:BG97" si="97">BF41*BF64</f>
        <v>4908721.8582768869</v>
      </c>
      <c r="BH92" s="68">
        <f t="shared" ref="BH92:BH97" si="98">BG41*BG64</f>
        <v>5037593.1376683423</v>
      </c>
      <c r="BI92" s="68">
        <f t="shared" ref="BI92:BI97" si="99">BH41*BH64</f>
        <v>5163582.6394782774</v>
      </c>
      <c r="BJ92" s="68">
        <f t="shared" ref="BJ92:BJ97" si="100">BI41*BI64</f>
        <v>5287027.1088852314</v>
      </c>
      <c r="BK92" s="68">
        <f t="shared" ref="BK92:BK97" si="101">BJ41*BJ64</f>
        <v>5408237.8364155712</v>
      </c>
      <c r="BL92" s="68">
        <f t="shared" ref="BL92:BL97" si="102">BK41*BK64</f>
        <v>5527502.7177529288</v>
      </c>
      <c r="BM92" s="68"/>
    </row>
    <row r="93" spans="3:89" x14ac:dyDescent="0.2">
      <c r="G93" s="67" t="s">
        <v>72</v>
      </c>
      <c r="L93" s="64" t="s">
        <v>175</v>
      </c>
      <c r="Q93" s="68">
        <f t="shared" si="80"/>
        <v>2981164.0849089315</v>
      </c>
      <c r="R93" s="209">
        <f t="shared" si="81"/>
        <v>3405089.7811139347</v>
      </c>
      <c r="S93" s="68">
        <f t="shared" si="81"/>
        <v>3805267.1249496359</v>
      </c>
      <c r="T93" s="68">
        <f t="shared" si="81"/>
        <v>4183730.2552766111</v>
      </c>
      <c r="U93" s="209">
        <f t="shared" si="81"/>
        <v>4586734.2147226408</v>
      </c>
      <c r="V93" s="68">
        <f t="shared" si="81"/>
        <v>4927912.6324747223</v>
      </c>
      <c r="W93" s="68">
        <f t="shared" si="81"/>
        <v>6134188.1331030298</v>
      </c>
      <c r="X93" s="68">
        <f t="shared" si="81"/>
        <v>7620322.0481615281</v>
      </c>
      <c r="Y93" s="68">
        <f t="shared" si="81"/>
        <v>7947142.6010143235</v>
      </c>
      <c r="Z93" s="68">
        <f t="shared" si="81"/>
        <v>8261992.7764013689</v>
      </c>
      <c r="AA93" s="68">
        <f t="shared" si="81"/>
        <v>8566032.6255464796</v>
      </c>
      <c r="AB93" s="68">
        <f t="shared" si="81"/>
        <v>8860333.2423531245</v>
      </c>
      <c r="AC93" s="68">
        <f t="shared" si="81"/>
        <v>9145883.8733450864</v>
      </c>
      <c r="AD93" s="68">
        <f t="shared" si="81"/>
        <v>9423598.4638209678</v>
      </c>
      <c r="AE93" s="68">
        <f t="shared" si="81"/>
        <v>9694321.6849950217</v>
      </c>
      <c r="AF93" s="68">
        <f t="shared" si="81"/>
        <v>9958834.4833420962</v>
      </c>
      <c r="AG93" s="68">
        <f t="shared" si="81"/>
        <v>10217859.190092314</v>
      </c>
      <c r="AH93" s="68">
        <f t="shared" si="81"/>
        <v>10472064.225808425</v>
      </c>
      <c r="AI93" s="68">
        <f t="shared" si="81"/>
        <v>10722068.43220556</v>
      </c>
      <c r="AJ93" s="68">
        <f t="shared" si="81"/>
        <v>10968445.06081987</v>
      </c>
      <c r="AK93" s="68">
        <f t="shared" si="81"/>
        <v>11211725.445782186</v>
      </c>
      <c r="AL93" s="68">
        <f t="shared" si="81"/>
        <v>11452402.385788912</v>
      </c>
      <c r="AR93" s="68">
        <f t="shared" si="82"/>
        <v>2981164.0849089315</v>
      </c>
      <c r="AS93" s="68">
        <f t="shared" si="83"/>
        <v>3405089.7811139347</v>
      </c>
      <c r="AT93" s="68">
        <f t="shared" si="84"/>
        <v>3805267.1249496359</v>
      </c>
      <c r="AU93" s="68">
        <f t="shared" si="85"/>
        <v>4100352.167104749</v>
      </c>
      <c r="AV93" s="209">
        <f t="shared" si="86"/>
        <v>4380355.2475466877</v>
      </c>
      <c r="AW93" s="68">
        <f t="shared" si="87"/>
        <v>4646605.8535471484</v>
      </c>
      <c r="AX93" s="68">
        <f t="shared" si="88"/>
        <v>4900328.7489368673</v>
      </c>
      <c r="AY93" s="68">
        <f t="shared" si="89"/>
        <v>5142652.384593416</v>
      </c>
      <c r="AZ93" s="68">
        <f t="shared" si="90"/>
        <v>5374616.635809524</v>
      </c>
      <c r="BA93" s="68">
        <f t="shared" si="91"/>
        <v>5597179.9204471409</v>
      </c>
      <c r="BB93" s="68">
        <f t="shared" si="92"/>
        <v>5811225.7474660911</v>
      </c>
      <c r="BC93" s="68">
        <f t="shared" si="93"/>
        <v>6017568.7414453635</v>
      </c>
      <c r="BD93" s="68">
        <f t="shared" si="94"/>
        <v>6216960.1850623228</v>
      </c>
      <c r="BE93" s="68">
        <f t="shared" si="95"/>
        <v>6410093.118134765</v>
      </c>
      <c r="BF93" s="68">
        <f t="shared" si="96"/>
        <v>6597607.0287395669</v>
      </c>
      <c r="BG93" s="68">
        <f t="shared" si="97"/>
        <v>6780092.1690779831</v>
      </c>
      <c r="BH93" s="68">
        <f t="shared" si="98"/>
        <v>6958093.5261415876</v>
      </c>
      <c r="BI93" s="68">
        <f t="shared" si="99"/>
        <v>7132114.4748264737</v>
      </c>
      <c r="BJ93" s="68">
        <f t="shared" si="100"/>
        <v>7302620.1389294062</v>
      </c>
      <c r="BK93" s="68">
        <f t="shared" si="101"/>
        <v>7470040.483423152</v>
      </c>
      <c r="BL93" s="68">
        <f t="shared" si="102"/>
        <v>7634773.1595347468</v>
      </c>
      <c r="BM93" s="68"/>
    </row>
    <row r="94" spans="3:89" x14ac:dyDescent="0.2">
      <c r="G94" s="67" t="s">
        <v>73</v>
      </c>
      <c r="L94" s="64" t="s">
        <v>175</v>
      </c>
      <c r="Q94" s="68">
        <f t="shared" si="80"/>
        <v>296552.38946305093</v>
      </c>
      <c r="R94" s="209">
        <f t="shared" si="81"/>
        <v>338722.55339356849</v>
      </c>
      <c r="S94" s="68">
        <f t="shared" si="81"/>
        <v>378530.34127220156</v>
      </c>
      <c r="T94" s="68">
        <f t="shared" si="81"/>
        <v>416178.0998072903</v>
      </c>
      <c r="U94" s="209">
        <f t="shared" si="81"/>
        <v>456267.06630926044</v>
      </c>
      <c r="V94" s="68">
        <f t="shared" si="81"/>
        <v>490205.91440211661</v>
      </c>
      <c r="W94" s="68">
        <f t="shared" si="81"/>
        <v>610200.61173290445</v>
      </c>
      <c r="X94" s="68">
        <f t="shared" si="81"/>
        <v>758034.32736219361</v>
      </c>
      <c r="Y94" s="68">
        <f t="shared" si="81"/>
        <v>790544.92158434691</v>
      </c>
      <c r="Z94" s="68">
        <f t="shared" si="81"/>
        <v>821864.75812287861</v>
      </c>
      <c r="AA94" s="68">
        <f t="shared" si="81"/>
        <v>852109.23349824932</v>
      </c>
      <c r="AB94" s="68">
        <f t="shared" si="81"/>
        <v>881384.89516889048</v>
      </c>
      <c r="AC94" s="68">
        <f t="shared" si="81"/>
        <v>909790.14879515464</v>
      </c>
      <c r="AD94" s="68">
        <f t="shared" si="81"/>
        <v>937415.9094204345</v>
      </c>
      <c r="AE94" s="68">
        <f t="shared" si="81"/>
        <v>964346.20102320344</v>
      </c>
      <c r="AF94" s="68">
        <f t="shared" si="81"/>
        <v>990658.70854013856</v>
      </c>
      <c r="AG94" s="68">
        <f t="shared" si="81"/>
        <v>1016425.2861349741</v>
      </c>
      <c r="AH94" s="68">
        <f t="shared" si="81"/>
        <v>1041712.4251880586</v>
      </c>
      <c r="AI94" s="68">
        <f t="shared" si="81"/>
        <v>1066581.6852057099</v>
      </c>
      <c r="AJ94" s="68">
        <f t="shared" si="81"/>
        <v>1091090.0905944917</v>
      </c>
      <c r="AK94" s="68">
        <f t="shared" si="81"/>
        <v>1115290.4960117165</v>
      </c>
      <c r="AL94" s="68">
        <f t="shared" si="81"/>
        <v>1139231.9227882402</v>
      </c>
      <c r="AR94" s="68">
        <f t="shared" si="82"/>
        <v>296552.38946305093</v>
      </c>
      <c r="AS94" s="68">
        <f t="shared" si="83"/>
        <v>338722.55339356849</v>
      </c>
      <c r="AT94" s="68">
        <f t="shared" si="84"/>
        <v>378530.34127220156</v>
      </c>
      <c r="AU94" s="68">
        <f t="shared" si="85"/>
        <v>407884.0339417471</v>
      </c>
      <c r="AV94" s="209">
        <f t="shared" si="86"/>
        <v>435737.44294476358</v>
      </c>
      <c r="AW94" s="68">
        <f t="shared" si="87"/>
        <v>462222.81951464602</v>
      </c>
      <c r="AX94" s="68">
        <f t="shared" si="88"/>
        <v>487461.99748213554</v>
      </c>
      <c r="AY94" s="68">
        <f t="shared" si="89"/>
        <v>511567.22991167445</v>
      </c>
      <c r="AZ94" s="68">
        <f t="shared" si="90"/>
        <v>534641.95877895365</v>
      </c>
      <c r="BA94" s="68">
        <f t="shared" si="91"/>
        <v>556781.5230518966</v>
      </c>
      <c r="BB94" s="68">
        <f t="shared" si="92"/>
        <v>578073.81010794546</v>
      </c>
      <c r="BC94" s="68">
        <f t="shared" si="93"/>
        <v>598599.85502552416</v>
      </c>
      <c r="BD94" s="68">
        <f t="shared" si="94"/>
        <v>618434.39192418754</v>
      </c>
      <c r="BE94" s="68">
        <f t="shared" si="95"/>
        <v>637646.36119369837</v>
      </c>
      <c r="BF94" s="68">
        <f t="shared" si="96"/>
        <v>656299.37614477391</v>
      </c>
      <c r="BG94" s="68">
        <f t="shared" si="97"/>
        <v>674452.15233136562</v>
      </c>
      <c r="BH94" s="68">
        <f t="shared" si="98"/>
        <v>692158.9025341107</v>
      </c>
      <c r="BI94" s="68">
        <f t="shared" si="99"/>
        <v>709469.70015520381</v>
      </c>
      <c r="BJ94" s="68">
        <f t="shared" si="100"/>
        <v>726430.81355472119</v>
      </c>
      <c r="BK94" s="68">
        <f t="shared" si="101"/>
        <v>743085.0136558417</v>
      </c>
      <c r="BL94" s="68">
        <f t="shared" si="102"/>
        <v>759471.85696005006</v>
      </c>
      <c r="BM94" s="68"/>
    </row>
    <row r="95" spans="3:89" x14ac:dyDescent="0.2">
      <c r="G95" s="67" t="s">
        <v>180</v>
      </c>
      <c r="L95" s="64" t="s">
        <v>175</v>
      </c>
      <c r="Q95" s="68">
        <f t="shared" si="80"/>
        <v>4491993.5221987795</v>
      </c>
      <c r="R95" s="209">
        <f t="shared" si="81"/>
        <v>5130761.2743282802</v>
      </c>
      <c r="S95" s="68">
        <f t="shared" si="81"/>
        <v>5733745.2044448256</v>
      </c>
      <c r="T95" s="68">
        <f t="shared" si="81"/>
        <v>6304010.3362521464</v>
      </c>
      <c r="U95" s="209">
        <f t="shared" si="81"/>
        <v>6911253.3875205992</v>
      </c>
      <c r="V95" s="68">
        <f t="shared" si="81"/>
        <v>7425338.2210976807</v>
      </c>
      <c r="W95" s="68">
        <f t="shared" si="81"/>
        <v>9242944.2234774437</v>
      </c>
      <c r="X95" s="68">
        <f t="shared" si="81"/>
        <v>11482238.582803732</v>
      </c>
      <c r="Y95" s="68">
        <f t="shared" si="81"/>
        <v>11974689.103648184</v>
      </c>
      <c r="Z95" s="68">
        <f t="shared" si="81"/>
        <v>12449102.758187082</v>
      </c>
      <c r="AA95" s="68">
        <f t="shared" si="81"/>
        <v>12907227.502062712</v>
      </c>
      <c r="AB95" s="68">
        <f t="shared" si="81"/>
        <v>13350677.250758763</v>
      </c>
      <c r="AC95" s="68">
        <f t="shared" si="81"/>
        <v>13780942.592800425</v>
      </c>
      <c r="AD95" s="68">
        <f t="shared" si="81"/>
        <v>14199400.653446177</v>
      </c>
      <c r="AE95" s="68">
        <f t="shared" si="81"/>
        <v>14607324.176333973</v>
      </c>
      <c r="AF95" s="68">
        <f t="shared" si="81"/>
        <v>15005889.885188619</v>
      </c>
      <c r="AG95" s="68">
        <f t="shared" si="81"/>
        <v>15396186.182766268</v>
      </c>
      <c r="AH95" s="68">
        <f t="shared" si="81"/>
        <v>15779220.239672922</v>
      </c>
      <c r="AI95" s="68">
        <f t="shared" si="81"/>
        <v>16155924.521514785</v>
      </c>
      <c r="AJ95" s="68">
        <f t="shared" si="81"/>
        <v>16527162.798991375</v>
      </c>
      <c r="AK95" s="68">
        <f t="shared" si="81"/>
        <v>16893735.682000645</v>
      </c>
      <c r="AL95" s="68">
        <f t="shared" si="81"/>
        <v>17256385.715564918</v>
      </c>
      <c r="AR95" s="68">
        <f t="shared" si="82"/>
        <v>4491993.5221987795</v>
      </c>
      <c r="AS95" s="68">
        <f t="shared" si="83"/>
        <v>5130761.2743282802</v>
      </c>
      <c r="AT95" s="68">
        <f t="shared" si="84"/>
        <v>5733745.2044448256</v>
      </c>
      <c r="AU95" s="68">
        <f t="shared" si="85"/>
        <v>6178376.9188038195</v>
      </c>
      <c r="AV95" s="209">
        <f t="shared" si="86"/>
        <v>6600283.2573069269</v>
      </c>
      <c r="AW95" s="68">
        <f t="shared" si="87"/>
        <v>7001467.4804397179</v>
      </c>
      <c r="AX95" s="68">
        <f t="shared" si="88"/>
        <v>7383775.0522683086</v>
      </c>
      <c r="AY95" s="68">
        <f t="shared" si="89"/>
        <v>7748906.3132931869</v>
      </c>
      <c r="AZ95" s="68">
        <f t="shared" si="90"/>
        <v>8098428.1390521601</v>
      </c>
      <c r="BA95" s="68">
        <f t="shared" si="91"/>
        <v>8433784.665696349</v>
      </c>
      <c r="BB95" s="68">
        <f t="shared" si="92"/>
        <v>8756307.1572592929</v>
      </c>
      <c r="BC95" s="68">
        <f t="shared" si="93"/>
        <v>9067223.0833560973</v>
      </c>
      <c r="BD95" s="68">
        <f t="shared" si="94"/>
        <v>9367664.4705454931</v>
      </c>
      <c r="BE95" s="68">
        <f t="shared" si="95"/>
        <v>9658675.5855244789</v>
      </c>
      <c r="BF95" s="68">
        <f t="shared" si="96"/>
        <v>9941220.0036673229</v>
      </c>
      <c r="BG95" s="68">
        <f t="shared" si="97"/>
        <v>10216187.112135872</v>
      </c>
      <c r="BH95" s="68">
        <f t="shared" si="98"/>
        <v>10484398.092846358</v>
      </c>
      <c r="BI95" s="68">
        <f t="shared" si="99"/>
        <v>10746611.426951807</v>
      </c>
      <c r="BJ95" s="68">
        <f t="shared" si="100"/>
        <v>11003527.959163409</v>
      </c>
      <c r="BK95" s="68">
        <f t="shared" si="101"/>
        <v>11255795.557165539</v>
      </c>
      <c r="BL95" s="68">
        <f t="shared" si="102"/>
        <v>11504013.3985563</v>
      </c>
      <c r="BM95" s="68"/>
    </row>
    <row r="96" spans="3:89" x14ac:dyDescent="0.2">
      <c r="G96" s="67" t="s">
        <v>75</v>
      </c>
      <c r="L96" s="64" t="s">
        <v>175</v>
      </c>
      <c r="Q96" s="68">
        <f t="shared" si="80"/>
        <v>2536067.0407432918</v>
      </c>
      <c r="R96" s="209">
        <f t="shared" si="81"/>
        <v>2896699.3156697168</v>
      </c>
      <c r="S96" s="68">
        <f t="shared" si="81"/>
        <v>3237128.9408927513</v>
      </c>
      <c r="T96" s="68">
        <f t="shared" si="81"/>
        <v>3559086.3520320621</v>
      </c>
      <c r="U96" s="209">
        <f t="shared" si="81"/>
        <v>3901920.570387857</v>
      </c>
      <c r="V96" s="68">
        <f t="shared" si="81"/>
        <v>4192159.992180848</v>
      </c>
      <c r="W96" s="68">
        <f t="shared" si="81"/>
        <v>5218334.8192175888</v>
      </c>
      <c r="X96" s="68">
        <f t="shared" si="81"/>
        <v>6482584.3314096639</v>
      </c>
      <c r="Y96" s="68">
        <f t="shared" si="81"/>
        <v>6760609.5620647538</v>
      </c>
      <c r="Z96" s="68">
        <f t="shared" si="81"/>
        <v>7028451.6297366917</v>
      </c>
      <c r="AA96" s="68">
        <f t="shared" si="81"/>
        <v>7287097.3864035979</v>
      </c>
      <c r="AB96" s="68">
        <f t="shared" si="81"/>
        <v>7537458.0083270827</v>
      </c>
      <c r="AC96" s="68">
        <f t="shared" si="81"/>
        <v>7780375.0444567082</v>
      </c>
      <c r="AD96" s="68">
        <f t="shared" si="81"/>
        <v>8016625.9852233324</v>
      </c>
      <c r="AE96" s="68">
        <f t="shared" si="81"/>
        <v>8246929.3898091102</v>
      </c>
      <c r="AF96" s="68">
        <f t="shared" si="81"/>
        <v>8471949.6069580372</v>
      </c>
      <c r="AG96" s="68">
        <f t="shared" si="81"/>
        <v>8692301.1216072198</v>
      </c>
      <c r="AH96" s="68">
        <f t="shared" si="81"/>
        <v>8908552.5570562333</v>
      </c>
      <c r="AI96" s="68">
        <f t="shared" si="81"/>
        <v>9121230.3600327596</v>
      </c>
      <c r="AJ96" s="68">
        <f t="shared" si="81"/>
        <v>9330822.1938406229</v>
      </c>
      <c r="AK96" s="68">
        <f t="shared" si="81"/>
        <v>9537780.0627769511</v>
      </c>
      <c r="AL96" s="68">
        <f t="shared" si="81"/>
        <v>9742523.1891643237</v>
      </c>
      <c r="AR96" s="68">
        <f t="shared" si="82"/>
        <v>2536067.0407432918</v>
      </c>
      <c r="AS96" s="68">
        <f t="shared" si="83"/>
        <v>2896699.3156697168</v>
      </c>
      <c r="AT96" s="68">
        <f t="shared" si="84"/>
        <v>3237128.9408927513</v>
      </c>
      <c r="AU96" s="68">
        <f t="shared" si="85"/>
        <v>3488156.871027227</v>
      </c>
      <c r="AV96" s="209">
        <f t="shared" si="86"/>
        <v>3726354.6231100634</v>
      </c>
      <c r="AW96" s="68">
        <f t="shared" si="87"/>
        <v>3952853.1878397949</v>
      </c>
      <c r="AX96" s="68">
        <f t="shared" si="88"/>
        <v>4168694.4680085373</v>
      </c>
      <c r="AY96" s="68">
        <f t="shared" si="89"/>
        <v>4374838.4332778743</v>
      </c>
      <c r="AZ96" s="68">
        <f t="shared" si="90"/>
        <v>4572169.7023340818</v>
      </c>
      <c r="BA96" s="68">
        <f t="shared" si="91"/>
        <v>4761503.598279722</v>
      </c>
      <c r="BB96" s="68">
        <f t="shared" si="92"/>
        <v>4943591.7194466507</v>
      </c>
      <c r="BC96" s="68">
        <f t="shared" si="93"/>
        <v>5119127.0644376036</v>
      </c>
      <c r="BD96" s="68">
        <f t="shared" si="94"/>
        <v>5288748.7470960552</v>
      </c>
      <c r="BE96" s="68">
        <f t="shared" si="95"/>
        <v>5453046.3342454908</v>
      </c>
      <c r="BF96" s="68">
        <f t="shared" si="96"/>
        <v>5612563.8364095008</v>
      </c>
      <c r="BG96" s="68">
        <f t="shared" si="97"/>
        <v>5767803.3793049762</v>
      </c>
      <c r="BH96" s="68">
        <f t="shared" si="98"/>
        <v>5919228.5816753358</v>
      </c>
      <c r="BI96" s="68">
        <f t="shared" si="99"/>
        <v>6067267.6629834343</v>
      </c>
      <c r="BJ96" s="68">
        <f t="shared" si="100"/>
        <v>6212316.3026005663</v>
      </c>
      <c r="BK96" s="68">
        <f t="shared" si="101"/>
        <v>6354740.2703954969</v>
      </c>
      <c r="BL96" s="68">
        <f t="shared" si="102"/>
        <v>6494877.8470337251</v>
      </c>
      <c r="BM96" s="68"/>
    </row>
    <row r="97" spans="1:73" x14ac:dyDescent="0.2">
      <c r="G97" s="67" t="s">
        <v>181</v>
      </c>
      <c r="L97" s="64" t="s">
        <v>175</v>
      </c>
      <c r="Q97" s="68">
        <f t="shared" si="80"/>
        <v>1838153.8112395424</v>
      </c>
      <c r="R97" s="209">
        <f t="shared" si="81"/>
        <v>2099541.8502630321</v>
      </c>
      <c r="S97" s="68">
        <f t="shared" si="81"/>
        <v>2346286.9098412548</v>
      </c>
      <c r="T97" s="68">
        <f t="shared" si="81"/>
        <v>2579643.2181859617</v>
      </c>
      <c r="U97" s="209">
        <f t="shared" si="81"/>
        <v>2828131.1386430389</v>
      </c>
      <c r="V97" s="68">
        <f t="shared" si="81"/>
        <v>3038498.0929741766</v>
      </c>
      <c r="W97" s="68">
        <f t="shared" si="81"/>
        <v>3782274.6331885145</v>
      </c>
      <c r="X97" s="68">
        <f t="shared" si="81"/>
        <v>4698608.8711479697</v>
      </c>
      <c r="Y97" s="68">
        <f t="shared" si="81"/>
        <v>4900122.9199247006</v>
      </c>
      <c r="Z97" s="68">
        <f t="shared" si="81"/>
        <v>5094256.1623003269</v>
      </c>
      <c r="AA97" s="68">
        <f t="shared" si="81"/>
        <v>5281723.8734215861</v>
      </c>
      <c r="AB97" s="68">
        <f t="shared" si="81"/>
        <v>5463186.4783052783</v>
      </c>
      <c r="AC97" s="68">
        <f t="shared" si="81"/>
        <v>5639253.9357514409</v>
      </c>
      <c r="AD97" s="68">
        <f t="shared" si="81"/>
        <v>5810489.774632032</v>
      </c>
      <c r="AE97" s="68">
        <f t="shared" si="81"/>
        <v>5977414.8101613438</v>
      </c>
      <c r="AF97" s="68">
        <f t="shared" si="81"/>
        <v>6140510.5655625984</v>
      </c>
      <c r="AG97" s="68">
        <f t="shared" si="81"/>
        <v>6300222.4225275805</v>
      </c>
      <c r="AH97" s="68">
        <f t="shared" si="81"/>
        <v>6456962.5220085951</v>
      </c>
      <c r="AI97" s="68">
        <f t="shared" si="81"/>
        <v>6611112.4351720791</v>
      </c>
      <c r="AJ97" s="68">
        <f t="shared" si="81"/>
        <v>6763025.6227689227</v>
      </c>
      <c r="AK97" s="68">
        <f t="shared" si="81"/>
        <v>6913029.6997273257</v>
      </c>
      <c r="AL97" s="68">
        <f t="shared" si="81"/>
        <v>7061428.5204397878</v>
      </c>
      <c r="AR97" s="68">
        <f t="shared" si="82"/>
        <v>1838153.8112395424</v>
      </c>
      <c r="AS97" s="68">
        <f t="shared" si="83"/>
        <v>2099541.8502630321</v>
      </c>
      <c r="AT97" s="68">
        <f t="shared" si="84"/>
        <v>2346286.9098412548</v>
      </c>
      <c r="AU97" s="68">
        <f t="shared" si="85"/>
        <v>2528233.1829843419</v>
      </c>
      <c r="AV97" s="209">
        <f t="shared" si="86"/>
        <v>2700880.0802412173</v>
      </c>
      <c r="AW97" s="68">
        <f t="shared" si="87"/>
        <v>2865047.3492090828</v>
      </c>
      <c r="AX97" s="68">
        <f t="shared" si="88"/>
        <v>3021490.1661342666</v>
      </c>
      <c r="AY97" s="68">
        <f t="shared" si="89"/>
        <v>3170904.3217288307</v>
      </c>
      <c r="AZ97" s="68">
        <f t="shared" si="90"/>
        <v>3313930.9919489105</v>
      </c>
      <c r="BA97" s="68">
        <f t="shared" si="91"/>
        <v>3451161.1269721971</v>
      </c>
      <c r="BB97" s="68">
        <f t="shared" si="92"/>
        <v>3583139.488950491</v>
      </c>
      <c r="BC97" s="68">
        <f t="shared" si="93"/>
        <v>3710368.3666649372</v>
      </c>
      <c r="BD97" s="68">
        <f t="shared" si="94"/>
        <v>3833310.9929592777</v>
      </c>
      <c r="BE97" s="68">
        <f t="shared" si="95"/>
        <v>3952394.6887545139</v>
      </c>
      <c r="BF97" s="68">
        <f t="shared" si="96"/>
        <v>4068013.7555423724</v>
      </c>
      <c r="BG97" s="68">
        <f t="shared" si="97"/>
        <v>4180532.1365015632</v>
      </c>
      <c r="BH97" s="68">
        <f t="shared" si="98"/>
        <v>4290285.8647678392</v>
      </c>
      <c r="BI97" s="68">
        <f t="shared" si="99"/>
        <v>4397585.3159050327</v>
      </c>
      <c r="BJ97" s="68">
        <f t="shared" si="100"/>
        <v>4502717.2802592544</v>
      </c>
      <c r="BK97" s="68">
        <f t="shared" si="101"/>
        <v>4605946.8696227055</v>
      </c>
      <c r="BL97" s="68">
        <f t="shared" si="102"/>
        <v>4707519.2714784285</v>
      </c>
      <c r="BM97" s="68"/>
    </row>
    <row r="98" spans="1:73" x14ac:dyDescent="0.2">
      <c r="F98" s="67"/>
      <c r="L98" s="63"/>
      <c r="Q98" s="68"/>
      <c r="R98" s="209"/>
      <c r="S98" s="68"/>
      <c r="T98" s="68"/>
      <c r="U98" s="209"/>
      <c r="V98" s="68"/>
      <c r="W98" s="68"/>
      <c r="X98" s="68"/>
      <c r="Y98" s="68"/>
      <c r="Z98" s="68"/>
      <c r="AA98" s="68"/>
      <c r="AB98" s="68"/>
      <c r="AC98" s="68"/>
      <c r="AD98" s="68"/>
      <c r="AE98" s="68"/>
      <c r="AF98" s="68"/>
      <c r="AG98" s="68"/>
      <c r="AH98" s="68"/>
      <c r="AI98" s="68"/>
      <c r="AJ98" s="68"/>
      <c r="AK98" s="68"/>
      <c r="AL98" s="68"/>
    </row>
    <row r="99" spans="1:73" ht="25.5" customHeight="1" x14ac:dyDescent="0.2">
      <c r="F99" s="605" t="s">
        <v>275</v>
      </c>
      <c r="G99" s="605"/>
      <c r="H99" s="605"/>
      <c r="I99" s="605"/>
      <c r="J99" s="605"/>
      <c r="K99" s="605"/>
      <c r="L99" s="63"/>
      <c r="Q99" s="121">
        <f>'Data &amp; Assumptions'!$D$93</f>
        <v>0.2</v>
      </c>
      <c r="R99" s="249">
        <f>1.25*Q99</f>
        <v>0.25</v>
      </c>
      <c r="S99" s="121">
        <f>R99*(1+'Data &amp; Assumptions'!$D$94)</f>
        <v>0.26</v>
      </c>
      <c r="T99" s="121">
        <f>S99*(1+'Data &amp; Assumptions'!$D$94)</f>
        <v>0.27040000000000003</v>
      </c>
      <c r="U99" s="253">
        <f>T99*(1+'Data &amp; Assumptions'!$D$94)</f>
        <v>0.28121600000000002</v>
      </c>
      <c r="V99" s="121">
        <f>U99*(1+'Data &amp; Assumptions'!$D$94)</f>
        <v>0.29246464000000005</v>
      </c>
      <c r="W99" s="121">
        <f>V99*(1+'Data &amp; Assumptions'!$D$94)</f>
        <v>0.30416322560000009</v>
      </c>
      <c r="X99" s="121">
        <f>W99*(1+'Data &amp; Assumptions'!$D$94)</f>
        <v>0.31632975462400009</v>
      </c>
      <c r="Y99" s="121">
        <f>X99*(1+'Data &amp; Assumptions'!$D$94)</f>
        <v>0.32898294480896012</v>
      </c>
      <c r="Z99" s="121">
        <f>Y99*(1+'Data &amp; Assumptions'!$D$94)</f>
        <v>0.34214226260131853</v>
      </c>
      <c r="AA99" s="121">
        <f>Z99*(1+'Data &amp; Assumptions'!$D$94)</f>
        <v>0.3558279531053713</v>
      </c>
      <c r="AB99" s="121">
        <f>AA99*(1+'Data &amp; Assumptions'!$D$94)</f>
        <v>0.37006107122958615</v>
      </c>
      <c r="AC99" s="121">
        <f>AB99*(1+'Data &amp; Assumptions'!$D$94)</f>
        <v>0.38486351407876962</v>
      </c>
      <c r="AD99" s="121">
        <f>AC99*(1+'Data &amp; Assumptions'!$D$94)</f>
        <v>0.40025805464192044</v>
      </c>
      <c r="AE99" s="121">
        <f>AD99*(1+'Data &amp; Assumptions'!$D$94)</f>
        <v>0.41626837682759726</v>
      </c>
      <c r="AF99" s="121">
        <f>AE99*(1+'Data &amp; Assumptions'!$D$94)</f>
        <v>0.43291911190070115</v>
      </c>
      <c r="AG99" s="121">
        <f>AF99*(1+'Data &amp; Assumptions'!$D$94)</f>
        <v>0.45023587637672918</v>
      </c>
      <c r="AH99" s="121">
        <f>AG99*(1+'Data &amp; Assumptions'!$D$94)</f>
        <v>0.46824531143179837</v>
      </c>
      <c r="AI99" s="121">
        <f>AH99*(1+'Data &amp; Assumptions'!$D$94)</f>
        <v>0.48697512388907033</v>
      </c>
      <c r="AJ99" s="121">
        <f>AI99*(1+'Data &amp; Assumptions'!$D$94)</f>
        <v>0.50645412884463314</v>
      </c>
      <c r="AK99" s="121">
        <f>AJ99*(1+'Data &amp; Assumptions'!$D$94)</f>
        <v>0.52671229399841846</v>
      </c>
      <c r="AL99" s="121">
        <f>$R$99*(1+'Data &amp; Assumptions'!$D$94)^('Registry Upgrade, Khashaa Reg.'!AL7-'Registry Upgrade, Khashaa Reg.'!$Q$7)</f>
        <v>0.56969201718868967</v>
      </c>
      <c r="AR99" s="66">
        <f>Q99</f>
        <v>0.2</v>
      </c>
      <c r="AS99" s="66">
        <f>Q99+(R99-Q99)*'Data &amp; Assumptions'!$D$95</f>
        <v>0.23749999999999999</v>
      </c>
      <c r="AT99" s="121">
        <f>AS99*(1+'Data &amp; Assumptions'!$D$94*'Data &amp; Assumptions'!$D$95)</f>
        <v>0.24462499999999998</v>
      </c>
      <c r="AU99" s="121">
        <f>AT99*(1+'Data &amp; Assumptions'!$D$94*'Data &amp; Assumptions'!$D$95)</f>
        <v>0.25196374999999999</v>
      </c>
      <c r="AV99" s="253">
        <f>AU99*(1+'Data &amp; Assumptions'!$D$94*'Data &amp; Assumptions'!$D$95)</f>
        <v>0.2595226625</v>
      </c>
      <c r="AW99" s="121">
        <f>AV99*(1+'Data &amp; Assumptions'!$D$94*'Data &amp; Assumptions'!$D$95)</f>
        <v>0.26730834237500001</v>
      </c>
      <c r="AX99" s="121">
        <f>AW99*(1+'Data &amp; Assumptions'!$D$94*'Data &amp; Assumptions'!$D$95)</f>
        <v>0.27532759264625001</v>
      </c>
      <c r="AY99" s="121">
        <f>AX99*(1+'Data &amp; Assumptions'!$D$94*'Data &amp; Assumptions'!$D$95)</f>
        <v>0.2835874204256375</v>
      </c>
      <c r="AZ99" s="121">
        <f>AY99*(1+'Data &amp; Assumptions'!$D$94*'Data &amp; Assumptions'!$D$95)</f>
        <v>0.29209504303840661</v>
      </c>
      <c r="BA99" s="121">
        <f>AZ99*(1+'Data &amp; Assumptions'!$D$94*'Data &amp; Assumptions'!$D$95)</f>
        <v>0.30085789432955884</v>
      </c>
      <c r="BB99" s="121">
        <f>BA99*(1+'Data &amp; Assumptions'!$D$94*'Data &amp; Assumptions'!$D$95)</f>
        <v>0.30988363115944562</v>
      </c>
      <c r="BC99" s="121">
        <f>BB99*(1+'Data &amp; Assumptions'!$D$94*'Data &amp; Assumptions'!$D$95)</f>
        <v>0.31918014009422901</v>
      </c>
      <c r="BD99" s="121">
        <f>BC99*(1+'Data &amp; Assumptions'!$D$94*'Data &amp; Assumptions'!$D$95)</f>
        <v>0.32875554429705589</v>
      </c>
      <c r="BE99" s="121">
        <f>BD99*(1+'Data &amp; Assumptions'!$D$94*'Data &amp; Assumptions'!$D$95)</f>
        <v>0.33861821062596759</v>
      </c>
      <c r="BF99" s="121">
        <f>BE99*(1+'Data &amp; Assumptions'!$D$94*'Data &amp; Assumptions'!$D$95)</f>
        <v>0.34877675694474664</v>
      </c>
      <c r="BG99" s="121">
        <f>BF99*(1+'Data &amp; Assumptions'!$D$94*'Data &amp; Assumptions'!$D$95)</f>
        <v>0.35924005965308903</v>
      </c>
      <c r="BH99" s="121">
        <f>BG99*(1+'Data &amp; Assumptions'!$D$94*'Data &amp; Assumptions'!$D$95)</f>
        <v>0.37001726144268171</v>
      </c>
      <c r="BI99" s="121">
        <f>BH99*(1+'Data &amp; Assumptions'!$D$94*'Data &amp; Assumptions'!$D$95)</f>
        <v>0.38111777928596219</v>
      </c>
      <c r="BJ99" s="121">
        <f>BI99*(1+'Data &amp; Assumptions'!$D$94*'Data &amp; Assumptions'!$D$95)</f>
        <v>0.39255131266454107</v>
      </c>
      <c r="BK99" s="121">
        <f>BJ99*(1+'Data &amp; Assumptions'!$D$94*'Data &amp; Assumptions'!$D$95)</f>
        <v>0.4043278520444773</v>
      </c>
      <c r="BL99" s="121">
        <f>BK99*(1+'Data &amp; Assumptions'!$D$94*'Data &amp; Assumptions'!$D$95)</f>
        <v>0.41645768760581164</v>
      </c>
      <c r="BM99" s="121"/>
    </row>
    <row r="100" spans="1:73" x14ac:dyDescent="0.2">
      <c r="F100" s="67"/>
      <c r="L100" s="63"/>
      <c r="Q100" s="68"/>
      <c r="R100" s="209"/>
      <c r="S100" s="68"/>
      <c r="T100" s="68"/>
      <c r="U100" s="209"/>
      <c r="V100" s="68"/>
      <c r="W100" s="68"/>
      <c r="X100" s="68"/>
      <c r="Y100" s="68"/>
      <c r="Z100" s="68"/>
      <c r="AA100" s="68"/>
      <c r="AB100" s="68"/>
      <c r="AC100" s="68"/>
      <c r="AD100" s="68"/>
      <c r="AE100" s="68"/>
      <c r="AF100" s="68"/>
      <c r="AG100" s="68"/>
      <c r="AH100" s="68"/>
      <c r="AI100" s="68"/>
      <c r="AJ100" s="68"/>
      <c r="AK100" s="68"/>
      <c r="AL100" s="68"/>
    </row>
    <row r="101" spans="1:73" s="1" customFormat="1" x14ac:dyDescent="0.2">
      <c r="A101" s="12"/>
      <c r="E101" s="189" t="s">
        <v>408</v>
      </c>
      <c r="F101" s="122"/>
      <c r="G101" s="122" t="s">
        <v>281</v>
      </c>
      <c r="K101" s="123"/>
      <c r="L101" s="182" t="s">
        <v>55</v>
      </c>
      <c r="Q101" s="125">
        <f>(Q61-P61)*Q99</f>
        <v>521.06522125983031</v>
      </c>
      <c r="R101" s="244">
        <f t="shared" ref="R101:AK101" si="103">(R61-Q61)*R99</f>
        <v>590.75769460333231</v>
      </c>
      <c r="S101" s="125">
        <f t="shared" si="103"/>
        <v>557.2499181654315</v>
      </c>
      <c r="T101" s="125">
        <f t="shared" si="103"/>
        <v>604.48910822815162</v>
      </c>
      <c r="U101" s="244">
        <f t="shared" si="103"/>
        <v>495.82824870387026</v>
      </c>
      <c r="V101" s="125">
        <f t="shared" si="103"/>
        <v>2112.0820356002805</v>
      </c>
      <c r="W101" s="125">
        <f t="shared" si="103"/>
        <v>2664.3745774864133</v>
      </c>
      <c r="X101" s="125">
        <f t="shared" si="103"/>
        <v>416.15311058761705</v>
      </c>
      <c r="Y101" s="125">
        <f t="shared" si="103"/>
        <v>392.54890615508737</v>
      </c>
      <c r="Z101" s="125">
        <f t="shared" si="103"/>
        <v>370.28353219797077</v>
      </c>
      <c r="AA101" s="125">
        <f t="shared" si="103"/>
        <v>349.2810502517018</v>
      </c>
      <c r="AB101" s="125">
        <f t="shared" si="103"/>
        <v>329.46982908142667</v>
      </c>
      <c r="AC101" s="125">
        <f t="shared" si="103"/>
        <v>310.78230037592778</v>
      </c>
      <c r="AD101" s="125">
        <f t="shared" si="103"/>
        <v>293.15472829860369</v>
      </c>
      <c r="AE101" s="125">
        <f t="shared" si="103"/>
        <v>276.52699210951027</v>
      </c>
      <c r="AF101" s="125">
        <f t="shared" si="103"/>
        <v>260.84238111705923</v>
      </c>
      <c r="AG101" s="125">
        <f t="shared" si="103"/>
        <v>246.04740126009611</v>
      </c>
      <c r="AH101" s="125">
        <f t="shared" si="103"/>
        <v>232.09159266062741</v>
      </c>
      <c r="AI101" s="125">
        <f t="shared" si="103"/>
        <v>218.92735752491433</v>
      </c>
      <c r="AJ101" s="125">
        <f t="shared" si="103"/>
        <v>206.50979780610407</v>
      </c>
      <c r="AK101" s="125">
        <f t="shared" si="103"/>
        <v>194.79656207453721</v>
      </c>
      <c r="AL101" s="125"/>
      <c r="AM101" s="207"/>
      <c r="AR101" s="125">
        <f>(AR61-AQ61)*AR99</f>
        <v>521.06522125983031</v>
      </c>
      <c r="AS101" s="125">
        <f>(AS61-AR61)*AS99</f>
        <v>561.21980987316567</v>
      </c>
      <c r="AT101" s="125">
        <f>S101*'Data &amp; Assumptions'!$D$95</f>
        <v>417.93743862407359</v>
      </c>
      <c r="AU101" s="125">
        <f>T101*'Data &amp; Assumptions'!$D$95</f>
        <v>453.36683117111374</v>
      </c>
      <c r="AV101" s="244">
        <f>U101*'Data &amp; Assumptions'!$D$95</f>
        <v>371.87118652790269</v>
      </c>
      <c r="AW101" s="125">
        <f>V101*'Data &amp; Assumptions'!$D$95</f>
        <v>1584.0615267002104</v>
      </c>
      <c r="AX101" s="125">
        <f>W101*'Data &amp; Assumptions'!$D$95</f>
        <v>1998.2809331148101</v>
      </c>
      <c r="AY101" s="125">
        <f>X101*'Data &amp; Assumptions'!$D$95</f>
        <v>312.1148329407128</v>
      </c>
      <c r="AZ101" s="125">
        <f>Y101*'Data &amp; Assumptions'!$D$95</f>
        <v>294.4116796163155</v>
      </c>
      <c r="BA101" s="125">
        <f>Z101*'Data &amp; Assumptions'!$D$95</f>
        <v>277.71264914847808</v>
      </c>
      <c r="BB101" s="125">
        <f>AA101*'Data &amp; Assumptions'!$D$95</f>
        <v>261.96078768877635</v>
      </c>
      <c r="BC101" s="125">
        <f>AB101*'Data &amp; Assumptions'!$D$95</f>
        <v>247.10237181106999</v>
      </c>
      <c r="BD101" s="125">
        <f>AC101*'Data &amp; Assumptions'!$D$95</f>
        <v>233.08672528194583</v>
      </c>
      <c r="BE101" s="125">
        <f>AD101*'Data &amp; Assumptions'!$D$95</f>
        <v>219.86604622395276</v>
      </c>
      <c r="BF101" s="125">
        <f>AE101*'Data &amp; Assumptions'!$D$95</f>
        <v>207.39524408213271</v>
      </c>
      <c r="BG101" s="125">
        <f>AF101*'Data &amp; Assumptions'!$D$95</f>
        <v>195.63178583779444</v>
      </c>
      <c r="BH101" s="125">
        <f>AG101*'Data &amp; Assumptions'!$D$95</f>
        <v>184.53555094507209</v>
      </c>
      <c r="BI101" s="125">
        <f>AH101*'Data &amp; Assumptions'!$D$95</f>
        <v>174.06869449547057</v>
      </c>
      <c r="BJ101" s="125">
        <f>AI101*'Data &amp; Assumptions'!$D$95</f>
        <v>164.19551814368575</v>
      </c>
      <c r="BK101" s="125">
        <f>AJ101*'Data &amp; Assumptions'!$D$95</f>
        <v>154.88234835457806</v>
      </c>
      <c r="BL101" s="125">
        <f>AK101*'Data &amp; Assumptions'!$D$95</f>
        <v>146.09742155590291</v>
      </c>
      <c r="BM101" s="125"/>
      <c r="BN101" s="207"/>
      <c r="BU101" s="233"/>
    </row>
    <row r="102" spans="1:73" x14ac:dyDescent="0.2">
      <c r="D102" s="603">
        <v>0.4</v>
      </c>
      <c r="E102" s="603"/>
      <c r="F102" s="67"/>
      <c r="H102" t="s">
        <v>277</v>
      </c>
      <c r="K102" s="74"/>
      <c r="L102" s="182" t="s">
        <v>55</v>
      </c>
      <c r="Q102" s="68">
        <f>Q101*$D$102</f>
        <v>208.42608850393214</v>
      </c>
      <c r="R102" s="209">
        <f>R101-R103-R104-R105</f>
        <v>106.16703883169016</v>
      </c>
      <c r="S102" s="68">
        <f t="shared" ref="S102:AK102" si="104">S101-S103-S104-S105</f>
        <v>97.979124157857854</v>
      </c>
      <c r="T102" s="68">
        <f t="shared" si="104"/>
        <v>253.89566760505767</v>
      </c>
      <c r="U102" s="209">
        <f t="shared" si="104"/>
        <v>89.56693249349361</v>
      </c>
      <c r="V102" s="68">
        <f t="shared" si="104"/>
        <v>1730.3802310994752</v>
      </c>
      <c r="W102" s="68">
        <f t="shared" si="104"/>
        <v>773.43176514247762</v>
      </c>
      <c r="X102" s="68">
        <f t="shared" si="104"/>
        <v>-1871.7880819924922</v>
      </c>
      <c r="Y102" s="68">
        <f t="shared" si="104"/>
        <v>72.527237189895686</v>
      </c>
      <c r="Z102" s="68">
        <f t="shared" si="104"/>
        <v>1299.6274594119664</v>
      </c>
      <c r="AA102" s="68">
        <f t="shared" si="104"/>
        <v>583.48455182026714</v>
      </c>
      <c r="AB102" s="68">
        <f t="shared" si="104"/>
        <v>-1395.5563846811842</v>
      </c>
      <c r="AC102" s="68">
        <f t="shared" si="104"/>
        <v>58.629504889849159</v>
      </c>
      <c r="AD102" s="68">
        <f t="shared" si="104"/>
        <v>976.31612221330533</v>
      </c>
      <c r="AE102" s="68">
        <f t="shared" si="104"/>
        <v>440.36988658490873</v>
      </c>
      <c r="AF102" s="68">
        <f t="shared" si="104"/>
        <v>-1040.2764801738779</v>
      </c>
      <c r="AG102" s="68">
        <f t="shared" si="104"/>
        <v>47.321905799387309</v>
      </c>
      <c r="AH102" s="68">
        <f t="shared" si="104"/>
        <v>733.60274710580666</v>
      </c>
      <c r="AI102" s="68">
        <f t="shared" si="104"/>
        <v>332.50175515384382</v>
      </c>
      <c r="AJ102" s="68">
        <f t="shared" si="104"/>
        <v>-775.27355664186052</v>
      </c>
      <c r="AK102" s="68">
        <f t="shared" si="104"/>
        <v>38.141696865122753</v>
      </c>
      <c r="AL102" s="68"/>
      <c r="AR102" s="68">
        <f>AR101*$D$102</f>
        <v>208.42608850393214</v>
      </c>
      <c r="AS102" s="68">
        <f>AS101-AS103-AS104-AS105</f>
        <v>76.629154101523525</v>
      </c>
      <c r="AT102" s="214">
        <f>S102*'Data &amp; Assumptions'!$D$95</f>
        <v>73.484343118393383</v>
      </c>
      <c r="AU102" s="214">
        <f>T102*'Data &amp; Assumptions'!$D$95</f>
        <v>190.42175070379324</v>
      </c>
      <c r="AV102" s="255">
        <f>U102*'Data &amp; Assumptions'!$D$95</f>
        <v>67.175199370120211</v>
      </c>
      <c r="AW102" s="214">
        <f>V102*'Data &amp; Assumptions'!$D$95</f>
        <v>1297.7851733246064</v>
      </c>
      <c r="AX102" s="214">
        <f>W102*'Data &amp; Assumptions'!$D$95</f>
        <v>580.07382385685821</v>
      </c>
      <c r="AY102" s="214">
        <f>X102*'Data &amp; Assumptions'!$D$95</f>
        <v>-1403.8410614943691</v>
      </c>
      <c r="AZ102" s="214">
        <f>Y102*'Data &amp; Assumptions'!$D$95</f>
        <v>54.395427892421765</v>
      </c>
      <c r="BA102" s="214">
        <f>Z102*'Data &amp; Assumptions'!$D$95</f>
        <v>974.72059455897477</v>
      </c>
      <c r="BB102" s="214">
        <f>AA102*'Data &amp; Assumptions'!$D$95</f>
        <v>437.61341386520036</v>
      </c>
      <c r="BC102" s="214">
        <f>AB102*'Data &amp; Assumptions'!$D$95</f>
        <v>-1046.6672885108883</v>
      </c>
      <c r="BD102" s="214">
        <f>AC102*'Data &amp; Assumptions'!$D$95</f>
        <v>43.972128667386869</v>
      </c>
      <c r="BE102" s="214">
        <f>AD102*'Data &amp; Assumptions'!$D$95</f>
        <v>732.237091659979</v>
      </c>
      <c r="BF102" s="214">
        <f>AE102*'Data &amp; Assumptions'!$D$95</f>
        <v>330.27741493868155</v>
      </c>
      <c r="BG102" s="214">
        <f>AF102*'Data &amp; Assumptions'!$D$95</f>
        <v>-780.20736013040846</v>
      </c>
      <c r="BH102" s="214">
        <f>AG102*'Data &amp; Assumptions'!$D$95</f>
        <v>35.491429349540482</v>
      </c>
      <c r="BI102" s="214">
        <f>AH102*'Data &amp; Assumptions'!$D$95</f>
        <v>550.20206032935494</v>
      </c>
      <c r="BJ102" s="214">
        <f>AI102*'Data &amp; Assumptions'!$D$95</f>
        <v>249.37631636538288</v>
      </c>
      <c r="BK102" s="214">
        <f>AJ102*'Data &amp; Assumptions'!$D$95</f>
        <v>-581.45516748139539</v>
      </c>
      <c r="BL102" s="214">
        <f>AK102*'Data &amp; Assumptions'!$D$95</f>
        <v>28.606272648842065</v>
      </c>
    </row>
    <row r="103" spans="1:73" x14ac:dyDescent="0.2">
      <c r="D103" s="603">
        <v>0.4</v>
      </c>
      <c r="E103" s="604"/>
      <c r="F103" s="67"/>
      <c r="H103" t="s">
        <v>278</v>
      </c>
      <c r="K103" s="74"/>
      <c r="L103" s="182" t="s">
        <v>55</v>
      </c>
      <c r="Q103" s="68">
        <f>Q101*$D$103</f>
        <v>208.42608850393214</v>
      </c>
      <c r="R103" s="209">
        <f>Q102*(1-'Data &amp; Assumptions'!$D$117)</f>
        <v>193.83626230865687</v>
      </c>
      <c r="S103" s="68">
        <f>R102*(1-'Data &amp; Assumptions'!$D$117)</f>
        <v>98.735346113471849</v>
      </c>
      <c r="T103" s="68">
        <f>S102*(1-'Data &amp; Assumptions'!$D$117)</f>
        <v>91.120585466807796</v>
      </c>
      <c r="U103" s="209">
        <f>T102*(1-'Data &amp; Assumptions'!$D$117)</f>
        <v>236.1229708727036</v>
      </c>
      <c r="V103" s="68">
        <f>U102*(1-'Data &amp; Assumptions'!$D$117)</f>
        <v>83.297247218949053</v>
      </c>
      <c r="W103" s="68">
        <f>V102*(1-'Data &amp; Assumptions'!$D$117)</f>
        <v>1609.2536149225118</v>
      </c>
      <c r="X103" s="68">
        <f>W102*(1-'Data &amp; Assumptions'!$D$117)</f>
        <v>719.29154158250412</v>
      </c>
      <c r="Y103" s="68">
        <f>X102*(1-'Data &amp; Assumptions'!$D$117)</f>
        <v>-1740.7629162530177</v>
      </c>
      <c r="Z103" s="68">
        <f>Y102*(1-'Data &amp; Assumptions'!$D$117)</f>
        <v>67.450330586602988</v>
      </c>
      <c r="AA103" s="68">
        <f>Z102*(1-'Data &amp; Assumptions'!$D$117)</f>
        <v>1208.6535372531287</v>
      </c>
      <c r="AB103" s="68">
        <f>AA102*(1-'Data &amp; Assumptions'!$D$117)</f>
        <v>542.64063319284844</v>
      </c>
      <c r="AC103" s="68">
        <f>AB102*(1-'Data &amp; Assumptions'!$D$117)</f>
        <v>-1297.8674377535012</v>
      </c>
      <c r="AD103" s="68">
        <f>AC102*(1-'Data &amp; Assumptions'!$D$117)</f>
        <v>54.525439547559714</v>
      </c>
      <c r="AE103" s="68">
        <f>AD102*(1-'Data &amp; Assumptions'!$D$117)</f>
        <v>907.97399365837396</v>
      </c>
      <c r="AF103" s="68">
        <f>AE102*(1-'Data &amp; Assumptions'!$D$117)</f>
        <v>409.54399452396507</v>
      </c>
      <c r="AG103" s="68">
        <f>AF102*(1-'Data &amp; Assumptions'!$D$117)</f>
        <v>-967.45712656170633</v>
      </c>
      <c r="AH103" s="68">
        <f>AG102*(1-'Data &amp; Assumptions'!$D$117)</f>
        <v>44.009372393430198</v>
      </c>
      <c r="AI103" s="68">
        <f>AH102*(1-'Data &amp; Assumptions'!$D$117)</f>
        <v>682.25055480840012</v>
      </c>
      <c r="AJ103" s="68">
        <f>AI102*(1-'Data &amp; Assumptions'!$D$117)</f>
        <v>309.22663229307472</v>
      </c>
      <c r="AK103" s="68">
        <f>AJ102*(1-'Data &amp; Assumptions'!$D$117)</f>
        <v>-721.00440767693021</v>
      </c>
      <c r="AL103" s="68"/>
      <c r="AR103" s="68">
        <f>AR101*$D$103</f>
        <v>208.42608850393214</v>
      </c>
      <c r="AS103" s="68">
        <f>AR102*(1-'Data &amp; Assumptions'!$D$117)</f>
        <v>193.83626230865687</v>
      </c>
      <c r="AT103" s="214">
        <f>S103*'Data &amp; Assumptions'!$D$95</f>
        <v>74.051509585103886</v>
      </c>
      <c r="AU103" s="214">
        <f>T103*'Data &amp; Assumptions'!$D$95</f>
        <v>68.34043910010584</v>
      </c>
      <c r="AV103" s="255">
        <f>U103*'Data &amp; Assumptions'!$D$95</f>
        <v>177.0922281545277</v>
      </c>
      <c r="AW103" s="214">
        <f>V103*'Data &amp; Assumptions'!$D$95</f>
        <v>62.47293541421179</v>
      </c>
      <c r="AX103" s="214">
        <f>W103*'Data &amp; Assumptions'!$D$95</f>
        <v>1206.9402111918839</v>
      </c>
      <c r="AY103" s="214">
        <f>X103*'Data &amp; Assumptions'!$D$95</f>
        <v>539.46865618687809</v>
      </c>
      <c r="AZ103" s="214">
        <f>Y103*'Data &amp; Assumptions'!$D$95</f>
        <v>-1305.5721871897633</v>
      </c>
      <c r="BA103" s="214">
        <f>Z103*'Data &amp; Assumptions'!$D$95</f>
        <v>50.587747939952237</v>
      </c>
      <c r="BB103" s="214">
        <f>AA103*'Data &amp; Assumptions'!$D$95</f>
        <v>906.49015293984644</v>
      </c>
      <c r="BC103" s="214">
        <f>AB103*'Data &amp; Assumptions'!$D$95</f>
        <v>406.98047489463636</v>
      </c>
      <c r="BD103" s="214">
        <f>AC103*'Data &amp; Assumptions'!$D$95</f>
        <v>-973.40057831512593</v>
      </c>
      <c r="BE103" s="214">
        <f>AD103*'Data &amp; Assumptions'!$D$95</f>
        <v>40.894079660669789</v>
      </c>
      <c r="BF103" s="214">
        <f>AE103*'Data &amp; Assumptions'!$D$95</f>
        <v>680.98049524378052</v>
      </c>
      <c r="BG103" s="214">
        <f>AF103*'Data &amp; Assumptions'!$D$95</f>
        <v>307.15799589297382</v>
      </c>
      <c r="BH103" s="214">
        <f>AG103*'Data &amp; Assumptions'!$D$95</f>
        <v>-725.59284492127972</v>
      </c>
      <c r="BI103" s="214">
        <f>AH103*'Data &amp; Assumptions'!$D$95</f>
        <v>33.007029295072648</v>
      </c>
      <c r="BJ103" s="214">
        <f>AI103*'Data &amp; Assumptions'!$D$95</f>
        <v>511.68791610630012</v>
      </c>
      <c r="BK103" s="214">
        <f>AJ103*'Data &amp; Assumptions'!$D$95</f>
        <v>231.91997421980602</v>
      </c>
      <c r="BL103" s="214">
        <f>AK103*'Data &amp; Assumptions'!$D$95</f>
        <v>-540.75330575769772</v>
      </c>
    </row>
    <row r="104" spans="1:73" x14ac:dyDescent="0.2">
      <c r="D104" s="603">
        <v>0.2</v>
      </c>
      <c r="E104" s="603"/>
      <c r="F104" s="67"/>
      <c r="H104" t="s">
        <v>279</v>
      </c>
      <c r="K104" s="74"/>
      <c r="L104" s="182" t="s">
        <v>55</v>
      </c>
      <c r="Q104" s="68">
        <f>Q101*$D$104</f>
        <v>104.21304425196607</v>
      </c>
      <c r="R104" s="209">
        <f>Q103*(1-'Data &amp; Assumptions'!$D$117)</f>
        <v>193.83626230865687</v>
      </c>
      <c r="S104" s="68">
        <f>R103*(1-'Data &amp; Assumptions'!$D$117)</f>
        <v>180.26772394705088</v>
      </c>
      <c r="T104" s="68">
        <f>S103*(1-'Data &amp; Assumptions'!$D$117)</f>
        <v>91.823871885528817</v>
      </c>
      <c r="U104" s="209">
        <f>T103*(1-'Data &amp; Assumptions'!$D$117)</f>
        <v>84.742144484131245</v>
      </c>
      <c r="V104" s="68">
        <f>U103*(1-'Data &amp; Assumptions'!$D$117)</f>
        <v>219.59436291161433</v>
      </c>
      <c r="W104" s="68">
        <f>V103*(1-'Data &amp; Assumptions'!$D$117)</f>
        <v>77.466439913622608</v>
      </c>
      <c r="X104" s="68">
        <f>W103*(1-'Data &amp; Assumptions'!$D$117)</f>
        <v>1496.6058618779359</v>
      </c>
      <c r="Y104" s="68">
        <f>X103*(1-'Data &amp; Assumptions'!$D$117)</f>
        <v>668.94113367172883</v>
      </c>
      <c r="Z104" s="68">
        <f>Y103*(1-'Data &amp; Assumptions'!$D$117)</f>
        <v>-1618.9095121153064</v>
      </c>
      <c r="AA104" s="68">
        <f>Z103*(1-'Data &amp; Assumptions'!$D$117)</f>
        <v>62.728807445540774</v>
      </c>
      <c r="AB104" s="68">
        <f>AA103*(1-'Data &amp; Assumptions'!$D$117)</f>
        <v>1124.0477896454095</v>
      </c>
      <c r="AC104" s="68">
        <f>AB103*(1-'Data &amp; Assumptions'!$D$117)</f>
        <v>504.65578886934901</v>
      </c>
      <c r="AD104" s="68">
        <f>AC103*(1-'Data &amp; Assumptions'!$D$117)</f>
        <v>-1207.016717110756</v>
      </c>
      <c r="AE104" s="68">
        <f>AD103*(1-'Data &amp; Assumptions'!$D$117)</f>
        <v>50.708658779230532</v>
      </c>
      <c r="AF104" s="68">
        <f>AE103*(1-'Data &amp; Assumptions'!$D$117)</f>
        <v>844.41581410228775</v>
      </c>
      <c r="AG104" s="68">
        <f>AF103*(1-'Data &amp; Assumptions'!$D$117)</f>
        <v>380.87591490728749</v>
      </c>
      <c r="AH104" s="68">
        <f>AG103*(1-'Data &amp; Assumptions'!$D$117)</f>
        <v>-899.73512770238688</v>
      </c>
      <c r="AI104" s="68">
        <f>AH103*(1-'Data &amp; Assumptions'!$D$117)</f>
        <v>40.928716325890079</v>
      </c>
      <c r="AJ104" s="68">
        <f>AI103*(1-'Data &amp; Assumptions'!$D$117)</f>
        <v>634.49301597181204</v>
      </c>
      <c r="AK104" s="68">
        <f>AJ103*(1-'Data &amp; Assumptions'!$D$117)</f>
        <v>287.58076803255949</v>
      </c>
      <c r="AL104" s="68"/>
      <c r="AR104" s="68">
        <f>AR101*$D$104</f>
        <v>104.21304425196607</v>
      </c>
      <c r="AS104" s="68">
        <f>AR103*(1-'Data &amp; Assumptions'!$D$117)</f>
        <v>193.83626230865687</v>
      </c>
      <c r="AT104" s="214">
        <f>S104*'Data &amp; Assumptions'!$D$95</f>
        <v>135.20079296028817</v>
      </c>
      <c r="AU104" s="214">
        <f>T104*'Data &amp; Assumptions'!$D$95</f>
        <v>68.867903914146609</v>
      </c>
      <c r="AV104" s="255">
        <f>U104*'Data &amp; Assumptions'!$D$95</f>
        <v>63.556608363098434</v>
      </c>
      <c r="AW104" s="214">
        <f>V104*'Data &amp; Assumptions'!$D$95</f>
        <v>164.69577218371074</v>
      </c>
      <c r="AX104" s="214">
        <f>W104*'Data &amp; Assumptions'!$D$95</f>
        <v>58.09982993521696</v>
      </c>
      <c r="AY104" s="214">
        <f>X104*'Data &amp; Assumptions'!$D$95</f>
        <v>1122.4543964084519</v>
      </c>
      <c r="AZ104" s="214">
        <f>Y104*'Data &amp; Assumptions'!$D$95</f>
        <v>501.7058502537966</v>
      </c>
      <c r="BA104" s="214">
        <f>Z104*'Data &amp; Assumptions'!$D$95</f>
        <v>-1214.1821340864799</v>
      </c>
      <c r="BB104" s="214">
        <f>AA104*'Data &amp; Assumptions'!$D$95</f>
        <v>47.046605584155579</v>
      </c>
      <c r="BC104" s="214">
        <f>AB104*'Data &amp; Assumptions'!$D$95</f>
        <v>843.0358422340571</v>
      </c>
      <c r="BD104" s="214">
        <f>AC104*'Data &amp; Assumptions'!$D$95</f>
        <v>378.49184165201177</v>
      </c>
      <c r="BE104" s="214">
        <f>AD104*'Data &amp; Assumptions'!$D$95</f>
        <v>-905.26253783306697</v>
      </c>
      <c r="BF104" s="214">
        <f>AE104*'Data &amp; Assumptions'!$D$95</f>
        <v>38.031494084422903</v>
      </c>
      <c r="BG104" s="214">
        <f>AF104*'Data &amp; Assumptions'!$D$95</f>
        <v>633.31186057671584</v>
      </c>
      <c r="BH104" s="214">
        <f>AG104*'Data &amp; Assumptions'!$D$95</f>
        <v>285.65693618046561</v>
      </c>
      <c r="BI104" s="214">
        <f>AH104*'Data &amp; Assumptions'!$D$95</f>
        <v>-674.80134577679019</v>
      </c>
      <c r="BJ104" s="214">
        <f>AI104*'Data &amp; Assumptions'!$D$95</f>
        <v>30.696537244417559</v>
      </c>
      <c r="BK104" s="214">
        <f>AJ104*'Data &amp; Assumptions'!$D$95</f>
        <v>475.86976197885906</v>
      </c>
      <c r="BL104" s="214">
        <f>AK104*'Data &amp; Assumptions'!$D$95</f>
        <v>215.68557602441962</v>
      </c>
    </row>
    <row r="105" spans="1:73" x14ac:dyDescent="0.2">
      <c r="D105" s="603">
        <v>0</v>
      </c>
      <c r="E105" s="604"/>
      <c r="F105" s="67"/>
      <c r="H105" t="s">
        <v>280</v>
      </c>
      <c r="K105" s="74"/>
      <c r="L105" s="182" t="s">
        <v>55</v>
      </c>
      <c r="Q105" s="68">
        <f>Q101*$D$105</f>
        <v>0</v>
      </c>
      <c r="R105" s="209">
        <f>Q104*(1-'Data &amp; Assumptions'!$D$117)</f>
        <v>96.918131154328435</v>
      </c>
      <c r="S105" s="68">
        <f>R104*(1-'Data &amp; Assumptions'!$D$117)</f>
        <v>180.26772394705088</v>
      </c>
      <c r="T105" s="68">
        <f>S104*(1-'Data &amp; Assumptions'!$D$117)</f>
        <v>167.6489832707573</v>
      </c>
      <c r="U105" s="209">
        <f>T104*(1-'Data &amp; Assumptions'!$D$117)</f>
        <v>85.396200853541799</v>
      </c>
      <c r="V105" s="68">
        <f>U104*(1-'Data &amp; Assumptions'!$D$117)</f>
        <v>78.810194370242058</v>
      </c>
      <c r="W105" s="68">
        <f>V104*(1-'Data &amp; Assumptions'!$D$117)</f>
        <v>204.2227575078013</v>
      </c>
      <c r="X105" s="68">
        <f>W104*(1-'Data &amp; Assumptions'!$D$117)</f>
        <v>72.043789119669015</v>
      </c>
      <c r="Y105" s="68">
        <f>X104*(1-'Data &amp; Assumptions'!$D$117)</f>
        <v>1391.8434515464803</v>
      </c>
      <c r="Z105" s="68">
        <f>Y104*(1-'Data &amp; Assumptions'!$D$117)</f>
        <v>622.11525431470773</v>
      </c>
      <c r="AA105" s="68">
        <f>Z104*(1-'Data &amp; Assumptions'!$D$117)</f>
        <v>-1505.5858462672347</v>
      </c>
      <c r="AB105" s="68">
        <f>AA104*(1-'Data &amp; Assumptions'!$D$117)</f>
        <v>58.337790924352916</v>
      </c>
      <c r="AC105" s="68">
        <f>AB104*(1-'Data &amp; Assumptions'!$D$117)</f>
        <v>1045.3644443702308</v>
      </c>
      <c r="AD105" s="68">
        <f>AC104*(1-'Data &amp; Assumptions'!$D$117)</f>
        <v>469.32988364849456</v>
      </c>
      <c r="AE105" s="68">
        <f>AD104*(1-'Data &amp; Assumptions'!$D$117)</f>
        <v>-1122.5255469130029</v>
      </c>
      <c r="AF105" s="68">
        <f>AE104*(1-'Data &amp; Assumptions'!$D$117)</f>
        <v>47.159052664684388</v>
      </c>
      <c r="AG105" s="68">
        <f>AF104*(1-'Data &amp; Assumptions'!$D$117)</f>
        <v>785.30670711512755</v>
      </c>
      <c r="AH105" s="68">
        <f>AG104*(1-'Data &amp; Assumptions'!$D$117)</f>
        <v>354.21460086377732</v>
      </c>
      <c r="AI105" s="68">
        <f>AH104*(1-'Data &amp; Assumptions'!$D$117)</f>
        <v>-836.75366876321971</v>
      </c>
      <c r="AJ105" s="68">
        <f>AI104*(1-'Data &amp; Assumptions'!$D$117)</f>
        <v>38.06370618307777</v>
      </c>
      <c r="AK105" s="68">
        <f>AJ104*(1-'Data &amp; Assumptions'!$D$117)</f>
        <v>590.07850485378515</v>
      </c>
      <c r="AL105" s="68"/>
      <c r="AR105" s="68">
        <f>AR101*$D$105</f>
        <v>0</v>
      </c>
      <c r="AS105" s="68">
        <f>AR104*(1-'Data &amp; Assumptions'!$D$117)</f>
        <v>96.918131154328435</v>
      </c>
      <c r="AT105" s="214">
        <f>S105*'Data &amp; Assumptions'!$D$95</f>
        <v>135.20079296028817</v>
      </c>
      <c r="AU105" s="214">
        <f>T105*'Data &amp; Assumptions'!$D$95</f>
        <v>125.73673745306797</v>
      </c>
      <c r="AV105" s="255">
        <f>U105*'Data &amp; Assumptions'!$D$95</f>
        <v>64.047150640156346</v>
      </c>
      <c r="AW105" s="214">
        <f>V105*'Data &amp; Assumptions'!$D$95</f>
        <v>59.10764577768154</v>
      </c>
      <c r="AX105" s="214">
        <f>W105*'Data &amp; Assumptions'!$D$95</f>
        <v>153.16706813085096</v>
      </c>
      <c r="AY105" s="214">
        <f>X105*'Data &amp; Assumptions'!$D$95</f>
        <v>54.032841839751761</v>
      </c>
      <c r="AZ105" s="214">
        <f>Y105*'Data &amp; Assumptions'!$D$95</f>
        <v>1043.8825886598602</v>
      </c>
      <c r="BA105" s="214">
        <f>Z105*'Data &amp; Assumptions'!$D$95</f>
        <v>466.5864407360308</v>
      </c>
      <c r="BB105" s="214">
        <f>AA105*'Data &amp; Assumptions'!$D$95</f>
        <v>-1129.189384700426</v>
      </c>
      <c r="BC105" s="214">
        <f>AB105*'Data &amp; Assumptions'!$D$95</f>
        <v>43.753343193264683</v>
      </c>
      <c r="BD105" s="214">
        <f>AC105*'Data &amp; Assumptions'!$D$95</f>
        <v>784.02333327767315</v>
      </c>
      <c r="BE105" s="214">
        <f>AD105*'Data &amp; Assumptions'!$D$95</f>
        <v>351.9974127363709</v>
      </c>
      <c r="BF105" s="214">
        <f>AE105*'Data &amp; Assumptions'!$D$95</f>
        <v>-841.8941601847522</v>
      </c>
      <c r="BG105" s="214">
        <f>AF105*'Data &amp; Assumptions'!$D$95</f>
        <v>35.36928949851329</v>
      </c>
      <c r="BH105" s="214">
        <f>AG105*'Data &amp; Assumptions'!$D$95</f>
        <v>588.98003033634564</v>
      </c>
      <c r="BI105" s="214">
        <f>AH105*'Data &amp; Assumptions'!$D$95</f>
        <v>265.66095064783298</v>
      </c>
      <c r="BJ105" s="214">
        <f>AI105*'Data &amp; Assumptions'!$D$95</f>
        <v>-627.56525157241481</v>
      </c>
      <c r="BK105" s="214">
        <f>AJ105*'Data &amp; Assumptions'!$D$95</f>
        <v>28.547779637308327</v>
      </c>
      <c r="BL105" s="214">
        <f>AK105*'Data &amp; Assumptions'!$D$95</f>
        <v>442.55887864033889</v>
      </c>
    </row>
    <row r="106" spans="1:73" s="233" customFormat="1" x14ac:dyDescent="0.2">
      <c r="F106" s="235"/>
      <c r="G106" s="235" t="s">
        <v>282</v>
      </c>
      <c r="K106" s="252"/>
      <c r="L106" s="232" t="s">
        <v>55</v>
      </c>
      <c r="Q106" s="244">
        <f t="shared" ref="Q106:AK106" si="105">(Q62-P62)*Q99</f>
        <v>52.180275165085646</v>
      </c>
      <c r="R106" s="244">
        <f t="shared" si="105"/>
        <v>59.159386968415788</v>
      </c>
      <c r="S106" s="244">
        <f t="shared" si="105"/>
        <v>55.803866539567203</v>
      </c>
      <c r="T106" s="244">
        <f t="shared" si="105"/>
        <v>60.534471913859505</v>
      </c>
      <c r="U106" s="244">
        <f t="shared" si="105"/>
        <v>49.653005797308992</v>
      </c>
      <c r="V106" s="244">
        <f t="shared" si="105"/>
        <v>211.50715360045277</v>
      </c>
      <c r="W106" s="244">
        <f t="shared" si="105"/>
        <v>266.81458083108788</v>
      </c>
      <c r="X106" s="244">
        <f t="shared" si="105"/>
        <v>41.674214542213804</v>
      </c>
      <c r="Y106" s="244">
        <f t="shared" si="105"/>
        <v>39.310453093379046</v>
      </c>
      <c r="Z106" s="244">
        <f t="shared" si="105"/>
        <v>37.080764193922789</v>
      </c>
      <c r="AA106" s="244">
        <f t="shared" si="105"/>
        <v>34.977543248843666</v>
      </c>
      <c r="AB106" s="244">
        <f t="shared" si="105"/>
        <v>32.99361699576901</v>
      </c>
      <c r="AC106" s="244">
        <f t="shared" si="105"/>
        <v>31.122219039769067</v>
      </c>
      <c r="AD106" s="244">
        <f t="shared" si="105"/>
        <v>29.356966775833587</v>
      </c>
      <c r="AE106" s="244">
        <f t="shared" si="105"/>
        <v>27.691839620307945</v>
      </c>
      <c r="AF106" s="244">
        <f t="shared" si="105"/>
        <v>26.121158477044553</v>
      </c>
      <c r="AG106" s="244">
        <f t="shared" si="105"/>
        <v>24.639566368226465</v>
      </c>
      <c r="AH106" s="244">
        <f t="shared" si="105"/>
        <v>23.242010163820716</v>
      </c>
      <c r="AI106" s="244">
        <f t="shared" si="105"/>
        <v>21.923723347328856</v>
      </c>
      <c r="AJ106" s="244">
        <f t="shared" si="105"/>
        <v>20.680209759068052</v>
      </c>
      <c r="AK106" s="244">
        <f t="shared" si="105"/>
        <v>19.507228261533882</v>
      </c>
      <c r="AL106" s="244"/>
      <c r="AM106" s="207"/>
      <c r="AR106" s="244">
        <f>(AR62-AQ62)*AR99</f>
        <v>52.180275165085646</v>
      </c>
      <c r="AS106" s="244">
        <f>(AS62-AR62)*AS99</f>
        <v>56.201417619994999</v>
      </c>
      <c r="AT106" s="244">
        <f>S106*'Data &amp; Assumptions'!$D$95</f>
        <v>41.852899904675404</v>
      </c>
      <c r="AU106" s="244">
        <f>T106*'Data &amp; Assumptions'!$D$95</f>
        <v>45.400853935394629</v>
      </c>
      <c r="AV106" s="244">
        <f>U106*'Data &amp; Assumptions'!$D$95</f>
        <v>37.239754347981744</v>
      </c>
      <c r="AW106" s="244">
        <f>V106*'Data &amp; Assumptions'!$D$95</f>
        <v>158.63036520033958</v>
      </c>
      <c r="AX106" s="244">
        <f>W106*'Data &amp; Assumptions'!$D$95</f>
        <v>200.11093562331592</v>
      </c>
      <c r="AY106" s="244">
        <f>X106*'Data &amp; Assumptions'!$D$95</f>
        <v>31.255660906660353</v>
      </c>
      <c r="AZ106" s="244">
        <f>Y106*'Data &amp; Assumptions'!$D$95</f>
        <v>29.482839820034286</v>
      </c>
      <c r="BA106" s="244">
        <f>Z106*'Data &amp; Assumptions'!$D$95</f>
        <v>27.810573145442092</v>
      </c>
      <c r="BB106" s="244">
        <f>AA106*'Data &amp; Assumptions'!$D$95</f>
        <v>26.233157436632752</v>
      </c>
      <c r="BC106" s="244">
        <f>AB106*'Data &amp; Assumptions'!$D$95</f>
        <v>24.745212746826759</v>
      </c>
      <c r="BD106" s="244">
        <f>AC106*'Data &amp; Assumptions'!$D$95</f>
        <v>23.341664279826801</v>
      </c>
      <c r="BE106" s="244">
        <f>AD106*'Data &amp; Assumptions'!$D$95</f>
        <v>22.017725081875192</v>
      </c>
      <c r="BF106" s="244">
        <f>AE106*'Data &amp; Assumptions'!$D$95</f>
        <v>20.768879715230959</v>
      </c>
      <c r="BG106" s="244">
        <f>AF106*'Data &amp; Assumptions'!$D$95</f>
        <v>19.590868857783413</v>
      </c>
      <c r="BH106" s="244">
        <f>AG106*'Data &amp; Assumptions'!$D$95</f>
        <v>18.479674776169848</v>
      </c>
      <c r="BI106" s="244">
        <f>AH106*'Data &amp; Assumptions'!$D$95</f>
        <v>17.431507622865539</v>
      </c>
      <c r="BJ106" s="244">
        <f>AI106*'Data &amp; Assumptions'!$D$95</f>
        <v>16.442792510496641</v>
      </c>
      <c r="BK106" s="244">
        <f>AJ106*'Data &amp; Assumptions'!$D$95</f>
        <v>15.51015731930104</v>
      </c>
      <c r="BL106" s="244">
        <f>AK106*'Data &amp; Assumptions'!$D$95</f>
        <v>14.630421196150412</v>
      </c>
      <c r="BN106" s="207"/>
    </row>
    <row r="107" spans="1:73" x14ac:dyDescent="0.2">
      <c r="F107" s="67"/>
      <c r="H107" t="s">
        <v>277</v>
      </c>
      <c r="K107" s="74"/>
      <c r="L107" s="182" t="s">
        <v>55</v>
      </c>
      <c r="Q107" s="68">
        <f>Q106*$D$102</f>
        <v>20.87211006603426</v>
      </c>
      <c r="R107" s="209">
        <f>R106-R108-R109-R110</f>
        <v>10.631731064886131</v>
      </c>
      <c r="S107" s="68">
        <f t="shared" ref="S107:AK107" si="106">S106-S108-S109-S110</f>
        <v>9.811780656997044</v>
      </c>
      <c r="T107" s="68">
        <f t="shared" si="106"/>
        <v>25.425503868447123</v>
      </c>
      <c r="U107" s="209">
        <f t="shared" si="106"/>
        <v>8.9693708052578174</v>
      </c>
      <c r="V107" s="68">
        <f t="shared" si="106"/>
        <v>173.28294600182289</v>
      </c>
      <c r="W107" s="68">
        <f t="shared" si="106"/>
        <v>77.452650224812601</v>
      </c>
      <c r="X107" s="68">
        <f t="shared" si="106"/>
        <v>-187.44374635664326</v>
      </c>
      <c r="Y107" s="68">
        <f t="shared" si="106"/>
        <v>7.2629894284286252</v>
      </c>
      <c r="Z107" s="68">
        <f t="shared" si="106"/>
        <v>130.14669887246532</v>
      </c>
      <c r="AA107" s="68">
        <f t="shared" si="106"/>
        <v>58.431043228993488</v>
      </c>
      <c r="AB107" s="68">
        <f t="shared" si="106"/>
        <v>-139.75316944967273</v>
      </c>
      <c r="AC107" s="68">
        <f t="shared" si="106"/>
        <v>5.8712490742486807</v>
      </c>
      <c r="AD107" s="68">
        <f t="shared" si="106"/>
        <v>97.769802755260741</v>
      </c>
      <c r="AE107" s="68">
        <f t="shared" si="106"/>
        <v>44.099319852628184</v>
      </c>
      <c r="AF107" s="68">
        <f t="shared" si="106"/>
        <v>-104.17489168054011</v>
      </c>
      <c r="AG107" s="68">
        <f t="shared" si="106"/>
        <v>4.7388886557774015</v>
      </c>
      <c r="AH107" s="68">
        <f t="shared" si="106"/>
        <v>73.464110909746424</v>
      </c>
      <c r="AI107" s="68">
        <f t="shared" si="106"/>
        <v>33.297238750367001</v>
      </c>
      <c r="AJ107" s="68">
        <f t="shared" si="106"/>
        <v>-77.637090067108076</v>
      </c>
      <c r="AK107" s="68">
        <f t="shared" si="106"/>
        <v>3.8195683697210967</v>
      </c>
      <c r="AL107" s="68"/>
      <c r="AR107" s="68">
        <f>AR106*$D$102</f>
        <v>20.87211006603426</v>
      </c>
      <c r="AS107" s="68">
        <f>AS106-AS108-AS109-AS110</f>
        <v>7.6737617164653411</v>
      </c>
      <c r="AT107" s="214">
        <f>S107*'Data &amp; Assumptions'!$D$95</f>
        <v>7.358835492747783</v>
      </c>
      <c r="AU107" s="214">
        <f>T107*'Data &amp; Assumptions'!$D$95</f>
        <v>19.069127901335342</v>
      </c>
      <c r="AV107" s="255">
        <f>U107*'Data &amp; Assumptions'!$D$95</f>
        <v>6.727028103943363</v>
      </c>
      <c r="AW107" s="214">
        <f>V107*'Data &amp; Assumptions'!$D$95</f>
        <v>129.96220950136717</v>
      </c>
      <c r="AX107" s="214">
        <f>W107*'Data &amp; Assumptions'!$D$95</f>
        <v>58.089487668609451</v>
      </c>
      <c r="AY107" s="214">
        <f>X107*'Data &amp; Assumptions'!$D$95</f>
        <v>-140.58280976748244</v>
      </c>
      <c r="AZ107" s="214">
        <f>Y107*'Data &amp; Assumptions'!$D$95</f>
        <v>5.4472420713214689</v>
      </c>
      <c r="BA107" s="214">
        <f>Z107*'Data &amp; Assumptions'!$D$95</f>
        <v>97.610024154348991</v>
      </c>
      <c r="BB107" s="214">
        <f>AA107*'Data &amp; Assumptions'!$D$95</f>
        <v>43.82328242174512</v>
      </c>
      <c r="BC107" s="214">
        <f>AB107*'Data &amp; Assumptions'!$D$95</f>
        <v>-104.81487708725454</v>
      </c>
      <c r="BD107" s="214">
        <f>AC107*'Data &amp; Assumptions'!$D$95</f>
        <v>4.4034368056865105</v>
      </c>
      <c r="BE107" s="214">
        <f>AD107*'Data &amp; Assumptions'!$D$95</f>
        <v>73.327352066445556</v>
      </c>
      <c r="BF107" s="214">
        <f>AE107*'Data &amp; Assumptions'!$D$95</f>
        <v>33.074489889471138</v>
      </c>
      <c r="BG107" s="214">
        <f>AF107*'Data &amp; Assumptions'!$D$95</f>
        <v>-78.131168760405089</v>
      </c>
      <c r="BH107" s="214">
        <f>AG107*'Data &amp; Assumptions'!$D$95</f>
        <v>3.5541664918330511</v>
      </c>
      <c r="BI107" s="214">
        <f>AH107*'Data &amp; Assumptions'!$D$95</f>
        <v>55.098083182309821</v>
      </c>
      <c r="BJ107" s="214">
        <f>AI107*'Data &amp; Assumptions'!$D$95</f>
        <v>24.97292906277525</v>
      </c>
      <c r="BK107" s="214">
        <f>AJ107*'Data &amp; Assumptions'!$D$95</f>
        <v>-58.227817550331054</v>
      </c>
      <c r="BL107" s="214">
        <f>AK107*'Data &amp; Assumptions'!$D$95</f>
        <v>2.8646762772908225</v>
      </c>
    </row>
    <row r="108" spans="1:73" x14ac:dyDescent="0.2">
      <c r="F108" s="67"/>
      <c r="H108" t="s">
        <v>278</v>
      </c>
      <c r="K108" s="74"/>
      <c r="L108" s="182" t="s">
        <v>55</v>
      </c>
      <c r="Q108" s="68">
        <f>Q106*$D$103</f>
        <v>20.87211006603426</v>
      </c>
      <c r="R108" s="209">
        <f>Q107*(1-'Data &amp; Assumptions'!$D$117)</f>
        <v>19.411062361411862</v>
      </c>
      <c r="S108" s="68">
        <f>R107*(1-'Data &amp; Assumptions'!$D$117)</f>
        <v>9.8875098903441003</v>
      </c>
      <c r="T108" s="68">
        <f>S107*(1-'Data &amp; Assumptions'!$D$117)</f>
        <v>9.1249560110072512</v>
      </c>
      <c r="U108" s="209">
        <f>T107*(1-'Data &amp; Assumptions'!$D$117)</f>
        <v>23.645718597655822</v>
      </c>
      <c r="V108" s="68">
        <f>U107*(1-'Data &amp; Assumptions'!$D$117)</f>
        <v>8.3415148488897692</v>
      </c>
      <c r="W108" s="68">
        <f>V107*(1-'Data &amp; Assumptions'!$D$117)</f>
        <v>161.15313978169527</v>
      </c>
      <c r="X108" s="68">
        <f>W107*(1-'Data &amp; Assumptions'!$D$117)</f>
        <v>72.030964709075718</v>
      </c>
      <c r="Y108" s="68">
        <f>X107*(1-'Data &amp; Assumptions'!$D$117)</f>
        <v>-174.32268411167823</v>
      </c>
      <c r="Z108" s="68">
        <f>Y107*(1-'Data &amp; Assumptions'!$D$117)</f>
        <v>6.7545801684386211</v>
      </c>
      <c r="AA108" s="68">
        <f>Z107*(1-'Data &amp; Assumptions'!$D$117)</f>
        <v>121.03642995139275</v>
      </c>
      <c r="AB108" s="68">
        <f>AA107*(1-'Data &amp; Assumptions'!$D$117)</f>
        <v>54.340870202963941</v>
      </c>
      <c r="AC108" s="68">
        <f>AB107*(1-'Data &amp; Assumptions'!$D$117)</f>
        <v>-129.97044758819564</v>
      </c>
      <c r="AD108" s="68">
        <f>AC107*(1-'Data &amp; Assumptions'!$D$117)</f>
        <v>5.4602616390512724</v>
      </c>
      <c r="AE108" s="68">
        <f>AD107*(1-'Data &amp; Assumptions'!$D$117)</f>
        <v>90.925916562392487</v>
      </c>
      <c r="AF108" s="68">
        <f>AE107*(1-'Data &amp; Assumptions'!$D$117)</f>
        <v>41.012367462944212</v>
      </c>
      <c r="AG108" s="68">
        <f>AF107*(1-'Data &amp; Assumptions'!$D$117)</f>
        <v>-96.882649262902305</v>
      </c>
      <c r="AH108" s="68">
        <f>AG107*(1-'Data &amp; Assumptions'!$D$117)</f>
        <v>4.4071664498729834</v>
      </c>
      <c r="AI108" s="68">
        <f>AH107*(1-'Data &amp; Assumptions'!$D$117)</f>
        <v>68.321623146064169</v>
      </c>
      <c r="AJ108" s="68">
        <f>AI107*(1-'Data &amp; Assumptions'!$D$117)</f>
        <v>30.966432037841308</v>
      </c>
      <c r="AK108" s="68">
        <f>AJ107*(1-'Data &amp; Assumptions'!$D$117)</f>
        <v>-72.202493762410512</v>
      </c>
      <c r="AL108" s="68"/>
      <c r="AR108" s="68">
        <f>AR106*$D$103</f>
        <v>20.87211006603426</v>
      </c>
      <c r="AS108" s="68">
        <f>AR107*(1-'Data &amp; Assumptions'!$D$117)</f>
        <v>19.411062361411862</v>
      </c>
      <c r="AT108" s="214">
        <f>S108*'Data &amp; Assumptions'!$D$95</f>
        <v>7.4156324177580757</v>
      </c>
      <c r="AU108" s="214">
        <f>T108*'Data &amp; Assumptions'!$D$95</f>
        <v>6.8437170082554388</v>
      </c>
      <c r="AV108" s="255">
        <f>U108*'Data &amp; Assumptions'!$D$95</f>
        <v>17.734288948241868</v>
      </c>
      <c r="AW108" s="214">
        <f>V108*'Data &amp; Assumptions'!$D$95</f>
        <v>6.2561361366673269</v>
      </c>
      <c r="AX108" s="214">
        <f>W108*'Data &amp; Assumptions'!$D$95</f>
        <v>120.86485483627146</v>
      </c>
      <c r="AY108" s="214">
        <f>X108*'Data &amp; Assumptions'!$D$95</f>
        <v>54.023223531806792</v>
      </c>
      <c r="AZ108" s="214">
        <f>Y108*'Data &amp; Assumptions'!$D$95</f>
        <v>-130.74201308375868</v>
      </c>
      <c r="BA108" s="214">
        <f>Z108*'Data &amp; Assumptions'!$D$95</f>
        <v>5.0659351263289656</v>
      </c>
      <c r="BB108" s="214">
        <f>AA108*'Data &amp; Assumptions'!$D$95</f>
        <v>90.777322463544564</v>
      </c>
      <c r="BC108" s="214">
        <f>AB108*'Data &amp; Assumptions'!$D$95</f>
        <v>40.755652652222956</v>
      </c>
      <c r="BD108" s="214">
        <f>AC108*'Data &amp; Assumptions'!$D$95</f>
        <v>-97.477835691146737</v>
      </c>
      <c r="BE108" s="214">
        <f>AD108*'Data &amp; Assumptions'!$D$95</f>
        <v>4.0951962292884545</v>
      </c>
      <c r="BF108" s="214">
        <f>AE108*'Data &amp; Assumptions'!$D$95</f>
        <v>68.194437421794362</v>
      </c>
      <c r="BG108" s="214">
        <f>AF108*'Data &amp; Assumptions'!$D$95</f>
        <v>30.759275597208159</v>
      </c>
      <c r="BH108" s="214">
        <f>AG108*'Data &amp; Assumptions'!$D$95</f>
        <v>-72.661986947176729</v>
      </c>
      <c r="BI108" s="214">
        <f>AH108*'Data &amp; Assumptions'!$D$95</f>
        <v>3.3053748374047376</v>
      </c>
      <c r="BJ108" s="214">
        <f>AI108*'Data &amp; Assumptions'!$D$95</f>
        <v>51.241217359548131</v>
      </c>
      <c r="BK108" s="214">
        <f>AJ108*'Data &amp; Assumptions'!$D$95</f>
        <v>23.224824028380979</v>
      </c>
      <c r="BL108" s="214">
        <f>AK108*'Data &amp; Assumptions'!$D$95</f>
        <v>-54.151870321807884</v>
      </c>
    </row>
    <row r="109" spans="1:73" x14ac:dyDescent="0.2">
      <c r="F109" s="67"/>
      <c r="H109" t="s">
        <v>279</v>
      </c>
      <c r="K109" s="74"/>
      <c r="L109" s="182" t="s">
        <v>55</v>
      </c>
      <c r="Q109" s="68">
        <f>Q106*$D$104</f>
        <v>10.43605503301713</v>
      </c>
      <c r="R109" s="209">
        <f>Q108*(1-'Data &amp; Assumptions'!$D$117)</f>
        <v>19.411062361411862</v>
      </c>
      <c r="S109" s="68">
        <f>R108*(1-'Data &amp; Assumptions'!$D$117)</f>
        <v>18.05228799611303</v>
      </c>
      <c r="T109" s="68">
        <f>S108*(1-'Data &amp; Assumptions'!$D$117)</f>
        <v>9.1953841980200135</v>
      </c>
      <c r="U109" s="209">
        <f>T108*(1-'Data &amp; Assumptions'!$D$117)</f>
        <v>8.4862090902367431</v>
      </c>
      <c r="V109" s="68">
        <f>U108*(1-'Data &amp; Assumptions'!$D$117)</f>
        <v>21.990518295819914</v>
      </c>
      <c r="W109" s="68">
        <f>V108*(1-'Data &amp; Assumptions'!$D$117)</f>
        <v>7.7576088094674844</v>
      </c>
      <c r="X109" s="68">
        <f>W108*(1-'Data &amp; Assumptions'!$D$117)</f>
        <v>149.87241999697659</v>
      </c>
      <c r="Y109" s="68">
        <f>X108*(1-'Data &amp; Assumptions'!$D$117)</f>
        <v>66.988797179440411</v>
      </c>
      <c r="Z109" s="68">
        <f>Y108*(1-'Data &amp; Assumptions'!$D$117)</f>
        <v>-162.12009622386074</v>
      </c>
      <c r="AA109" s="68">
        <f>Z108*(1-'Data &amp; Assumptions'!$D$117)</f>
        <v>6.2817595566479172</v>
      </c>
      <c r="AB109" s="68">
        <f>AA108*(1-'Data &amp; Assumptions'!$D$117)</f>
        <v>112.56387985479525</v>
      </c>
      <c r="AC109" s="68">
        <f>AB108*(1-'Data &amp; Assumptions'!$D$117)</f>
        <v>50.537009288756465</v>
      </c>
      <c r="AD109" s="68">
        <f>AC108*(1-'Data &amp; Assumptions'!$D$117)</f>
        <v>-120.87251625702194</v>
      </c>
      <c r="AE109" s="68">
        <f>AD108*(1-'Data &amp; Assumptions'!$D$117)</f>
        <v>5.078043324317683</v>
      </c>
      <c r="AF109" s="68">
        <f>AE108*(1-'Data &amp; Assumptions'!$D$117)</f>
        <v>84.561102403025004</v>
      </c>
      <c r="AG109" s="68">
        <f>AF108*(1-'Data &amp; Assumptions'!$D$117)</f>
        <v>38.141501740538118</v>
      </c>
      <c r="AH109" s="68">
        <f>AG108*(1-'Data &amp; Assumptions'!$D$117)</f>
        <v>-90.100863814499135</v>
      </c>
      <c r="AI109" s="68">
        <f>AH108*(1-'Data &amp; Assumptions'!$D$117)</f>
        <v>4.0986647983818747</v>
      </c>
      <c r="AJ109" s="68">
        <f>AI108*(1-'Data &amp; Assumptions'!$D$117)</f>
        <v>63.53910952583967</v>
      </c>
      <c r="AK109" s="68">
        <f>AJ108*(1-'Data &amp; Assumptions'!$D$117)</f>
        <v>28.798781795192415</v>
      </c>
      <c r="AL109" s="68"/>
      <c r="AR109" s="68">
        <f>AR106*$D$104</f>
        <v>10.43605503301713</v>
      </c>
      <c r="AS109" s="68">
        <f>AR108*(1-'Data &amp; Assumptions'!$D$117)</f>
        <v>19.411062361411862</v>
      </c>
      <c r="AT109" s="214">
        <f>S109*'Data &amp; Assumptions'!$D$95</f>
        <v>13.539215997084773</v>
      </c>
      <c r="AU109" s="214">
        <f>T109*'Data &amp; Assumptions'!$D$95</f>
        <v>6.8965381485150097</v>
      </c>
      <c r="AV109" s="255">
        <f>U109*'Data &amp; Assumptions'!$D$95</f>
        <v>6.3646568176775578</v>
      </c>
      <c r="AW109" s="214">
        <f>V109*'Data &amp; Assumptions'!$D$95</f>
        <v>16.492888721864936</v>
      </c>
      <c r="AX109" s="214">
        <f>W109*'Data &amp; Assumptions'!$D$95</f>
        <v>5.8182066071006133</v>
      </c>
      <c r="AY109" s="214">
        <f>X109*'Data &amp; Assumptions'!$D$95</f>
        <v>112.40431499773244</v>
      </c>
      <c r="AZ109" s="214">
        <f>Y109*'Data &amp; Assumptions'!$D$95</f>
        <v>50.241597884580308</v>
      </c>
      <c r="BA109" s="214">
        <f>Z109*'Data &amp; Assumptions'!$D$95</f>
        <v>-121.59007216789556</v>
      </c>
      <c r="BB109" s="214">
        <f>AA109*'Data &amp; Assumptions'!$D$95</f>
        <v>4.7113196674859381</v>
      </c>
      <c r="BC109" s="214">
        <f>AB109*'Data &amp; Assumptions'!$D$95</f>
        <v>84.422909891096438</v>
      </c>
      <c r="BD109" s="214">
        <f>AC109*'Data &amp; Assumptions'!$D$95</f>
        <v>37.902756966567352</v>
      </c>
      <c r="BE109" s="214">
        <f>AD109*'Data &amp; Assumptions'!$D$95</f>
        <v>-90.65438719276645</v>
      </c>
      <c r="BF109" s="214">
        <f>AE109*'Data &amp; Assumptions'!$D$95</f>
        <v>3.8085324932382623</v>
      </c>
      <c r="BG109" s="214">
        <f>AF109*'Data &amp; Assumptions'!$D$95</f>
        <v>63.420826802268749</v>
      </c>
      <c r="BH109" s="214">
        <f>AG109*'Data &amp; Assumptions'!$D$95</f>
        <v>28.606126305403588</v>
      </c>
      <c r="BI109" s="214">
        <f>AH109*'Data &amp; Assumptions'!$D$95</f>
        <v>-67.575647860874355</v>
      </c>
      <c r="BJ109" s="214">
        <f>AI109*'Data &amp; Assumptions'!$D$95</f>
        <v>3.0739985987864058</v>
      </c>
      <c r="BK109" s="214">
        <f>AJ109*'Data &amp; Assumptions'!$D$95</f>
        <v>47.654332144379751</v>
      </c>
      <c r="BL109" s="214">
        <f>AK109*'Data &amp; Assumptions'!$D$95</f>
        <v>21.599086346394312</v>
      </c>
    </row>
    <row r="110" spans="1:73" x14ac:dyDescent="0.2">
      <c r="H110" t="s">
        <v>280</v>
      </c>
      <c r="L110" s="182" t="s">
        <v>55</v>
      </c>
      <c r="M110" s="63"/>
      <c r="Q110" s="68">
        <f>Q106*$D$105</f>
        <v>0</v>
      </c>
      <c r="R110" s="209">
        <f>Q109*(1-'Data &amp; Assumptions'!$D$117)</f>
        <v>9.7055311807059308</v>
      </c>
      <c r="S110" s="68">
        <f>R109*(1-'Data &amp; Assumptions'!$D$117)</f>
        <v>18.05228799611303</v>
      </c>
      <c r="T110" s="68">
        <f>S109*(1-'Data &amp; Assumptions'!$D$117)</f>
        <v>16.788627836385118</v>
      </c>
      <c r="U110" s="209">
        <f>T109*(1-'Data &amp; Assumptions'!$D$117)</f>
        <v>8.5517073041586116</v>
      </c>
      <c r="V110" s="68">
        <f>U109*(1-'Data &amp; Assumptions'!$D$117)</f>
        <v>7.8921744539201706</v>
      </c>
      <c r="W110" s="68">
        <f>V109*(1-'Data &amp; Assumptions'!$D$117)</f>
        <v>20.451182015112519</v>
      </c>
      <c r="X110" s="68">
        <f>W109*(1-'Data &amp; Assumptions'!$D$117)</f>
        <v>7.2145761928047598</v>
      </c>
      <c r="Y110" s="68">
        <f>X109*(1-'Data &amp; Assumptions'!$D$117)</f>
        <v>139.38135059718823</v>
      </c>
      <c r="Z110" s="68">
        <f>Y109*(1-'Data &amp; Assumptions'!$D$117)</f>
        <v>62.29958137687958</v>
      </c>
      <c r="AA110" s="68">
        <f>Z109*(1-'Data &amp; Assumptions'!$D$117)</f>
        <v>-150.77168948819048</v>
      </c>
      <c r="AB110" s="68">
        <f>AA109*(1-'Data &amp; Assumptions'!$D$117)</f>
        <v>5.8420363876825627</v>
      </c>
      <c r="AC110" s="68">
        <f>AB109*(1-'Data &amp; Assumptions'!$D$117)</f>
        <v>104.68440826495957</v>
      </c>
      <c r="AD110" s="68">
        <f>AC109*(1-'Data &amp; Assumptions'!$D$117)</f>
        <v>46.99941863854351</v>
      </c>
      <c r="AE110" s="68">
        <f>AD109*(1-'Data &amp; Assumptions'!$D$117)</f>
        <v>-112.4114401190304</v>
      </c>
      <c r="AF110" s="68">
        <f>AE109*(1-'Data &amp; Assumptions'!$D$117)</f>
        <v>4.7225802916154445</v>
      </c>
      <c r="AG110" s="68">
        <f>AF109*(1-'Data &amp; Assumptions'!$D$117)</f>
        <v>78.641825234813254</v>
      </c>
      <c r="AH110" s="68">
        <f>AG109*(1-'Data &amp; Assumptions'!$D$117)</f>
        <v>35.471596618700445</v>
      </c>
      <c r="AI110" s="68">
        <f>AH109*(1-'Data &amp; Assumptions'!$D$117)</f>
        <v>-83.793803347484186</v>
      </c>
      <c r="AJ110" s="68">
        <f>AI109*(1-'Data &amp; Assumptions'!$D$117)</f>
        <v>3.8117582624951432</v>
      </c>
      <c r="AK110" s="68">
        <f>AJ109*(1-'Data &amp; Assumptions'!$D$117)</f>
        <v>59.091371859030886</v>
      </c>
      <c r="AL110" s="68"/>
      <c r="AR110" s="68">
        <f>AR106*$D$105</f>
        <v>0</v>
      </c>
      <c r="AS110" s="68">
        <f>AR109*(1-'Data &amp; Assumptions'!$D$117)</f>
        <v>9.7055311807059308</v>
      </c>
      <c r="AT110" s="214">
        <f>S110*'Data &amp; Assumptions'!$D$95</f>
        <v>13.539215997084773</v>
      </c>
      <c r="AU110" s="214">
        <f>T110*'Data &amp; Assumptions'!$D$95</f>
        <v>12.591470877288838</v>
      </c>
      <c r="AV110" s="255">
        <f>U110*'Data &amp; Assumptions'!$D$95</f>
        <v>6.4137804781189587</v>
      </c>
      <c r="AW110" s="214">
        <f>V110*'Data &amp; Assumptions'!$D$95</f>
        <v>5.9191308404401282</v>
      </c>
      <c r="AX110" s="214">
        <f>W110*'Data &amp; Assumptions'!$D$95</f>
        <v>15.338386511334388</v>
      </c>
      <c r="AY110" s="214">
        <f>X110*'Data &amp; Assumptions'!$D$95</f>
        <v>5.4109321446035699</v>
      </c>
      <c r="AZ110" s="214">
        <f>Y110*'Data &amp; Assumptions'!$D$95</f>
        <v>104.53601294789118</v>
      </c>
      <c r="BA110" s="214">
        <f>Z110*'Data &amp; Assumptions'!$D$95</f>
        <v>46.724686032659683</v>
      </c>
      <c r="BB110" s="214">
        <f>AA110*'Data &amp; Assumptions'!$D$95</f>
        <v>-113.07876711614286</v>
      </c>
      <c r="BC110" s="214">
        <f>AB110*'Data &amp; Assumptions'!$D$95</f>
        <v>4.3815272907619223</v>
      </c>
      <c r="BD110" s="214">
        <f>AC110*'Data &amp; Assumptions'!$D$95</f>
        <v>78.513306198719675</v>
      </c>
      <c r="BE110" s="214">
        <f>AD110*'Data &amp; Assumptions'!$D$95</f>
        <v>35.249563978907631</v>
      </c>
      <c r="BF110" s="214">
        <f>AE110*'Data &amp; Assumptions'!$D$95</f>
        <v>-84.308580089272795</v>
      </c>
      <c r="BG110" s="214">
        <f>AF110*'Data &amp; Assumptions'!$D$95</f>
        <v>3.5419352187115836</v>
      </c>
      <c r="BH110" s="214">
        <f>AG110*'Data &amp; Assumptions'!$D$95</f>
        <v>58.981368926109937</v>
      </c>
      <c r="BI110" s="214">
        <f>AH110*'Data &amp; Assumptions'!$D$95</f>
        <v>26.603697464025334</v>
      </c>
      <c r="BJ110" s="214">
        <f>AI110*'Data &amp; Assumptions'!$D$95</f>
        <v>-62.845352510613139</v>
      </c>
      <c r="BK110" s="214">
        <f>AJ110*'Data &amp; Assumptions'!$D$95</f>
        <v>2.8588186968713574</v>
      </c>
      <c r="BL110" s="214">
        <f>AK110*'Data &amp; Assumptions'!$D$95</f>
        <v>44.318528894273165</v>
      </c>
    </row>
    <row r="111" spans="1:73" s="1" customFormat="1" x14ac:dyDescent="0.2">
      <c r="G111" s="122" t="s">
        <v>283</v>
      </c>
      <c r="L111" s="182" t="s">
        <v>55</v>
      </c>
      <c r="M111" s="124"/>
      <c r="Q111" s="125">
        <f t="shared" ref="Q111:AK111" si="107">(Q63-P63)*Q99</f>
        <v>65.824587399065607</v>
      </c>
      <c r="R111" s="244">
        <f t="shared" si="107"/>
        <v>74.628625963690524</v>
      </c>
      <c r="S111" s="125">
        <f t="shared" si="107"/>
        <v>70.395690299030065</v>
      </c>
      <c r="T111" s="125">
        <f t="shared" si="107"/>
        <v>76.363273757059517</v>
      </c>
      <c r="U111" s="244">
        <f t="shared" si="107"/>
        <v>62.636477277877518</v>
      </c>
      <c r="V111" s="125">
        <f t="shared" si="107"/>
        <v>266.81291107901649</v>
      </c>
      <c r="W111" s="125">
        <f t="shared" si="107"/>
        <v>336.58235108373975</v>
      </c>
      <c r="X111" s="125">
        <f t="shared" si="107"/>
        <v>52.571358980813876</v>
      </c>
      <c r="Y111" s="125">
        <f t="shared" si="107"/>
        <v>49.589511499421789</v>
      </c>
      <c r="Z111" s="125">
        <f t="shared" si="107"/>
        <v>46.776794407174485</v>
      </c>
      <c r="AA111" s="125">
        <f t="shared" si="107"/>
        <v>44.123614628400063</v>
      </c>
      <c r="AB111" s="125">
        <f t="shared" si="107"/>
        <v>41.620923206676885</v>
      </c>
      <c r="AC111" s="125">
        <f t="shared" si="107"/>
        <v>39.260184442394277</v>
      </c>
      <c r="AD111" s="125">
        <f t="shared" si="107"/>
        <v>37.033346780821709</v>
      </c>
      <c r="AE111" s="125">
        <f t="shared" si="107"/>
        <v>34.932815351413275</v>
      </c>
      <c r="AF111" s="125">
        <f t="shared" si="107"/>
        <v>32.951426064681698</v>
      </c>
      <c r="AG111" s="125">
        <f t="shared" si="107"/>
        <v>31.082421178292762</v>
      </c>
      <c r="AH111" s="125">
        <f t="shared" si="107"/>
        <v>29.319426249059763</v>
      </c>
      <c r="AI111" s="125">
        <f t="shared" si="107"/>
        <v>27.656428392213197</v>
      </c>
      <c r="AJ111" s="125">
        <f t="shared" si="107"/>
        <v>26.08775577380716</v>
      </c>
      <c r="AK111" s="125">
        <f t="shared" si="107"/>
        <v>24.60805826631643</v>
      </c>
      <c r="AL111" s="125"/>
      <c r="AM111" s="207"/>
      <c r="AR111" s="125">
        <f>(AR63-AQ63)*AR99</f>
        <v>65.824587399065607</v>
      </c>
      <c r="AS111" s="125">
        <f>(AS63-AR63)*AS99</f>
        <v>70.897194665505992</v>
      </c>
      <c r="AT111" s="125">
        <f>S111*'Data &amp; Assumptions'!$D$95</f>
        <v>52.796767724272549</v>
      </c>
      <c r="AU111" s="125">
        <f>T111*'Data &amp; Assumptions'!$D$95</f>
        <v>57.272455317794638</v>
      </c>
      <c r="AV111" s="244">
        <f>U111*'Data &amp; Assumptions'!$D$95</f>
        <v>46.977357958408135</v>
      </c>
      <c r="AW111" s="125">
        <f>V111*'Data &amp; Assumptions'!$D$95</f>
        <v>200.10968330926238</v>
      </c>
      <c r="AX111" s="125">
        <f>W111*'Data &amp; Assumptions'!$D$95</f>
        <v>252.43676331280483</v>
      </c>
      <c r="AY111" s="125">
        <f>X111*'Data &amp; Assumptions'!$D$95</f>
        <v>39.428519235610409</v>
      </c>
      <c r="AZ111" s="125">
        <f>Y111*'Data &amp; Assumptions'!$D$95</f>
        <v>37.192133624566338</v>
      </c>
      <c r="BA111" s="125">
        <f>Z111*'Data &amp; Assumptions'!$D$95</f>
        <v>35.082595805380862</v>
      </c>
      <c r="BB111" s="125">
        <f>AA111*'Data &amp; Assumptions'!$D$95</f>
        <v>33.09271097130005</v>
      </c>
      <c r="BC111" s="125">
        <f>AB111*'Data &amp; Assumptions'!$D$95</f>
        <v>31.215692405007665</v>
      </c>
      <c r="BD111" s="125">
        <f>AC111*'Data &amp; Assumptions'!$D$95</f>
        <v>29.445138331795707</v>
      </c>
      <c r="BE111" s="125">
        <f>AD111*'Data &amp; Assumptions'!$D$95</f>
        <v>27.77501008561628</v>
      </c>
      <c r="BF111" s="125">
        <f>AE111*'Data &amp; Assumptions'!$D$95</f>
        <v>26.199611513559958</v>
      </c>
      <c r="BG111" s="125">
        <f>AF111*'Data &amp; Assumptions'!$D$95</f>
        <v>24.713569548511273</v>
      </c>
      <c r="BH111" s="125">
        <f>AG111*'Data &amp; Assumptions'!$D$95</f>
        <v>23.311815883719571</v>
      </c>
      <c r="BI111" s="125">
        <f>AH111*'Data &amp; Assumptions'!$D$95</f>
        <v>21.989569686794823</v>
      </c>
      <c r="BJ111" s="125">
        <f>AI111*'Data &amp; Assumptions'!$D$95</f>
        <v>20.742321294159897</v>
      </c>
      <c r="BK111" s="125">
        <f>AJ111*'Data &amp; Assumptions'!$D$95</f>
        <v>19.56581683035537</v>
      </c>
      <c r="BL111" s="125">
        <f>AK111*'Data &amp; Assumptions'!$D$95</f>
        <v>18.456043699737322</v>
      </c>
      <c r="BN111" s="207"/>
      <c r="BU111" s="233"/>
    </row>
    <row r="112" spans="1:73" x14ac:dyDescent="0.2">
      <c r="H112" t="s">
        <v>277</v>
      </c>
      <c r="L112" s="182" t="s">
        <v>55</v>
      </c>
      <c r="M112" s="63"/>
      <c r="Q112" s="68">
        <f>Q111*$D$102</f>
        <v>26.329834959626243</v>
      </c>
      <c r="R112" s="209">
        <f>R111-R113-R114-R115</f>
        <v>13.411759682559509</v>
      </c>
      <c r="S112" s="68">
        <f t="shared" ref="S112:AK112" si="108">S111-S113-S114-S115</f>
        <v>12.377405281088251</v>
      </c>
      <c r="T112" s="68">
        <f t="shared" si="108"/>
        <v>32.073868837581642</v>
      </c>
      <c r="U112" s="209">
        <f t="shared" si="108"/>
        <v>11.314718648328853</v>
      </c>
      <c r="V112" s="68">
        <f t="shared" si="108"/>
        <v>218.59368099876596</v>
      </c>
      <c r="W112" s="68">
        <f t="shared" si="108"/>
        <v>97.705286679357144</v>
      </c>
      <c r="X112" s="68">
        <f t="shared" si="108"/>
        <v>-236.45730547463478</v>
      </c>
      <c r="Y112" s="68">
        <f t="shared" si="108"/>
        <v>9.1621456747317893</v>
      </c>
      <c r="Z112" s="68">
        <f t="shared" si="108"/>
        <v>164.17799115713785</v>
      </c>
      <c r="AA112" s="68">
        <f t="shared" si="108"/>
        <v>73.709831917847112</v>
      </c>
      <c r="AB112" s="68">
        <f t="shared" si="108"/>
        <v>-176.29640103721968</v>
      </c>
      <c r="AC112" s="68">
        <f t="shared" si="108"/>
        <v>7.4064873480806739</v>
      </c>
      <c r="AD112" s="68">
        <f t="shared" si="108"/>
        <v>123.33505153225423</v>
      </c>
      <c r="AE112" s="68">
        <f t="shared" si="108"/>
        <v>55.630590768156793</v>
      </c>
      <c r="AF112" s="68">
        <f t="shared" si="108"/>
        <v>-131.4149693637909</v>
      </c>
      <c r="AG112" s="68">
        <f t="shared" si="108"/>
        <v>5.9780326859100938</v>
      </c>
      <c r="AH112" s="68">
        <f t="shared" si="108"/>
        <v>92.673807755403828</v>
      </c>
      <c r="AI112" s="68">
        <f t="shared" si="108"/>
        <v>42.003937222194743</v>
      </c>
      <c r="AJ112" s="68">
        <f t="shared" si="108"/>
        <v>-97.937954607623283</v>
      </c>
      <c r="AK112" s="68">
        <f t="shared" si="108"/>
        <v>4.8183247632165092</v>
      </c>
      <c r="AL112" s="68"/>
      <c r="AR112" s="68">
        <f>AR111*$D$102</f>
        <v>26.329834959626243</v>
      </c>
      <c r="AS112" s="68">
        <f>AS111-AS113-AS114-AS115</f>
        <v>9.6803283843749774</v>
      </c>
      <c r="AT112" s="214">
        <f>S112*'Data &amp; Assumptions'!$D$95</f>
        <v>9.2830539608161882</v>
      </c>
      <c r="AU112" s="214">
        <f>T112*'Data &amp; Assumptions'!$D$95</f>
        <v>24.055401628186232</v>
      </c>
      <c r="AV112" s="255">
        <f>U112*'Data &amp; Assumptions'!$D$95</f>
        <v>8.4860389862466405</v>
      </c>
      <c r="AW112" s="214">
        <f>V112*'Data &amp; Assumptions'!$D$95</f>
        <v>163.94526074907446</v>
      </c>
      <c r="AX112" s="214">
        <f>W112*'Data &amp; Assumptions'!$D$95</f>
        <v>73.278965009517862</v>
      </c>
      <c r="AY112" s="214">
        <f>X112*'Data &amp; Assumptions'!$D$95</f>
        <v>-177.3429791059761</v>
      </c>
      <c r="AZ112" s="214">
        <f>Y112*'Data &amp; Assumptions'!$D$95</f>
        <v>6.871609256048842</v>
      </c>
      <c r="BA112" s="214">
        <f>Z112*'Data &amp; Assumptions'!$D$95</f>
        <v>123.13349336785339</v>
      </c>
      <c r="BB112" s="214">
        <f>AA112*'Data &amp; Assumptions'!$D$95</f>
        <v>55.282373938385334</v>
      </c>
      <c r="BC112" s="214">
        <f>AB112*'Data &amp; Assumptions'!$D$95</f>
        <v>-132.22230077791477</v>
      </c>
      <c r="BD112" s="214">
        <f>AC112*'Data &amp; Assumptions'!$D$95</f>
        <v>5.5548655110605054</v>
      </c>
      <c r="BE112" s="214">
        <f>AD112*'Data &amp; Assumptions'!$D$95</f>
        <v>92.50128864919067</v>
      </c>
      <c r="BF112" s="214">
        <f>AE112*'Data &amp; Assumptions'!$D$95</f>
        <v>41.722943076117595</v>
      </c>
      <c r="BG112" s="214">
        <f>AF112*'Data &amp; Assumptions'!$D$95</f>
        <v>-98.561227022843184</v>
      </c>
      <c r="BH112" s="214">
        <f>AG112*'Data &amp; Assumptions'!$D$95</f>
        <v>4.4835245144325704</v>
      </c>
      <c r="BI112" s="214">
        <f>AH112*'Data &amp; Assumptions'!$D$95</f>
        <v>69.505355816552878</v>
      </c>
      <c r="BJ112" s="214">
        <f>AI112*'Data &amp; Assumptions'!$D$95</f>
        <v>31.502952916646059</v>
      </c>
      <c r="BK112" s="214">
        <f>AJ112*'Data &amp; Assumptions'!$D$95</f>
        <v>-73.453465955717462</v>
      </c>
      <c r="BL112" s="214">
        <f>AK112*'Data &amp; Assumptions'!$D$95</f>
        <v>3.6137435724123819</v>
      </c>
    </row>
    <row r="113" spans="7:73" x14ac:dyDescent="0.2">
      <c r="H113" t="s">
        <v>278</v>
      </c>
      <c r="L113" s="182" t="s">
        <v>55</v>
      </c>
      <c r="M113" s="63"/>
      <c r="Q113" s="68">
        <f>Q111*$D$103</f>
        <v>26.329834959626243</v>
      </c>
      <c r="R113" s="209">
        <f>Q112*(1-'Data &amp; Assumptions'!$D$117)</f>
        <v>24.486746512452406</v>
      </c>
      <c r="S113" s="68">
        <f>R112*(1-'Data &amp; Assumptions'!$D$117)</f>
        <v>12.472936504780343</v>
      </c>
      <c r="T113" s="68">
        <f>S112*(1-'Data &amp; Assumptions'!$D$117)</f>
        <v>11.510986911412072</v>
      </c>
      <c r="U113" s="209">
        <f>T112*(1-'Data &amp; Assumptions'!$D$117)</f>
        <v>29.828698018950924</v>
      </c>
      <c r="V113" s="68">
        <f>U112*(1-'Data &amp; Assumptions'!$D$117)</f>
        <v>10.522688342945832</v>
      </c>
      <c r="W113" s="68">
        <f>V112*(1-'Data &amp; Assumptions'!$D$117)</f>
        <v>203.29212332885234</v>
      </c>
      <c r="X113" s="68">
        <f>W112*(1-'Data &amp; Assumptions'!$D$117)</f>
        <v>90.865916611802135</v>
      </c>
      <c r="Y113" s="68">
        <f>X112*(1-'Data &amp; Assumptions'!$D$117)</f>
        <v>-219.90529409141033</v>
      </c>
      <c r="Z113" s="68">
        <f>Y112*(1-'Data &amp; Assumptions'!$D$117)</f>
        <v>8.5207954775005632</v>
      </c>
      <c r="AA113" s="68">
        <f>Z112*(1-'Data &amp; Assumptions'!$D$117)</f>
        <v>152.68553177613819</v>
      </c>
      <c r="AB113" s="68">
        <f>AA112*(1-'Data &amp; Assumptions'!$D$117)</f>
        <v>68.55014368359781</v>
      </c>
      <c r="AC113" s="68">
        <f>AB112*(1-'Data &amp; Assumptions'!$D$117)</f>
        <v>-163.9556529646143</v>
      </c>
      <c r="AD113" s="68">
        <f>AC112*(1-'Data &amp; Assumptions'!$D$117)</f>
        <v>6.8880332337150261</v>
      </c>
      <c r="AE113" s="68">
        <f>AD112*(1-'Data &amp; Assumptions'!$D$117)</f>
        <v>114.70159792499642</v>
      </c>
      <c r="AF113" s="68">
        <f>AE112*(1-'Data &amp; Assumptions'!$D$117)</f>
        <v>51.736449414385817</v>
      </c>
      <c r="AG113" s="68">
        <f>AF112*(1-'Data &amp; Assumptions'!$D$117)</f>
        <v>-122.21592150832554</v>
      </c>
      <c r="AH113" s="68">
        <f>AG112*(1-'Data &amp; Assumptions'!$D$117)</f>
        <v>5.5595703978963869</v>
      </c>
      <c r="AI113" s="68">
        <f>AH112*(1-'Data &amp; Assumptions'!$D$117)</f>
        <v>86.186641212525558</v>
      </c>
      <c r="AJ113" s="68">
        <f>AI112*(1-'Data &amp; Assumptions'!$D$117)</f>
        <v>39.063661616641106</v>
      </c>
      <c r="AK113" s="68">
        <f>AJ112*(1-'Data &amp; Assumptions'!$D$117)</f>
        <v>-91.082297785089651</v>
      </c>
      <c r="AL113" s="68"/>
      <c r="AR113" s="68">
        <f>AR111*$D$103</f>
        <v>26.329834959626243</v>
      </c>
      <c r="AS113" s="68">
        <f>AR112*(1-'Data &amp; Assumptions'!$D$117)</f>
        <v>24.486746512452406</v>
      </c>
      <c r="AT113" s="214">
        <f>S113*'Data &amp; Assumptions'!$D$95</f>
        <v>9.354702378585257</v>
      </c>
      <c r="AU113" s="214">
        <f>T113*'Data &amp; Assumptions'!$D$95</f>
        <v>8.6332401835590531</v>
      </c>
      <c r="AV113" s="255">
        <f>U113*'Data &amp; Assumptions'!$D$95</f>
        <v>22.371523514213195</v>
      </c>
      <c r="AW113" s="214">
        <f>V113*'Data &amp; Assumptions'!$D$95</f>
        <v>7.8920162572093737</v>
      </c>
      <c r="AX113" s="214">
        <f>W113*'Data &amp; Assumptions'!$D$95</f>
        <v>152.46909249663926</v>
      </c>
      <c r="AY113" s="214">
        <f>X113*'Data &amp; Assumptions'!$D$95</f>
        <v>68.149437458851594</v>
      </c>
      <c r="AZ113" s="214">
        <f>Y113*'Data &amp; Assumptions'!$D$95</f>
        <v>-164.92897056855776</v>
      </c>
      <c r="BA113" s="214">
        <f>Z113*'Data &amp; Assumptions'!$D$95</f>
        <v>6.3905966081254224</v>
      </c>
      <c r="BB113" s="214">
        <f>AA113*'Data &amp; Assumptions'!$D$95</f>
        <v>114.51414883210364</v>
      </c>
      <c r="BC113" s="214">
        <f>AB113*'Data &amp; Assumptions'!$D$95</f>
        <v>51.412607762698357</v>
      </c>
      <c r="BD113" s="214">
        <f>AC113*'Data &amp; Assumptions'!$D$95</f>
        <v>-122.96673972346073</v>
      </c>
      <c r="BE113" s="214">
        <f>AD113*'Data &amp; Assumptions'!$D$95</f>
        <v>5.1660249252862691</v>
      </c>
      <c r="BF113" s="214">
        <f>AE113*'Data &amp; Assumptions'!$D$95</f>
        <v>86.026198443747319</v>
      </c>
      <c r="BG113" s="214">
        <f>AF113*'Data &amp; Assumptions'!$D$95</f>
        <v>38.802337060789363</v>
      </c>
      <c r="BH113" s="214">
        <f>AG113*'Data &amp; Assumptions'!$D$95</f>
        <v>-91.661941131244149</v>
      </c>
      <c r="BI113" s="214">
        <f>AH113*'Data &amp; Assumptions'!$D$95</f>
        <v>4.1696777984222901</v>
      </c>
      <c r="BJ113" s="214">
        <f>AI113*'Data &amp; Assumptions'!$D$95</f>
        <v>64.639980909394168</v>
      </c>
      <c r="BK113" s="214">
        <f>AJ113*'Data &amp; Assumptions'!$D$95</f>
        <v>29.297746212480831</v>
      </c>
      <c r="BL113" s="214">
        <f>AK113*'Data &amp; Assumptions'!$D$95</f>
        <v>-68.311723338817245</v>
      </c>
    </row>
    <row r="114" spans="7:73" x14ac:dyDescent="0.2">
      <c r="H114" t="s">
        <v>279</v>
      </c>
      <c r="L114" s="182" t="s">
        <v>55</v>
      </c>
      <c r="M114" s="63"/>
      <c r="Q114" s="68">
        <f>Q111*$D$104</f>
        <v>13.164917479813122</v>
      </c>
      <c r="R114" s="209">
        <f>Q113*(1-'Data &amp; Assumptions'!$D$117)</f>
        <v>24.486746512452406</v>
      </c>
      <c r="S114" s="68">
        <f>R113*(1-'Data &amp; Assumptions'!$D$117)</f>
        <v>22.772674256580736</v>
      </c>
      <c r="T114" s="68">
        <f>S113*(1-'Data &amp; Assumptions'!$D$117)</f>
        <v>11.599830949445717</v>
      </c>
      <c r="U114" s="209">
        <f>T113*(1-'Data &amp; Assumptions'!$D$117)</f>
        <v>10.705217827613227</v>
      </c>
      <c r="V114" s="68">
        <f>U113*(1-'Data &amp; Assumptions'!$D$117)</f>
        <v>27.740689157624356</v>
      </c>
      <c r="W114" s="68">
        <f>V113*(1-'Data &amp; Assumptions'!$D$117)</f>
        <v>9.7861001589396235</v>
      </c>
      <c r="X114" s="68">
        <f>W113*(1-'Data &amp; Assumptions'!$D$117)</f>
        <v>189.06167469583266</v>
      </c>
      <c r="Y114" s="68">
        <f>X113*(1-'Data &amp; Assumptions'!$D$117)</f>
        <v>84.505302448975982</v>
      </c>
      <c r="Z114" s="68">
        <f>Y113*(1-'Data &amp; Assumptions'!$D$117)</f>
        <v>-204.51192350501159</v>
      </c>
      <c r="AA114" s="68">
        <f>Z113*(1-'Data &amp; Assumptions'!$D$117)</f>
        <v>7.9243397940755234</v>
      </c>
      <c r="AB114" s="68">
        <f>AA113*(1-'Data &amp; Assumptions'!$D$117)</f>
        <v>141.99754455180852</v>
      </c>
      <c r="AC114" s="68">
        <f>AB113*(1-'Data &amp; Assumptions'!$D$117)</f>
        <v>63.75163362574596</v>
      </c>
      <c r="AD114" s="68">
        <f>AC113*(1-'Data &amp; Assumptions'!$D$117)</f>
        <v>-152.4787572570913</v>
      </c>
      <c r="AE114" s="68">
        <f>AD113*(1-'Data &amp; Assumptions'!$D$117)</f>
        <v>6.4058709073549736</v>
      </c>
      <c r="AF114" s="68">
        <f>AE113*(1-'Data &amp; Assumptions'!$D$117)</f>
        <v>106.67248607024666</v>
      </c>
      <c r="AG114" s="68">
        <f>AF113*(1-'Data &amp; Assumptions'!$D$117)</f>
        <v>48.114897955378808</v>
      </c>
      <c r="AH114" s="68">
        <f>AG113*(1-'Data &amp; Assumptions'!$D$117)</f>
        <v>-113.66080700274274</v>
      </c>
      <c r="AI114" s="68">
        <f>AH113*(1-'Data &amp; Assumptions'!$D$117)</f>
        <v>5.1704004700436395</v>
      </c>
      <c r="AJ114" s="68">
        <f>AI113*(1-'Data &amp; Assumptions'!$D$117)</f>
        <v>80.153576327648764</v>
      </c>
      <c r="AK114" s="68">
        <f>AJ113*(1-'Data &amp; Assumptions'!$D$117)</f>
        <v>36.329205303476229</v>
      </c>
      <c r="AL114" s="68"/>
      <c r="AR114" s="68">
        <f>AR111*$D$104</f>
        <v>13.164917479813122</v>
      </c>
      <c r="AS114" s="68">
        <f>AR113*(1-'Data &amp; Assumptions'!$D$117)</f>
        <v>24.486746512452406</v>
      </c>
      <c r="AT114" s="214">
        <f>S114*'Data &amp; Assumptions'!$D$95</f>
        <v>17.079505692435553</v>
      </c>
      <c r="AU114" s="214">
        <f>T114*'Data &amp; Assumptions'!$D$95</f>
        <v>8.6998732120842881</v>
      </c>
      <c r="AV114" s="255">
        <f>U114*'Data &amp; Assumptions'!$D$95</f>
        <v>8.0289133707099207</v>
      </c>
      <c r="AW114" s="214">
        <f>V114*'Data &amp; Assumptions'!$D$95</f>
        <v>20.805516868218266</v>
      </c>
      <c r="AX114" s="214">
        <f>W114*'Data &amp; Assumptions'!$D$95</f>
        <v>7.3395751192047172</v>
      </c>
      <c r="AY114" s="214">
        <f>X114*'Data &amp; Assumptions'!$D$95</f>
        <v>141.79625602187451</v>
      </c>
      <c r="AZ114" s="214">
        <f>Y114*'Data &amp; Assumptions'!$D$95</f>
        <v>63.378976836731987</v>
      </c>
      <c r="BA114" s="214">
        <f>Z114*'Data &amp; Assumptions'!$D$95</f>
        <v>-153.38394262875869</v>
      </c>
      <c r="BB114" s="214">
        <f>AA114*'Data &amp; Assumptions'!$D$95</f>
        <v>5.943254845556643</v>
      </c>
      <c r="BC114" s="214">
        <f>AB114*'Data &amp; Assumptions'!$D$95</f>
        <v>106.49815841385639</v>
      </c>
      <c r="BD114" s="214">
        <f>AC114*'Data &amp; Assumptions'!$D$95</f>
        <v>47.813725219309468</v>
      </c>
      <c r="BE114" s="214">
        <f>AD114*'Data &amp; Assumptions'!$D$95</f>
        <v>-114.35906794281848</v>
      </c>
      <c r="BF114" s="214">
        <f>AE114*'Data &amp; Assumptions'!$D$95</f>
        <v>4.8044031805162302</v>
      </c>
      <c r="BG114" s="214">
        <f>AF114*'Data &amp; Assumptions'!$D$95</f>
        <v>80.00436455268499</v>
      </c>
      <c r="BH114" s="214">
        <f>AG114*'Data &amp; Assumptions'!$D$95</f>
        <v>36.086173466534106</v>
      </c>
      <c r="BI114" s="214">
        <f>AH114*'Data &amp; Assumptions'!$D$95</f>
        <v>-85.245605252057061</v>
      </c>
      <c r="BJ114" s="214">
        <f>AI114*'Data &amp; Assumptions'!$D$95</f>
        <v>3.8778003525327298</v>
      </c>
      <c r="BK114" s="214">
        <f>AJ114*'Data &amp; Assumptions'!$D$95</f>
        <v>60.115182245736577</v>
      </c>
      <c r="BL114" s="214">
        <f>AK114*'Data &amp; Assumptions'!$D$95</f>
        <v>27.246903977607172</v>
      </c>
    </row>
    <row r="115" spans="7:73" x14ac:dyDescent="0.2">
      <c r="H115" t="s">
        <v>280</v>
      </c>
      <c r="L115" s="182" t="s">
        <v>55</v>
      </c>
      <c r="M115" s="63"/>
      <c r="Q115" s="68">
        <f>Q111*$D$105</f>
        <v>0</v>
      </c>
      <c r="R115" s="209">
        <f>Q114*(1-'Data &amp; Assumptions'!$D$117)</f>
        <v>12.243373256226203</v>
      </c>
      <c r="S115" s="68">
        <f>R114*(1-'Data &amp; Assumptions'!$D$117)</f>
        <v>22.772674256580736</v>
      </c>
      <c r="T115" s="68">
        <f>S114*(1-'Data &amp; Assumptions'!$D$117)</f>
        <v>21.178587058620082</v>
      </c>
      <c r="U115" s="209">
        <f>T114*(1-'Data &amp; Assumptions'!$D$117)</f>
        <v>10.787842782984516</v>
      </c>
      <c r="V115" s="68">
        <f>U114*(1-'Data &amp; Assumptions'!$D$117)</f>
        <v>9.9558525796803004</v>
      </c>
      <c r="W115" s="68">
        <f>V114*(1-'Data &amp; Assumptions'!$D$117)</f>
        <v>25.798840916590649</v>
      </c>
      <c r="X115" s="68">
        <f>W114*(1-'Data &amp; Assumptions'!$D$117)</f>
        <v>9.1010731478138496</v>
      </c>
      <c r="Y115" s="68">
        <f>X114*(1-'Data &amp; Assumptions'!$D$117)</f>
        <v>175.82735746712436</v>
      </c>
      <c r="Z115" s="68">
        <f>Y114*(1-'Data &amp; Assumptions'!$D$117)</f>
        <v>78.589931277547663</v>
      </c>
      <c r="AA115" s="68">
        <f>Z114*(1-'Data &amp; Assumptions'!$D$117)</f>
        <v>-190.19608885966076</v>
      </c>
      <c r="AB115" s="68">
        <f>AA114*(1-'Data &amp; Assumptions'!$D$117)</f>
        <v>7.3696360084902359</v>
      </c>
      <c r="AC115" s="68">
        <f>AB114*(1-'Data &amp; Assumptions'!$D$117)</f>
        <v>132.05771643318192</v>
      </c>
      <c r="AD115" s="68">
        <f>AC114*(1-'Data &amp; Assumptions'!$D$117)</f>
        <v>59.289019271943737</v>
      </c>
      <c r="AE115" s="68">
        <f>AD114*(1-'Data &amp; Assumptions'!$D$117)</f>
        <v>-141.8052442490949</v>
      </c>
      <c r="AF115" s="68">
        <f>AE114*(1-'Data &amp; Assumptions'!$D$117)</f>
        <v>5.9574599438401252</v>
      </c>
      <c r="AG115" s="68">
        <f>AF114*(1-'Data &amp; Assumptions'!$D$117)</f>
        <v>99.205412045329396</v>
      </c>
      <c r="AH115" s="68">
        <f>AG114*(1-'Data &amp; Assumptions'!$D$117)</f>
        <v>44.746855098502287</v>
      </c>
      <c r="AI115" s="68">
        <f>AH114*(1-'Data &amp; Assumptions'!$D$117)</f>
        <v>-105.70455051255074</v>
      </c>
      <c r="AJ115" s="68">
        <f>AI114*(1-'Data &amp; Assumptions'!$D$117)</f>
        <v>4.8084724371405843</v>
      </c>
      <c r="AK115" s="68">
        <f>AJ114*(1-'Data &amp; Assumptions'!$D$117)</f>
        <v>74.542825984713346</v>
      </c>
      <c r="AL115" s="68"/>
      <c r="AR115" s="68">
        <f>AR111*$D$105</f>
        <v>0</v>
      </c>
      <c r="AS115" s="68">
        <f>AR114*(1-'Data &amp; Assumptions'!$D$117)</f>
        <v>12.243373256226203</v>
      </c>
      <c r="AT115" s="214">
        <f>S115*'Data &amp; Assumptions'!$D$95</f>
        <v>17.079505692435553</v>
      </c>
      <c r="AU115" s="214">
        <f>T115*'Data &amp; Assumptions'!$D$95</f>
        <v>15.883940293965061</v>
      </c>
      <c r="AV115" s="255">
        <f>U115*'Data &amp; Assumptions'!$D$95</f>
        <v>8.0908820872383878</v>
      </c>
      <c r="AW115" s="214">
        <f>V115*'Data &amp; Assumptions'!$D$95</f>
        <v>7.4668894347602253</v>
      </c>
      <c r="AX115" s="214">
        <f>W115*'Data &amp; Assumptions'!$D$95</f>
        <v>19.349130687442987</v>
      </c>
      <c r="AY115" s="214">
        <f>X115*'Data &amp; Assumptions'!$D$95</f>
        <v>6.8258048608603872</v>
      </c>
      <c r="AZ115" s="214">
        <f>Y115*'Data &amp; Assumptions'!$D$95</f>
        <v>131.87051810034328</v>
      </c>
      <c r="BA115" s="214">
        <f>Z115*'Data &amp; Assumptions'!$D$95</f>
        <v>58.942448458160747</v>
      </c>
      <c r="BB115" s="214">
        <f>AA115*'Data &amp; Assumptions'!$D$95</f>
        <v>-142.64706664474556</v>
      </c>
      <c r="BC115" s="214">
        <f>AB115*'Data &amp; Assumptions'!$D$95</f>
        <v>5.5272270063676769</v>
      </c>
      <c r="BD115" s="214">
        <f>AC115*'Data &amp; Assumptions'!$D$95</f>
        <v>99.04328732488645</v>
      </c>
      <c r="BE115" s="214">
        <f>AD115*'Data &amp; Assumptions'!$D$95</f>
        <v>44.466764453957801</v>
      </c>
      <c r="BF115" s="214">
        <f>AE115*'Data &amp; Assumptions'!$D$95</f>
        <v>-106.35393318682117</v>
      </c>
      <c r="BG115" s="214">
        <f>AF115*'Data &amp; Assumptions'!$D$95</f>
        <v>4.4680949578800941</v>
      </c>
      <c r="BH115" s="214">
        <f>AG115*'Data &amp; Assumptions'!$D$95</f>
        <v>74.404059033997044</v>
      </c>
      <c r="BI115" s="214">
        <f>AH115*'Data &amp; Assumptions'!$D$95</f>
        <v>33.560141323876714</v>
      </c>
      <c r="BJ115" s="214">
        <f>AI115*'Data &amp; Assumptions'!$D$95</f>
        <v>-79.278412884413058</v>
      </c>
      <c r="BK115" s="214">
        <f>AJ115*'Data &amp; Assumptions'!$D$95</f>
        <v>3.6063543278554384</v>
      </c>
      <c r="BL115" s="214">
        <f>AK115*'Data &amp; Assumptions'!$D$95</f>
        <v>55.90711948853501</v>
      </c>
    </row>
    <row r="116" spans="7:73" s="1" customFormat="1" x14ac:dyDescent="0.2">
      <c r="G116" s="122" t="s">
        <v>284</v>
      </c>
      <c r="L116" s="182" t="s">
        <v>55</v>
      </c>
      <c r="M116" s="124"/>
      <c r="Q116" s="125">
        <f t="shared" ref="Q116:AK116" si="109">(Q64-P64)*Q99</f>
        <v>36.489316096008636</v>
      </c>
      <c r="R116" s="244">
        <f t="shared" si="109"/>
        <v>41.369762123849796</v>
      </c>
      <c r="S116" s="125">
        <f t="shared" si="109"/>
        <v>39.023269216184978</v>
      </c>
      <c r="T116" s="125">
        <f t="shared" si="109"/>
        <v>42.331349794179516</v>
      </c>
      <c r="U116" s="244">
        <f t="shared" si="109"/>
        <v>34.722013594655316</v>
      </c>
      <c r="V116" s="125">
        <f t="shared" si="109"/>
        <v>147.90553250010456</v>
      </c>
      <c r="W116" s="125">
        <f t="shared" si="109"/>
        <v>186.58164504053826</v>
      </c>
      <c r="X116" s="125">
        <f t="shared" si="109"/>
        <v>29.142498437823612</v>
      </c>
      <c r="Y116" s="125">
        <f t="shared" si="109"/>
        <v>27.48953592643015</v>
      </c>
      <c r="Z116" s="125">
        <f t="shared" si="109"/>
        <v>25.930329448683128</v>
      </c>
      <c r="AA116" s="125">
        <f t="shared" si="109"/>
        <v>24.459561162353889</v>
      </c>
      <c r="AB116" s="125">
        <f t="shared" si="109"/>
        <v>23.072214853224999</v>
      </c>
      <c r="AC116" s="125">
        <f t="shared" si="109"/>
        <v>21.763558826750309</v>
      </c>
      <c r="AD116" s="125">
        <f t="shared" si="109"/>
        <v>20.529129770096901</v>
      </c>
      <c r="AE116" s="125">
        <f t="shared" si="109"/>
        <v>19.364717529537103</v>
      </c>
      <c r="AF116" s="125">
        <f t="shared" si="109"/>
        <v>18.266350751261832</v>
      </c>
      <c r="AG116" s="125">
        <f t="shared" si="109"/>
        <v>17.230283336650178</v>
      </c>
      <c r="AH116" s="125">
        <f t="shared" si="109"/>
        <v>16.252981665795556</v>
      </c>
      <c r="AI116" s="125">
        <f t="shared" si="109"/>
        <v>15.331112545711356</v>
      </c>
      <c r="AJ116" s="125">
        <f t="shared" si="109"/>
        <v>14.461531842118768</v>
      </c>
      <c r="AK116" s="125">
        <f t="shared" si="109"/>
        <v>13.641273756033828</v>
      </c>
      <c r="AL116" s="125"/>
      <c r="AM116" s="207"/>
      <c r="AR116" s="125">
        <f>(AR64-AQ64)*AR99</f>
        <v>36.489316096008636</v>
      </c>
      <c r="AS116" s="125">
        <f>(AS64-AR64)*AS99</f>
        <v>39.301274017657306</v>
      </c>
      <c r="AT116" s="125">
        <f>S116*'Data &amp; Assumptions'!$D$95</f>
        <v>29.267451912138732</v>
      </c>
      <c r="AU116" s="125">
        <f>T116*'Data &amp; Assumptions'!$D$95</f>
        <v>31.748512345634637</v>
      </c>
      <c r="AV116" s="244">
        <f>U116*'Data &amp; Assumptions'!$D$95</f>
        <v>26.041510195991485</v>
      </c>
      <c r="AW116" s="125">
        <f>V116*'Data &amp; Assumptions'!$D$95</f>
        <v>110.92914937507842</v>
      </c>
      <c r="AX116" s="125">
        <f>W116*'Data &amp; Assumptions'!$D$95</f>
        <v>139.93623378040371</v>
      </c>
      <c r="AY116" s="125">
        <f>X116*'Data &amp; Assumptions'!$D$95</f>
        <v>21.856873828367711</v>
      </c>
      <c r="AZ116" s="125">
        <f>Y116*'Data &amp; Assumptions'!$D$95</f>
        <v>20.617151944822613</v>
      </c>
      <c r="BA116" s="125">
        <f>Z116*'Data &amp; Assumptions'!$D$95</f>
        <v>19.447747086512347</v>
      </c>
      <c r="BB116" s="125">
        <f>AA116*'Data &amp; Assumptions'!$D$95</f>
        <v>18.344670871765416</v>
      </c>
      <c r="BC116" s="125">
        <f>AB116*'Data &amp; Assumptions'!$D$95</f>
        <v>17.304161139918747</v>
      </c>
      <c r="BD116" s="125">
        <f>AC116*'Data &amp; Assumptions'!$D$95</f>
        <v>16.322669120062731</v>
      </c>
      <c r="BE116" s="125">
        <f>AD116*'Data &amp; Assumptions'!$D$95</f>
        <v>15.396847327572676</v>
      </c>
      <c r="BF116" s="125">
        <f>AE116*'Data &amp; Assumptions'!$D$95</f>
        <v>14.523538147152827</v>
      </c>
      <c r="BG116" s="125">
        <f>AF116*'Data &amp; Assumptions'!$D$95</f>
        <v>13.699763063446374</v>
      </c>
      <c r="BH116" s="125">
        <f>AG116*'Data &amp; Assumptions'!$D$95</f>
        <v>12.922712502487634</v>
      </c>
      <c r="BI116" s="125">
        <f>AH116*'Data &amp; Assumptions'!$D$95</f>
        <v>12.189736249346666</v>
      </c>
      <c r="BJ116" s="125">
        <f>AI116*'Data &amp; Assumptions'!$D$95</f>
        <v>11.498334409283517</v>
      </c>
      <c r="BK116" s="125">
        <f>AJ116*'Data &amp; Assumptions'!$D$95</f>
        <v>10.846148881589077</v>
      </c>
      <c r="BL116" s="125">
        <f>AK116*'Data &amp; Assumptions'!$D$95</f>
        <v>10.230955317025371</v>
      </c>
      <c r="BN116" s="207"/>
      <c r="BU116" s="233"/>
    </row>
    <row r="117" spans="7:73" x14ac:dyDescent="0.2">
      <c r="H117" t="s">
        <v>277</v>
      </c>
      <c r="L117" s="182" t="s">
        <v>55</v>
      </c>
      <c r="M117" s="63"/>
      <c r="Q117" s="68">
        <f>Q116*$D$102</f>
        <v>14.595726438403455</v>
      </c>
      <c r="R117" s="209">
        <f>R116-R118-R119-R120</f>
        <v>7.4346981545617652</v>
      </c>
      <c r="S117" s="68">
        <f t="shared" ref="S117:AK117" si="110">S116-S118-S119-S120</f>
        <v>6.8613123392922457</v>
      </c>
      <c r="T117" s="68">
        <f t="shared" si="110"/>
        <v>17.779884153942373</v>
      </c>
      <c r="U117" s="209">
        <f t="shared" si="110"/>
        <v>6.2722207857262129</v>
      </c>
      <c r="V117" s="68">
        <f t="shared" si="110"/>
        <v>121.17560075533835</v>
      </c>
      <c r="W117" s="68">
        <f t="shared" si="110"/>
        <v>54.16211830208637</v>
      </c>
      <c r="X117" s="68">
        <f t="shared" si="110"/>
        <v>-131.07815337095323</v>
      </c>
      <c r="Y117" s="68">
        <f t="shared" si="110"/>
        <v>5.0789597451804838</v>
      </c>
      <c r="Z117" s="68">
        <f t="shared" si="110"/>
        <v>91.010712745091439</v>
      </c>
      <c r="AA117" s="68">
        <f t="shared" si="110"/>
        <v>40.860436236812077</v>
      </c>
      <c r="AB117" s="68">
        <f t="shared" si="110"/>
        <v>-97.728453123993944</v>
      </c>
      <c r="AC117" s="68">
        <f t="shared" si="110"/>
        <v>4.1057250593424328</v>
      </c>
      <c r="AD117" s="68">
        <f t="shared" si="110"/>
        <v>68.369766661717335</v>
      </c>
      <c r="AE117" s="68">
        <f t="shared" si="110"/>
        <v>30.838358299771102</v>
      </c>
      <c r="AF117" s="68">
        <f t="shared" si="110"/>
        <v>-72.848802344802095</v>
      </c>
      <c r="AG117" s="68">
        <f t="shared" si="110"/>
        <v>3.3138730211251399</v>
      </c>
      <c r="AH117" s="68">
        <f t="shared" si="110"/>
        <v>51.372959537239531</v>
      </c>
      <c r="AI117" s="68">
        <f t="shared" si="110"/>
        <v>23.284535507765433</v>
      </c>
      <c r="AJ117" s="68">
        <f t="shared" si="110"/>
        <v>-54.291095845514697</v>
      </c>
      <c r="AK117" s="68">
        <f t="shared" si="110"/>
        <v>2.6709985172008075</v>
      </c>
      <c r="AL117" s="68"/>
      <c r="AR117" s="68">
        <f>AR116*$D$102</f>
        <v>14.595726438403455</v>
      </c>
      <c r="AS117" s="68">
        <f>AS116-AS118-AS119-AS120</f>
        <v>5.3662100483692754</v>
      </c>
      <c r="AT117" s="214">
        <f>S117*'Data &amp; Assumptions'!$D$95</f>
        <v>5.1459842544691838</v>
      </c>
      <c r="AU117" s="214">
        <f>T117*'Data &amp; Assumptions'!$D$95</f>
        <v>13.334913115456779</v>
      </c>
      <c r="AV117" s="255">
        <f>U117*'Data &amp; Assumptions'!$D$95</f>
        <v>4.7041655892946599</v>
      </c>
      <c r="AW117" s="214">
        <f>V117*'Data &amp; Assumptions'!$D$95</f>
        <v>90.881700566503767</v>
      </c>
      <c r="AX117" s="214">
        <f>W117*'Data &amp; Assumptions'!$D$95</f>
        <v>40.621588726564781</v>
      </c>
      <c r="AY117" s="214">
        <f>X117*'Data &amp; Assumptions'!$D$95</f>
        <v>-98.308615028214916</v>
      </c>
      <c r="AZ117" s="214">
        <f>Y117*'Data &amp; Assumptions'!$D$95</f>
        <v>3.8092198088853628</v>
      </c>
      <c r="BA117" s="214">
        <f>Z117*'Data &amp; Assumptions'!$D$95</f>
        <v>68.258034558818579</v>
      </c>
      <c r="BB117" s="214">
        <f>AA117*'Data &amp; Assumptions'!$D$95</f>
        <v>30.645327177609058</v>
      </c>
      <c r="BC117" s="214">
        <f>AB117*'Data &amp; Assumptions'!$D$95</f>
        <v>-73.296339842995451</v>
      </c>
      <c r="BD117" s="214">
        <f>AC117*'Data &amp; Assumptions'!$D$95</f>
        <v>3.0792937945068246</v>
      </c>
      <c r="BE117" s="214">
        <f>AD117*'Data &amp; Assumptions'!$D$95</f>
        <v>51.277324996288002</v>
      </c>
      <c r="BF117" s="214">
        <f>AE117*'Data &amp; Assumptions'!$D$95</f>
        <v>23.128768724828326</v>
      </c>
      <c r="BG117" s="214">
        <f>AF117*'Data &amp; Assumptions'!$D$95</f>
        <v>-54.636601758601572</v>
      </c>
      <c r="BH117" s="214">
        <f>AG117*'Data &amp; Assumptions'!$D$95</f>
        <v>2.4854047658438549</v>
      </c>
      <c r="BI117" s="214">
        <f>AH117*'Data &amp; Assumptions'!$D$95</f>
        <v>38.52971965292965</v>
      </c>
      <c r="BJ117" s="214">
        <f>AI117*'Data &amp; Assumptions'!$D$95</f>
        <v>17.463401630824073</v>
      </c>
      <c r="BK117" s="214">
        <f>AJ117*'Data &amp; Assumptions'!$D$95</f>
        <v>-40.718321884136024</v>
      </c>
      <c r="BL117" s="214">
        <f>AK117*'Data &amp; Assumptions'!$D$95</f>
        <v>2.0032488879006056</v>
      </c>
    </row>
    <row r="118" spans="7:73" x14ac:dyDescent="0.2">
      <c r="H118" t="s">
        <v>278</v>
      </c>
      <c r="L118" s="182" t="s">
        <v>55</v>
      </c>
      <c r="M118" s="63"/>
      <c r="Q118" s="68">
        <f>Q116*$D$103</f>
        <v>14.595726438403455</v>
      </c>
      <c r="R118" s="209">
        <f>Q117*(1-'Data &amp; Assumptions'!$D$117)</f>
        <v>13.574025587715212</v>
      </c>
      <c r="S118" s="68">
        <f>R117*(1-'Data &amp; Assumptions'!$D$117)</f>
        <v>6.9142692837424411</v>
      </c>
      <c r="T118" s="68">
        <f>S117*(1-'Data &amp; Assumptions'!$D$117)</f>
        <v>6.3810204755417876</v>
      </c>
      <c r="U118" s="209">
        <f>T117*(1-'Data &amp; Assumptions'!$D$117)</f>
        <v>16.535292263166404</v>
      </c>
      <c r="V118" s="68">
        <f>U117*(1-'Data &amp; Assumptions'!$D$117)</f>
        <v>5.8331653307253779</v>
      </c>
      <c r="W118" s="68">
        <f>V117*(1-'Data &amp; Assumptions'!$D$117)</f>
        <v>112.69330870246466</v>
      </c>
      <c r="X118" s="68">
        <f>W117*(1-'Data &amp; Assumptions'!$D$117)</f>
        <v>50.37077002094032</v>
      </c>
      <c r="Y118" s="68">
        <f>X117*(1-'Data &amp; Assumptions'!$D$117)</f>
        <v>-121.90268263498649</v>
      </c>
      <c r="Z118" s="68">
        <f>Y117*(1-'Data &amp; Assumptions'!$D$117)</f>
        <v>4.72343256301785</v>
      </c>
      <c r="AA118" s="68">
        <f>Z117*(1-'Data &amp; Assumptions'!$D$117)</f>
        <v>84.639962852935028</v>
      </c>
      <c r="AB118" s="68">
        <f>AA117*(1-'Data &amp; Assumptions'!$D$117)</f>
        <v>38.000205700235227</v>
      </c>
      <c r="AC118" s="68">
        <f>AB117*(1-'Data &amp; Assumptions'!$D$117)</f>
        <v>-90.887461405314369</v>
      </c>
      <c r="AD118" s="68">
        <f>AC117*(1-'Data &amp; Assumptions'!$D$117)</f>
        <v>3.8183243051884621</v>
      </c>
      <c r="AE118" s="68">
        <f>AD117*(1-'Data &amp; Assumptions'!$D$117)</f>
        <v>63.583882995397119</v>
      </c>
      <c r="AF118" s="68">
        <f>AE117*(1-'Data &amp; Assumptions'!$D$117)</f>
        <v>28.679673218787123</v>
      </c>
      <c r="AG118" s="68">
        <f>AF117*(1-'Data &amp; Assumptions'!$D$117)</f>
        <v>-67.749386180665951</v>
      </c>
      <c r="AH118" s="68">
        <f>AG117*(1-'Data &amp; Assumptions'!$D$117)</f>
        <v>3.0819019096463798</v>
      </c>
      <c r="AI118" s="68">
        <f>AH117*(1-'Data &amp; Assumptions'!$D$117)</f>
        <v>47.776852369632763</v>
      </c>
      <c r="AJ118" s="68">
        <f>AI117*(1-'Data &amp; Assumptions'!$D$117)</f>
        <v>21.65461802222185</v>
      </c>
      <c r="AK118" s="68">
        <f>AJ117*(1-'Data &amp; Assumptions'!$D$117)</f>
        <v>-50.490719136328664</v>
      </c>
      <c r="AL118" s="68"/>
      <c r="AR118" s="68">
        <f>AR116*$D$103</f>
        <v>14.595726438403455</v>
      </c>
      <c r="AS118" s="68">
        <f>AR117*(1-'Data &amp; Assumptions'!$D$117)</f>
        <v>13.574025587715212</v>
      </c>
      <c r="AT118" s="214">
        <f>S118*'Data &amp; Assumptions'!$D$95</f>
        <v>5.1857019628068306</v>
      </c>
      <c r="AU118" s="214">
        <f>T118*'Data &amp; Assumptions'!$D$95</f>
        <v>4.7857653566563405</v>
      </c>
      <c r="AV118" s="255">
        <f>U118*'Data &amp; Assumptions'!$D$95</f>
        <v>12.401469197374803</v>
      </c>
      <c r="AW118" s="214">
        <f>V118*'Data &amp; Assumptions'!$D$95</f>
        <v>4.3748739980440332</v>
      </c>
      <c r="AX118" s="214">
        <f>W118*'Data &amp; Assumptions'!$D$95</f>
        <v>84.519981526848497</v>
      </c>
      <c r="AY118" s="214">
        <f>X118*'Data &amp; Assumptions'!$D$95</f>
        <v>37.778077515705242</v>
      </c>
      <c r="AZ118" s="214">
        <f>Y118*'Data &amp; Assumptions'!$D$95</f>
        <v>-91.427011976239868</v>
      </c>
      <c r="BA118" s="214">
        <f>Z118*'Data &amp; Assumptions'!$D$95</f>
        <v>3.5425744222633875</v>
      </c>
      <c r="BB118" s="214">
        <f>AA118*'Data &amp; Assumptions'!$D$95</f>
        <v>63.479972139701275</v>
      </c>
      <c r="BC118" s="214">
        <f>AB118*'Data &amp; Assumptions'!$D$95</f>
        <v>28.500154275176421</v>
      </c>
      <c r="BD118" s="214">
        <f>AC118*'Data &amp; Assumptions'!$D$95</f>
        <v>-68.16559605398578</v>
      </c>
      <c r="BE118" s="214">
        <f>AD118*'Data &amp; Assumptions'!$D$95</f>
        <v>2.8637432288913467</v>
      </c>
      <c r="BF118" s="214">
        <f>AE118*'Data &amp; Assumptions'!$D$95</f>
        <v>47.687912246547839</v>
      </c>
      <c r="BG118" s="214">
        <f>AF118*'Data &amp; Assumptions'!$D$95</f>
        <v>21.509754914090344</v>
      </c>
      <c r="BH118" s="214">
        <f>AG118*'Data &amp; Assumptions'!$D$95</f>
        <v>-50.81203963549946</v>
      </c>
      <c r="BI118" s="214">
        <f>AH118*'Data &amp; Assumptions'!$D$95</f>
        <v>2.3114264322347848</v>
      </c>
      <c r="BJ118" s="214">
        <f>AI118*'Data &amp; Assumptions'!$D$95</f>
        <v>35.832639277224573</v>
      </c>
      <c r="BK118" s="214">
        <f>AJ118*'Data &amp; Assumptions'!$D$95</f>
        <v>16.240963516666387</v>
      </c>
      <c r="BL118" s="214">
        <f>AK118*'Data &amp; Assumptions'!$D$95</f>
        <v>-37.868039352246498</v>
      </c>
    </row>
    <row r="119" spans="7:73" x14ac:dyDescent="0.2">
      <c r="H119" t="s">
        <v>279</v>
      </c>
      <c r="L119" s="182" t="s">
        <v>55</v>
      </c>
      <c r="M119" s="63"/>
      <c r="Q119" s="68">
        <f>Q116*$D$104</f>
        <v>7.2978632192017274</v>
      </c>
      <c r="R119" s="209">
        <f>Q118*(1-'Data &amp; Assumptions'!$D$117)</f>
        <v>13.574025587715212</v>
      </c>
      <c r="S119" s="68">
        <f>R118*(1-'Data &amp; Assumptions'!$D$117)</f>
        <v>12.623843796575146</v>
      </c>
      <c r="T119" s="68">
        <f>S118*(1-'Data &amp; Assumptions'!$D$117)</f>
        <v>6.4302704338804695</v>
      </c>
      <c r="U119" s="209">
        <f>T118*(1-'Data &amp; Assumptions'!$D$117)</f>
        <v>5.9343490422538618</v>
      </c>
      <c r="V119" s="68">
        <f>U118*(1-'Data &amp; Assumptions'!$D$117)</f>
        <v>15.377821804744755</v>
      </c>
      <c r="W119" s="68">
        <f>V118*(1-'Data &amp; Assumptions'!$D$117)</f>
        <v>5.4248437575746014</v>
      </c>
      <c r="X119" s="68">
        <f>W118*(1-'Data &amp; Assumptions'!$D$117)</f>
        <v>104.80477709329213</v>
      </c>
      <c r="Y119" s="68">
        <f>X118*(1-'Data &amp; Assumptions'!$D$117)</f>
        <v>46.844816119474494</v>
      </c>
      <c r="Z119" s="68">
        <f>Y118*(1-'Data &amp; Assumptions'!$D$117)</f>
        <v>-113.36949485053744</v>
      </c>
      <c r="AA119" s="68">
        <f>Z118*(1-'Data &amp; Assumptions'!$D$117)</f>
        <v>4.3927922836066005</v>
      </c>
      <c r="AB119" s="68">
        <f>AA118*(1-'Data &amp; Assumptions'!$D$117)</f>
        <v>78.715165453229574</v>
      </c>
      <c r="AC119" s="68">
        <f>AB118*(1-'Data &amp; Assumptions'!$D$117)</f>
        <v>35.340191301218759</v>
      </c>
      <c r="AD119" s="68">
        <f>AC118*(1-'Data &amp; Assumptions'!$D$117)</f>
        <v>-84.525339106942354</v>
      </c>
      <c r="AE119" s="68">
        <f>AD118*(1-'Data &amp; Assumptions'!$D$117)</f>
        <v>3.5510416038252695</v>
      </c>
      <c r="AF119" s="68">
        <f>AE118*(1-'Data &amp; Assumptions'!$D$117)</f>
        <v>59.133011185719319</v>
      </c>
      <c r="AG119" s="68">
        <f>AF118*(1-'Data &amp; Assumptions'!$D$117)</f>
        <v>26.672096093472021</v>
      </c>
      <c r="AH119" s="68">
        <f>AG118*(1-'Data &amp; Assumptions'!$D$117)</f>
        <v>-63.006929148019331</v>
      </c>
      <c r="AI119" s="68">
        <f>AH118*(1-'Data &amp; Assumptions'!$D$117)</f>
        <v>2.8661687759711332</v>
      </c>
      <c r="AJ119" s="68">
        <f>AI118*(1-'Data &amp; Assumptions'!$D$117)</f>
        <v>44.432472703758464</v>
      </c>
      <c r="AK119" s="68">
        <f>AJ118*(1-'Data &amp; Assumptions'!$D$117)</f>
        <v>20.138794760666318</v>
      </c>
      <c r="AL119" s="68"/>
      <c r="AR119" s="68">
        <f>AR116*$D$104</f>
        <v>7.2978632192017274</v>
      </c>
      <c r="AS119" s="68">
        <f>AR118*(1-'Data &amp; Assumptions'!$D$117)</f>
        <v>13.574025587715212</v>
      </c>
      <c r="AT119" s="214">
        <f>S119*'Data &amp; Assumptions'!$D$95</f>
        <v>9.4678828474313601</v>
      </c>
      <c r="AU119" s="214">
        <f>T119*'Data &amp; Assumptions'!$D$95</f>
        <v>4.8227028254103521</v>
      </c>
      <c r="AV119" s="255">
        <f>U119*'Data &amp; Assumptions'!$D$95</f>
        <v>4.4507617816903959</v>
      </c>
      <c r="AW119" s="214">
        <f>V119*'Data &amp; Assumptions'!$D$95</f>
        <v>11.533366353558566</v>
      </c>
      <c r="AX119" s="214">
        <f>W119*'Data &amp; Assumptions'!$D$95</f>
        <v>4.0686328181809515</v>
      </c>
      <c r="AY119" s="214">
        <f>X119*'Data &amp; Assumptions'!$D$95</f>
        <v>78.603582819969091</v>
      </c>
      <c r="AZ119" s="214">
        <f>Y119*'Data &amp; Assumptions'!$D$95</f>
        <v>35.133612089605869</v>
      </c>
      <c r="BA119" s="214">
        <f>Z119*'Data &amp; Assumptions'!$D$95</f>
        <v>-85.02712113790308</v>
      </c>
      <c r="BB119" s="214">
        <f>AA119*'Data &amp; Assumptions'!$D$95</f>
        <v>3.2945942127049506</v>
      </c>
      <c r="BC119" s="214">
        <f>AB119*'Data &amp; Assumptions'!$D$95</f>
        <v>59.036374089922177</v>
      </c>
      <c r="BD119" s="214">
        <f>AC119*'Data &amp; Assumptions'!$D$95</f>
        <v>26.505143475914068</v>
      </c>
      <c r="BE119" s="214">
        <f>AD119*'Data &amp; Assumptions'!$D$95</f>
        <v>-63.394004330206769</v>
      </c>
      <c r="BF119" s="214">
        <f>AE119*'Data &amp; Assumptions'!$D$95</f>
        <v>2.6632812028689523</v>
      </c>
      <c r="BG119" s="214">
        <f>AF119*'Data &amp; Assumptions'!$D$95</f>
        <v>44.349758389289491</v>
      </c>
      <c r="BH119" s="214">
        <f>AG119*'Data &amp; Assumptions'!$D$95</f>
        <v>20.004072070104016</v>
      </c>
      <c r="BI119" s="214">
        <f>AH119*'Data &amp; Assumptions'!$D$95</f>
        <v>-47.255196861014497</v>
      </c>
      <c r="BJ119" s="214">
        <f>AI119*'Data &amp; Assumptions'!$D$95</f>
        <v>2.14962658197835</v>
      </c>
      <c r="BK119" s="214">
        <f>AJ119*'Data &amp; Assumptions'!$D$95</f>
        <v>33.324354527818848</v>
      </c>
      <c r="BL119" s="214">
        <f>AK119*'Data &amp; Assumptions'!$D$95</f>
        <v>15.10409607049974</v>
      </c>
    </row>
    <row r="120" spans="7:73" x14ac:dyDescent="0.2">
      <c r="H120" t="s">
        <v>280</v>
      </c>
      <c r="L120" s="182" t="s">
        <v>55</v>
      </c>
      <c r="M120" s="63"/>
      <c r="Q120" s="68">
        <f>Q116*$D$105</f>
        <v>0</v>
      </c>
      <c r="R120" s="209">
        <f>Q119*(1-'Data &amp; Assumptions'!$D$117)</f>
        <v>6.7870127938576061</v>
      </c>
      <c r="S120" s="68">
        <f>R119*(1-'Data &amp; Assumptions'!$D$117)</f>
        <v>12.623843796575146</v>
      </c>
      <c r="T120" s="68">
        <f>S119*(1-'Data &amp; Assumptions'!$D$117)</f>
        <v>11.740174730814886</v>
      </c>
      <c r="U120" s="209">
        <f>T119*(1-'Data &amp; Assumptions'!$D$117)</f>
        <v>5.9801515035088366</v>
      </c>
      <c r="V120" s="68">
        <f>U119*(1-'Data &amp; Assumptions'!$D$117)</f>
        <v>5.5189446092960912</v>
      </c>
      <c r="W120" s="68">
        <f>V119*(1-'Data &amp; Assumptions'!$D$117)</f>
        <v>14.301374278412622</v>
      </c>
      <c r="X120" s="68">
        <f>W119*(1-'Data &amp; Assumptions'!$D$117)</f>
        <v>5.0451046945443787</v>
      </c>
      <c r="Y120" s="68">
        <f>X119*(1-'Data &amp; Assumptions'!$D$117)</f>
        <v>97.46844269676167</v>
      </c>
      <c r="Z120" s="68">
        <f>Y119*(1-'Data &amp; Assumptions'!$D$117)</f>
        <v>43.565678991111277</v>
      </c>
      <c r="AA120" s="68">
        <f>Z119*(1-'Data &amp; Assumptions'!$D$117)</f>
        <v>-105.43363021099981</v>
      </c>
      <c r="AB120" s="68">
        <f>AA119*(1-'Data &amp; Assumptions'!$D$117)</f>
        <v>4.0852968237541383</v>
      </c>
      <c r="AC120" s="68">
        <f>AB119*(1-'Data &amp; Assumptions'!$D$117)</f>
        <v>73.205103871503496</v>
      </c>
      <c r="AD120" s="68">
        <f>AC119*(1-'Data &amp; Assumptions'!$D$117)</f>
        <v>32.866377910133444</v>
      </c>
      <c r="AE120" s="68">
        <f>AD119*(1-'Data &amp; Assumptions'!$D$117)</f>
        <v>-78.608565369456386</v>
      </c>
      <c r="AF120" s="68">
        <f>AE119*(1-'Data &amp; Assumptions'!$D$117)</f>
        <v>3.3024686915575003</v>
      </c>
      <c r="AG120" s="68">
        <f>AF119*(1-'Data &amp; Assumptions'!$D$117)</f>
        <v>54.993700402718964</v>
      </c>
      <c r="AH120" s="68">
        <f>AG119*(1-'Data &amp; Assumptions'!$D$117)</f>
        <v>24.805049366928976</v>
      </c>
      <c r="AI120" s="68">
        <f>AH119*(1-'Data &amp; Assumptions'!$D$117)</f>
        <v>-58.596444107657973</v>
      </c>
      <c r="AJ120" s="68">
        <f>AI119*(1-'Data &amp; Assumptions'!$D$117)</f>
        <v>2.6655369616531535</v>
      </c>
      <c r="AK120" s="68">
        <f>AJ119*(1-'Data &amp; Assumptions'!$D$117)</f>
        <v>41.322199614495368</v>
      </c>
      <c r="AL120" s="68"/>
      <c r="AR120" s="68">
        <f>AR116*$D$105</f>
        <v>0</v>
      </c>
      <c r="AS120" s="68">
        <f>AR119*(1-'Data &amp; Assumptions'!$D$117)</f>
        <v>6.7870127938576061</v>
      </c>
      <c r="AT120" s="214">
        <f>S120*'Data &amp; Assumptions'!$D$95</f>
        <v>9.4678828474313601</v>
      </c>
      <c r="AU120" s="214">
        <f>T120*'Data &amp; Assumptions'!$D$95</f>
        <v>8.8051310481111642</v>
      </c>
      <c r="AV120" s="255">
        <f>U120*'Data &amp; Assumptions'!$D$95</f>
        <v>4.4851136276316277</v>
      </c>
      <c r="AW120" s="214">
        <f>V120*'Data &amp; Assumptions'!$D$95</f>
        <v>4.1392084569720682</v>
      </c>
      <c r="AX120" s="214">
        <f>W120*'Data &amp; Assumptions'!$D$95</f>
        <v>10.726030708809466</v>
      </c>
      <c r="AY120" s="214">
        <f>X120*'Data &amp; Assumptions'!$D$95</f>
        <v>3.7838285209082843</v>
      </c>
      <c r="AZ120" s="214">
        <f>Y120*'Data &amp; Assumptions'!$D$95</f>
        <v>73.101332022571256</v>
      </c>
      <c r="BA120" s="214">
        <f>Z120*'Data &amp; Assumptions'!$D$95</f>
        <v>32.674259243333459</v>
      </c>
      <c r="BB120" s="214">
        <f>AA120*'Data &amp; Assumptions'!$D$95</f>
        <v>-79.075222658249857</v>
      </c>
      <c r="BC120" s="214">
        <f>AB120*'Data &amp; Assumptions'!$D$95</f>
        <v>3.0639726178156037</v>
      </c>
      <c r="BD120" s="214">
        <f>AC120*'Data &amp; Assumptions'!$D$95</f>
        <v>54.903827903627622</v>
      </c>
      <c r="BE120" s="214">
        <f>AD120*'Data &amp; Assumptions'!$D$95</f>
        <v>24.649783432600081</v>
      </c>
      <c r="BF120" s="214">
        <f>AE120*'Data &amp; Assumptions'!$D$95</f>
        <v>-58.956424027092289</v>
      </c>
      <c r="BG120" s="214">
        <f>AF120*'Data &amp; Assumptions'!$D$95</f>
        <v>2.4768515186681253</v>
      </c>
      <c r="BH120" s="214">
        <f>AG120*'Data &amp; Assumptions'!$D$95</f>
        <v>41.245275302039225</v>
      </c>
      <c r="BI120" s="214">
        <f>AH120*'Data &amp; Assumptions'!$D$95</f>
        <v>18.603787025196731</v>
      </c>
      <c r="BJ120" s="214">
        <f>AI120*'Data &amp; Assumptions'!$D$95</f>
        <v>-43.947333080743476</v>
      </c>
      <c r="BK120" s="214">
        <f>AJ120*'Data &amp; Assumptions'!$D$95</f>
        <v>1.9991527212398652</v>
      </c>
      <c r="BL120" s="214">
        <f>AK120*'Data &amp; Assumptions'!$D$95</f>
        <v>30.991649710871528</v>
      </c>
    </row>
    <row r="121" spans="7:73" s="1" customFormat="1" x14ac:dyDescent="0.2">
      <c r="G121" s="122" t="s">
        <v>285</v>
      </c>
      <c r="L121" s="182" t="s">
        <v>55</v>
      </c>
      <c r="M121" s="124"/>
      <c r="Q121" s="125">
        <f t="shared" ref="Q121:AK121" si="111">(Q65-P65)*Q99</f>
        <v>66.4699264912134</v>
      </c>
      <c r="R121" s="244">
        <f t="shared" si="111"/>
        <v>75.360279159412926</v>
      </c>
      <c r="S121" s="125">
        <f t="shared" si="111"/>
        <v>71.085844125491221</v>
      </c>
      <c r="T121" s="125">
        <f t="shared" si="111"/>
        <v>77.111933303697327</v>
      </c>
      <c r="U121" s="244">
        <f t="shared" si="111"/>
        <v>63.250560388444839</v>
      </c>
      <c r="V121" s="125">
        <f t="shared" si="111"/>
        <v>269.42872393273234</v>
      </c>
      <c r="W121" s="125">
        <f t="shared" si="111"/>
        <v>339.88217805514921</v>
      </c>
      <c r="X121" s="125">
        <f t="shared" si="111"/>
        <v>53.08676446101785</v>
      </c>
      <c r="Y121" s="125">
        <f t="shared" si="111"/>
        <v>50.075683180788637</v>
      </c>
      <c r="Z121" s="125">
        <f t="shared" si="111"/>
        <v>47.235390430774551</v>
      </c>
      <c r="AA121" s="125">
        <f t="shared" si="111"/>
        <v>44.556199085540868</v>
      </c>
      <c r="AB121" s="125">
        <f t="shared" si="111"/>
        <v>42.028971473408888</v>
      </c>
      <c r="AC121" s="125">
        <f t="shared" si="111"/>
        <v>39.645088211437269</v>
      </c>
      <c r="AD121" s="125">
        <f t="shared" si="111"/>
        <v>37.396418808084924</v>
      </c>
      <c r="AE121" s="125">
        <f t="shared" si="111"/>
        <v>35.275293933290023</v>
      </c>
      <c r="AF121" s="125">
        <f t="shared" si="111"/>
        <v>33.274479261394006</v>
      </c>
      <c r="AG121" s="125">
        <f t="shared" si="111"/>
        <v>31.387150797687774</v>
      </c>
      <c r="AH121" s="125">
        <f t="shared" si="111"/>
        <v>29.606871604443114</v>
      </c>
      <c r="AI121" s="125">
        <f t="shared" si="111"/>
        <v>27.927569847038548</v>
      </c>
      <c r="AJ121" s="125">
        <f t="shared" si="111"/>
        <v>26.34351808531488</v>
      </c>
      <c r="AK121" s="125">
        <f t="shared" si="111"/>
        <v>24.849313739515789</v>
      </c>
      <c r="AL121" s="125"/>
      <c r="AM121" s="207"/>
      <c r="AR121" s="125">
        <f>(AR65-AQ65)*AR99</f>
        <v>66.4699264912134</v>
      </c>
      <c r="AS121" s="125">
        <f>(AS65-AR65)*AS99</f>
        <v>71.592265201442274</v>
      </c>
      <c r="AT121" s="125">
        <f>S121*'Data &amp; Assumptions'!$D$95</f>
        <v>53.314383094118412</v>
      </c>
      <c r="AU121" s="125">
        <f>T121*'Data &amp; Assumptions'!$D$95</f>
        <v>57.833949977772996</v>
      </c>
      <c r="AV121" s="244">
        <f>U121*'Data &amp; Assumptions'!$D$95</f>
        <v>47.437920291333626</v>
      </c>
      <c r="AW121" s="125">
        <f>V121*'Data &amp; Assumptions'!$D$95</f>
        <v>202.07154294954927</v>
      </c>
      <c r="AX121" s="125">
        <f>W121*'Data &amp; Assumptions'!$D$95</f>
        <v>254.91163354136191</v>
      </c>
      <c r="AY121" s="125">
        <f>X121*'Data &amp; Assumptions'!$D$95</f>
        <v>39.815073345763388</v>
      </c>
      <c r="AZ121" s="125">
        <f>Y121*'Data &amp; Assumptions'!$D$95</f>
        <v>37.556762385591476</v>
      </c>
      <c r="BA121" s="125">
        <f>Z121*'Data &amp; Assumptions'!$D$95</f>
        <v>35.426542823080915</v>
      </c>
      <c r="BB121" s="125">
        <f>AA121*'Data &amp; Assumptions'!$D$95</f>
        <v>33.417149314155651</v>
      </c>
      <c r="BC121" s="125">
        <f>AB121*'Data &amp; Assumptions'!$D$95</f>
        <v>31.521728605056666</v>
      </c>
      <c r="BD121" s="125">
        <f>AC121*'Data &amp; Assumptions'!$D$95</f>
        <v>29.733816158577952</v>
      </c>
      <c r="BE121" s="125">
        <f>AD121*'Data &amp; Assumptions'!$D$95</f>
        <v>28.047314106063695</v>
      </c>
      <c r="BF121" s="125">
        <f>AE121*'Data &amp; Assumptions'!$D$95</f>
        <v>26.456470449967519</v>
      </c>
      <c r="BG121" s="125">
        <f>AF121*'Data &amp; Assumptions'!$D$95</f>
        <v>24.955859446045505</v>
      </c>
      <c r="BH121" s="125">
        <f>AG121*'Data &amp; Assumptions'!$D$95</f>
        <v>23.540363098265829</v>
      </c>
      <c r="BI121" s="125">
        <f>AH121*'Data &amp; Assumptions'!$D$95</f>
        <v>22.205153703332336</v>
      </c>
      <c r="BJ121" s="125">
        <f>AI121*'Data &amp; Assumptions'!$D$95</f>
        <v>20.945677385278913</v>
      </c>
      <c r="BK121" s="125">
        <f>AJ121*'Data &amp; Assumptions'!$D$95</f>
        <v>19.757638563986159</v>
      </c>
      <c r="BL121" s="125">
        <f>AK121*'Data &amp; Assumptions'!$D$95</f>
        <v>18.636985304636841</v>
      </c>
      <c r="BN121" s="207"/>
      <c r="BU121" s="233"/>
    </row>
    <row r="122" spans="7:73" x14ac:dyDescent="0.2">
      <c r="H122" t="s">
        <v>277</v>
      </c>
      <c r="L122" s="182" t="s">
        <v>55</v>
      </c>
      <c r="M122" s="63"/>
      <c r="Q122" s="68">
        <f>Q121*$D$102</f>
        <v>26.587970596485363</v>
      </c>
      <c r="R122" s="209">
        <f>R121-R123-R124-R125</f>
        <v>13.543247522584457</v>
      </c>
      <c r="S122" s="68">
        <f t="shared" ref="S122:AK122" si="112">S121-S123-S124-S125</f>
        <v>12.498752391687297</v>
      </c>
      <c r="T122" s="68">
        <f t="shared" si="112"/>
        <v>32.388318532067672</v>
      </c>
      <c r="U122" s="209">
        <f t="shared" si="112"/>
        <v>11.4256472625281</v>
      </c>
      <c r="V122" s="68">
        <f t="shared" si="112"/>
        <v>220.73675630267545</v>
      </c>
      <c r="W122" s="68">
        <f t="shared" si="112"/>
        <v>98.663181646802144</v>
      </c>
      <c r="X122" s="68">
        <f t="shared" si="112"/>
        <v>-238.77551435183744</v>
      </c>
      <c r="Y122" s="68">
        <f t="shared" si="112"/>
        <v>9.2519706323272146</v>
      </c>
      <c r="Z122" s="68">
        <f t="shared" si="112"/>
        <v>165.78757930573761</v>
      </c>
      <c r="AA122" s="68">
        <f t="shared" si="112"/>
        <v>74.432477328805959</v>
      </c>
      <c r="AB122" s="68">
        <f t="shared" si="112"/>
        <v>-178.02479712581993</v>
      </c>
      <c r="AC122" s="68">
        <f t="shared" si="112"/>
        <v>7.4790999691403499</v>
      </c>
      <c r="AD122" s="68">
        <f t="shared" si="112"/>
        <v>124.54421870413967</v>
      </c>
      <c r="AE122" s="68">
        <f t="shared" si="112"/>
        <v>56.175988716863742</v>
      </c>
      <c r="AF122" s="68">
        <f t="shared" si="112"/>
        <v>-132.70335141637747</v>
      </c>
      <c r="AG122" s="68">
        <f t="shared" si="112"/>
        <v>6.0366408494977151</v>
      </c>
      <c r="AH122" s="68">
        <f t="shared" si="112"/>
        <v>93.582374498104755</v>
      </c>
      <c r="AI122" s="68">
        <f t="shared" si="112"/>
        <v>42.415740528293668</v>
      </c>
      <c r="AJ122" s="68">
        <f t="shared" si="112"/>
        <v>-98.898130633188458</v>
      </c>
      <c r="AK122" s="68">
        <f t="shared" si="112"/>
        <v>4.8655632412878305</v>
      </c>
      <c r="AL122" s="68"/>
      <c r="AR122" s="68">
        <f>AR121*$D$102</f>
        <v>26.587970596485363</v>
      </c>
      <c r="AS122" s="68">
        <f>AS121-AS123-AS124-AS125</f>
        <v>9.7752335646138047</v>
      </c>
      <c r="AT122" s="214">
        <f>S122*'Data &amp; Assumptions'!$D$95</f>
        <v>9.374064293765473</v>
      </c>
      <c r="AU122" s="214">
        <f>T122*'Data &amp; Assumptions'!$D$95</f>
        <v>24.291238899050754</v>
      </c>
      <c r="AV122" s="255">
        <f>U122*'Data &amp; Assumptions'!$D$95</f>
        <v>8.5692354468960747</v>
      </c>
      <c r="AW122" s="214">
        <f>V122*'Data &amp; Assumptions'!$D$95</f>
        <v>165.55256722700659</v>
      </c>
      <c r="AX122" s="214">
        <f>W122*'Data &amp; Assumptions'!$D$95</f>
        <v>73.997386235101601</v>
      </c>
      <c r="AY122" s="214">
        <f>X122*'Data &amp; Assumptions'!$D$95</f>
        <v>-179.08163576387807</v>
      </c>
      <c r="AZ122" s="214">
        <f>Y122*'Data &amp; Assumptions'!$D$95</f>
        <v>6.938977974245411</v>
      </c>
      <c r="BA122" s="214">
        <f>Z122*'Data &amp; Assumptions'!$D$95</f>
        <v>124.34068447930321</v>
      </c>
      <c r="BB122" s="214">
        <f>AA122*'Data &amp; Assumptions'!$D$95</f>
        <v>55.824357996604469</v>
      </c>
      <c r="BC122" s="214">
        <f>AB122*'Data &amp; Assumptions'!$D$95</f>
        <v>-133.51859784436493</v>
      </c>
      <c r="BD122" s="214">
        <f>AC122*'Data &amp; Assumptions'!$D$95</f>
        <v>5.6093249768552624</v>
      </c>
      <c r="BE122" s="214">
        <f>AD122*'Data &amp; Assumptions'!$D$95</f>
        <v>93.40816402810475</v>
      </c>
      <c r="BF122" s="214">
        <f>AE122*'Data &amp; Assumptions'!$D$95</f>
        <v>42.131991537647806</v>
      </c>
      <c r="BG122" s="214">
        <f>AF122*'Data &amp; Assumptions'!$D$95</f>
        <v>-99.527513562283104</v>
      </c>
      <c r="BH122" s="214">
        <f>AG122*'Data &amp; Assumptions'!$D$95</f>
        <v>4.5274806371232863</v>
      </c>
      <c r="BI122" s="214">
        <f>AH122*'Data &amp; Assumptions'!$D$95</f>
        <v>70.18678087357857</v>
      </c>
      <c r="BJ122" s="214">
        <f>AI122*'Data &amp; Assumptions'!$D$95</f>
        <v>31.811805396220251</v>
      </c>
      <c r="BK122" s="214">
        <f>AJ122*'Data &amp; Assumptions'!$D$95</f>
        <v>-74.173597974891351</v>
      </c>
      <c r="BL122" s="214">
        <f>AK122*'Data &amp; Assumptions'!$D$95</f>
        <v>3.6491724309658728</v>
      </c>
    </row>
    <row r="123" spans="7:73" x14ac:dyDescent="0.2">
      <c r="H123" t="s">
        <v>278</v>
      </c>
      <c r="L123" s="182" t="s">
        <v>55</v>
      </c>
      <c r="M123" s="63"/>
      <c r="Q123" s="68">
        <f>Q121*$D$103</f>
        <v>26.587970596485363</v>
      </c>
      <c r="R123" s="209">
        <f>Q122*(1-'Data &amp; Assumptions'!$D$117)</f>
        <v>24.726812654731386</v>
      </c>
      <c r="S123" s="68">
        <f>R122*(1-'Data &amp; Assumptions'!$D$117)</f>
        <v>12.595220196003543</v>
      </c>
      <c r="T123" s="68">
        <f>S122*(1-'Data &amp; Assumptions'!$D$117)</f>
        <v>11.623839724269185</v>
      </c>
      <c r="U123" s="209">
        <f>T122*(1-'Data &amp; Assumptions'!$D$117)</f>
        <v>30.121136234822934</v>
      </c>
      <c r="V123" s="68">
        <f>U122*(1-'Data &amp; Assumptions'!$D$117)</f>
        <v>10.625851954151132</v>
      </c>
      <c r="W123" s="68">
        <f>V122*(1-'Data &amp; Assumptions'!$D$117)</f>
        <v>205.28518336148815</v>
      </c>
      <c r="X123" s="68">
        <f>W122*(1-'Data &amp; Assumptions'!$D$117)</f>
        <v>91.756758931525994</v>
      </c>
      <c r="Y123" s="68">
        <f>X122*(1-'Data &amp; Assumptions'!$D$117)</f>
        <v>-222.06122834720881</v>
      </c>
      <c r="Z123" s="68">
        <f>Y122*(1-'Data &amp; Assumptions'!$D$117)</f>
        <v>8.604332688064309</v>
      </c>
      <c r="AA123" s="68">
        <f>Z122*(1-'Data &amp; Assumptions'!$D$117)</f>
        <v>154.18244875433598</v>
      </c>
      <c r="AB123" s="68">
        <f>AA122*(1-'Data &amp; Assumptions'!$D$117)</f>
        <v>69.222203915789535</v>
      </c>
      <c r="AC123" s="68">
        <f>AB122*(1-'Data &amp; Assumptions'!$D$117)</f>
        <v>-165.56306132701252</v>
      </c>
      <c r="AD123" s="68">
        <f>AC122*(1-'Data &amp; Assumptions'!$D$117)</f>
        <v>6.9555629713005249</v>
      </c>
      <c r="AE123" s="68">
        <f>AD122*(1-'Data &amp; Assumptions'!$D$117)</f>
        <v>115.82612339484989</v>
      </c>
      <c r="AF123" s="68">
        <f>AE122*(1-'Data &amp; Assumptions'!$D$117)</f>
        <v>52.243669506683275</v>
      </c>
      <c r="AG123" s="68">
        <f>AF122*(1-'Data &amp; Assumptions'!$D$117)</f>
        <v>-123.41411681723105</v>
      </c>
      <c r="AH123" s="68">
        <f>AG122*(1-'Data &amp; Assumptions'!$D$117)</f>
        <v>5.6140759900328749</v>
      </c>
      <c r="AI123" s="68">
        <f>AH122*(1-'Data &amp; Assumptions'!$D$117)</f>
        <v>87.031608283237418</v>
      </c>
      <c r="AJ123" s="68">
        <f>AI122*(1-'Data &amp; Assumptions'!$D$117)</f>
        <v>39.446638691313112</v>
      </c>
      <c r="AK123" s="68">
        <f>AJ122*(1-'Data &amp; Assumptions'!$D$117)</f>
        <v>-91.975261488865257</v>
      </c>
      <c r="AL123" s="68"/>
      <c r="AR123" s="68">
        <f>AR121*$D$103</f>
        <v>26.587970596485363</v>
      </c>
      <c r="AS123" s="68">
        <f>AR122*(1-'Data &amp; Assumptions'!$D$117)</f>
        <v>24.726812654731386</v>
      </c>
      <c r="AT123" s="214">
        <f>S123*'Data &amp; Assumptions'!$D$95</f>
        <v>9.4464151470026572</v>
      </c>
      <c r="AU123" s="214">
        <f>T123*'Data &amp; Assumptions'!$D$95</f>
        <v>8.7178797932018881</v>
      </c>
      <c r="AV123" s="255">
        <f>U123*'Data &amp; Assumptions'!$D$95</f>
        <v>22.590852176117203</v>
      </c>
      <c r="AW123" s="214">
        <f>V123*'Data &amp; Assumptions'!$D$95</f>
        <v>7.9693889656133496</v>
      </c>
      <c r="AX123" s="214">
        <f>W123*'Data &amp; Assumptions'!$D$95</f>
        <v>153.96388752111611</v>
      </c>
      <c r="AY123" s="214">
        <f>X123*'Data &amp; Assumptions'!$D$95</f>
        <v>68.817569198644492</v>
      </c>
      <c r="AZ123" s="214">
        <f>Y123*'Data &amp; Assumptions'!$D$95</f>
        <v>-166.5459212604066</v>
      </c>
      <c r="BA123" s="214">
        <f>Z123*'Data &amp; Assumptions'!$D$95</f>
        <v>6.4532495160482313</v>
      </c>
      <c r="BB123" s="214">
        <f>AA123*'Data &amp; Assumptions'!$D$95</f>
        <v>115.63683656575199</v>
      </c>
      <c r="BC123" s="214">
        <f>AB123*'Data &amp; Assumptions'!$D$95</f>
        <v>51.916652936842155</v>
      </c>
      <c r="BD123" s="214">
        <f>AC123*'Data &amp; Assumptions'!$D$95</f>
        <v>-124.17229599525939</v>
      </c>
      <c r="BE123" s="214">
        <f>AD123*'Data &amp; Assumptions'!$D$95</f>
        <v>5.2166722284753941</v>
      </c>
      <c r="BF123" s="214">
        <f>AE123*'Data &amp; Assumptions'!$D$95</f>
        <v>86.869592546137412</v>
      </c>
      <c r="BG123" s="214">
        <f>AF123*'Data &amp; Assumptions'!$D$95</f>
        <v>39.18275213001246</v>
      </c>
      <c r="BH123" s="214">
        <f>AG123*'Data &amp; Assumptions'!$D$95</f>
        <v>-92.560587612923285</v>
      </c>
      <c r="BI123" s="214">
        <f>AH123*'Data &amp; Assumptions'!$D$95</f>
        <v>4.2105569925246566</v>
      </c>
      <c r="BJ123" s="214">
        <f>AI123*'Data &amp; Assumptions'!$D$95</f>
        <v>65.273706212428067</v>
      </c>
      <c r="BK123" s="214">
        <f>AJ123*'Data &amp; Assumptions'!$D$95</f>
        <v>29.584979018484834</v>
      </c>
      <c r="BL123" s="214">
        <f>AK123*'Data &amp; Assumptions'!$D$95</f>
        <v>-68.981446116648939</v>
      </c>
    </row>
    <row r="124" spans="7:73" x14ac:dyDescent="0.2">
      <c r="H124" t="s">
        <v>279</v>
      </c>
      <c r="L124" s="182" t="s">
        <v>55</v>
      </c>
      <c r="M124" s="63"/>
      <c r="Q124" s="68">
        <f>Q121*$D$104</f>
        <v>13.293985298242681</v>
      </c>
      <c r="R124" s="209">
        <f>Q123*(1-'Data &amp; Assumptions'!$D$117)</f>
        <v>24.726812654731386</v>
      </c>
      <c r="S124" s="68">
        <f>R123*(1-'Data &amp; Assumptions'!$D$117)</f>
        <v>22.995935768900189</v>
      </c>
      <c r="T124" s="68">
        <f>S123*(1-'Data &amp; Assumptions'!$D$117)</f>
        <v>11.713554782283294</v>
      </c>
      <c r="U124" s="209">
        <f>T123*(1-'Data &amp; Assumptions'!$D$117)</f>
        <v>10.810170943570341</v>
      </c>
      <c r="V124" s="68">
        <f>U123*(1-'Data &amp; Assumptions'!$D$117)</f>
        <v>28.012656698385328</v>
      </c>
      <c r="W124" s="68">
        <f>V123*(1-'Data &amp; Assumptions'!$D$117)</f>
        <v>9.8820423173605523</v>
      </c>
      <c r="X124" s="68">
        <f>W123*(1-'Data &amp; Assumptions'!$D$117)</f>
        <v>190.91522052618396</v>
      </c>
      <c r="Y124" s="68">
        <f>X123*(1-'Data &amp; Assumptions'!$D$117)</f>
        <v>85.33378580631917</v>
      </c>
      <c r="Z124" s="68">
        <f>Y123*(1-'Data &amp; Assumptions'!$D$117)</f>
        <v>-206.51694236290419</v>
      </c>
      <c r="AA124" s="68">
        <f>Z123*(1-'Data &amp; Assumptions'!$D$117)</f>
        <v>8.002029399899806</v>
      </c>
      <c r="AB124" s="68">
        <f>AA123*(1-'Data &amp; Assumptions'!$D$117)</f>
        <v>143.38967734153246</v>
      </c>
      <c r="AC124" s="68">
        <f>AB123*(1-'Data &amp; Assumptions'!$D$117)</f>
        <v>64.376649641684267</v>
      </c>
      <c r="AD124" s="68">
        <f>AC123*(1-'Data &amp; Assumptions'!$D$117)</f>
        <v>-153.97364703412163</v>
      </c>
      <c r="AE124" s="68">
        <f>AD123*(1-'Data &amp; Assumptions'!$D$117)</f>
        <v>6.4686735633094878</v>
      </c>
      <c r="AF124" s="68">
        <f>AE123*(1-'Data &amp; Assumptions'!$D$117)</f>
        <v>107.71829475721039</v>
      </c>
      <c r="AG124" s="68">
        <f>AF123*(1-'Data &amp; Assumptions'!$D$117)</f>
        <v>48.586612641215446</v>
      </c>
      <c r="AH124" s="68">
        <f>AG123*(1-'Data &amp; Assumptions'!$D$117)</f>
        <v>-114.77512864002486</v>
      </c>
      <c r="AI124" s="68">
        <f>AH123*(1-'Data &amp; Assumptions'!$D$117)</f>
        <v>5.2210906707305735</v>
      </c>
      <c r="AJ124" s="68">
        <f>AI123*(1-'Data &amp; Assumptions'!$D$117)</f>
        <v>80.939395703410796</v>
      </c>
      <c r="AK124" s="68">
        <f>AJ123*(1-'Data &amp; Assumptions'!$D$117)</f>
        <v>36.685373982921192</v>
      </c>
      <c r="AL124" s="68"/>
      <c r="AR124" s="68">
        <f>AR121*$D$104</f>
        <v>13.293985298242681</v>
      </c>
      <c r="AS124" s="68">
        <f>AR123*(1-'Data &amp; Assumptions'!$D$117)</f>
        <v>24.726812654731386</v>
      </c>
      <c r="AT124" s="214">
        <f>S124*'Data &amp; Assumptions'!$D$95</f>
        <v>17.246951826675144</v>
      </c>
      <c r="AU124" s="214">
        <f>T124*'Data &amp; Assumptions'!$D$95</f>
        <v>8.7851660867124703</v>
      </c>
      <c r="AV124" s="255">
        <f>U124*'Data &amp; Assumptions'!$D$95</f>
        <v>8.1076282076777559</v>
      </c>
      <c r="AW124" s="214">
        <f>V124*'Data &amp; Assumptions'!$D$95</f>
        <v>21.009492523788996</v>
      </c>
      <c r="AX124" s="214">
        <f>W124*'Data &amp; Assumptions'!$D$95</f>
        <v>7.4115317380204147</v>
      </c>
      <c r="AY124" s="214">
        <f>X124*'Data &amp; Assumptions'!$D$95</f>
        <v>143.18641539463798</v>
      </c>
      <c r="AZ124" s="214">
        <f>Y124*'Data &amp; Assumptions'!$D$95</f>
        <v>64.000339354739381</v>
      </c>
      <c r="BA124" s="214">
        <f>Z124*'Data &amp; Assumptions'!$D$95</f>
        <v>-154.88770677217815</v>
      </c>
      <c r="BB124" s="214">
        <f>AA124*'Data &amp; Assumptions'!$D$95</f>
        <v>6.0015220499248549</v>
      </c>
      <c r="BC124" s="214">
        <f>AB124*'Data &amp; Assumptions'!$D$95</f>
        <v>107.54225800614935</v>
      </c>
      <c r="BD124" s="214">
        <f>AC124*'Data &amp; Assumptions'!$D$95</f>
        <v>48.282487231263204</v>
      </c>
      <c r="BE124" s="214">
        <f>AD124*'Data &amp; Assumptions'!$D$95</f>
        <v>-115.48023527559121</v>
      </c>
      <c r="BF124" s="214">
        <f>AE124*'Data &amp; Assumptions'!$D$95</f>
        <v>4.8515051724821161</v>
      </c>
      <c r="BG124" s="214">
        <f>AF124*'Data &amp; Assumptions'!$D$95</f>
        <v>80.788721067907787</v>
      </c>
      <c r="BH124" s="214">
        <f>AG124*'Data &amp; Assumptions'!$D$95</f>
        <v>36.439959480911583</v>
      </c>
      <c r="BI124" s="214">
        <f>AH124*'Data &amp; Assumptions'!$D$95</f>
        <v>-86.081346480018652</v>
      </c>
      <c r="BJ124" s="214">
        <f>AI124*'Data &amp; Assumptions'!$D$95</f>
        <v>3.9158180030479302</v>
      </c>
      <c r="BK124" s="214">
        <f>AJ124*'Data &amp; Assumptions'!$D$95</f>
        <v>60.704546777558093</v>
      </c>
      <c r="BL124" s="214">
        <f>AK124*'Data &amp; Assumptions'!$D$95</f>
        <v>27.514030487190894</v>
      </c>
    </row>
    <row r="125" spans="7:73" x14ac:dyDescent="0.2">
      <c r="H125" t="s">
        <v>280</v>
      </c>
      <c r="L125" s="182" t="s">
        <v>55</v>
      </c>
      <c r="M125" s="63"/>
      <c r="Q125" s="68">
        <f>Q121*$D$105</f>
        <v>0</v>
      </c>
      <c r="R125" s="209">
        <f>Q124*(1-'Data &amp; Assumptions'!$D$117)</f>
        <v>12.363406327365693</v>
      </c>
      <c r="S125" s="68">
        <f>R124*(1-'Data &amp; Assumptions'!$D$117)</f>
        <v>22.995935768900189</v>
      </c>
      <c r="T125" s="68">
        <f>S124*(1-'Data &amp; Assumptions'!$D$117)</f>
        <v>21.386220265077174</v>
      </c>
      <c r="U125" s="209">
        <f>T124*(1-'Data &amp; Assumptions'!$D$117)</f>
        <v>10.893605947523463</v>
      </c>
      <c r="V125" s="68">
        <f>U124*(1-'Data &amp; Assumptions'!$D$117)</f>
        <v>10.053458977520418</v>
      </c>
      <c r="W125" s="68">
        <f>V124*(1-'Data &amp; Assumptions'!$D$117)</f>
        <v>26.051770729498354</v>
      </c>
      <c r="X125" s="68">
        <f>W124*(1-'Data &amp; Assumptions'!$D$117)</f>
        <v>9.1902993551453136</v>
      </c>
      <c r="Y125" s="68">
        <f>X124*(1-'Data &amp; Assumptions'!$D$117)</f>
        <v>177.55115508935106</v>
      </c>
      <c r="Z125" s="68">
        <f>Y124*(1-'Data &amp; Assumptions'!$D$117)</f>
        <v>79.36042079987682</v>
      </c>
      <c r="AA125" s="68">
        <f>Z124*(1-'Data &amp; Assumptions'!$D$117)</f>
        <v>-192.06075639750088</v>
      </c>
      <c r="AB125" s="68">
        <f>AA124*(1-'Data &amp; Assumptions'!$D$117)</f>
        <v>7.4418873419068188</v>
      </c>
      <c r="AC125" s="68">
        <f>AB124*(1-'Data &amp; Assumptions'!$D$117)</f>
        <v>133.35239992762519</v>
      </c>
      <c r="AD125" s="68">
        <f>AC124*(1-'Data &amp; Assumptions'!$D$117)</f>
        <v>59.870284166766368</v>
      </c>
      <c r="AE125" s="68">
        <f>AD124*(1-'Data &amp; Assumptions'!$D$117)</f>
        <v>-143.19549174173309</v>
      </c>
      <c r="AF125" s="68">
        <f>AE124*(1-'Data &amp; Assumptions'!$D$117)</f>
        <v>6.0158664138778235</v>
      </c>
      <c r="AG125" s="68">
        <f>AF124*(1-'Data &amp; Assumptions'!$D$117)</f>
        <v>100.17801412420566</v>
      </c>
      <c r="AH125" s="68">
        <f>AG124*(1-'Data &amp; Assumptions'!$D$117)</f>
        <v>45.18554975633036</v>
      </c>
      <c r="AI125" s="68">
        <f>AH124*(1-'Data &amp; Assumptions'!$D$117)</f>
        <v>-106.74086963522311</v>
      </c>
      <c r="AJ125" s="68">
        <f>AI124*(1-'Data &amp; Assumptions'!$D$117)</f>
        <v>4.8556143237794327</v>
      </c>
      <c r="AK125" s="68">
        <f>AJ124*(1-'Data &amp; Assumptions'!$D$117)</f>
        <v>75.273638004172028</v>
      </c>
      <c r="AL125" s="68"/>
      <c r="AR125" s="68">
        <f>AR121*$D$105</f>
        <v>0</v>
      </c>
      <c r="AS125" s="68">
        <f>AR124*(1-'Data &amp; Assumptions'!$D$117)</f>
        <v>12.363406327365693</v>
      </c>
      <c r="AT125" s="214">
        <f>S125*'Data &amp; Assumptions'!$D$95</f>
        <v>17.246951826675144</v>
      </c>
      <c r="AU125" s="214">
        <f>T125*'Data &amp; Assumptions'!$D$95</f>
        <v>16.039665198807882</v>
      </c>
      <c r="AV125" s="255">
        <f>U125*'Data &amp; Assumptions'!$D$95</f>
        <v>8.1702044606425979</v>
      </c>
      <c r="AW125" s="214">
        <f>V125*'Data &amp; Assumptions'!$D$95</f>
        <v>7.5400942331403131</v>
      </c>
      <c r="AX125" s="214">
        <f>W125*'Data &amp; Assumptions'!$D$95</f>
        <v>19.538828047123765</v>
      </c>
      <c r="AY125" s="214">
        <f>X125*'Data &amp; Assumptions'!$D$95</f>
        <v>6.8927245163589852</v>
      </c>
      <c r="AZ125" s="214">
        <f>Y125*'Data &amp; Assumptions'!$D$95</f>
        <v>133.1633663170133</v>
      </c>
      <c r="BA125" s="214">
        <f>Z125*'Data &amp; Assumptions'!$D$95</f>
        <v>59.520315599907619</v>
      </c>
      <c r="BB125" s="214">
        <f>AA125*'Data &amp; Assumptions'!$D$95</f>
        <v>-144.04556729812566</v>
      </c>
      <c r="BC125" s="214">
        <f>AB125*'Data &amp; Assumptions'!$D$95</f>
        <v>5.5814155064301136</v>
      </c>
      <c r="BD125" s="214">
        <f>AC125*'Data &amp; Assumptions'!$D$95</f>
        <v>100.01429994571889</v>
      </c>
      <c r="BE125" s="214">
        <f>AD125*'Data &amp; Assumptions'!$D$95</f>
        <v>44.902713125074776</v>
      </c>
      <c r="BF125" s="214">
        <f>AE125*'Data &amp; Assumptions'!$D$95</f>
        <v>-107.39661880629981</v>
      </c>
      <c r="BG125" s="214">
        <f>AF125*'Data &amp; Assumptions'!$D$95</f>
        <v>4.5118998104083676</v>
      </c>
      <c r="BH125" s="214">
        <f>AG125*'Data &amp; Assumptions'!$D$95</f>
        <v>75.133510593154242</v>
      </c>
      <c r="BI125" s="214">
        <f>AH125*'Data &amp; Assumptions'!$D$95</f>
        <v>33.889162317247767</v>
      </c>
      <c r="BJ125" s="214">
        <f>AI125*'Data &amp; Assumptions'!$D$95</f>
        <v>-80.055652226417322</v>
      </c>
      <c r="BK125" s="214">
        <f>AJ125*'Data &amp; Assumptions'!$D$95</f>
        <v>3.6417107428345745</v>
      </c>
      <c r="BL125" s="214">
        <f>AK125*'Data &amp; Assumptions'!$D$95</f>
        <v>56.455228503129021</v>
      </c>
    </row>
    <row r="126" spans="7:73" s="1" customFormat="1" x14ac:dyDescent="0.2">
      <c r="G126" s="122" t="s">
        <v>286</v>
      </c>
      <c r="L126" s="182" t="s">
        <v>55</v>
      </c>
      <c r="M126" s="124"/>
      <c r="Q126" s="125">
        <f t="shared" ref="Q126:AK126" si="113">(Q66-P66)*Q99</f>
        <v>9.5049229143468672</v>
      </c>
      <c r="R126" s="244">
        <f t="shared" si="113"/>
        <v>10.776206354140754</v>
      </c>
      <c r="S126" s="125">
        <f t="shared" si="113"/>
        <v>10.164979929733892</v>
      </c>
      <c r="T126" s="125">
        <f t="shared" si="113"/>
        <v>11.026685608337294</v>
      </c>
      <c r="U126" s="244">
        <f t="shared" si="113"/>
        <v>9.0445669570716785</v>
      </c>
      <c r="V126" s="125">
        <f t="shared" si="113"/>
        <v>38.527186459729094</v>
      </c>
      <c r="W126" s="125">
        <f t="shared" si="113"/>
        <v>48.60173725032719</v>
      </c>
      <c r="X126" s="125">
        <f t="shared" si="113"/>
        <v>7.5911864298625797</v>
      </c>
      <c r="Y126" s="125">
        <f t="shared" si="113"/>
        <v>7.1606143355607745</v>
      </c>
      <c r="Z126" s="125">
        <f t="shared" si="113"/>
        <v>6.7544642904477605</v>
      </c>
      <c r="AA126" s="125">
        <f t="shared" si="113"/>
        <v>6.3713510758935916</v>
      </c>
      <c r="AB126" s="125">
        <f t="shared" si="113"/>
        <v>6.0099680428688984</v>
      </c>
      <c r="AC126" s="125">
        <f t="shared" si="113"/>
        <v>5.6690826554773492</v>
      </c>
      <c r="AD126" s="125">
        <f t="shared" si="113"/>
        <v>5.3475322872587325</v>
      </c>
      <c r="AE126" s="125">
        <f t="shared" si="113"/>
        <v>5.0442202559253708</v>
      </c>
      <c r="AF126" s="125">
        <f t="shared" si="113"/>
        <v>4.7581120830093111</v>
      </c>
      <c r="AG126" s="125">
        <f t="shared" si="113"/>
        <v>4.4882319656611003</v>
      </c>
      <c r="AH126" s="125">
        <f t="shared" si="113"/>
        <v>4.2336594485687264</v>
      </c>
      <c r="AI126" s="125">
        <f t="shared" si="113"/>
        <v>3.9935262846459039</v>
      </c>
      <c r="AJ126" s="125">
        <f t="shared" si="113"/>
        <v>3.7670134737808305</v>
      </c>
      <c r="AK126" s="125">
        <f t="shared" si="113"/>
        <v>3.5533484695479847</v>
      </c>
      <c r="AL126" s="125"/>
      <c r="AM126" s="207"/>
      <c r="AR126" s="125">
        <f>(AR66-AQ66)*AR99</f>
        <v>9.5049229143468672</v>
      </c>
      <c r="AS126" s="125">
        <f>(AS66-AR66)*AS99</f>
        <v>10.237396036433717</v>
      </c>
      <c r="AT126" s="125">
        <f>S126*'Data &amp; Assumptions'!$D$95</f>
        <v>7.6237349473004192</v>
      </c>
      <c r="AU126" s="125">
        <f>T126*'Data &amp; Assumptions'!$D$95</f>
        <v>8.27001420625297</v>
      </c>
      <c r="AV126" s="244">
        <f>U126*'Data &amp; Assumptions'!$D$95</f>
        <v>6.7834252178037584</v>
      </c>
      <c r="AW126" s="125">
        <f>V126*'Data &amp; Assumptions'!$D$95</f>
        <v>28.895389844796821</v>
      </c>
      <c r="AX126" s="125">
        <f>W126*'Data &amp; Assumptions'!$D$95</f>
        <v>36.451302937745396</v>
      </c>
      <c r="AY126" s="125">
        <f>X126*'Data &amp; Assumptions'!$D$95</f>
        <v>5.6933898223969344</v>
      </c>
      <c r="AZ126" s="125">
        <f>Y126*'Data &amp; Assumptions'!$D$95</f>
        <v>5.3704607516705813</v>
      </c>
      <c r="BA126" s="125">
        <f>Z126*'Data &amp; Assumptions'!$D$95</f>
        <v>5.0658482178358204</v>
      </c>
      <c r="BB126" s="125">
        <f>AA126*'Data &amp; Assumptions'!$D$95</f>
        <v>4.7785133069201935</v>
      </c>
      <c r="BC126" s="125">
        <f>AB126*'Data &amp; Assumptions'!$D$95</f>
        <v>4.5074760321516738</v>
      </c>
      <c r="BD126" s="125">
        <f>AC126*'Data &amp; Assumptions'!$D$95</f>
        <v>4.2518119916080117</v>
      </c>
      <c r="BE126" s="125">
        <f>AD126*'Data &amp; Assumptions'!$D$95</f>
        <v>4.0106492154440492</v>
      </c>
      <c r="BF126" s="125">
        <f>AE126*'Data &amp; Assumptions'!$D$95</f>
        <v>3.7831651919440281</v>
      </c>
      <c r="BG126" s="125">
        <f>AF126*'Data &amp; Assumptions'!$D$95</f>
        <v>3.5685840622569831</v>
      </c>
      <c r="BH126" s="125">
        <f>AG126*'Data &amp; Assumptions'!$D$95</f>
        <v>3.3661739742458252</v>
      </c>
      <c r="BI126" s="125">
        <f>AH126*'Data &amp; Assumptions'!$D$95</f>
        <v>3.1752445864265448</v>
      </c>
      <c r="BJ126" s="125">
        <f>AI126*'Data &amp; Assumptions'!$D$95</f>
        <v>2.9951447134844278</v>
      </c>
      <c r="BK126" s="125">
        <f>AJ126*'Data &amp; Assumptions'!$D$95</f>
        <v>2.825260105335623</v>
      </c>
      <c r="BL126" s="125">
        <f>AK126*'Data &amp; Assumptions'!$D$95</f>
        <v>2.6650113521609886</v>
      </c>
      <c r="BN126" s="207"/>
      <c r="BU126" s="233"/>
    </row>
    <row r="127" spans="7:73" x14ac:dyDescent="0.2">
      <c r="H127" t="s">
        <v>277</v>
      </c>
      <c r="L127" s="182" t="s">
        <v>55</v>
      </c>
      <c r="M127" s="63"/>
      <c r="Q127" s="68">
        <f>Q126*$D$102</f>
        <v>3.8019691657387469</v>
      </c>
      <c r="R127" s="209">
        <f>R126-R128-R129-R130</f>
        <v>1.936628043798168</v>
      </c>
      <c r="S127" s="68">
        <f t="shared" ref="S127:AK127" si="114">S126-S128-S129-S130</f>
        <v>1.7872695861067132</v>
      </c>
      <c r="T127" s="68">
        <f t="shared" si="114"/>
        <v>4.6313947859308939</v>
      </c>
      <c r="U127" s="209">
        <f t="shared" si="114"/>
        <v>1.6338200177068884</v>
      </c>
      <c r="V127" s="68">
        <f t="shared" si="114"/>
        <v>31.564437690438027</v>
      </c>
      <c r="W127" s="68">
        <f t="shared" si="114"/>
        <v>14.108424449078123</v>
      </c>
      <c r="X127" s="68">
        <f t="shared" si="114"/>
        <v>-34.143905034222584</v>
      </c>
      <c r="Y127" s="68">
        <f t="shared" si="114"/>
        <v>1.3229933040124529</v>
      </c>
      <c r="Z127" s="68">
        <f t="shared" si="114"/>
        <v>23.706934017228164</v>
      </c>
      <c r="AA127" s="68">
        <f t="shared" si="114"/>
        <v>10.643534552843199</v>
      </c>
      <c r="AB127" s="68">
        <f t="shared" si="114"/>
        <v>-25.456805247811456</v>
      </c>
      <c r="AC127" s="68">
        <f t="shared" si="114"/>
        <v>1.0694801758923305</v>
      </c>
      <c r="AD127" s="68">
        <f t="shared" si="114"/>
        <v>17.809305060189697</v>
      </c>
      <c r="AE127" s="68">
        <f t="shared" si="114"/>
        <v>8.0329326445335543</v>
      </c>
      <c r="AF127" s="68">
        <f t="shared" si="114"/>
        <v>-18.976027088805186</v>
      </c>
      <c r="AG127" s="68">
        <f t="shared" si="114"/>
        <v>0.86321452369385021</v>
      </c>
      <c r="AH127" s="68">
        <f t="shared" si="114"/>
        <v>13.38189016748197</v>
      </c>
      <c r="AI127" s="68">
        <f t="shared" si="114"/>
        <v>6.0652744084149308</v>
      </c>
      <c r="AJ127" s="68">
        <f t="shared" si="114"/>
        <v>-14.142021176535023</v>
      </c>
      <c r="AK127" s="68">
        <f t="shared" si="114"/>
        <v>0.69575529844219197</v>
      </c>
      <c r="AL127" s="68"/>
      <c r="AR127" s="68">
        <f>AR126*$D$102</f>
        <v>3.8019691657387469</v>
      </c>
      <c r="AS127" s="68">
        <f>AS126-AS128-AS129-AS130</f>
        <v>1.3978177260911306</v>
      </c>
      <c r="AT127" s="214">
        <f>S127*'Data &amp; Assumptions'!$D$95</f>
        <v>1.3404521895800348</v>
      </c>
      <c r="AU127" s="214">
        <f>T127*'Data &amp; Assumptions'!$D$95</f>
        <v>3.4735460894481704</v>
      </c>
      <c r="AV127" s="255">
        <f>U127*'Data &amp; Assumptions'!$D$95</f>
        <v>1.2253650132801663</v>
      </c>
      <c r="AW127" s="214">
        <f>V127*'Data &amp; Assumptions'!$D$95</f>
        <v>23.67332826782852</v>
      </c>
      <c r="AX127" s="214">
        <f>W127*'Data &amp; Assumptions'!$D$95</f>
        <v>10.581318336808593</v>
      </c>
      <c r="AY127" s="214">
        <f>X127*'Data &amp; Assumptions'!$D$95</f>
        <v>-25.607928775666938</v>
      </c>
      <c r="AZ127" s="214">
        <f>Y127*'Data &amp; Assumptions'!$D$95</f>
        <v>0.99224497800933964</v>
      </c>
      <c r="BA127" s="214">
        <f>Z127*'Data &amp; Assumptions'!$D$95</f>
        <v>17.780200512921123</v>
      </c>
      <c r="BB127" s="214">
        <f>AA127*'Data &amp; Assumptions'!$D$95</f>
        <v>7.9826509146323996</v>
      </c>
      <c r="BC127" s="214">
        <f>AB127*'Data &amp; Assumptions'!$D$95</f>
        <v>-19.092603935858591</v>
      </c>
      <c r="BD127" s="214">
        <f>AC127*'Data &amp; Assumptions'!$D$95</f>
        <v>0.80211013191924785</v>
      </c>
      <c r="BE127" s="214">
        <f>AD127*'Data &amp; Assumptions'!$D$95</f>
        <v>13.356978795142272</v>
      </c>
      <c r="BF127" s="214">
        <f>AE127*'Data &amp; Assumptions'!$D$95</f>
        <v>6.0246994834001661</v>
      </c>
      <c r="BG127" s="214">
        <f>AF127*'Data &amp; Assumptions'!$D$95</f>
        <v>-14.23202031660389</v>
      </c>
      <c r="BH127" s="214">
        <f>AG127*'Data &amp; Assumptions'!$D$95</f>
        <v>0.64741089277038766</v>
      </c>
      <c r="BI127" s="214">
        <f>AH127*'Data &amp; Assumptions'!$D$95</f>
        <v>10.036417625611477</v>
      </c>
      <c r="BJ127" s="214">
        <f>AI127*'Data &amp; Assumptions'!$D$95</f>
        <v>4.5489558063111986</v>
      </c>
      <c r="BK127" s="214">
        <f>AJ127*'Data &amp; Assumptions'!$D$95</f>
        <v>-10.606515882401267</v>
      </c>
      <c r="BL127" s="214">
        <f>AK127*'Data &amp; Assumptions'!$D$95</f>
        <v>0.52181647383164398</v>
      </c>
    </row>
    <row r="128" spans="7:73" x14ac:dyDescent="0.2">
      <c r="H128" t="s">
        <v>278</v>
      </c>
      <c r="L128" s="182" t="s">
        <v>55</v>
      </c>
      <c r="M128" s="63"/>
      <c r="Q128" s="68">
        <f>Q126*$D$103</f>
        <v>3.8019691657387469</v>
      </c>
      <c r="R128" s="209">
        <f>Q127*(1-'Data &amp; Assumptions'!$D$117)</f>
        <v>3.5358313241370345</v>
      </c>
      <c r="S128" s="68">
        <f>R127*(1-'Data &amp; Assumptions'!$D$117)</f>
        <v>1.8010640807322962</v>
      </c>
      <c r="T128" s="68">
        <f>S127*(1-'Data &amp; Assumptions'!$D$117)</f>
        <v>1.6621607150792432</v>
      </c>
      <c r="U128" s="209">
        <f>T127*(1-'Data &amp; Assumptions'!$D$117)</f>
        <v>4.307197150915731</v>
      </c>
      <c r="V128" s="68">
        <f>U127*(1-'Data &amp; Assumptions'!$D$117)</f>
        <v>1.5194526164674063</v>
      </c>
      <c r="W128" s="68">
        <f>V127*(1-'Data &amp; Assumptions'!$D$117)</f>
        <v>29.354927052107364</v>
      </c>
      <c r="X128" s="68">
        <f>W127*(1-'Data &amp; Assumptions'!$D$117)</f>
        <v>13.120834737642653</v>
      </c>
      <c r="Y128" s="68">
        <f>X127*(1-'Data &amp; Assumptions'!$D$117)</f>
        <v>-31.753831681827002</v>
      </c>
      <c r="Z128" s="68">
        <f>Y127*(1-'Data &amp; Assumptions'!$D$117)</f>
        <v>1.2303837727315812</v>
      </c>
      <c r="AA128" s="68">
        <f>Z127*(1-'Data &amp; Assumptions'!$D$117)</f>
        <v>22.047448636022192</v>
      </c>
      <c r="AB128" s="68">
        <f>AA127*(1-'Data &amp; Assumptions'!$D$117)</f>
        <v>9.8984871341441742</v>
      </c>
      <c r="AC128" s="68">
        <f>AB127*(1-'Data &amp; Assumptions'!$D$117)</f>
        <v>-23.674828880464652</v>
      </c>
      <c r="AD128" s="68">
        <f>AC127*(1-'Data &amp; Assumptions'!$D$117)</f>
        <v>0.99461656357986727</v>
      </c>
      <c r="AE128" s="68">
        <f>AD127*(1-'Data &amp; Assumptions'!$D$117)</f>
        <v>16.562653705976416</v>
      </c>
      <c r="AF128" s="68">
        <f>AE127*(1-'Data &amp; Assumptions'!$D$117)</f>
        <v>7.4706273594162047</v>
      </c>
      <c r="AG128" s="68">
        <f>AF127*(1-'Data &amp; Assumptions'!$D$117)</f>
        <v>-17.64770519258882</v>
      </c>
      <c r="AH128" s="68">
        <f>AG127*(1-'Data &amp; Assumptions'!$D$117)</f>
        <v>0.80278950703528063</v>
      </c>
      <c r="AI128" s="68">
        <f>AH127*(1-'Data &amp; Assumptions'!$D$117)</f>
        <v>12.445157855758231</v>
      </c>
      <c r="AJ128" s="68">
        <f>AI127*(1-'Data &amp; Assumptions'!$D$117)</f>
        <v>5.6407051998258853</v>
      </c>
      <c r="AK128" s="68">
        <f>AJ127*(1-'Data &amp; Assumptions'!$D$117)</f>
        <v>-13.152079694177571</v>
      </c>
      <c r="AL128" s="68"/>
      <c r="AR128" s="68">
        <f>AR126*$D$103</f>
        <v>3.8019691657387469</v>
      </c>
      <c r="AS128" s="68">
        <f>AR127*(1-'Data &amp; Assumptions'!$D$117)</f>
        <v>3.5358313241370345</v>
      </c>
      <c r="AT128" s="214">
        <f>S128*'Data &amp; Assumptions'!$D$95</f>
        <v>1.3507980605492222</v>
      </c>
      <c r="AU128" s="214">
        <f>T128*'Data &amp; Assumptions'!$D$95</f>
        <v>1.2466205363094325</v>
      </c>
      <c r="AV128" s="255">
        <f>U128*'Data &amp; Assumptions'!$D$95</f>
        <v>3.2303978631867984</v>
      </c>
      <c r="AW128" s="214">
        <f>V128*'Data &amp; Assumptions'!$D$95</f>
        <v>1.1395894623505547</v>
      </c>
      <c r="AX128" s="214">
        <f>W128*'Data &amp; Assumptions'!$D$95</f>
        <v>22.016195289080521</v>
      </c>
      <c r="AY128" s="214">
        <f>X128*'Data &amp; Assumptions'!$D$95</f>
        <v>9.8406260532319898</v>
      </c>
      <c r="AZ128" s="214">
        <f>Y128*'Data &amp; Assumptions'!$D$95</f>
        <v>-23.815373761370253</v>
      </c>
      <c r="BA128" s="214">
        <f>Z128*'Data &amp; Assumptions'!$D$95</f>
        <v>0.92278782954868588</v>
      </c>
      <c r="BB128" s="214">
        <f>AA128*'Data &amp; Assumptions'!$D$95</f>
        <v>16.535586477016643</v>
      </c>
      <c r="BC128" s="214">
        <f>AB128*'Data &amp; Assumptions'!$D$95</f>
        <v>7.4238653506081302</v>
      </c>
      <c r="BD128" s="214">
        <f>AC128*'Data &amp; Assumptions'!$D$95</f>
        <v>-17.756121660348491</v>
      </c>
      <c r="BE128" s="214">
        <f>AD128*'Data &amp; Assumptions'!$D$95</f>
        <v>0.74596242268490043</v>
      </c>
      <c r="BF128" s="214">
        <f>AE128*'Data &amp; Assumptions'!$D$95</f>
        <v>12.421990279482312</v>
      </c>
      <c r="BG128" s="214">
        <f>AF128*'Data &amp; Assumptions'!$D$95</f>
        <v>5.6029705195621533</v>
      </c>
      <c r="BH128" s="214">
        <f>AG128*'Data &amp; Assumptions'!$D$95</f>
        <v>-13.235778894441616</v>
      </c>
      <c r="BI128" s="214">
        <f>AH128*'Data &amp; Assumptions'!$D$95</f>
        <v>0.60209213027646047</v>
      </c>
      <c r="BJ128" s="214">
        <f>AI128*'Data &amp; Assumptions'!$D$95</f>
        <v>9.3338683918186724</v>
      </c>
      <c r="BK128" s="214">
        <f>AJ128*'Data &amp; Assumptions'!$D$95</f>
        <v>4.2305288998694142</v>
      </c>
      <c r="BL128" s="214">
        <f>AK128*'Data &amp; Assumptions'!$D$95</f>
        <v>-9.8640597706331778</v>
      </c>
    </row>
    <row r="129" spans="7:73" x14ac:dyDescent="0.2">
      <c r="H129" t="s">
        <v>279</v>
      </c>
      <c r="L129" s="182" t="s">
        <v>55</v>
      </c>
      <c r="M129" s="63"/>
      <c r="Q129" s="68">
        <f>Q126*$D$104</f>
        <v>1.9009845828693734</v>
      </c>
      <c r="R129" s="209">
        <f>Q128*(1-'Data &amp; Assumptions'!$D$117)</f>
        <v>3.5358313241370345</v>
      </c>
      <c r="S129" s="68">
        <f>R128*(1-'Data &amp; Assumptions'!$D$117)</f>
        <v>3.2883231314474419</v>
      </c>
      <c r="T129" s="68">
        <f>S128*(1-'Data &amp; Assumptions'!$D$117)</f>
        <v>1.6749895950810354</v>
      </c>
      <c r="U129" s="209">
        <f>T128*(1-'Data &amp; Assumptions'!$D$117)</f>
        <v>1.5458094650236962</v>
      </c>
      <c r="V129" s="68">
        <f>U128*(1-'Data &amp; Assumptions'!$D$117)</f>
        <v>4.0056933503516294</v>
      </c>
      <c r="W129" s="68">
        <f>V128*(1-'Data &amp; Assumptions'!$D$117)</f>
        <v>1.4130909333146877</v>
      </c>
      <c r="X129" s="68">
        <f>W128*(1-'Data &amp; Assumptions'!$D$117)</f>
        <v>27.300082158459848</v>
      </c>
      <c r="Y129" s="68">
        <f>X128*(1-'Data &amp; Assumptions'!$D$117)</f>
        <v>12.202376306007666</v>
      </c>
      <c r="Z129" s="68">
        <f>Y128*(1-'Data &amp; Assumptions'!$D$117)</f>
        <v>-29.531063464099109</v>
      </c>
      <c r="AA129" s="68">
        <f>Z128*(1-'Data &amp; Assumptions'!$D$117)</f>
        <v>1.1442569086403704</v>
      </c>
      <c r="AB129" s="68">
        <f>AA128*(1-'Data &amp; Assumptions'!$D$117)</f>
        <v>20.504127231500636</v>
      </c>
      <c r="AC129" s="68">
        <f>AB128*(1-'Data &amp; Assumptions'!$D$117)</f>
        <v>9.2055930347540809</v>
      </c>
      <c r="AD129" s="68">
        <f>AC128*(1-'Data &amp; Assumptions'!$D$117)</f>
        <v>-22.017590858832126</v>
      </c>
      <c r="AE129" s="68">
        <f>AD128*(1-'Data &amp; Assumptions'!$D$117)</f>
        <v>0.92499340412927655</v>
      </c>
      <c r="AF129" s="68">
        <f>AE128*(1-'Data &amp; Assumptions'!$D$117)</f>
        <v>15.403267946558065</v>
      </c>
      <c r="AG129" s="68">
        <f>AF128*(1-'Data &amp; Assumptions'!$D$117)</f>
        <v>6.9476834442570699</v>
      </c>
      <c r="AH129" s="68">
        <f>AG128*(1-'Data &amp; Assumptions'!$D$117)</f>
        <v>-16.4123658291076</v>
      </c>
      <c r="AI129" s="68">
        <f>AH128*(1-'Data &amp; Assumptions'!$D$117)</f>
        <v>0.74659424154281095</v>
      </c>
      <c r="AJ129" s="68">
        <f>AI128*(1-'Data &amp; Assumptions'!$D$117)</f>
        <v>11.573996805855154</v>
      </c>
      <c r="AK129" s="68">
        <f>AJ128*(1-'Data &amp; Assumptions'!$D$117)</f>
        <v>5.2458558358380731</v>
      </c>
      <c r="AL129" s="68"/>
      <c r="AR129" s="68">
        <f>AR126*$D$104</f>
        <v>1.9009845828693734</v>
      </c>
      <c r="AS129" s="68">
        <f>AR128*(1-'Data &amp; Assumptions'!$D$117)</f>
        <v>3.5358313241370345</v>
      </c>
      <c r="AT129" s="214">
        <f>S129*'Data &amp; Assumptions'!$D$95</f>
        <v>2.4662423485855816</v>
      </c>
      <c r="AU129" s="214">
        <f>T129*'Data &amp; Assumptions'!$D$95</f>
        <v>1.2562421963107766</v>
      </c>
      <c r="AV129" s="255">
        <f>U129*'Data &amp; Assumptions'!$D$95</f>
        <v>1.1593570987677722</v>
      </c>
      <c r="AW129" s="214">
        <f>V129*'Data &amp; Assumptions'!$D$95</f>
        <v>3.0042700127637221</v>
      </c>
      <c r="AX129" s="214">
        <f>W129*'Data &amp; Assumptions'!$D$95</f>
        <v>1.0598181999860157</v>
      </c>
      <c r="AY129" s="214">
        <f>X129*'Data &amp; Assumptions'!$D$95</f>
        <v>20.475061618844887</v>
      </c>
      <c r="AZ129" s="214">
        <f>Y129*'Data &amp; Assumptions'!$D$95</f>
        <v>9.1517822295057503</v>
      </c>
      <c r="BA129" s="214">
        <f>Z129*'Data &amp; Assumptions'!$D$95</f>
        <v>-22.148297598074333</v>
      </c>
      <c r="BB129" s="214">
        <f>AA129*'Data &amp; Assumptions'!$D$95</f>
        <v>0.85819268148027783</v>
      </c>
      <c r="BC129" s="214">
        <f>AB129*'Data &amp; Assumptions'!$D$95</f>
        <v>15.378095423625478</v>
      </c>
      <c r="BD129" s="214">
        <f>AC129*'Data &amp; Assumptions'!$D$95</f>
        <v>6.9041947760655606</v>
      </c>
      <c r="BE129" s="214">
        <f>AD129*'Data &amp; Assumptions'!$D$95</f>
        <v>-16.513193144124095</v>
      </c>
      <c r="BF129" s="214">
        <f>AE129*'Data &amp; Assumptions'!$D$95</f>
        <v>0.69374505309695744</v>
      </c>
      <c r="BG129" s="214">
        <f>AF129*'Data &amp; Assumptions'!$D$95</f>
        <v>11.552450959918549</v>
      </c>
      <c r="BH129" s="214">
        <f>AG129*'Data &amp; Assumptions'!$D$95</f>
        <v>5.2107625831928024</v>
      </c>
      <c r="BI129" s="214">
        <f>AH129*'Data &amp; Assumptions'!$D$95</f>
        <v>-12.3092743718307</v>
      </c>
      <c r="BJ129" s="214">
        <f>AI129*'Data &amp; Assumptions'!$D$95</f>
        <v>0.55994568115710819</v>
      </c>
      <c r="BK129" s="214">
        <f>AJ129*'Data &amp; Assumptions'!$D$95</f>
        <v>8.6804976043913662</v>
      </c>
      <c r="BL129" s="214">
        <f>AK129*'Data &amp; Assumptions'!$D$95</f>
        <v>3.9343918768785549</v>
      </c>
    </row>
    <row r="130" spans="7:73" x14ac:dyDescent="0.2">
      <c r="G130" s="67"/>
      <c r="H130" t="s">
        <v>280</v>
      </c>
      <c r="L130" s="182" t="s">
        <v>55</v>
      </c>
      <c r="M130" s="63"/>
      <c r="Q130" s="68">
        <f>Q126*$D$105</f>
        <v>0</v>
      </c>
      <c r="R130" s="209">
        <f>Q129*(1-'Data &amp; Assumptions'!$D$117)</f>
        <v>1.7679156620685172</v>
      </c>
      <c r="S130" s="68">
        <f>R129*(1-'Data &amp; Assumptions'!$D$117)</f>
        <v>3.2883231314474419</v>
      </c>
      <c r="T130" s="68">
        <f>S129*(1-'Data &amp; Assumptions'!$D$117)</f>
        <v>3.0581405122461209</v>
      </c>
      <c r="U130" s="209">
        <f>T129*(1-'Data &amp; Assumptions'!$D$117)</f>
        <v>1.5577403234253628</v>
      </c>
      <c r="V130" s="68">
        <f>U129*(1-'Data &amp; Assumptions'!$D$117)</f>
        <v>1.4376028024720373</v>
      </c>
      <c r="W130" s="68">
        <f>V129*(1-'Data &amp; Assumptions'!$D$117)</f>
        <v>3.7252948158270152</v>
      </c>
      <c r="X130" s="68">
        <f>W129*(1-'Data &amp; Assumptions'!$D$117)</f>
        <v>1.3141745679826595</v>
      </c>
      <c r="Y130" s="68">
        <f>X129*(1-'Data &amp; Assumptions'!$D$117)</f>
        <v>25.389076407367657</v>
      </c>
      <c r="Z130" s="68">
        <f>Y129*(1-'Data &amp; Assumptions'!$D$117)</f>
        <v>11.348209964587129</v>
      </c>
      <c r="AA130" s="68">
        <f>Z129*(1-'Data &amp; Assumptions'!$D$117)</f>
        <v>-27.463889021612168</v>
      </c>
      <c r="AB130" s="68">
        <f>AA129*(1-'Data &amp; Assumptions'!$D$117)</f>
        <v>1.0641589250355445</v>
      </c>
      <c r="AC130" s="68">
        <f>AB129*(1-'Data &amp; Assumptions'!$D$117)</f>
        <v>19.068838325295591</v>
      </c>
      <c r="AD130" s="68">
        <f>AC129*(1-'Data &amp; Assumptions'!$D$117)</f>
        <v>8.5612015223212943</v>
      </c>
      <c r="AE130" s="68">
        <f>AD129*(1-'Data &amp; Assumptions'!$D$117)</f>
        <v>-20.476359498713876</v>
      </c>
      <c r="AF130" s="68">
        <f>AE129*(1-'Data &amp; Assumptions'!$D$117)</f>
        <v>0.86024386584022716</v>
      </c>
      <c r="AG130" s="68">
        <f>AF129*(1-'Data &amp; Assumptions'!$D$117)</f>
        <v>14.325039190299</v>
      </c>
      <c r="AH130" s="68">
        <f>AG129*(1-'Data &amp; Assumptions'!$D$117)</f>
        <v>6.4613456031590744</v>
      </c>
      <c r="AI130" s="68">
        <f>AH129*(1-'Data &amp; Assumptions'!$D$117)</f>
        <v>-15.263500221070068</v>
      </c>
      <c r="AJ130" s="68">
        <f>AI129*(1-'Data &amp; Assumptions'!$D$117)</f>
        <v>0.69433264463481414</v>
      </c>
      <c r="AK130" s="68">
        <f>AJ129*(1-'Data &amp; Assumptions'!$D$117)</f>
        <v>10.763817029445292</v>
      </c>
      <c r="AL130" s="68"/>
      <c r="AR130" s="68">
        <f>AR126*$D$105</f>
        <v>0</v>
      </c>
      <c r="AS130" s="68">
        <f>AR129*(1-'Data &amp; Assumptions'!$D$117)</f>
        <v>1.7679156620685172</v>
      </c>
      <c r="AT130" s="214">
        <f>S130*'Data &amp; Assumptions'!$D$95</f>
        <v>2.4662423485855816</v>
      </c>
      <c r="AU130" s="214">
        <f>T130*'Data &amp; Assumptions'!$D$95</f>
        <v>2.2936053841845907</v>
      </c>
      <c r="AV130" s="255">
        <f>U130*'Data &amp; Assumptions'!$D$95</f>
        <v>1.1683052425690221</v>
      </c>
      <c r="AW130" s="214">
        <f>V130*'Data &amp; Assumptions'!$D$95</f>
        <v>1.078202101854028</v>
      </c>
      <c r="AX130" s="214">
        <f>W130*'Data &amp; Assumptions'!$D$95</f>
        <v>2.7939711118702615</v>
      </c>
      <c r="AY130" s="214">
        <f>X130*'Data &amp; Assumptions'!$D$95</f>
        <v>0.98563092598699464</v>
      </c>
      <c r="AZ130" s="214">
        <f>Y130*'Data &amp; Assumptions'!$D$95</f>
        <v>19.041807305525744</v>
      </c>
      <c r="BA130" s="214">
        <f>Z130*'Data &amp; Assumptions'!$D$95</f>
        <v>8.5111574734403472</v>
      </c>
      <c r="BB130" s="214">
        <f>AA130*'Data &amp; Assumptions'!$D$95</f>
        <v>-20.597916766209124</v>
      </c>
      <c r="BC130" s="214">
        <f>AB130*'Data &amp; Assumptions'!$D$95</f>
        <v>0.79811919377665841</v>
      </c>
      <c r="BD130" s="214">
        <f>AC130*'Data &amp; Assumptions'!$D$95</f>
        <v>14.301628743971694</v>
      </c>
      <c r="BE130" s="214">
        <f>AD130*'Data &amp; Assumptions'!$D$95</f>
        <v>6.4209011417409707</v>
      </c>
      <c r="BF130" s="214">
        <f>AE130*'Data &amp; Assumptions'!$D$95</f>
        <v>-15.357269624035407</v>
      </c>
      <c r="BG130" s="214">
        <f>AF130*'Data &amp; Assumptions'!$D$95</f>
        <v>0.64518289938017037</v>
      </c>
      <c r="BH130" s="214">
        <f>AG130*'Data &amp; Assumptions'!$D$95</f>
        <v>10.74377939272425</v>
      </c>
      <c r="BI130" s="214">
        <f>AH130*'Data &amp; Assumptions'!$D$95</f>
        <v>4.8460092023693058</v>
      </c>
      <c r="BJ130" s="214">
        <f>AI130*'Data &amp; Assumptions'!$D$95</f>
        <v>-11.447625165802551</v>
      </c>
      <c r="BK130" s="214">
        <f>AJ130*'Data &amp; Assumptions'!$D$95</f>
        <v>0.52074948347611061</v>
      </c>
      <c r="BL130" s="214">
        <f>AK130*'Data &amp; Assumptions'!$D$95</f>
        <v>8.072862772083969</v>
      </c>
    </row>
    <row r="131" spans="7:73" s="1" customFormat="1" x14ac:dyDescent="0.2">
      <c r="G131" s="122" t="s">
        <v>287</v>
      </c>
      <c r="L131" s="182" t="s">
        <v>55</v>
      </c>
      <c r="M131" s="124"/>
      <c r="Q131" s="125">
        <f t="shared" ref="Q131:AK131" si="115">(Q67-P67)*Q99</f>
        <v>70.489467122304731</v>
      </c>
      <c r="R131" s="244">
        <f t="shared" si="115"/>
        <v>79.917433349912812</v>
      </c>
      <c r="S131" s="125">
        <f t="shared" si="115"/>
        <v>75.384516530305945</v>
      </c>
      <c r="T131" s="125">
        <f t="shared" si="115"/>
        <v>81.775012765612956</v>
      </c>
      <c r="U131" s="244">
        <f t="shared" si="115"/>
        <v>67.075420905693562</v>
      </c>
      <c r="V131" s="125">
        <f t="shared" si="115"/>
        <v>285.72150113587657</v>
      </c>
      <c r="W131" s="125">
        <f t="shared" si="115"/>
        <v>360.43538604849812</v>
      </c>
      <c r="X131" s="125">
        <f t="shared" si="115"/>
        <v>56.297004309145748</v>
      </c>
      <c r="Y131" s="125">
        <f t="shared" si="115"/>
        <v>53.103838224730943</v>
      </c>
      <c r="Z131" s="125">
        <f t="shared" si="115"/>
        <v>50.091788520624284</v>
      </c>
      <c r="AA131" s="125">
        <f t="shared" si="115"/>
        <v>47.250582275734722</v>
      </c>
      <c r="AB131" s="125">
        <f t="shared" si="115"/>
        <v>44.570529249054744</v>
      </c>
      <c r="AC131" s="125">
        <f t="shared" si="115"/>
        <v>42.042488830048576</v>
      </c>
      <c r="AD131" s="125">
        <f t="shared" si="115"/>
        <v>39.657838863608106</v>
      </c>
      <c r="AE131" s="125">
        <f t="shared" si="115"/>
        <v>37.408446243264592</v>
      </c>
      <c r="AF131" s="125">
        <f t="shared" si="115"/>
        <v>35.28663917234644</v>
      </c>
      <c r="AG131" s="125">
        <f t="shared" si="115"/>
        <v>33.285180998490972</v>
      </c>
      <c r="AH131" s="125">
        <f t="shared" si="115"/>
        <v>31.397245532256683</v>
      </c>
      <c r="AI131" s="125">
        <f t="shared" si="115"/>
        <v>29.616393765667091</v>
      </c>
      <c r="AJ131" s="125">
        <f t="shared" si="115"/>
        <v>27.936551911278599</v>
      </c>
      <c r="AK131" s="125">
        <f t="shared" si="115"/>
        <v>26.35199068687054</v>
      </c>
      <c r="AL131" s="125"/>
      <c r="AM131" s="207"/>
      <c r="AR131" s="125">
        <f>(AR67-AQ67)*AR99</f>
        <v>70.489467122304731</v>
      </c>
      <c r="AS131" s="125">
        <f>(AS67-AR67)*AS99</f>
        <v>75.921561682417163</v>
      </c>
      <c r="AT131" s="125">
        <f>S131*'Data &amp; Assumptions'!$D$95</f>
        <v>56.538387397729458</v>
      </c>
      <c r="AU131" s="125">
        <f>T131*'Data &amp; Assumptions'!$D$95</f>
        <v>61.331259574209717</v>
      </c>
      <c r="AV131" s="244">
        <f>U131*'Data &amp; Assumptions'!$D$95</f>
        <v>50.306565679270172</v>
      </c>
      <c r="AW131" s="125">
        <f>V131*'Data &amp; Assumptions'!$D$95</f>
        <v>214.29112585190742</v>
      </c>
      <c r="AX131" s="125">
        <f>W131*'Data &amp; Assumptions'!$D$95</f>
        <v>270.32653953637362</v>
      </c>
      <c r="AY131" s="125">
        <f>X131*'Data &amp; Assumptions'!$D$95</f>
        <v>42.222753231859315</v>
      </c>
      <c r="AZ131" s="125">
        <f>Y131*'Data &amp; Assumptions'!$D$95</f>
        <v>39.827878668548209</v>
      </c>
      <c r="BA131" s="125">
        <f>Z131*'Data &amp; Assumptions'!$D$95</f>
        <v>37.568841390468215</v>
      </c>
      <c r="BB131" s="125">
        <f>AA131*'Data &amp; Assumptions'!$D$95</f>
        <v>35.43793670680104</v>
      </c>
      <c r="BC131" s="125">
        <f>AB131*'Data &amp; Assumptions'!$D$95</f>
        <v>33.427896936791058</v>
      </c>
      <c r="BD131" s="125">
        <f>AC131*'Data &amp; Assumptions'!$D$95</f>
        <v>31.531866622536434</v>
      </c>
      <c r="BE131" s="125">
        <f>AD131*'Data &amp; Assumptions'!$D$95</f>
        <v>29.743379147706079</v>
      </c>
      <c r="BF131" s="125">
        <f>AE131*'Data &amp; Assumptions'!$D$95</f>
        <v>28.056334682448444</v>
      </c>
      <c r="BG131" s="125">
        <f>AF131*'Data &amp; Assumptions'!$D$95</f>
        <v>26.46497937925983</v>
      </c>
      <c r="BH131" s="125">
        <f>AG131*'Data &amp; Assumptions'!$D$95</f>
        <v>24.963885748868229</v>
      </c>
      <c r="BI131" s="125">
        <f>AH131*'Data &amp; Assumptions'!$D$95</f>
        <v>23.547934149192514</v>
      </c>
      <c r="BJ131" s="125">
        <f>AI131*'Data &amp; Assumptions'!$D$95</f>
        <v>22.21229532425032</v>
      </c>
      <c r="BK131" s="125">
        <f>AJ131*'Data &amp; Assumptions'!$D$95</f>
        <v>20.952413933458949</v>
      </c>
      <c r="BL131" s="125">
        <f>AK131*'Data &amp; Assumptions'!$D$95</f>
        <v>19.763993015152906</v>
      </c>
      <c r="BN131" s="207"/>
      <c r="BU131" s="233"/>
    </row>
    <row r="132" spans="7:73" x14ac:dyDescent="0.2">
      <c r="H132" t="s">
        <v>277</v>
      </c>
      <c r="L132" s="182" t="s">
        <v>55</v>
      </c>
      <c r="M132" s="63"/>
      <c r="Q132" s="68">
        <f>Q131*$D$102</f>
        <v>28.195786848921895</v>
      </c>
      <c r="R132" s="209">
        <f>R131-R133-R134-R135</f>
        <v>14.362228926169406</v>
      </c>
      <c r="S132" s="68">
        <f t="shared" ref="S132:AK132" si="116">S131-S133-S134-S135</f>
        <v>13.25457153770331</v>
      </c>
      <c r="T132" s="68">
        <f t="shared" si="116"/>
        <v>34.346890914866705</v>
      </c>
      <c r="U132" s="209">
        <f t="shared" si="116"/>
        <v>12.116574059541092</v>
      </c>
      <c r="V132" s="68">
        <f t="shared" si="116"/>
        <v>234.08505390988273</v>
      </c>
      <c r="W132" s="68">
        <f t="shared" si="116"/>
        <v>104.62949887260066</v>
      </c>
      <c r="X132" s="68">
        <f t="shared" si="116"/>
        <v>-253.21464392984069</v>
      </c>
      <c r="Y132" s="68">
        <f t="shared" si="116"/>
        <v>9.8114517967789823</v>
      </c>
      <c r="Z132" s="68">
        <f t="shared" si="116"/>
        <v>175.81301405987054</v>
      </c>
      <c r="AA132" s="68">
        <f t="shared" si="116"/>
        <v>78.933525888495808</v>
      </c>
      <c r="AB132" s="68">
        <f t="shared" si="116"/>
        <v>-188.7902356205301</v>
      </c>
      <c r="AC132" s="68">
        <f t="shared" si="116"/>
        <v>7.9313728660262655</v>
      </c>
      <c r="AD132" s="68">
        <f t="shared" si="116"/>
        <v>132.07560280330736</v>
      </c>
      <c r="AE132" s="68">
        <f t="shared" si="116"/>
        <v>59.573038797385351</v>
      </c>
      <c r="AF132" s="68">
        <f t="shared" si="116"/>
        <v>-140.72813105820074</v>
      </c>
      <c r="AG132" s="68">
        <f t="shared" si="116"/>
        <v>6.4016859826991777</v>
      </c>
      <c r="AH132" s="68">
        <f t="shared" si="116"/>
        <v>99.24144735263576</v>
      </c>
      <c r="AI132" s="68">
        <f t="shared" si="116"/>
        <v>44.980686834860464</v>
      </c>
      <c r="AJ132" s="68">
        <f t="shared" si="116"/>
        <v>-104.87865559242225</v>
      </c>
      <c r="AK132" s="68">
        <f t="shared" si="116"/>
        <v>5.1597914761283761</v>
      </c>
      <c r="AL132" s="68"/>
      <c r="AR132" s="68">
        <f>AR131*$D$102</f>
        <v>28.195786848921895</v>
      </c>
      <c r="AS132" s="68">
        <f>AS131-AS133-AS134-AS135</f>
        <v>10.366357258673757</v>
      </c>
      <c r="AT132" s="214">
        <f>S132*'Data &amp; Assumptions'!$D$95</f>
        <v>9.9409286532774814</v>
      </c>
      <c r="AU132" s="214">
        <f>T132*'Data &amp; Assumptions'!$D$95</f>
        <v>25.760168186150029</v>
      </c>
      <c r="AV132" s="255">
        <f>U132*'Data &amp; Assumptions'!$D$95</f>
        <v>9.0874305446558186</v>
      </c>
      <c r="AW132" s="214">
        <f>V132*'Data &amp; Assumptions'!$D$95</f>
        <v>175.56379043241205</v>
      </c>
      <c r="AX132" s="214">
        <f>W132*'Data &amp; Assumptions'!$D$95</f>
        <v>78.472124154450498</v>
      </c>
      <c r="AY132" s="214">
        <f>X132*'Data &amp; Assumptions'!$D$95</f>
        <v>-189.91098294738052</v>
      </c>
      <c r="AZ132" s="214">
        <f>Y132*'Data &amp; Assumptions'!$D$95</f>
        <v>7.3585888475842367</v>
      </c>
      <c r="BA132" s="214">
        <f>Z132*'Data &amp; Assumptions'!$D$95</f>
        <v>131.85976054490291</v>
      </c>
      <c r="BB132" s="214">
        <f>AA132*'Data &amp; Assumptions'!$D$95</f>
        <v>59.200144416371856</v>
      </c>
      <c r="BC132" s="214">
        <f>AB132*'Data &amp; Assumptions'!$D$95</f>
        <v>-141.59267671539757</v>
      </c>
      <c r="BD132" s="214">
        <f>AC132*'Data &amp; Assumptions'!$D$95</f>
        <v>5.9485296495196991</v>
      </c>
      <c r="BE132" s="214">
        <f>AD132*'Data &amp; Assumptions'!$D$95</f>
        <v>99.056702102480529</v>
      </c>
      <c r="BF132" s="214">
        <f>AE132*'Data &amp; Assumptions'!$D$95</f>
        <v>44.679779098039013</v>
      </c>
      <c r="BG132" s="214">
        <f>AF132*'Data &amp; Assumptions'!$D$95</f>
        <v>-105.54609829365056</v>
      </c>
      <c r="BH132" s="214">
        <f>AG132*'Data &amp; Assumptions'!$D$95</f>
        <v>4.8012644870243832</v>
      </c>
      <c r="BI132" s="214">
        <f>AH132*'Data &amp; Assumptions'!$D$95</f>
        <v>74.43108551447682</v>
      </c>
      <c r="BJ132" s="214">
        <f>AI132*'Data &amp; Assumptions'!$D$95</f>
        <v>33.735515126145344</v>
      </c>
      <c r="BK132" s="214">
        <f>AJ132*'Data &amp; Assumptions'!$D$95</f>
        <v>-78.658991694316683</v>
      </c>
      <c r="BL132" s="214">
        <f>AK132*'Data &amp; Assumptions'!$D$95</f>
        <v>3.8698436070962821</v>
      </c>
    </row>
    <row r="133" spans="7:73" x14ac:dyDescent="0.2">
      <c r="H133" t="s">
        <v>278</v>
      </c>
      <c r="L133" s="182" t="s">
        <v>55</v>
      </c>
      <c r="M133" s="63"/>
      <c r="Q133" s="68">
        <f>Q131*$D$103</f>
        <v>28.195786848921895</v>
      </c>
      <c r="R133" s="209">
        <f>Q132*(1-'Data &amp; Assumptions'!$D$117)</f>
        <v>26.222081769497361</v>
      </c>
      <c r="S133" s="68">
        <f>R132*(1-'Data &amp; Assumptions'!$D$117)</f>
        <v>13.356872901337546</v>
      </c>
      <c r="T133" s="68">
        <f>S132*(1-'Data &amp; Assumptions'!$D$117)</f>
        <v>12.326751530064078</v>
      </c>
      <c r="U133" s="209">
        <f>T132*(1-'Data &amp; Assumptions'!$D$117)</f>
        <v>31.942608550826034</v>
      </c>
      <c r="V133" s="68">
        <f>U132*(1-'Data &amp; Assumptions'!$D$117)</f>
        <v>11.268413875373215</v>
      </c>
      <c r="W133" s="68">
        <f>V132*(1-'Data &amp; Assumptions'!$D$117)</f>
        <v>217.69910013619094</v>
      </c>
      <c r="X133" s="68">
        <f>W132*(1-'Data &amp; Assumptions'!$D$117)</f>
        <v>97.305433951518609</v>
      </c>
      <c r="Y133" s="68">
        <f>X132*(1-'Data &amp; Assumptions'!$D$117)</f>
        <v>-235.48961885475182</v>
      </c>
      <c r="Z133" s="68">
        <f>Y132*(1-'Data &amp; Assumptions'!$D$117)</f>
        <v>9.1246501710044523</v>
      </c>
      <c r="AA133" s="68">
        <f>Z132*(1-'Data &amp; Assumptions'!$D$117)</f>
        <v>163.50610307567959</v>
      </c>
      <c r="AB133" s="68">
        <f>AA132*(1-'Data &amp; Assumptions'!$D$117)</f>
        <v>73.408179076301096</v>
      </c>
      <c r="AC133" s="68">
        <f>AB132*(1-'Data &amp; Assumptions'!$D$117)</f>
        <v>-175.57491912709298</v>
      </c>
      <c r="AD133" s="68">
        <f>AC132*(1-'Data &amp; Assumptions'!$D$117)</f>
        <v>7.3761767654044261</v>
      </c>
      <c r="AE133" s="68">
        <f>AD132*(1-'Data &amp; Assumptions'!$D$117)</f>
        <v>122.83031060707584</v>
      </c>
      <c r="AF133" s="68">
        <f>AE132*(1-'Data &amp; Assumptions'!$D$117)</f>
        <v>55.402926081568374</v>
      </c>
      <c r="AG133" s="68">
        <f>AF132*(1-'Data &amp; Assumptions'!$D$117)</f>
        <v>-130.87716188412668</v>
      </c>
      <c r="AH133" s="68">
        <f>AG132*(1-'Data &amp; Assumptions'!$D$117)</f>
        <v>5.9535679639102348</v>
      </c>
      <c r="AI133" s="68">
        <f>AH132*(1-'Data &amp; Assumptions'!$D$117)</f>
        <v>92.29454603795125</v>
      </c>
      <c r="AJ133" s="68">
        <f>AI132*(1-'Data &amp; Assumptions'!$D$117)</f>
        <v>41.832038756420232</v>
      </c>
      <c r="AK133" s="68">
        <f>AJ132*(1-'Data &amp; Assumptions'!$D$117)</f>
        <v>-97.537149700952682</v>
      </c>
      <c r="AL133" s="68"/>
      <c r="AR133" s="68">
        <f>AR131*$D$103</f>
        <v>28.195786848921895</v>
      </c>
      <c r="AS133" s="68">
        <f>AR132*(1-'Data &amp; Assumptions'!$D$117)</f>
        <v>26.222081769497361</v>
      </c>
      <c r="AT133" s="214">
        <f>S133*'Data &amp; Assumptions'!$D$95</f>
        <v>10.01765467600316</v>
      </c>
      <c r="AU133" s="214">
        <f>T133*'Data &amp; Assumptions'!$D$95</f>
        <v>9.2450636475480579</v>
      </c>
      <c r="AV133" s="255">
        <f>U133*'Data &amp; Assumptions'!$D$95</f>
        <v>23.956956413119524</v>
      </c>
      <c r="AW133" s="214">
        <f>V133*'Data &amp; Assumptions'!$D$95</f>
        <v>8.4513104065299114</v>
      </c>
      <c r="AX133" s="214">
        <f>W133*'Data &amp; Assumptions'!$D$95</f>
        <v>163.27432510214319</v>
      </c>
      <c r="AY133" s="214">
        <f>X133*'Data &amp; Assumptions'!$D$95</f>
        <v>72.979075463638964</v>
      </c>
      <c r="AZ133" s="214">
        <f>Y133*'Data &amp; Assumptions'!$D$95</f>
        <v>-176.61721414106387</v>
      </c>
      <c r="BA133" s="214">
        <f>Z133*'Data &amp; Assumptions'!$D$95</f>
        <v>6.8434876282533388</v>
      </c>
      <c r="BB133" s="214">
        <f>AA133*'Data &amp; Assumptions'!$D$95</f>
        <v>122.6295773067597</v>
      </c>
      <c r="BC133" s="214">
        <f>AB133*'Data &amp; Assumptions'!$D$95</f>
        <v>55.056134307225818</v>
      </c>
      <c r="BD133" s="214">
        <f>AC133*'Data &amp; Assumptions'!$D$95</f>
        <v>-131.68118934531975</v>
      </c>
      <c r="BE133" s="214">
        <f>AD133*'Data &amp; Assumptions'!$D$95</f>
        <v>5.5321325740533194</v>
      </c>
      <c r="BF133" s="214">
        <f>AE133*'Data &amp; Assumptions'!$D$95</f>
        <v>92.122732955306887</v>
      </c>
      <c r="BG133" s="214">
        <f>AF133*'Data &amp; Assumptions'!$D$95</f>
        <v>41.552194561176279</v>
      </c>
      <c r="BH133" s="214">
        <f>AG133*'Data &amp; Assumptions'!$D$95</f>
        <v>-98.157871413095009</v>
      </c>
      <c r="BI133" s="214">
        <f>AH133*'Data &amp; Assumptions'!$D$95</f>
        <v>4.4651759729326761</v>
      </c>
      <c r="BJ133" s="214">
        <f>AI133*'Data &amp; Assumptions'!$D$95</f>
        <v>69.220909528463437</v>
      </c>
      <c r="BK133" s="214">
        <f>AJ133*'Data &amp; Assumptions'!$D$95</f>
        <v>31.374029067315174</v>
      </c>
      <c r="BL133" s="214">
        <f>AK133*'Data &amp; Assumptions'!$D$95</f>
        <v>-73.152862275714511</v>
      </c>
    </row>
    <row r="134" spans="7:73" x14ac:dyDescent="0.2">
      <c r="G134" s="67"/>
      <c r="H134" t="s">
        <v>279</v>
      </c>
      <c r="L134" s="182" t="s">
        <v>55</v>
      </c>
      <c r="M134" s="63"/>
      <c r="Q134" s="68">
        <f>Q131*$D$104</f>
        <v>14.097893424460947</v>
      </c>
      <c r="R134" s="209">
        <f>Q133*(1-'Data &amp; Assumptions'!$D$117)</f>
        <v>26.222081769497361</v>
      </c>
      <c r="S134" s="68">
        <f>R133*(1-'Data &amp; Assumptions'!$D$117)</f>
        <v>24.386536045632543</v>
      </c>
      <c r="T134" s="68">
        <f>S133*(1-'Data &amp; Assumptions'!$D$117)</f>
        <v>12.421891798243918</v>
      </c>
      <c r="U134" s="209">
        <f>T133*(1-'Data &amp; Assumptions'!$D$117)</f>
        <v>11.463878922959591</v>
      </c>
      <c r="V134" s="68">
        <f>U133*(1-'Data &amp; Assumptions'!$D$117)</f>
        <v>29.706625952268208</v>
      </c>
      <c r="W134" s="68">
        <f>V133*(1-'Data &amp; Assumptions'!$D$117)</f>
        <v>10.479624904097088</v>
      </c>
      <c r="X134" s="68">
        <f>W133*(1-'Data &amp; Assumptions'!$D$117)</f>
        <v>202.46016312665756</v>
      </c>
      <c r="Y134" s="68">
        <f>X133*(1-'Data &amp; Assumptions'!$D$117)</f>
        <v>90.4940535749123</v>
      </c>
      <c r="Z134" s="68">
        <f>Y133*(1-'Data &amp; Assumptions'!$D$117)</f>
        <v>-219.00534553491917</v>
      </c>
      <c r="AA134" s="68">
        <f>Z133*(1-'Data &amp; Assumptions'!$D$117)</f>
        <v>8.4859246590341399</v>
      </c>
      <c r="AB134" s="68">
        <f>AA133*(1-'Data &amp; Assumptions'!$D$117)</f>
        <v>152.06067586038202</v>
      </c>
      <c r="AC134" s="68">
        <f>AB133*(1-'Data &amp; Assumptions'!$D$117)</f>
        <v>68.269606540960012</v>
      </c>
      <c r="AD134" s="68">
        <f>AC133*(1-'Data &amp; Assumptions'!$D$117)</f>
        <v>-163.28467478819647</v>
      </c>
      <c r="AE134" s="68">
        <f>AD133*(1-'Data &amp; Assumptions'!$D$117)</f>
        <v>6.8598443918261163</v>
      </c>
      <c r="AF134" s="68">
        <f>AE133*(1-'Data &amp; Assumptions'!$D$117)</f>
        <v>114.23218886458052</v>
      </c>
      <c r="AG134" s="68">
        <f>AF133*(1-'Data &amp; Assumptions'!$D$117)</f>
        <v>51.524721255858587</v>
      </c>
      <c r="AH134" s="68">
        <f>AG133*(1-'Data &amp; Assumptions'!$D$117)</f>
        <v>-121.7157605522378</v>
      </c>
      <c r="AI134" s="68">
        <f>AH133*(1-'Data &amp; Assumptions'!$D$117)</f>
        <v>5.5368182064365179</v>
      </c>
      <c r="AJ134" s="68">
        <f>AI133*(1-'Data &amp; Assumptions'!$D$117)</f>
        <v>85.833927815294658</v>
      </c>
      <c r="AK134" s="68">
        <f>AJ133*(1-'Data &amp; Assumptions'!$D$117)</f>
        <v>38.903796043470813</v>
      </c>
      <c r="AL134" s="68"/>
      <c r="AR134" s="68">
        <f>AR131*$D$104</f>
        <v>14.097893424460947</v>
      </c>
      <c r="AS134" s="68">
        <f>AR133*(1-'Data &amp; Assumptions'!$D$117)</f>
        <v>26.222081769497361</v>
      </c>
      <c r="AT134" s="214">
        <f>S134*'Data &amp; Assumptions'!$D$95</f>
        <v>18.289902034224408</v>
      </c>
      <c r="AU134" s="214">
        <f>T134*'Data &amp; Assumptions'!$D$95</f>
        <v>9.3164188486829378</v>
      </c>
      <c r="AV134" s="255">
        <f>U134*'Data &amp; Assumptions'!$D$95</f>
        <v>8.5979091922196922</v>
      </c>
      <c r="AW134" s="214">
        <f>V134*'Data &amp; Assumptions'!$D$95</f>
        <v>22.279969464201155</v>
      </c>
      <c r="AX134" s="214">
        <f>W134*'Data &amp; Assumptions'!$D$95</f>
        <v>7.8597186780728165</v>
      </c>
      <c r="AY134" s="214">
        <f>X134*'Data &amp; Assumptions'!$D$95</f>
        <v>151.84512234499317</v>
      </c>
      <c r="AZ134" s="214">
        <f>Y134*'Data &amp; Assumptions'!$D$95</f>
        <v>67.870540181184225</v>
      </c>
      <c r="BA134" s="214">
        <f>Z134*'Data &amp; Assumptions'!$D$95</f>
        <v>-164.25400915118939</v>
      </c>
      <c r="BB134" s="214">
        <f>AA134*'Data &amp; Assumptions'!$D$95</f>
        <v>6.364443494275605</v>
      </c>
      <c r="BC134" s="214">
        <f>AB134*'Data &amp; Assumptions'!$D$95</f>
        <v>114.04550689528651</v>
      </c>
      <c r="BD134" s="214">
        <f>AC134*'Data &amp; Assumptions'!$D$95</f>
        <v>51.202204905720009</v>
      </c>
      <c r="BE134" s="214">
        <f>AD134*'Data &amp; Assumptions'!$D$95</f>
        <v>-122.46350609114735</v>
      </c>
      <c r="BF134" s="214">
        <f>AE134*'Data &amp; Assumptions'!$D$95</f>
        <v>5.1448832938695874</v>
      </c>
      <c r="BG134" s="214">
        <f>AF134*'Data &amp; Assumptions'!$D$95</f>
        <v>85.674141648435395</v>
      </c>
      <c r="BH134" s="214">
        <f>AG134*'Data &amp; Assumptions'!$D$95</f>
        <v>38.643540941893939</v>
      </c>
      <c r="BI134" s="214">
        <f>AH134*'Data &amp; Assumptions'!$D$95</f>
        <v>-91.286820414178351</v>
      </c>
      <c r="BJ134" s="214">
        <f>AI134*'Data &amp; Assumptions'!$D$95</f>
        <v>4.1526136548273884</v>
      </c>
      <c r="BK134" s="214">
        <f>AJ134*'Data &amp; Assumptions'!$D$95</f>
        <v>64.375445861470993</v>
      </c>
      <c r="BL134" s="214">
        <f>AK134*'Data &amp; Assumptions'!$D$95</f>
        <v>29.177847032603111</v>
      </c>
    </row>
    <row r="135" spans="7:73" x14ac:dyDescent="0.2">
      <c r="G135" s="67"/>
      <c r="H135" t="s">
        <v>280</v>
      </c>
      <c r="L135" s="182" t="s">
        <v>55</v>
      </c>
      <c r="M135" s="63"/>
      <c r="Q135" s="68">
        <f>Q131*$D$105</f>
        <v>0</v>
      </c>
      <c r="R135" s="209">
        <f>Q134*(1-'Data &amp; Assumptions'!$D$117)</f>
        <v>13.111040884748681</v>
      </c>
      <c r="S135" s="68">
        <f>R134*(1-'Data &amp; Assumptions'!$D$117)</f>
        <v>24.386536045632543</v>
      </c>
      <c r="T135" s="68">
        <f>S134*(1-'Data &amp; Assumptions'!$D$117)</f>
        <v>22.679478522438263</v>
      </c>
      <c r="U135" s="209">
        <f>T134*(1-'Data &amp; Assumptions'!$D$117)</f>
        <v>11.552359372366842</v>
      </c>
      <c r="V135" s="68">
        <f>U134*(1-'Data &amp; Assumptions'!$D$117)</f>
        <v>10.661407398352418</v>
      </c>
      <c r="W135" s="68">
        <f>V134*(1-'Data &amp; Assumptions'!$D$117)</f>
        <v>27.627162135609431</v>
      </c>
      <c r="X135" s="68">
        <f>W134*(1-'Data &amp; Assumptions'!$D$117)</f>
        <v>9.7460511608102909</v>
      </c>
      <c r="Y135" s="68">
        <f>X134*(1-'Data &amp; Assumptions'!$D$117)</f>
        <v>188.28795170779151</v>
      </c>
      <c r="Z135" s="68">
        <f>Y134*(1-'Data &amp; Assumptions'!$D$117)</f>
        <v>84.159469824668435</v>
      </c>
      <c r="AA135" s="68">
        <f>Z134*(1-'Data &amp; Assumptions'!$D$117)</f>
        <v>-203.67497134747481</v>
      </c>
      <c r="AB135" s="68">
        <f>AA134*(1-'Data &amp; Assumptions'!$D$117)</f>
        <v>7.8919099329017497</v>
      </c>
      <c r="AC135" s="68">
        <f>AB134*(1-'Data &amp; Assumptions'!$D$117)</f>
        <v>141.41642855015527</v>
      </c>
      <c r="AD135" s="68">
        <f>AC134*(1-'Data &amp; Assumptions'!$D$117)</f>
        <v>63.490734083092811</v>
      </c>
      <c r="AE135" s="68">
        <f>AD134*(1-'Data &amp; Assumptions'!$D$117)</f>
        <v>-151.85474755302272</v>
      </c>
      <c r="AF135" s="68">
        <f>AE134*(1-'Data &amp; Assumptions'!$D$117)</f>
        <v>6.3796552843982877</v>
      </c>
      <c r="AG135" s="68">
        <f>AF134*(1-'Data &amp; Assumptions'!$D$117)</f>
        <v>106.23593564405988</v>
      </c>
      <c r="AH135" s="68">
        <f>AG134*(1-'Data &amp; Assumptions'!$D$117)</f>
        <v>47.917990767948481</v>
      </c>
      <c r="AI135" s="68">
        <f>AH134*(1-'Data &amp; Assumptions'!$D$117)</f>
        <v>-113.19565731358114</v>
      </c>
      <c r="AJ135" s="68">
        <f>AI134*(1-'Data &amp; Assumptions'!$D$117)</f>
        <v>5.1492409319859611</v>
      </c>
      <c r="AK135" s="68">
        <f>AJ134*(1-'Data &amp; Assumptions'!$D$117)</f>
        <v>79.825552868224023</v>
      </c>
      <c r="AL135" s="68"/>
      <c r="AR135" s="68">
        <f>AR131*$D$105</f>
        <v>0</v>
      </c>
      <c r="AS135" s="68">
        <f>AR134*(1-'Data &amp; Assumptions'!$D$117)</f>
        <v>13.111040884748681</v>
      </c>
      <c r="AT135" s="214">
        <f>S135*'Data &amp; Assumptions'!$D$95</f>
        <v>18.289902034224408</v>
      </c>
      <c r="AU135" s="214">
        <f>T135*'Data &amp; Assumptions'!$D$95</f>
        <v>17.009608891828698</v>
      </c>
      <c r="AV135" s="255">
        <f>U135*'Data &amp; Assumptions'!$D$95</f>
        <v>8.6642695292751313</v>
      </c>
      <c r="AW135" s="214">
        <f>V135*'Data &amp; Assumptions'!$D$95</f>
        <v>7.9960555487643141</v>
      </c>
      <c r="AX135" s="214">
        <f>W135*'Data &amp; Assumptions'!$D$95</f>
        <v>20.720371601707072</v>
      </c>
      <c r="AY135" s="214">
        <f>X135*'Data &amp; Assumptions'!$D$95</f>
        <v>7.3095383706077186</v>
      </c>
      <c r="AZ135" s="214">
        <f>Y135*'Data &amp; Assumptions'!$D$95</f>
        <v>141.21596378084362</v>
      </c>
      <c r="BA135" s="214">
        <f>Z135*'Data &amp; Assumptions'!$D$95</f>
        <v>63.119602368501326</v>
      </c>
      <c r="BB135" s="214">
        <f>AA135*'Data &amp; Assumptions'!$D$95</f>
        <v>-152.75622851060609</v>
      </c>
      <c r="BC135" s="214">
        <f>AB135*'Data &amp; Assumptions'!$D$95</f>
        <v>5.918932449676312</v>
      </c>
      <c r="BD135" s="214">
        <f>AC135*'Data &amp; Assumptions'!$D$95</f>
        <v>106.06232141261646</v>
      </c>
      <c r="BE135" s="214">
        <f>AD135*'Data &amp; Assumptions'!$D$95</f>
        <v>47.61805056231961</v>
      </c>
      <c r="BF135" s="214">
        <f>AE135*'Data &amp; Assumptions'!$D$95</f>
        <v>-113.89106066476704</v>
      </c>
      <c r="BG135" s="214">
        <f>AF135*'Data &amp; Assumptions'!$D$95</f>
        <v>4.7847414632987153</v>
      </c>
      <c r="BH135" s="214">
        <f>AG135*'Data &amp; Assumptions'!$D$95</f>
        <v>79.676951733044916</v>
      </c>
      <c r="BI135" s="214">
        <f>AH135*'Data &amp; Assumptions'!$D$95</f>
        <v>35.938493075961361</v>
      </c>
      <c r="BJ135" s="214">
        <f>AI135*'Data &amp; Assumptions'!$D$95</f>
        <v>-84.896742985185853</v>
      </c>
      <c r="BK135" s="214">
        <f>AJ135*'Data &amp; Assumptions'!$D$95</f>
        <v>3.8619306989894708</v>
      </c>
      <c r="BL135" s="214">
        <f>AK135*'Data &amp; Assumptions'!$D$95</f>
        <v>59.86916465116802</v>
      </c>
    </row>
    <row r="136" spans="7:73" s="1" customFormat="1" x14ac:dyDescent="0.2">
      <c r="G136" s="122" t="s">
        <v>288</v>
      </c>
      <c r="L136" s="182" t="s">
        <v>55</v>
      </c>
      <c r="M136" s="124"/>
      <c r="Q136" s="125">
        <f t="shared" ref="Q136:AK136" si="117">(Q68-P68)*Q99</f>
        <v>59.841372101867641</v>
      </c>
      <c r="R136" s="244">
        <f t="shared" si="117"/>
        <v>67.845155620492392</v>
      </c>
      <c r="S136" s="125">
        <f t="shared" si="117"/>
        <v>63.996978393698029</v>
      </c>
      <c r="T136" s="125">
        <f t="shared" si="117"/>
        <v>69.422130246088656</v>
      </c>
      <c r="U136" s="244">
        <f t="shared" si="117"/>
        <v>56.943049581330918</v>
      </c>
      <c r="V136" s="125">
        <f t="shared" si="117"/>
        <v>242.56058904956527</v>
      </c>
      <c r="W136" s="125">
        <f t="shared" si="117"/>
        <v>305.98824102024577</v>
      </c>
      <c r="X136" s="125">
        <f t="shared" si="117"/>
        <v>47.792813885778941</v>
      </c>
      <c r="Y136" s="125">
        <f t="shared" si="117"/>
        <v>45.082005482177351</v>
      </c>
      <c r="Z136" s="125">
        <f t="shared" si="117"/>
        <v>42.524954131228576</v>
      </c>
      <c r="AA136" s="125">
        <f t="shared" si="117"/>
        <v>40.112938732905164</v>
      </c>
      <c r="AB136" s="125">
        <f t="shared" si="117"/>
        <v>37.83773284797482</v>
      </c>
      <c r="AC136" s="125">
        <f t="shared" si="117"/>
        <v>35.691576640837461</v>
      </c>
      <c r="AD136" s="125">
        <f t="shared" si="117"/>
        <v>33.667150413769427</v>
      </c>
      <c r="AE136" s="125">
        <f t="shared" si="117"/>
        <v>31.7575496423005</v>
      </c>
      <c r="AF136" s="125">
        <f t="shared" si="117"/>
        <v>29.956261426589439</v>
      </c>
      <c r="AG136" s="125">
        <f t="shared" si="117"/>
        <v>28.257142278473086</v>
      </c>
      <c r="AH136" s="125">
        <f t="shared" si="117"/>
        <v>26.654397168438038</v>
      </c>
      <c r="AI136" s="125">
        <f t="shared" si="117"/>
        <v>25.142559761044382</v>
      </c>
      <c r="AJ136" s="125">
        <f t="shared" si="117"/>
        <v>23.71647377139778</v>
      </c>
      <c r="AK136" s="125">
        <f t="shared" si="117"/>
        <v>22.371275379084228</v>
      </c>
      <c r="AL136" s="125"/>
      <c r="AM136" s="207"/>
      <c r="AR136" s="125">
        <f>(AR68-AQ68)*AR99</f>
        <v>59.841372101867641</v>
      </c>
      <c r="AS136" s="125">
        <f>(AS68-AR68)*AS99</f>
        <v>64.452897839467767</v>
      </c>
      <c r="AT136" s="125">
        <f>S136*'Data &amp; Assumptions'!$D$95</f>
        <v>47.997733795273518</v>
      </c>
      <c r="AU136" s="125">
        <f>T136*'Data &amp; Assumptions'!$D$95</f>
        <v>52.066597684566489</v>
      </c>
      <c r="AV136" s="244">
        <f>U136*'Data &amp; Assumptions'!$D$95</f>
        <v>42.70728718599819</v>
      </c>
      <c r="AW136" s="125">
        <f>V136*'Data &amp; Assumptions'!$D$95</f>
        <v>181.92044178717396</v>
      </c>
      <c r="AX136" s="125">
        <f>W136*'Data &amp; Assumptions'!$D$95</f>
        <v>229.49118076518431</v>
      </c>
      <c r="AY136" s="125">
        <f>X136*'Data &amp; Assumptions'!$D$95</f>
        <v>35.844610414334205</v>
      </c>
      <c r="AZ136" s="125">
        <f>Y136*'Data &amp; Assumptions'!$D$95</f>
        <v>33.811504111633013</v>
      </c>
      <c r="BA136" s="125">
        <f>Z136*'Data &amp; Assumptions'!$D$95</f>
        <v>31.89371559842143</v>
      </c>
      <c r="BB136" s="125">
        <f>AA136*'Data &amp; Assumptions'!$D$95</f>
        <v>30.084704049678873</v>
      </c>
      <c r="BC136" s="125">
        <f>AB136*'Data &amp; Assumptions'!$D$95</f>
        <v>28.378299635981115</v>
      </c>
      <c r="BD136" s="125">
        <f>AC136*'Data &amp; Assumptions'!$D$95</f>
        <v>26.768682480628094</v>
      </c>
      <c r="BE136" s="125">
        <f>AD136*'Data &amp; Assumptions'!$D$95</f>
        <v>25.250362810327069</v>
      </c>
      <c r="BF136" s="125">
        <f>AE136*'Data &amp; Assumptions'!$D$95</f>
        <v>23.818162231725374</v>
      </c>
      <c r="BG136" s="125">
        <f>AF136*'Data &amp; Assumptions'!$D$95</f>
        <v>22.46719606994208</v>
      </c>
      <c r="BH136" s="125">
        <f>AG136*'Data &amp; Assumptions'!$D$95</f>
        <v>21.192856708854816</v>
      </c>
      <c r="BI136" s="125">
        <f>AH136*'Data &amp; Assumptions'!$D$95</f>
        <v>19.990797876328529</v>
      </c>
      <c r="BJ136" s="125">
        <f>AI136*'Data &amp; Assumptions'!$D$95</f>
        <v>18.856919820783286</v>
      </c>
      <c r="BK136" s="125">
        <f>AJ136*'Data &amp; Assumptions'!$D$95</f>
        <v>17.787355328548337</v>
      </c>
      <c r="BL136" s="125">
        <f>AK136*'Data &amp; Assumptions'!$D$95</f>
        <v>16.778456534313172</v>
      </c>
      <c r="BN136" s="207"/>
      <c r="BU136" s="233"/>
    </row>
    <row r="137" spans="7:73" x14ac:dyDescent="0.2">
      <c r="H137" t="s">
        <v>277</v>
      </c>
      <c r="L137" s="182" t="s">
        <v>55</v>
      </c>
      <c r="M137" s="63"/>
      <c r="Q137" s="68">
        <f>Q136*$D$102</f>
        <v>23.936548840747058</v>
      </c>
      <c r="R137" s="209">
        <f>R136-R138-R139-R140</f>
        <v>12.192679565755485</v>
      </c>
      <c r="S137" s="68">
        <f t="shared" ref="S137:AK137" si="118">S136-S138-S139-S140</f>
        <v>11.252344212821171</v>
      </c>
      <c r="T137" s="68">
        <f t="shared" si="118"/>
        <v>29.158470955846269</v>
      </c>
      <c r="U137" s="209">
        <f t="shared" si="118"/>
        <v>10.286251925252479</v>
      </c>
      <c r="V137" s="68">
        <f t="shared" si="118"/>
        <v>198.72431139537684</v>
      </c>
      <c r="W137" s="68">
        <f t="shared" si="118"/>
        <v>88.824231909762801</v>
      </c>
      <c r="X137" s="68">
        <f t="shared" si="118"/>
        <v>-214.96419745600218</v>
      </c>
      <c r="Y137" s="68">
        <f t="shared" si="118"/>
        <v>8.3293399964544221</v>
      </c>
      <c r="Z137" s="68">
        <f t="shared" si="118"/>
        <v>149.25480960798114</v>
      </c>
      <c r="AA137" s="68">
        <f t="shared" si="118"/>
        <v>67.009876607666783</v>
      </c>
      <c r="AB137" s="68">
        <f t="shared" si="118"/>
        <v>-160.27170015862626</v>
      </c>
      <c r="AC137" s="68">
        <f t="shared" si="118"/>
        <v>6.7332646185420089</v>
      </c>
      <c r="AD137" s="68">
        <f t="shared" si="118"/>
        <v>112.12434446720816</v>
      </c>
      <c r="AE137" s="68">
        <f t="shared" si="118"/>
        <v>50.57397264371204</v>
      </c>
      <c r="AF137" s="68">
        <f t="shared" si="118"/>
        <v>-119.46982719052767</v>
      </c>
      <c r="AG137" s="68">
        <f t="shared" si="118"/>
        <v>5.4346512835071508</v>
      </c>
      <c r="AH137" s="68">
        <f t="shared" si="118"/>
        <v>84.250096098085493</v>
      </c>
      <c r="AI137" s="68">
        <f t="shared" si="118"/>
        <v>38.185932284210793</v>
      </c>
      <c r="AJ137" s="68">
        <f t="shared" si="118"/>
        <v>-89.035751170600349</v>
      </c>
      <c r="AK137" s="68">
        <f t="shared" si="118"/>
        <v>4.3803565879608897</v>
      </c>
      <c r="AL137" s="68"/>
      <c r="AR137" s="68">
        <f>AR136*$D$102</f>
        <v>23.936548840747058</v>
      </c>
      <c r="AS137" s="68">
        <f>AS136-AS138-AS139-AS140</f>
        <v>8.8004217847308599</v>
      </c>
      <c r="AT137" s="214">
        <f>S137*'Data &amp; Assumptions'!$D$95</f>
        <v>8.4392581596158784</v>
      </c>
      <c r="AU137" s="214">
        <f>T137*'Data &amp; Assumptions'!$D$95</f>
        <v>21.868853216884702</v>
      </c>
      <c r="AV137" s="255">
        <f>U137*'Data &amp; Assumptions'!$D$95</f>
        <v>7.7146889439393593</v>
      </c>
      <c r="AW137" s="214">
        <f>V137*'Data &amp; Assumptions'!$D$95</f>
        <v>149.04323354653263</v>
      </c>
      <c r="AX137" s="214">
        <f>W137*'Data &amp; Assumptions'!$D$95</f>
        <v>66.618173932322094</v>
      </c>
      <c r="AY137" s="214">
        <f>X137*'Data &amp; Assumptions'!$D$95</f>
        <v>-161.22314809200162</v>
      </c>
      <c r="AZ137" s="214">
        <f>Y137*'Data &amp; Assumptions'!$D$95</f>
        <v>6.2470049973408166</v>
      </c>
      <c r="BA137" s="214">
        <f>Z137*'Data &amp; Assumptions'!$D$95</f>
        <v>111.94110720598586</v>
      </c>
      <c r="BB137" s="214">
        <f>AA137*'Data &amp; Assumptions'!$D$95</f>
        <v>50.257407455750084</v>
      </c>
      <c r="BC137" s="214">
        <f>AB137*'Data &amp; Assumptions'!$D$95</f>
        <v>-120.2037751189697</v>
      </c>
      <c r="BD137" s="214">
        <f>AC137*'Data &amp; Assumptions'!$D$95</f>
        <v>5.0499484639065066</v>
      </c>
      <c r="BE137" s="214">
        <f>AD137*'Data &amp; Assumptions'!$D$95</f>
        <v>84.093258350406117</v>
      </c>
      <c r="BF137" s="214">
        <f>AE137*'Data &amp; Assumptions'!$D$95</f>
        <v>37.93047948278403</v>
      </c>
      <c r="BG137" s="214">
        <f>AF137*'Data &amp; Assumptions'!$D$95</f>
        <v>-89.60237039289575</v>
      </c>
      <c r="BH137" s="214">
        <f>AG137*'Data &amp; Assumptions'!$D$95</f>
        <v>4.0759884626303631</v>
      </c>
      <c r="BI137" s="214">
        <f>AH137*'Data &amp; Assumptions'!$D$95</f>
        <v>63.18757207356412</v>
      </c>
      <c r="BJ137" s="214">
        <f>AI137*'Data &amp; Assumptions'!$D$95</f>
        <v>28.639449213158095</v>
      </c>
      <c r="BK137" s="214">
        <f>AJ137*'Data &amp; Assumptions'!$D$95</f>
        <v>-66.776813377950262</v>
      </c>
      <c r="BL137" s="214">
        <f>AK137*'Data &amp; Assumptions'!$D$95</f>
        <v>3.2852674409706673</v>
      </c>
    </row>
    <row r="138" spans="7:73" x14ac:dyDescent="0.2">
      <c r="H138" t="s">
        <v>278</v>
      </c>
      <c r="L138" s="182" t="s">
        <v>55</v>
      </c>
      <c r="M138" s="63"/>
      <c r="Q138" s="68">
        <f>Q136*$D$103</f>
        <v>23.936548840747058</v>
      </c>
      <c r="R138" s="209">
        <f>Q137*(1-'Data &amp; Assumptions'!$D$117)</f>
        <v>22.260990421894764</v>
      </c>
      <c r="S138" s="68">
        <f>R137*(1-'Data &amp; Assumptions'!$D$117)</f>
        <v>11.3391919961526</v>
      </c>
      <c r="T138" s="68">
        <f>S137*(1-'Data &amp; Assumptions'!$D$117)</f>
        <v>10.464680117923688</v>
      </c>
      <c r="U138" s="209">
        <f>T137*(1-'Data &amp; Assumptions'!$D$117)</f>
        <v>27.117377988937029</v>
      </c>
      <c r="V138" s="68">
        <f>U137*(1-'Data &amp; Assumptions'!$D$117)</f>
        <v>9.5662142904848046</v>
      </c>
      <c r="W138" s="68">
        <f>V137*(1-'Data &amp; Assumptions'!$D$117)</f>
        <v>184.81360959770046</v>
      </c>
      <c r="X138" s="68">
        <f>W137*(1-'Data &amp; Assumptions'!$D$117)</f>
        <v>82.606535676079403</v>
      </c>
      <c r="Y138" s="68">
        <f>X137*(1-'Data &amp; Assumptions'!$D$117)</f>
        <v>-199.91670363408201</v>
      </c>
      <c r="Z138" s="68">
        <f>Y137*(1-'Data &amp; Assumptions'!$D$117)</f>
        <v>7.746286196702612</v>
      </c>
      <c r="AA138" s="68">
        <f>Z137*(1-'Data &amp; Assumptions'!$D$117)</f>
        <v>138.80697293542246</v>
      </c>
      <c r="AB138" s="68">
        <f>AA137*(1-'Data &amp; Assumptions'!$D$117)</f>
        <v>62.319185245130107</v>
      </c>
      <c r="AC138" s="68">
        <f>AB137*(1-'Data &amp; Assumptions'!$D$117)</f>
        <v>-149.05268114752241</v>
      </c>
      <c r="AD138" s="68">
        <f>AC137*(1-'Data &amp; Assumptions'!$D$117)</f>
        <v>6.2619360952440681</v>
      </c>
      <c r="AE138" s="68">
        <f>AD137*(1-'Data &amp; Assumptions'!$D$117)</f>
        <v>104.27564035450358</v>
      </c>
      <c r="AF138" s="68">
        <f>AE137*(1-'Data &amp; Assumptions'!$D$117)</f>
        <v>47.033794558652197</v>
      </c>
      <c r="AG138" s="68">
        <f>AF137*(1-'Data &amp; Assumptions'!$D$117)</f>
        <v>-111.10693928719073</v>
      </c>
      <c r="AH138" s="68">
        <f>AG137*(1-'Data &amp; Assumptions'!$D$117)</f>
        <v>5.0542256936616496</v>
      </c>
      <c r="AI138" s="68">
        <f>AH137*(1-'Data &amp; Assumptions'!$D$117)</f>
        <v>78.352589371219509</v>
      </c>
      <c r="AJ138" s="68">
        <f>AI137*(1-'Data &amp; Assumptions'!$D$117)</f>
        <v>35.512917024316032</v>
      </c>
      <c r="AK138" s="68">
        <f>AJ137*(1-'Data &amp; Assumptions'!$D$117)</f>
        <v>-82.80324858865832</v>
      </c>
      <c r="AL138" s="68"/>
      <c r="AR138" s="68">
        <f>AR136*$D$103</f>
        <v>23.936548840747058</v>
      </c>
      <c r="AS138" s="68">
        <f>AR137*(1-'Data &amp; Assumptions'!$D$117)</f>
        <v>22.260990421894764</v>
      </c>
      <c r="AT138" s="214">
        <f>S138*'Data &amp; Assumptions'!$D$95</f>
        <v>8.50439399711445</v>
      </c>
      <c r="AU138" s="214">
        <f>T138*'Data &amp; Assumptions'!$D$95</f>
        <v>7.8485100884427661</v>
      </c>
      <c r="AV138" s="255">
        <f>U138*'Data &amp; Assumptions'!$D$95</f>
        <v>20.338033491702774</v>
      </c>
      <c r="AW138" s="214">
        <f>V138*'Data &amp; Assumptions'!$D$95</f>
        <v>7.1746607178636035</v>
      </c>
      <c r="AX138" s="214">
        <f>W138*'Data &amp; Assumptions'!$D$95</f>
        <v>138.61020719827536</v>
      </c>
      <c r="AY138" s="214">
        <f>X138*'Data &amp; Assumptions'!$D$95</f>
        <v>61.954901757059552</v>
      </c>
      <c r="AZ138" s="214">
        <f>Y138*'Data &amp; Assumptions'!$D$95</f>
        <v>-149.93752772556149</v>
      </c>
      <c r="BA138" s="214">
        <f>Z138*'Data &amp; Assumptions'!$D$95</f>
        <v>5.8097146475269588</v>
      </c>
      <c r="BB138" s="214">
        <f>AA138*'Data &amp; Assumptions'!$D$95</f>
        <v>104.10522970156686</v>
      </c>
      <c r="BC138" s="214">
        <f>AB138*'Data &amp; Assumptions'!$D$95</f>
        <v>46.739388933847579</v>
      </c>
      <c r="BD138" s="214">
        <f>AC138*'Data &amp; Assumptions'!$D$95</f>
        <v>-111.7895108606418</v>
      </c>
      <c r="BE138" s="214">
        <f>AD138*'Data &amp; Assumptions'!$D$95</f>
        <v>4.6964520714330513</v>
      </c>
      <c r="BF138" s="214">
        <f>AE138*'Data &amp; Assumptions'!$D$95</f>
        <v>78.206730265877681</v>
      </c>
      <c r="BG138" s="214">
        <f>AF138*'Data &amp; Assumptions'!$D$95</f>
        <v>35.275345918989146</v>
      </c>
      <c r="BH138" s="214">
        <f>AG138*'Data &amp; Assumptions'!$D$95</f>
        <v>-83.330204465393052</v>
      </c>
      <c r="BI138" s="214">
        <f>AH138*'Data &amp; Assumptions'!$D$95</f>
        <v>3.7906692702462372</v>
      </c>
      <c r="BJ138" s="214">
        <f>AI138*'Data &amp; Assumptions'!$D$95</f>
        <v>58.764442028414635</v>
      </c>
      <c r="BK138" s="214">
        <f>AJ138*'Data &amp; Assumptions'!$D$95</f>
        <v>26.634687768237022</v>
      </c>
      <c r="BL138" s="214">
        <f>AK138*'Data &amp; Assumptions'!$D$95</f>
        <v>-62.102436441493737</v>
      </c>
    </row>
    <row r="139" spans="7:73" x14ac:dyDescent="0.2">
      <c r="G139" s="67"/>
      <c r="H139" t="s">
        <v>279</v>
      </c>
      <c r="L139" s="182" t="s">
        <v>55</v>
      </c>
      <c r="M139" s="63"/>
      <c r="Q139" s="68">
        <f>Q136*$D$104</f>
        <v>11.968274420373529</v>
      </c>
      <c r="R139" s="209">
        <f>Q138*(1-'Data &amp; Assumptions'!$D$117)</f>
        <v>22.260990421894764</v>
      </c>
      <c r="S139" s="68">
        <f>R138*(1-'Data &amp; Assumptions'!$D$117)</f>
        <v>20.702721092362129</v>
      </c>
      <c r="T139" s="68">
        <f>S138*(1-'Data &amp; Assumptions'!$D$117)</f>
        <v>10.545448556421917</v>
      </c>
      <c r="U139" s="209">
        <f>T138*(1-'Data &amp; Assumptions'!$D$117)</f>
        <v>9.7321525096690298</v>
      </c>
      <c r="V139" s="68">
        <f>U138*(1-'Data &amp; Assumptions'!$D$117)</f>
        <v>25.219161529711435</v>
      </c>
      <c r="W139" s="68">
        <f>V138*(1-'Data &amp; Assumptions'!$D$117)</f>
        <v>8.8965792901508678</v>
      </c>
      <c r="X139" s="68">
        <f>W138*(1-'Data &amp; Assumptions'!$D$117)</f>
        <v>171.87665692586143</v>
      </c>
      <c r="Y139" s="68">
        <f>X138*(1-'Data &amp; Assumptions'!$D$117)</f>
        <v>76.824078178753837</v>
      </c>
      <c r="Z139" s="68">
        <f>Y138*(1-'Data &amp; Assumptions'!$D$117)</f>
        <v>-185.92253437969626</v>
      </c>
      <c r="AA139" s="68">
        <f>Z138*(1-'Data &amp; Assumptions'!$D$117)</f>
        <v>7.2040461629334285</v>
      </c>
      <c r="AB139" s="68">
        <f>AA138*(1-'Data &amp; Assumptions'!$D$117)</f>
        <v>129.09048482994288</v>
      </c>
      <c r="AC139" s="68">
        <f>AB138*(1-'Data &amp; Assumptions'!$D$117)</f>
        <v>57.956842277970999</v>
      </c>
      <c r="AD139" s="68">
        <f>AC138*(1-'Data &amp; Assumptions'!$D$117)</f>
        <v>-138.61899346719582</v>
      </c>
      <c r="AE139" s="68">
        <f>AD138*(1-'Data &amp; Assumptions'!$D$117)</f>
        <v>5.8236005685769827</v>
      </c>
      <c r="AF139" s="68">
        <f>AE138*(1-'Data &amp; Assumptions'!$D$117)</f>
        <v>96.976345529688317</v>
      </c>
      <c r="AG139" s="68">
        <f>AF138*(1-'Data &amp; Assumptions'!$D$117)</f>
        <v>43.741428939546537</v>
      </c>
      <c r="AH139" s="68">
        <f>AG138*(1-'Data &amp; Assumptions'!$D$117)</f>
        <v>-103.32945353708737</v>
      </c>
      <c r="AI139" s="68">
        <f>AH138*(1-'Data &amp; Assumptions'!$D$117)</f>
        <v>4.7004298951053336</v>
      </c>
      <c r="AJ139" s="68">
        <f>AI138*(1-'Data &amp; Assumptions'!$D$117)</f>
        <v>72.867908115234144</v>
      </c>
      <c r="AK139" s="68">
        <f>AJ138*(1-'Data &amp; Assumptions'!$D$117)</f>
        <v>33.027012832613906</v>
      </c>
      <c r="AL139" s="68"/>
      <c r="AR139" s="68">
        <f>AR136*$D$104</f>
        <v>11.968274420373529</v>
      </c>
      <c r="AS139" s="68">
        <f>AR138*(1-'Data &amp; Assumptions'!$D$117)</f>
        <v>22.260990421894764</v>
      </c>
      <c r="AT139" s="214">
        <f>S139*'Data &amp; Assumptions'!$D$95</f>
        <v>15.527040819271598</v>
      </c>
      <c r="AU139" s="214">
        <f>T139*'Data &amp; Assumptions'!$D$95</f>
        <v>7.9090864173164377</v>
      </c>
      <c r="AV139" s="255">
        <f>U139*'Data &amp; Assumptions'!$D$95</f>
        <v>7.2991143822517728</v>
      </c>
      <c r="AW139" s="214">
        <f>V139*'Data &amp; Assumptions'!$D$95</f>
        <v>18.914371147283575</v>
      </c>
      <c r="AX139" s="214">
        <f>W139*'Data &amp; Assumptions'!$D$95</f>
        <v>6.6724344676131508</v>
      </c>
      <c r="AY139" s="214">
        <f>X139*'Data &amp; Assumptions'!$D$95</f>
        <v>128.90749269439607</v>
      </c>
      <c r="AZ139" s="214">
        <f>Y139*'Data &amp; Assumptions'!$D$95</f>
        <v>57.618058634065378</v>
      </c>
      <c r="BA139" s="214">
        <f>Z139*'Data &amp; Assumptions'!$D$95</f>
        <v>-139.4419007847722</v>
      </c>
      <c r="BB139" s="214">
        <f>AA139*'Data &amp; Assumptions'!$D$95</f>
        <v>5.4030346222000709</v>
      </c>
      <c r="BC139" s="214">
        <f>AB139*'Data &amp; Assumptions'!$D$95</f>
        <v>96.817863622457168</v>
      </c>
      <c r="BD139" s="214">
        <f>AC139*'Data &amp; Assumptions'!$D$95</f>
        <v>43.467631708478251</v>
      </c>
      <c r="BE139" s="214">
        <f>AD139*'Data &amp; Assumptions'!$D$95</f>
        <v>-103.96424510039687</v>
      </c>
      <c r="BF139" s="214">
        <f>AE139*'Data &amp; Assumptions'!$D$95</f>
        <v>4.3677004264327373</v>
      </c>
      <c r="BG139" s="214">
        <f>AF139*'Data &amp; Assumptions'!$D$95</f>
        <v>72.732259147266234</v>
      </c>
      <c r="BH139" s="214">
        <f>AG139*'Data &amp; Assumptions'!$D$95</f>
        <v>32.8060717046599</v>
      </c>
      <c r="BI139" s="214">
        <f>AH139*'Data &amp; Assumptions'!$D$95</f>
        <v>-77.497090152815531</v>
      </c>
      <c r="BJ139" s="214">
        <f>AI139*'Data &amp; Assumptions'!$D$95</f>
        <v>3.5253224213290002</v>
      </c>
      <c r="BK139" s="214">
        <f>AJ139*'Data &amp; Assumptions'!$D$95</f>
        <v>54.650931086425608</v>
      </c>
      <c r="BL139" s="214">
        <f>AK139*'Data &amp; Assumptions'!$D$95</f>
        <v>24.770259624460429</v>
      </c>
    </row>
    <row r="140" spans="7:73" x14ac:dyDescent="0.2">
      <c r="G140" s="67"/>
      <c r="H140" t="s">
        <v>280</v>
      </c>
      <c r="L140" s="182" t="s">
        <v>55</v>
      </c>
      <c r="M140" s="63"/>
      <c r="Q140" s="68">
        <f>Q136*$D$105</f>
        <v>0</v>
      </c>
      <c r="R140" s="209">
        <f>Q139*(1-'Data &amp; Assumptions'!$D$117)</f>
        <v>11.130495210947382</v>
      </c>
      <c r="S140" s="68">
        <f>R139*(1-'Data &amp; Assumptions'!$D$117)</f>
        <v>20.702721092362129</v>
      </c>
      <c r="T140" s="68">
        <f>S139*(1-'Data &amp; Assumptions'!$D$117)</f>
        <v>19.253530615896778</v>
      </c>
      <c r="U140" s="209">
        <f>T139*(1-'Data &amp; Assumptions'!$D$117)</f>
        <v>9.8072671574723813</v>
      </c>
      <c r="V140" s="68">
        <f>U139*(1-'Data &amp; Assumptions'!$D$117)</f>
        <v>9.0509018339921976</v>
      </c>
      <c r="W140" s="68">
        <f>V139*(1-'Data &amp; Assumptions'!$D$117)</f>
        <v>23.453820222631634</v>
      </c>
      <c r="X140" s="68">
        <f>W139*(1-'Data &amp; Assumptions'!$D$117)</f>
        <v>8.2738187398403067</v>
      </c>
      <c r="Y140" s="68">
        <f>X139*(1-'Data &amp; Assumptions'!$D$117)</f>
        <v>159.8452909410511</v>
      </c>
      <c r="Z140" s="68">
        <f>Y139*(1-'Data &amp; Assumptions'!$D$117)</f>
        <v>71.44639270624107</v>
      </c>
      <c r="AA140" s="68">
        <f>Z139*(1-'Data &amp; Assumptions'!$D$117)</f>
        <v>-172.90795697311751</v>
      </c>
      <c r="AB140" s="68">
        <f>AA139*(1-'Data &amp; Assumptions'!$D$117)</f>
        <v>6.6997629315280882</v>
      </c>
      <c r="AC140" s="68">
        <f>AB139*(1-'Data &amp; Assumptions'!$D$117)</f>
        <v>120.05415089184687</v>
      </c>
      <c r="AD140" s="68">
        <f>AC139*(1-'Data &amp; Assumptions'!$D$117)</f>
        <v>53.899863318513027</v>
      </c>
      <c r="AE140" s="68">
        <f>AD139*(1-'Data &amp; Assumptions'!$D$117)</f>
        <v>-128.91566392449209</v>
      </c>
      <c r="AF140" s="68">
        <f>AE139*(1-'Data &amp; Assumptions'!$D$117)</f>
        <v>5.4159485287765934</v>
      </c>
      <c r="AG140" s="68">
        <f>AF139*(1-'Data &amp; Assumptions'!$D$117)</f>
        <v>90.188001342610121</v>
      </c>
      <c r="AH140" s="68">
        <f>AG139*(1-'Data &amp; Assumptions'!$D$117)</f>
        <v>40.679528913778277</v>
      </c>
      <c r="AI140" s="68">
        <f>AH139*(1-'Data &amp; Assumptions'!$D$117)</f>
        <v>-96.09639178949125</v>
      </c>
      <c r="AJ140" s="68">
        <f>AI139*(1-'Data &amp; Assumptions'!$D$117)</f>
        <v>4.3713998024479599</v>
      </c>
      <c r="AK140" s="68">
        <f>AJ139*(1-'Data &amp; Assumptions'!$D$117)</f>
        <v>67.767154547167749</v>
      </c>
      <c r="AL140" s="68"/>
      <c r="AR140" s="68">
        <f>AR136*$D$105</f>
        <v>0</v>
      </c>
      <c r="AS140" s="68">
        <f>AR139*(1-'Data &amp; Assumptions'!$D$117)</f>
        <v>11.130495210947382</v>
      </c>
      <c r="AT140" s="214">
        <f>S140*'Data &amp; Assumptions'!$D$95</f>
        <v>15.527040819271598</v>
      </c>
      <c r="AU140" s="214">
        <f>T140*'Data &amp; Assumptions'!$D$95</f>
        <v>14.440147961922584</v>
      </c>
      <c r="AV140" s="255">
        <f>U140*'Data &amp; Assumptions'!$D$95</f>
        <v>7.355450368104286</v>
      </c>
      <c r="AW140" s="214">
        <f>V140*'Data &amp; Assumptions'!$D$95</f>
        <v>6.7881763754941478</v>
      </c>
      <c r="AX140" s="214">
        <f>W140*'Data &amp; Assumptions'!$D$95</f>
        <v>17.590365166973726</v>
      </c>
      <c r="AY140" s="214">
        <f>X140*'Data &amp; Assumptions'!$D$95</f>
        <v>6.2053640548802296</v>
      </c>
      <c r="AZ140" s="214">
        <f>Y140*'Data &amp; Assumptions'!$D$95</f>
        <v>119.88396820578834</v>
      </c>
      <c r="BA140" s="214">
        <f>Z140*'Data &amp; Assumptions'!$D$95</f>
        <v>53.584794529680806</v>
      </c>
      <c r="BB140" s="214">
        <f>AA140*'Data &amp; Assumptions'!$D$95</f>
        <v>-129.68096772983813</v>
      </c>
      <c r="BC140" s="214">
        <f>AB140*'Data &amp; Assumptions'!$D$95</f>
        <v>5.0248221986460662</v>
      </c>
      <c r="BD140" s="214">
        <f>AC140*'Data &amp; Assumptions'!$D$95</f>
        <v>90.040613168885159</v>
      </c>
      <c r="BE140" s="214">
        <f>AD140*'Data &amp; Assumptions'!$D$95</f>
        <v>40.424897488884767</v>
      </c>
      <c r="BF140" s="214">
        <f>AE140*'Data &amp; Assumptions'!$D$95</f>
        <v>-96.68674794336907</v>
      </c>
      <c r="BG140" s="214">
        <f>AF140*'Data &amp; Assumptions'!$D$95</f>
        <v>4.0619613965824453</v>
      </c>
      <c r="BH140" s="214">
        <f>AG140*'Data &amp; Assumptions'!$D$95</f>
        <v>67.641001006957595</v>
      </c>
      <c r="BI140" s="214">
        <f>AH140*'Data &amp; Assumptions'!$D$95</f>
        <v>30.509646685333706</v>
      </c>
      <c r="BJ140" s="214">
        <f>AI140*'Data &amp; Assumptions'!$D$95</f>
        <v>-72.072293842118441</v>
      </c>
      <c r="BK140" s="214">
        <f>AJ140*'Data &amp; Assumptions'!$D$95</f>
        <v>3.2785498518359697</v>
      </c>
      <c r="BL140" s="214">
        <f>AK140*'Data &amp; Assumptions'!$D$95</f>
        <v>50.825365910375808</v>
      </c>
    </row>
    <row r="141" spans="7:73" s="1" customFormat="1" x14ac:dyDescent="0.2">
      <c r="G141" s="122" t="s">
        <v>289</v>
      </c>
      <c r="L141" s="182" t="s">
        <v>55</v>
      </c>
      <c r="M141" s="124"/>
      <c r="Q141" s="125">
        <f t="shared" ref="Q141:AK141" si="119">(Q69-P69)*Q99</f>
        <v>44.887943423816573</v>
      </c>
      <c r="R141" s="244">
        <f t="shared" si="119"/>
        <v>50.891705856752083</v>
      </c>
      <c r="S141" s="125">
        <f t="shared" si="119"/>
        <v>48.00512830055699</v>
      </c>
      <c r="T141" s="125">
        <f t="shared" si="119"/>
        <v>52.074619036851949</v>
      </c>
      <c r="U141" s="244">
        <f t="shared" si="119"/>
        <v>42.713866647897142</v>
      </c>
      <c r="V141" s="125">
        <f t="shared" si="119"/>
        <v>181.9484683534636</v>
      </c>
      <c r="W141" s="125">
        <f t="shared" si="119"/>
        <v>229.52653605416396</v>
      </c>
      <c r="X141" s="125">
        <f t="shared" si="119"/>
        <v>35.850132615907704</v>
      </c>
      <c r="Y141" s="125">
        <f t="shared" si="119"/>
        <v>33.816713093933487</v>
      </c>
      <c r="Z141" s="125">
        <f t="shared" si="119"/>
        <v>31.898629127245577</v>
      </c>
      <c r="AA141" s="125">
        <f t="shared" si="119"/>
        <v>30.08933888314829</v>
      </c>
      <c r="AB141" s="125">
        <f t="shared" si="119"/>
        <v>28.38267158169625</v>
      </c>
      <c r="AC141" s="125">
        <f t="shared" si="119"/>
        <v>26.772806449582141</v>
      </c>
      <c r="AD141" s="125">
        <f t="shared" si="119"/>
        <v>25.254252867762027</v>
      </c>
      <c r="AE141" s="125">
        <f t="shared" si="119"/>
        <v>23.821831645102648</v>
      </c>
      <c r="AF141" s="125">
        <f t="shared" si="119"/>
        <v>22.470657354192412</v>
      </c>
      <c r="AG141" s="125">
        <f t="shared" si="119"/>
        <v>21.196121669062471</v>
      </c>
      <c r="AH141" s="125">
        <f t="shared" si="119"/>
        <v>19.993877647993695</v>
      </c>
      <c r="AI141" s="125">
        <f t="shared" si="119"/>
        <v>18.859824907799119</v>
      </c>
      <c r="AJ141" s="125">
        <f t="shared" si="119"/>
        <v>17.790095639028845</v>
      </c>
      <c r="AK141" s="125">
        <f t="shared" si="119"/>
        <v>16.781041414382894</v>
      </c>
      <c r="AL141" s="125"/>
      <c r="AM141" s="207"/>
      <c r="AR141" s="125">
        <f>(AR69-AQ69)*AR99</f>
        <v>44.887943423816573</v>
      </c>
      <c r="AS141" s="125">
        <f>(AS69-AR69)*AS99</f>
        <v>48.347120563914473</v>
      </c>
      <c r="AT141" s="125">
        <f>S141*'Data &amp; Assumptions'!$D$95</f>
        <v>36.003846225417746</v>
      </c>
      <c r="AU141" s="125">
        <f>T141*'Data &amp; Assumptions'!$D$95</f>
        <v>39.055964277638964</v>
      </c>
      <c r="AV141" s="244">
        <f>U141*'Data &amp; Assumptions'!$D$95</f>
        <v>32.035399985922858</v>
      </c>
      <c r="AW141" s="125">
        <f>V141*'Data &amp; Assumptions'!$D$95</f>
        <v>136.4613512650977</v>
      </c>
      <c r="AX141" s="125">
        <f>W141*'Data &amp; Assumptions'!$D$95</f>
        <v>172.14490204062298</v>
      </c>
      <c r="AY141" s="125">
        <f>X141*'Data &amp; Assumptions'!$D$95</f>
        <v>26.887599461930776</v>
      </c>
      <c r="AZ141" s="125">
        <f>Y141*'Data &amp; Assumptions'!$D$95</f>
        <v>25.362534820450115</v>
      </c>
      <c r="BA141" s="125">
        <f>Z141*'Data &amp; Assumptions'!$D$95</f>
        <v>23.923971845434181</v>
      </c>
      <c r="BB141" s="125">
        <f>AA141*'Data &amp; Assumptions'!$D$95</f>
        <v>22.567004162361219</v>
      </c>
      <c r="BC141" s="125">
        <f>AB141*'Data &amp; Assumptions'!$D$95</f>
        <v>21.287003686272186</v>
      </c>
      <c r="BD141" s="125">
        <f>AC141*'Data &amp; Assumptions'!$D$95</f>
        <v>20.079604837186608</v>
      </c>
      <c r="BE141" s="125">
        <f>AD141*'Data &amp; Assumptions'!$D$95</f>
        <v>18.940689650821518</v>
      </c>
      <c r="BF141" s="125">
        <f>AE141*'Data &amp; Assumptions'!$D$95</f>
        <v>17.866373733826986</v>
      </c>
      <c r="BG141" s="125">
        <f>AF141*'Data &amp; Assumptions'!$D$95</f>
        <v>16.852993015644309</v>
      </c>
      <c r="BH141" s="125">
        <f>AG141*'Data &amp; Assumptions'!$D$95</f>
        <v>15.897091251796853</v>
      </c>
      <c r="BI141" s="125">
        <f>AH141*'Data &amp; Assumptions'!$D$95</f>
        <v>14.995408235995271</v>
      </c>
      <c r="BJ141" s="125">
        <f>AI141*'Data &amp; Assumptions'!$D$95</f>
        <v>14.144868680849338</v>
      </c>
      <c r="BK141" s="125">
        <f>AJ141*'Data &amp; Assumptions'!$D$95</f>
        <v>13.342571729271633</v>
      </c>
      <c r="BL141" s="125">
        <f>AK141*'Data &amp; Assumptions'!$D$95</f>
        <v>12.58578106078717</v>
      </c>
      <c r="BN141" s="207"/>
      <c r="BU141" s="233"/>
    </row>
    <row r="142" spans="7:73" x14ac:dyDescent="0.2">
      <c r="H142" t="s">
        <v>277</v>
      </c>
      <c r="L142" s="182" t="s">
        <v>55</v>
      </c>
      <c r="M142" s="63"/>
      <c r="Q142" s="68">
        <f>Q141*$D$102</f>
        <v>17.955177369526631</v>
      </c>
      <c r="R142" s="209">
        <f>R141-R143-R144-R145</f>
        <v>9.1459184726026752</v>
      </c>
      <c r="S142" s="68">
        <f t="shared" ref="S142:AK142" si="120">S141-S143-S144-S145</f>
        <v>8.4405583072293453</v>
      </c>
      <c r="T142" s="68">
        <f t="shared" si="120"/>
        <v>21.872222320754279</v>
      </c>
      <c r="U142" s="209">
        <f t="shared" si="120"/>
        <v>7.7158774648057342</v>
      </c>
      <c r="V142" s="68">
        <f t="shared" si="120"/>
        <v>149.06619506764579</v>
      </c>
      <c r="W142" s="68">
        <f t="shared" si="120"/>
        <v>66.62843709268796</v>
      </c>
      <c r="X142" s="68">
        <f t="shared" si="120"/>
        <v>-161.24798604425766</v>
      </c>
      <c r="Y142" s="68">
        <f t="shared" si="120"/>
        <v>6.2479674076009388</v>
      </c>
      <c r="Z142" s="68">
        <f t="shared" si="120"/>
        <v>111.95835279329192</v>
      </c>
      <c r="AA142" s="68">
        <f t="shared" si="120"/>
        <v>50.265150085153678</v>
      </c>
      <c r="AB142" s="68">
        <f t="shared" si="120"/>
        <v>-120.22229364849051</v>
      </c>
      <c r="AC142" s="68">
        <f t="shared" si="120"/>
        <v>5.0507264562750009</v>
      </c>
      <c r="AD142" s="68">
        <f t="shared" si="120"/>
        <v>84.106213712961761</v>
      </c>
      <c r="AE142" s="68">
        <f t="shared" si="120"/>
        <v>37.936323032234824</v>
      </c>
      <c r="AF142" s="68">
        <f t="shared" si="120"/>
        <v>-89.616174486316581</v>
      </c>
      <c r="AG142" s="68">
        <f t="shared" si="120"/>
        <v>4.0766164072402233</v>
      </c>
      <c r="AH142" s="68">
        <f t="shared" si="120"/>
        <v>63.197306717236202</v>
      </c>
      <c r="AI142" s="68">
        <f t="shared" si="120"/>
        <v>28.643861391437525</v>
      </c>
      <c r="AJ142" s="68">
        <f t="shared" si="120"/>
        <v>-66.78710097822416</v>
      </c>
      <c r="AK142" s="68">
        <f t="shared" si="120"/>
        <v>3.2857735675211046</v>
      </c>
      <c r="AL142" s="68"/>
      <c r="AR142" s="68">
        <f>AR141*$D$102</f>
        <v>17.955177369526631</v>
      </c>
      <c r="AS142" s="68">
        <f>AS141-AS143-AS144-AS145</f>
        <v>6.6013331797650618</v>
      </c>
      <c r="AT142" s="214">
        <f>S142*'Data &amp; Assumptions'!$D$95</f>
        <v>6.330418730422009</v>
      </c>
      <c r="AU142" s="214">
        <f>T142*'Data &amp; Assumptions'!$D$95</f>
        <v>16.40416674056571</v>
      </c>
      <c r="AV142" s="255">
        <f>U142*'Data &amp; Assumptions'!$D$95</f>
        <v>5.7869080986043002</v>
      </c>
      <c r="AW142" s="214">
        <f>V142*'Data &amp; Assumptions'!$D$95</f>
        <v>111.79964630073434</v>
      </c>
      <c r="AX142" s="214">
        <f>W142*'Data &amp; Assumptions'!$D$95</f>
        <v>49.97132781951597</v>
      </c>
      <c r="AY142" s="214">
        <f>X142*'Data &amp; Assumptions'!$D$95</f>
        <v>-120.93598953319324</v>
      </c>
      <c r="AZ142" s="214">
        <f>Y142*'Data &amp; Assumptions'!$D$95</f>
        <v>4.6859755557007041</v>
      </c>
      <c r="BA142" s="214">
        <f>Z142*'Data &amp; Assumptions'!$D$95</f>
        <v>83.968764594968945</v>
      </c>
      <c r="BB142" s="214">
        <f>AA142*'Data &amp; Assumptions'!$D$95</f>
        <v>37.698862563865262</v>
      </c>
      <c r="BC142" s="214">
        <f>AB142*'Data &amp; Assumptions'!$D$95</f>
        <v>-90.16672023636788</v>
      </c>
      <c r="BD142" s="214">
        <f>AC142*'Data &amp; Assumptions'!$D$95</f>
        <v>3.7880448422062507</v>
      </c>
      <c r="BE142" s="214">
        <f>AD142*'Data &amp; Assumptions'!$D$95</f>
        <v>63.079660284721321</v>
      </c>
      <c r="BF142" s="214">
        <f>AE142*'Data &amp; Assumptions'!$D$95</f>
        <v>28.452242274176118</v>
      </c>
      <c r="BG142" s="214">
        <f>AF142*'Data &amp; Assumptions'!$D$95</f>
        <v>-67.212130864737432</v>
      </c>
      <c r="BH142" s="214">
        <f>AG142*'Data &amp; Assumptions'!$D$95</f>
        <v>3.0574623054301675</v>
      </c>
      <c r="BI142" s="214">
        <f>AH142*'Data &amp; Assumptions'!$D$95</f>
        <v>47.397980037927155</v>
      </c>
      <c r="BJ142" s="214">
        <f>AI142*'Data &amp; Assumptions'!$D$95</f>
        <v>21.482896043578144</v>
      </c>
      <c r="BK142" s="214">
        <f>AJ142*'Data &amp; Assumptions'!$D$95</f>
        <v>-50.090325733668124</v>
      </c>
      <c r="BL142" s="214">
        <f>AK142*'Data &amp; Assumptions'!$D$95</f>
        <v>2.4643301756408285</v>
      </c>
    </row>
    <row r="143" spans="7:73" x14ac:dyDescent="0.2">
      <c r="G143" s="67"/>
      <c r="H143" t="s">
        <v>278</v>
      </c>
      <c r="L143" s="182" t="s">
        <v>55</v>
      </c>
      <c r="M143" s="63"/>
      <c r="Q143" s="68">
        <f>Q141*$D$103</f>
        <v>17.955177369526631</v>
      </c>
      <c r="R143" s="209">
        <f>Q142*(1-'Data &amp; Assumptions'!$D$117)</f>
        <v>16.698314953659764</v>
      </c>
      <c r="S143" s="68">
        <f>R142*(1-'Data &amp; Assumptions'!$D$117)</f>
        <v>8.5057041795204871</v>
      </c>
      <c r="T143" s="68">
        <f>S142*(1-'Data &amp; Assumptions'!$D$117)</f>
        <v>7.8497192257232902</v>
      </c>
      <c r="U143" s="209">
        <f>T142*(1-'Data &amp; Assumptions'!$D$117)</f>
        <v>20.34116675830148</v>
      </c>
      <c r="V143" s="68">
        <f>U142*(1-'Data &amp; Assumptions'!$D$117)</f>
        <v>7.1757660422693323</v>
      </c>
      <c r="W143" s="68">
        <f>V142*(1-'Data &amp; Assumptions'!$D$117)</f>
        <v>138.63156141291057</v>
      </c>
      <c r="X143" s="68">
        <f>W142*(1-'Data &amp; Assumptions'!$D$117)</f>
        <v>61.964446496199798</v>
      </c>
      <c r="Y143" s="68">
        <f>X142*(1-'Data &amp; Assumptions'!$D$117)</f>
        <v>-149.96062702115961</v>
      </c>
      <c r="Z143" s="68">
        <f>Y142*(1-'Data &amp; Assumptions'!$D$117)</f>
        <v>5.8106096890688725</v>
      </c>
      <c r="AA143" s="68">
        <f>Z142*(1-'Data &amp; Assumptions'!$D$117)</f>
        <v>104.12126809776149</v>
      </c>
      <c r="AB143" s="68">
        <f>AA142*(1-'Data &amp; Assumptions'!$D$117)</f>
        <v>46.746589579192914</v>
      </c>
      <c r="AC143" s="68">
        <f>AB142*(1-'Data &amp; Assumptions'!$D$117)</f>
        <v>-111.80673309309617</v>
      </c>
      <c r="AD143" s="68">
        <f>AC142*(1-'Data &amp; Assumptions'!$D$117)</f>
        <v>4.6971756043357509</v>
      </c>
      <c r="AE143" s="68">
        <f>AD142*(1-'Data &amp; Assumptions'!$D$117)</f>
        <v>78.218778753054437</v>
      </c>
      <c r="AF143" s="68">
        <f>AE142*(1-'Data &amp; Assumptions'!$D$117)</f>
        <v>35.280780419978385</v>
      </c>
      <c r="AG143" s="68">
        <f>AF142*(1-'Data &amp; Assumptions'!$D$117)</f>
        <v>-83.343042272274417</v>
      </c>
      <c r="AH143" s="68">
        <f>AG142*(1-'Data &amp; Assumptions'!$D$117)</f>
        <v>3.7912532587334073</v>
      </c>
      <c r="AI143" s="68">
        <f>AH142*(1-'Data &amp; Assumptions'!$D$117)</f>
        <v>58.773495247029665</v>
      </c>
      <c r="AJ143" s="68">
        <f>AI142*(1-'Data &amp; Assumptions'!$D$117)</f>
        <v>26.638791094036897</v>
      </c>
      <c r="AK143" s="68">
        <f>AJ142*(1-'Data &amp; Assumptions'!$D$117)</f>
        <v>-62.112003909748466</v>
      </c>
      <c r="AL143" s="68"/>
      <c r="AR143" s="68">
        <f>AR141*$D$103</f>
        <v>17.955177369526631</v>
      </c>
      <c r="AS143" s="68">
        <f>AR142*(1-'Data &amp; Assumptions'!$D$117)</f>
        <v>16.698314953659764</v>
      </c>
      <c r="AT143" s="214">
        <f>S143*'Data &amp; Assumptions'!$D$95</f>
        <v>6.3792781346403657</v>
      </c>
      <c r="AU143" s="214">
        <f>T143*'Data &amp; Assumptions'!$D$95</f>
        <v>5.8872894192924674</v>
      </c>
      <c r="AV143" s="255">
        <f>U143*'Data &amp; Assumptions'!$D$95</f>
        <v>15.255875068726109</v>
      </c>
      <c r="AW143" s="214">
        <f>V143*'Data &amp; Assumptions'!$D$95</f>
        <v>5.3818245317019997</v>
      </c>
      <c r="AX143" s="214">
        <f>W143*'Data &amp; Assumptions'!$D$95</f>
        <v>103.97367105968293</v>
      </c>
      <c r="AY143" s="214">
        <f>X143*'Data &amp; Assumptions'!$D$95</f>
        <v>46.473334872149849</v>
      </c>
      <c r="AZ143" s="214">
        <f>Y143*'Data &amp; Assumptions'!$D$95</f>
        <v>-112.47047026586971</v>
      </c>
      <c r="BA143" s="214">
        <f>Z143*'Data &amp; Assumptions'!$D$95</f>
        <v>4.3579572668016544</v>
      </c>
      <c r="BB143" s="214">
        <f>AA143*'Data &amp; Assumptions'!$D$95</f>
        <v>78.090951073321122</v>
      </c>
      <c r="BC143" s="214">
        <f>AB143*'Data &amp; Assumptions'!$D$95</f>
        <v>35.059942184394686</v>
      </c>
      <c r="BD143" s="214">
        <f>AC143*'Data &amp; Assumptions'!$D$95</f>
        <v>-83.855049819822128</v>
      </c>
      <c r="BE143" s="214">
        <f>AD143*'Data &amp; Assumptions'!$D$95</f>
        <v>3.5228817032518132</v>
      </c>
      <c r="BF143" s="214">
        <f>AE143*'Data &amp; Assumptions'!$D$95</f>
        <v>58.664084064790828</v>
      </c>
      <c r="BG143" s="214">
        <f>AF143*'Data &amp; Assumptions'!$D$95</f>
        <v>26.460585314983788</v>
      </c>
      <c r="BH143" s="214">
        <f>AG143*'Data &amp; Assumptions'!$D$95</f>
        <v>-62.507281704205809</v>
      </c>
      <c r="BI143" s="214">
        <f>AH143*'Data &amp; Assumptions'!$D$95</f>
        <v>2.8434399440500555</v>
      </c>
      <c r="BJ143" s="214">
        <f>AI143*'Data &amp; Assumptions'!$D$95</f>
        <v>44.080121435272247</v>
      </c>
      <c r="BK143" s="214">
        <f>AJ143*'Data &amp; Assumptions'!$D$95</f>
        <v>19.979093320527674</v>
      </c>
      <c r="BL143" s="214">
        <f>AK143*'Data &amp; Assumptions'!$D$95</f>
        <v>-46.58400293231135</v>
      </c>
    </row>
    <row r="144" spans="7:73" x14ac:dyDescent="0.2">
      <c r="G144" s="67"/>
      <c r="H144" t="s">
        <v>279</v>
      </c>
      <c r="L144" s="182" t="s">
        <v>55</v>
      </c>
      <c r="M144" s="63"/>
      <c r="Q144" s="68">
        <f>Q141*$D$104</f>
        <v>8.9775886847633153</v>
      </c>
      <c r="R144" s="209">
        <f>Q143*(1-'Data &amp; Assumptions'!$D$117)</f>
        <v>16.698314953659764</v>
      </c>
      <c r="S144" s="68">
        <f>R143*(1-'Data &amp; Assumptions'!$D$117)</f>
        <v>15.52943290690358</v>
      </c>
      <c r="T144" s="68">
        <f>S143*(1-'Data &amp; Assumptions'!$D$117)</f>
        <v>7.9103048869540524</v>
      </c>
      <c r="U144" s="209">
        <f>T143*(1-'Data &amp; Assumptions'!$D$117)</f>
        <v>7.3002388799226594</v>
      </c>
      <c r="V144" s="68">
        <f>U143*(1-'Data &amp; Assumptions'!$D$117)</f>
        <v>18.917285085220374</v>
      </c>
      <c r="W144" s="68">
        <f>V143*(1-'Data &amp; Assumptions'!$D$117)</f>
        <v>6.6734624193104786</v>
      </c>
      <c r="X144" s="68">
        <f>W143*(1-'Data &amp; Assumptions'!$D$117)</f>
        <v>128.92735211400682</v>
      </c>
      <c r="Y144" s="68">
        <f>X143*(1-'Data &amp; Assumptions'!$D$117)</f>
        <v>57.626935241465809</v>
      </c>
      <c r="Z144" s="68">
        <f>Y143*(1-'Data &amp; Assumptions'!$D$117)</f>
        <v>-139.46338312967842</v>
      </c>
      <c r="AA144" s="68">
        <f>Z143*(1-'Data &amp; Assumptions'!$D$117)</f>
        <v>5.403867010834051</v>
      </c>
      <c r="AB144" s="68">
        <f>AA143*(1-'Data &amp; Assumptions'!$D$117)</f>
        <v>96.832779330918171</v>
      </c>
      <c r="AC144" s="68">
        <f>AB143*(1-'Data &amp; Assumptions'!$D$117)</f>
        <v>43.474328308649405</v>
      </c>
      <c r="AD144" s="68">
        <f>AC143*(1-'Data &amp; Assumptions'!$D$117)</f>
        <v>-103.98026177657943</v>
      </c>
      <c r="AE144" s="68">
        <f>AD143*(1-'Data &amp; Assumptions'!$D$117)</f>
        <v>4.3683733120322481</v>
      </c>
      <c r="AF144" s="68">
        <f>AE143*(1-'Data &amp; Assumptions'!$D$117)</f>
        <v>72.743464240340614</v>
      </c>
      <c r="AG144" s="68">
        <f>AF143*(1-'Data &amp; Assumptions'!$D$117)</f>
        <v>32.811125790579894</v>
      </c>
      <c r="AH144" s="68">
        <f>AG143*(1-'Data &amp; Assumptions'!$D$117)</f>
        <v>-77.509029313215208</v>
      </c>
      <c r="AI144" s="68">
        <f>AH143*(1-'Data &amp; Assumptions'!$D$117)</f>
        <v>3.5258655306220685</v>
      </c>
      <c r="AJ144" s="68">
        <f>AI143*(1-'Data &amp; Assumptions'!$D$117)</f>
        <v>54.659350579737584</v>
      </c>
      <c r="AK144" s="68">
        <f>AJ143*(1-'Data &amp; Assumptions'!$D$117)</f>
        <v>24.774075717454313</v>
      </c>
      <c r="AL144" s="68"/>
      <c r="AR144" s="68">
        <f>AR141*$D$104</f>
        <v>8.9775886847633153</v>
      </c>
      <c r="AS144" s="68">
        <f>AR143*(1-'Data &amp; Assumptions'!$D$117)</f>
        <v>16.698314953659764</v>
      </c>
      <c r="AT144" s="214">
        <f>S144*'Data &amp; Assumptions'!$D$95</f>
        <v>11.647074680177685</v>
      </c>
      <c r="AU144" s="214">
        <f>T144*'Data &amp; Assumptions'!$D$95</f>
        <v>5.9327286652155395</v>
      </c>
      <c r="AV144" s="255">
        <f>U144*'Data &amp; Assumptions'!$D$95</f>
        <v>5.4751791599419946</v>
      </c>
      <c r="AW144" s="214">
        <f>V144*'Data &amp; Assumptions'!$D$95</f>
        <v>14.187963813915282</v>
      </c>
      <c r="AX144" s="214">
        <f>W144*'Data &amp; Assumptions'!$D$95</f>
        <v>5.0050968144828589</v>
      </c>
      <c r="AY144" s="214">
        <f>X144*'Data &amp; Assumptions'!$D$95</f>
        <v>96.695514085505124</v>
      </c>
      <c r="AZ144" s="214">
        <f>Y144*'Data &amp; Assumptions'!$D$95</f>
        <v>43.220201431099355</v>
      </c>
      <c r="BA144" s="214">
        <f>Z144*'Data &amp; Assumptions'!$D$95</f>
        <v>-104.59753734725882</v>
      </c>
      <c r="BB144" s="214">
        <f>AA144*'Data &amp; Assumptions'!$D$95</f>
        <v>4.052900258125538</v>
      </c>
      <c r="BC144" s="214">
        <f>AB144*'Data &amp; Assumptions'!$D$95</f>
        <v>72.624584498188625</v>
      </c>
      <c r="BD144" s="214">
        <f>AC144*'Data &amp; Assumptions'!$D$95</f>
        <v>32.605746231487053</v>
      </c>
      <c r="BE144" s="214">
        <f>AD144*'Data &amp; Assumptions'!$D$95</f>
        <v>-77.985196332434569</v>
      </c>
      <c r="BF144" s="214">
        <f>AE144*'Data &amp; Assumptions'!$D$95</f>
        <v>3.2762799840241863</v>
      </c>
      <c r="BG144" s="214">
        <f>AF144*'Data &amp; Assumptions'!$D$95</f>
        <v>54.557598180255461</v>
      </c>
      <c r="BH144" s="214">
        <f>AG144*'Data &amp; Assumptions'!$D$95</f>
        <v>24.60834434293492</v>
      </c>
      <c r="BI144" s="214">
        <f>AH144*'Data &amp; Assumptions'!$D$95</f>
        <v>-58.13177198491141</v>
      </c>
      <c r="BJ144" s="214">
        <f>AI144*'Data &amp; Assumptions'!$D$95</f>
        <v>2.6443991479665514</v>
      </c>
      <c r="BK144" s="214">
        <f>AJ144*'Data &amp; Assumptions'!$D$95</f>
        <v>40.99451293480319</v>
      </c>
      <c r="BL144" s="214">
        <f>AK144*'Data &amp; Assumptions'!$D$95</f>
        <v>18.580556788090735</v>
      </c>
    </row>
    <row r="145" spans="5:89" x14ac:dyDescent="0.2">
      <c r="G145" s="67"/>
      <c r="H145" t="s">
        <v>280</v>
      </c>
      <c r="L145" s="182" t="s">
        <v>55</v>
      </c>
      <c r="M145" s="63"/>
      <c r="Q145" s="68">
        <f>Q141*$D$105</f>
        <v>0</v>
      </c>
      <c r="R145" s="209">
        <f>Q144*(1-'Data &amp; Assumptions'!$D$117)</f>
        <v>8.3491574768298822</v>
      </c>
      <c r="S145" s="68">
        <f>R144*(1-'Data &amp; Assumptions'!$D$117)</f>
        <v>15.52943290690358</v>
      </c>
      <c r="T145" s="68">
        <f>S144*(1-'Data &amp; Assumptions'!$D$117)</f>
        <v>14.442372603420328</v>
      </c>
      <c r="U145" s="209">
        <f>T144*(1-'Data &amp; Assumptions'!$D$117)</f>
        <v>7.3565835448672683</v>
      </c>
      <c r="V145" s="68">
        <f>U144*(1-'Data &amp; Assumptions'!$D$117)</f>
        <v>6.789222158328073</v>
      </c>
      <c r="W145" s="68">
        <f>V144*(1-'Data &amp; Assumptions'!$D$117)</f>
        <v>17.593075129254949</v>
      </c>
      <c r="X145" s="68">
        <f>W144*(1-'Data &amp; Assumptions'!$D$117)</f>
        <v>6.2063200499587445</v>
      </c>
      <c r="Y145" s="68">
        <f>X144*(1-'Data &amp; Assumptions'!$D$117)</f>
        <v>119.90243746602634</v>
      </c>
      <c r="Z145" s="68">
        <f>Y144*(1-'Data &amp; Assumptions'!$D$117)</f>
        <v>53.593049774563198</v>
      </c>
      <c r="AA145" s="68">
        <f>Z144*(1-'Data &amp; Assumptions'!$D$117)</f>
        <v>-129.70094631060093</v>
      </c>
      <c r="AB145" s="68">
        <f>AA144*(1-'Data &amp; Assumptions'!$D$117)</f>
        <v>5.0255963200756675</v>
      </c>
      <c r="AC145" s="68">
        <f>AB144*(1-'Data &amp; Assumptions'!$D$117)</f>
        <v>90.054484777753899</v>
      </c>
      <c r="AD145" s="68">
        <f>AC144*(1-'Data &amp; Assumptions'!$D$117)</f>
        <v>40.431125327043944</v>
      </c>
      <c r="AE145" s="68">
        <f>AD144*(1-'Data &amp; Assumptions'!$D$117)</f>
        <v>-96.70164345221886</v>
      </c>
      <c r="AF145" s="68">
        <f>AE144*(1-'Data &amp; Assumptions'!$D$117)</f>
        <v>4.0625871801899907</v>
      </c>
      <c r="AG145" s="68">
        <f>AF144*(1-'Data &amp; Assumptions'!$D$117)</f>
        <v>67.651421743516764</v>
      </c>
      <c r="AH145" s="68">
        <f>AG144*(1-'Data &amp; Assumptions'!$D$117)</f>
        <v>30.5143469852393</v>
      </c>
      <c r="AI145" s="68">
        <f>AH144*(1-'Data &amp; Assumptions'!$D$117)</f>
        <v>-72.083397261290145</v>
      </c>
      <c r="AJ145" s="68">
        <f>AI144*(1-'Data &amp; Assumptions'!$D$117)</f>
        <v>3.2790549434785237</v>
      </c>
      <c r="AK145" s="68">
        <f>AJ144*(1-'Data &amp; Assumptions'!$D$117)</f>
        <v>50.833196039155951</v>
      </c>
      <c r="AL145" s="68"/>
      <c r="AR145" s="68">
        <f>AR141*$D$105</f>
        <v>0</v>
      </c>
      <c r="AS145" s="68">
        <f>AR144*(1-'Data &amp; Assumptions'!$D$117)</f>
        <v>8.3491574768298822</v>
      </c>
      <c r="AT145" s="214">
        <f>S145*'Data &amp; Assumptions'!$D$95</f>
        <v>11.647074680177685</v>
      </c>
      <c r="AU145" s="214">
        <f>T145*'Data &amp; Assumptions'!$D$95</f>
        <v>10.831779452565247</v>
      </c>
      <c r="AV145" s="255">
        <f>U145*'Data &amp; Assumptions'!$D$95</f>
        <v>5.5174376586504508</v>
      </c>
      <c r="AW145" s="214">
        <f>V145*'Data &amp; Assumptions'!$D$95</f>
        <v>5.0919166187460547</v>
      </c>
      <c r="AX145" s="214">
        <f>W145*'Data &amp; Assumptions'!$D$95</f>
        <v>13.194806346941212</v>
      </c>
      <c r="AY145" s="214">
        <f>X145*'Data &amp; Assumptions'!$D$95</f>
        <v>4.6547400374690584</v>
      </c>
      <c r="AZ145" s="214">
        <f>Y145*'Data &amp; Assumptions'!$D$95</f>
        <v>89.926828099519753</v>
      </c>
      <c r="BA145" s="214">
        <f>Z145*'Data &amp; Assumptions'!$D$95</f>
        <v>40.194787330922395</v>
      </c>
      <c r="BB145" s="214">
        <f>AA145*'Data &amp; Assumptions'!$D$95</f>
        <v>-97.275709732950702</v>
      </c>
      <c r="BC145" s="214">
        <f>AB145*'Data &amp; Assumptions'!$D$95</f>
        <v>3.7691972400567506</v>
      </c>
      <c r="BD145" s="214">
        <f>AC145*'Data &amp; Assumptions'!$D$95</f>
        <v>67.540863583315428</v>
      </c>
      <c r="BE145" s="214">
        <f>AD145*'Data &amp; Assumptions'!$D$95</f>
        <v>30.323343995282958</v>
      </c>
      <c r="BF145" s="214">
        <f>AE145*'Data &amp; Assumptions'!$D$95</f>
        <v>-72.526232589164152</v>
      </c>
      <c r="BG145" s="214">
        <f>AF145*'Data &amp; Assumptions'!$D$95</f>
        <v>3.0469403851424932</v>
      </c>
      <c r="BH145" s="214">
        <f>AG145*'Data &amp; Assumptions'!$D$95</f>
        <v>50.738566307637569</v>
      </c>
      <c r="BI145" s="214">
        <f>AH145*'Data &amp; Assumptions'!$D$95</f>
        <v>22.885760238929475</v>
      </c>
      <c r="BJ145" s="214">
        <f>AI145*'Data &amp; Assumptions'!$D$95</f>
        <v>-54.062547945967609</v>
      </c>
      <c r="BK145" s="214">
        <f>AJ145*'Data &amp; Assumptions'!$D$95</f>
        <v>2.4592912076088926</v>
      </c>
      <c r="BL145" s="214">
        <f>AK145*'Data &amp; Assumptions'!$D$95</f>
        <v>38.124897029366963</v>
      </c>
    </row>
    <row r="146" spans="5:89" x14ac:dyDescent="0.2">
      <c r="G146" s="67"/>
      <c r="L146" s="182"/>
      <c r="M146" s="63"/>
      <c r="Q146" s="68"/>
      <c r="R146" s="209"/>
      <c r="S146" s="68"/>
      <c r="T146" s="68"/>
      <c r="U146" s="209"/>
      <c r="V146" s="68"/>
      <c r="W146" s="68"/>
      <c r="X146" s="68"/>
      <c r="Y146" s="68"/>
      <c r="Z146" s="68"/>
      <c r="AA146" s="68"/>
      <c r="AB146" s="68"/>
      <c r="AC146" s="68"/>
      <c r="AD146" s="68"/>
      <c r="AE146" s="68"/>
      <c r="AF146" s="68"/>
      <c r="AG146" s="68"/>
      <c r="AH146" s="68"/>
      <c r="AI146" s="68"/>
      <c r="AJ146" s="68"/>
      <c r="AK146" s="68"/>
      <c r="AL146" s="68"/>
      <c r="AR146" s="68"/>
      <c r="AS146" s="68"/>
      <c r="AT146" s="214"/>
      <c r="AU146" s="214"/>
      <c r="AV146" s="255"/>
      <c r="AW146" s="214"/>
      <c r="AX146" s="214"/>
      <c r="AY146" s="214"/>
      <c r="AZ146" s="214"/>
      <c r="BA146" s="214"/>
      <c r="BB146" s="214"/>
      <c r="BC146" s="214"/>
      <c r="BD146" s="214"/>
      <c r="BE146" s="214"/>
      <c r="BF146" s="214"/>
      <c r="BG146" s="214"/>
      <c r="BH146" s="214"/>
      <c r="BI146" s="214"/>
      <c r="BJ146" s="214"/>
      <c r="BK146" s="214"/>
      <c r="BL146" s="214"/>
    </row>
    <row r="147" spans="5:89" x14ac:dyDescent="0.2">
      <c r="E147" s="1" t="s">
        <v>440</v>
      </c>
      <c r="G147" s="67"/>
      <c r="L147" s="182"/>
      <c r="M147" s="63"/>
      <c r="Q147" s="68">
        <f>Q101+Q106+Q111+Q116+Q121+Q126+Q131+Q136+Q141</f>
        <v>926.75303197353935</v>
      </c>
      <c r="R147" s="68">
        <f t="shared" ref="R147:AK147" si="121">R101+R106+R111+R116+R121+R126+R131+R136+R141</f>
        <v>1050.7062499999993</v>
      </c>
      <c r="S147" s="68">
        <f t="shared" si="121"/>
        <v>991.11019149999993</v>
      </c>
      <c r="T147" s="68">
        <f t="shared" si="121"/>
        <v>1075.1285846538383</v>
      </c>
      <c r="U147" s="68">
        <f t="shared" si="121"/>
        <v>881.86720985415013</v>
      </c>
      <c r="V147" s="68">
        <f t="shared" si="121"/>
        <v>3756.4941017112214</v>
      </c>
      <c r="W147" s="68">
        <f t="shared" si="121"/>
        <v>4738.7872328701633</v>
      </c>
      <c r="X147" s="68">
        <f t="shared" si="121"/>
        <v>740.15908425018119</v>
      </c>
      <c r="Y147" s="68">
        <f t="shared" si="121"/>
        <v>698.17726099150957</v>
      </c>
      <c r="Z147" s="68">
        <f t="shared" si="121"/>
        <v>658.57664674807199</v>
      </c>
      <c r="AA147" s="68">
        <f t="shared" si="121"/>
        <v>621.22217934452215</v>
      </c>
      <c r="AB147" s="68">
        <f t="shared" si="121"/>
        <v>585.98645733210117</v>
      </c>
      <c r="AC147" s="68">
        <f t="shared" si="121"/>
        <v>552.74930547222414</v>
      </c>
      <c r="AD147" s="68">
        <f t="shared" si="121"/>
        <v>521.39736486583911</v>
      </c>
      <c r="AE147" s="68">
        <f t="shared" si="121"/>
        <v>491.82370633065176</v>
      </c>
      <c r="AF147" s="68">
        <f t="shared" si="121"/>
        <v>463.9274657075789</v>
      </c>
      <c r="AG147" s="68">
        <f t="shared" si="121"/>
        <v>437.61349985264087</v>
      </c>
      <c r="AH147" s="68">
        <f t="shared" si="121"/>
        <v>412.79206214100378</v>
      </c>
      <c r="AI147" s="68">
        <f t="shared" si="121"/>
        <v>389.37849637636276</v>
      </c>
      <c r="AJ147" s="68">
        <f t="shared" si="121"/>
        <v>367.29294806189893</v>
      </c>
      <c r="AK147" s="68">
        <f t="shared" si="121"/>
        <v>346.46009204782274</v>
      </c>
      <c r="AL147" s="68"/>
      <c r="AR147" s="68"/>
      <c r="AS147" s="68"/>
      <c r="AT147" s="214"/>
      <c r="AU147" s="214"/>
      <c r="AV147" s="255"/>
      <c r="AW147" s="214"/>
      <c r="AX147" s="214"/>
      <c r="AY147" s="214"/>
      <c r="AZ147" s="214"/>
      <c r="BA147" s="214"/>
      <c r="BB147" s="214"/>
      <c r="BC147" s="214"/>
      <c r="BD147" s="214"/>
      <c r="BE147" s="214"/>
      <c r="BF147" s="214"/>
      <c r="BG147" s="214"/>
      <c r="BH147" s="214"/>
      <c r="BI147" s="214"/>
      <c r="BJ147" s="214"/>
      <c r="BK147" s="214"/>
      <c r="BL147" s="214"/>
    </row>
    <row r="148" spans="5:89" x14ac:dyDescent="0.2">
      <c r="G148" s="67"/>
      <c r="L148" s="182"/>
      <c r="M148" s="63"/>
      <c r="Q148" s="68"/>
      <c r="R148" s="209"/>
      <c r="S148" s="68"/>
      <c r="T148" s="68"/>
      <c r="U148" s="209"/>
      <c r="V148" s="68"/>
      <c r="W148" s="68"/>
      <c r="X148" s="68"/>
      <c r="Y148" s="68"/>
      <c r="Z148" s="68"/>
      <c r="AA148" s="68"/>
      <c r="AB148" s="68"/>
      <c r="AC148" s="68"/>
      <c r="AD148" s="68"/>
      <c r="AE148" s="68"/>
      <c r="AF148" s="68"/>
      <c r="AG148" s="68"/>
      <c r="AH148" s="68"/>
      <c r="AI148" s="68"/>
      <c r="AJ148" s="68"/>
      <c r="AK148" s="68"/>
      <c r="AL148" s="68"/>
    </row>
    <row r="149" spans="5:89" s="193" customFormat="1" ht="25.5" customHeight="1" x14ac:dyDescent="0.2">
      <c r="F149" s="602" t="s">
        <v>407</v>
      </c>
      <c r="G149" s="602"/>
      <c r="H149" s="602"/>
      <c r="I149" s="602"/>
      <c r="J149" s="602"/>
      <c r="K149" s="602"/>
      <c r="L149" s="190" t="s">
        <v>175</v>
      </c>
      <c r="M149" s="210">
        <f>'Data &amp; Assumptions'!D118</f>
        <v>12.5</v>
      </c>
      <c r="Q149" s="198"/>
      <c r="R149" s="248"/>
      <c r="S149" s="198"/>
      <c r="T149" s="198"/>
      <c r="U149" s="248"/>
      <c r="V149" s="198"/>
      <c r="W149" s="198"/>
      <c r="X149" s="198"/>
      <c r="Y149" s="198"/>
      <c r="Z149" s="198"/>
      <c r="AA149" s="198"/>
      <c r="AB149" s="198"/>
      <c r="AC149" s="198"/>
      <c r="AD149" s="198"/>
      <c r="AE149" s="198"/>
      <c r="AF149" s="198"/>
      <c r="AG149" s="198"/>
      <c r="AH149" s="198"/>
      <c r="AI149" s="198"/>
      <c r="AJ149" s="198"/>
      <c r="AK149" s="198"/>
      <c r="AL149" s="198"/>
      <c r="AM149" s="205"/>
      <c r="AV149" s="221"/>
      <c r="BN149" s="205"/>
      <c r="BU149" s="221"/>
    </row>
    <row r="150" spans="5:89" s="193" customFormat="1" ht="12.75" customHeight="1" x14ac:dyDescent="0.2">
      <c r="F150" s="192"/>
      <c r="G150" s="196" t="s">
        <v>224</v>
      </c>
      <c r="H150" s="192"/>
      <c r="I150" s="192"/>
      <c r="J150" s="192"/>
      <c r="K150" s="192"/>
      <c r="L150" s="190" t="s">
        <v>175</v>
      </c>
      <c r="M150" s="210"/>
      <c r="Q150" s="198"/>
      <c r="R150" s="248">
        <f>R102*$M$149</f>
        <v>1327.0879853961271</v>
      </c>
      <c r="S150" s="198">
        <f t="shared" ref="S150:AK150" si="122">S102*$M$149</f>
        <v>1224.7390519732232</v>
      </c>
      <c r="T150" s="198">
        <f t="shared" si="122"/>
        <v>3173.695845063221</v>
      </c>
      <c r="U150" s="248">
        <f t="shared" si="122"/>
        <v>1119.5866561686701</v>
      </c>
      <c r="V150" s="198">
        <f t="shared" si="122"/>
        <v>21629.752888743438</v>
      </c>
      <c r="W150" s="198">
        <f t="shared" si="122"/>
        <v>9667.8970642809709</v>
      </c>
      <c r="X150" s="198">
        <f>X102*$M$149</f>
        <v>-23397.351024906151</v>
      </c>
      <c r="Y150" s="198">
        <f t="shared" si="122"/>
        <v>906.59046487369608</v>
      </c>
      <c r="Z150" s="198">
        <f t="shared" si="122"/>
        <v>16245.34324264958</v>
      </c>
      <c r="AA150" s="198">
        <f t="shared" si="122"/>
        <v>7293.5568977533394</v>
      </c>
      <c r="AB150" s="198">
        <f t="shared" si="122"/>
        <v>-17444.454808514802</v>
      </c>
      <c r="AC150" s="198">
        <f t="shared" si="122"/>
        <v>732.86881112311448</v>
      </c>
      <c r="AD150" s="198">
        <f t="shared" si="122"/>
        <v>12203.951527666317</v>
      </c>
      <c r="AE150" s="198">
        <f t="shared" si="122"/>
        <v>5504.6235823113593</v>
      </c>
      <c r="AF150" s="198">
        <f t="shared" si="122"/>
        <v>-13003.456002173474</v>
      </c>
      <c r="AG150" s="198">
        <f t="shared" si="122"/>
        <v>591.52382249234142</v>
      </c>
      <c r="AH150" s="198">
        <f t="shared" si="122"/>
        <v>9170.0343388225829</v>
      </c>
      <c r="AI150" s="198">
        <f t="shared" si="122"/>
        <v>4156.271939423048</v>
      </c>
      <c r="AJ150" s="198">
        <f t="shared" si="122"/>
        <v>-9690.9194580232561</v>
      </c>
      <c r="AK150" s="198">
        <f t="shared" si="122"/>
        <v>476.77121081403442</v>
      </c>
      <c r="AL150" s="198"/>
      <c r="AM150" s="205"/>
      <c r="AV150" s="221"/>
      <c r="BN150" s="205"/>
      <c r="BQ150" s="212">
        <f>Q150</f>
        <v>0</v>
      </c>
      <c r="BR150" s="212">
        <f t="shared" ref="BR150:BR159" si="123">R150</f>
        <v>1327.0879853961271</v>
      </c>
      <c r="BS150" s="212">
        <f t="shared" ref="BS150:BS159" si="124">S150</f>
        <v>1224.7390519732232</v>
      </c>
      <c r="BT150" s="212">
        <f t="shared" ref="BT150:BT159" si="125">T150</f>
        <v>3173.695845063221</v>
      </c>
      <c r="BU150" s="226">
        <f t="shared" ref="BU150:BU159" si="126">U150</f>
        <v>1119.5866561686701</v>
      </c>
      <c r="BV150" s="212">
        <f t="shared" ref="BV150:BV159" si="127">V150</f>
        <v>21629.752888743438</v>
      </c>
      <c r="BW150" s="212">
        <f t="shared" ref="BW150:BW159" si="128">W150</f>
        <v>9667.8970642809709</v>
      </c>
      <c r="BX150" s="212">
        <f t="shared" ref="BX150:BX159" si="129">X150</f>
        <v>-23397.351024906151</v>
      </c>
      <c r="BY150" s="212">
        <f t="shared" ref="BY150:BY159" si="130">Y150</f>
        <v>906.59046487369608</v>
      </c>
      <c r="BZ150" s="212">
        <f t="shared" ref="BZ150:BZ159" si="131">Z150</f>
        <v>16245.34324264958</v>
      </c>
      <c r="CA150" s="212">
        <f t="shared" ref="CA150:CA159" si="132">AA150</f>
        <v>7293.5568977533394</v>
      </c>
      <c r="CB150" s="212">
        <f t="shared" ref="CB150:CB159" si="133">AB150</f>
        <v>-17444.454808514802</v>
      </c>
      <c r="CC150" s="212">
        <f t="shared" ref="CC150:CC159" si="134">AC150</f>
        <v>732.86881112311448</v>
      </c>
      <c r="CD150" s="212">
        <f t="shared" ref="CD150:CD159" si="135">AD150</f>
        <v>12203.951527666317</v>
      </c>
      <c r="CE150" s="212">
        <f t="shared" ref="CE150:CE159" si="136">AE150</f>
        <v>5504.6235823113593</v>
      </c>
      <c r="CF150" s="212">
        <f t="shared" ref="CF150:CF159" si="137">AF150</f>
        <v>-13003.456002173474</v>
      </c>
      <c r="CG150" s="212">
        <f t="shared" ref="CG150:CG159" si="138">AG150</f>
        <v>591.52382249234142</v>
      </c>
      <c r="CH150" s="212">
        <f t="shared" ref="CH150:CH159" si="139">AH150</f>
        <v>9170.0343388225829</v>
      </c>
      <c r="CI150" s="212">
        <f t="shared" ref="CI150:CI159" si="140">AI150</f>
        <v>4156.271939423048</v>
      </c>
      <c r="CJ150" s="212">
        <f t="shared" ref="CJ150:CJ159" si="141">AJ150</f>
        <v>-9690.9194580232561</v>
      </c>
      <c r="CK150" s="212">
        <f t="shared" ref="CK150:CK159" si="142">AK150</f>
        <v>476.77121081403442</v>
      </c>
    </row>
    <row r="151" spans="5:89" s="193" customFormat="1" ht="12.75" customHeight="1" x14ac:dyDescent="0.2">
      <c r="F151" s="192"/>
      <c r="G151" s="196" t="s">
        <v>64</v>
      </c>
      <c r="H151" s="192"/>
      <c r="I151" s="192"/>
      <c r="J151" s="192"/>
      <c r="K151" s="192"/>
      <c r="L151" s="190" t="s">
        <v>175</v>
      </c>
      <c r="M151" s="210"/>
      <c r="Q151" s="198"/>
      <c r="R151" s="248">
        <f t="shared" ref="R151:AK151" si="143">R107*$M$149</f>
        <v>132.89663831107663</v>
      </c>
      <c r="S151" s="198">
        <f t="shared" si="143"/>
        <v>122.64725821246304</v>
      </c>
      <c r="T151" s="198">
        <f t="shared" si="143"/>
        <v>317.81879835558902</v>
      </c>
      <c r="U151" s="248">
        <f t="shared" si="143"/>
        <v>112.11713506572272</v>
      </c>
      <c r="V151" s="198">
        <f t="shared" si="143"/>
        <v>2166.0368250227862</v>
      </c>
      <c r="W151" s="198">
        <f t="shared" si="143"/>
        <v>968.15812781015757</v>
      </c>
      <c r="X151" s="198">
        <f t="shared" si="143"/>
        <v>-2343.0468294580405</v>
      </c>
      <c r="Y151" s="198">
        <f t="shared" si="143"/>
        <v>90.787367855357815</v>
      </c>
      <c r="Z151" s="198">
        <f t="shared" si="143"/>
        <v>1626.8337359058164</v>
      </c>
      <c r="AA151" s="198">
        <f t="shared" si="143"/>
        <v>730.38804036241856</v>
      </c>
      <c r="AB151" s="198">
        <f t="shared" si="143"/>
        <v>-1746.9146181209092</v>
      </c>
      <c r="AC151" s="198">
        <f t="shared" si="143"/>
        <v>73.390613428108509</v>
      </c>
      <c r="AD151" s="198">
        <f t="shared" si="143"/>
        <v>1222.1225344407592</v>
      </c>
      <c r="AE151" s="198">
        <f t="shared" si="143"/>
        <v>551.24149815785233</v>
      </c>
      <c r="AF151" s="198">
        <f t="shared" si="143"/>
        <v>-1302.1861460067514</v>
      </c>
      <c r="AG151" s="198">
        <f t="shared" si="143"/>
        <v>59.236108197217519</v>
      </c>
      <c r="AH151" s="198">
        <f t="shared" si="143"/>
        <v>918.30138637183029</v>
      </c>
      <c r="AI151" s="198">
        <f t="shared" si="143"/>
        <v>416.21548437958751</v>
      </c>
      <c r="AJ151" s="198">
        <f t="shared" si="143"/>
        <v>-970.46362583885093</v>
      </c>
      <c r="AK151" s="198">
        <f t="shared" si="143"/>
        <v>47.744604621513709</v>
      </c>
      <c r="AL151" s="198"/>
      <c r="AM151" s="205"/>
      <c r="AV151" s="221"/>
      <c r="BN151" s="205"/>
      <c r="BQ151" s="212">
        <f t="shared" ref="BQ151:BQ159" si="144">Q151</f>
        <v>0</v>
      </c>
      <c r="BR151" s="212">
        <f t="shared" si="123"/>
        <v>132.89663831107663</v>
      </c>
      <c r="BS151" s="212">
        <f t="shared" si="124"/>
        <v>122.64725821246304</v>
      </c>
      <c r="BT151" s="212">
        <f t="shared" si="125"/>
        <v>317.81879835558902</v>
      </c>
      <c r="BU151" s="226">
        <f t="shared" si="126"/>
        <v>112.11713506572272</v>
      </c>
      <c r="BV151" s="212">
        <f t="shared" si="127"/>
        <v>2166.0368250227862</v>
      </c>
      <c r="BW151" s="212">
        <f t="shared" si="128"/>
        <v>968.15812781015757</v>
      </c>
      <c r="BX151" s="212">
        <f t="shared" si="129"/>
        <v>-2343.0468294580405</v>
      </c>
      <c r="BY151" s="212">
        <f t="shared" si="130"/>
        <v>90.787367855357815</v>
      </c>
      <c r="BZ151" s="212">
        <f t="shared" si="131"/>
        <v>1626.8337359058164</v>
      </c>
      <c r="CA151" s="212">
        <f t="shared" si="132"/>
        <v>730.38804036241856</v>
      </c>
      <c r="CB151" s="212">
        <f t="shared" si="133"/>
        <v>-1746.9146181209092</v>
      </c>
      <c r="CC151" s="212">
        <f t="shared" si="134"/>
        <v>73.390613428108509</v>
      </c>
      <c r="CD151" s="212">
        <f t="shared" si="135"/>
        <v>1222.1225344407592</v>
      </c>
      <c r="CE151" s="212">
        <f t="shared" si="136"/>
        <v>551.24149815785233</v>
      </c>
      <c r="CF151" s="212">
        <f t="shared" si="137"/>
        <v>-1302.1861460067514</v>
      </c>
      <c r="CG151" s="212">
        <f t="shared" si="138"/>
        <v>59.236108197217519</v>
      </c>
      <c r="CH151" s="212">
        <f t="shared" si="139"/>
        <v>918.30138637183029</v>
      </c>
      <c r="CI151" s="212">
        <f t="shared" si="140"/>
        <v>416.21548437958751</v>
      </c>
      <c r="CJ151" s="212">
        <f t="shared" si="141"/>
        <v>-970.46362583885093</v>
      </c>
      <c r="CK151" s="212">
        <f t="shared" si="142"/>
        <v>47.744604621513709</v>
      </c>
    </row>
    <row r="152" spans="5:89" s="193" customFormat="1" ht="12.75" customHeight="1" x14ac:dyDescent="0.2">
      <c r="F152" s="192"/>
      <c r="G152" s="196" t="s">
        <v>63</v>
      </c>
      <c r="H152" s="192"/>
      <c r="I152" s="192"/>
      <c r="J152" s="192"/>
      <c r="K152" s="192"/>
      <c r="L152" s="190" t="s">
        <v>175</v>
      </c>
      <c r="M152" s="210"/>
      <c r="Q152" s="198"/>
      <c r="R152" s="248">
        <f t="shared" ref="R152:AK152" si="145">R112*$M$149</f>
        <v>167.64699603199387</v>
      </c>
      <c r="S152" s="198">
        <f t="shared" si="145"/>
        <v>154.71756601360315</v>
      </c>
      <c r="T152" s="198">
        <f t="shared" si="145"/>
        <v>400.9233604697705</v>
      </c>
      <c r="U152" s="248">
        <f t="shared" si="145"/>
        <v>141.43398310411067</v>
      </c>
      <c r="V152" s="198">
        <f t="shared" si="145"/>
        <v>2732.4210124845745</v>
      </c>
      <c r="W152" s="198">
        <f t="shared" si="145"/>
        <v>1221.3160834919643</v>
      </c>
      <c r="X152" s="198">
        <f t="shared" si="145"/>
        <v>-2955.7163184329347</v>
      </c>
      <c r="Y152" s="198">
        <f t="shared" si="145"/>
        <v>114.52682093414737</v>
      </c>
      <c r="Z152" s="198">
        <f t="shared" si="145"/>
        <v>2052.224889464223</v>
      </c>
      <c r="AA152" s="198">
        <f t="shared" si="145"/>
        <v>921.37289897308892</v>
      </c>
      <c r="AB152" s="198">
        <f t="shared" si="145"/>
        <v>-2203.7050129652462</v>
      </c>
      <c r="AC152" s="198">
        <f t="shared" si="145"/>
        <v>92.581091851008424</v>
      </c>
      <c r="AD152" s="198">
        <f t="shared" si="145"/>
        <v>1541.6881441531777</v>
      </c>
      <c r="AE152" s="198">
        <f t="shared" si="145"/>
        <v>695.38238460195987</v>
      </c>
      <c r="AF152" s="198">
        <f t="shared" si="145"/>
        <v>-1642.6871170473862</v>
      </c>
      <c r="AG152" s="198">
        <f t="shared" si="145"/>
        <v>74.725408573876166</v>
      </c>
      <c r="AH152" s="198">
        <f t="shared" si="145"/>
        <v>1158.4225969425479</v>
      </c>
      <c r="AI152" s="198">
        <f t="shared" si="145"/>
        <v>525.04921527743431</v>
      </c>
      <c r="AJ152" s="198">
        <f t="shared" si="145"/>
        <v>-1224.2244325952911</v>
      </c>
      <c r="AK152" s="198">
        <f t="shared" si="145"/>
        <v>60.229059540206364</v>
      </c>
      <c r="AL152" s="198"/>
      <c r="AM152" s="205"/>
      <c r="AV152" s="221"/>
      <c r="BN152" s="205"/>
      <c r="BQ152" s="212">
        <f t="shared" si="144"/>
        <v>0</v>
      </c>
      <c r="BR152" s="212">
        <f t="shared" si="123"/>
        <v>167.64699603199387</v>
      </c>
      <c r="BS152" s="212">
        <f t="shared" si="124"/>
        <v>154.71756601360315</v>
      </c>
      <c r="BT152" s="212">
        <f t="shared" si="125"/>
        <v>400.9233604697705</v>
      </c>
      <c r="BU152" s="226">
        <f t="shared" si="126"/>
        <v>141.43398310411067</v>
      </c>
      <c r="BV152" s="212">
        <f t="shared" si="127"/>
        <v>2732.4210124845745</v>
      </c>
      <c r="BW152" s="212">
        <f t="shared" si="128"/>
        <v>1221.3160834919643</v>
      </c>
      <c r="BX152" s="212">
        <f t="shared" si="129"/>
        <v>-2955.7163184329347</v>
      </c>
      <c r="BY152" s="212">
        <f t="shared" si="130"/>
        <v>114.52682093414737</v>
      </c>
      <c r="BZ152" s="212">
        <f t="shared" si="131"/>
        <v>2052.224889464223</v>
      </c>
      <c r="CA152" s="212">
        <f t="shared" si="132"/>
        <v>921.37289897308892</v>
      </c>
      <c r="CB152" s="212">
        <f t="shared" si="133"/>
        <v>-2203.7050129652462</v>
      </c>
      <c r="CC152" s="212">
        <f t="shared" si="134"/>
        <v>92.581091851008424</v>
      </c>
      <c r="CD152" s="212">
        <f t="shared" si="135"/>
        <v>1541.6881441531777</v>
      </c>
      <c r="CE152" s="212">
        <f t="shared" si="136"/>
        <v>695.38238460195987</v>
      </c>
      <c r="CF152" s="212">
        <f t="shared" si="137"/>
        <v>-1642.6871170473862</v>
      </c>
      <c r="CG152" s="212">
        <f t="shared" si="138"/>
        <v>74.725408573876166</v>
      </c>
      <c r="CH152" s="212">
        <f t="shared" si="139"/>
        <v>1158.4225969425479</v>
      </c>
      <c r="CI152" s="212">
        <f t="shared" si="140"/>
        <v>525.04921527743431</v>
      </c>
      <c r="CJ152" s="212">
        <f t="shared" si="141"/>
        <v>-1224.2244325952911</v>
      </c>
      <c r="CK152" s="212">
        <f t="shared" si="142"/>
        <v>60.229059540206364</v>
      </c>
    </row>
    <row r="153" spans="5:89" s="193" customFormat="1" ht="12.75" customHeight="1" x14ac:dyDescent="0.2">
      <c r="F153" s="192"/>
      <c r="G153" s="196" t="s">
        <v>76</v>
      </c>
      <c r="H153" s="192"/>
      <c r="I153" s="192"/>
      <c r="J153" s="192"/>
      <c r="K153" s="192"/>
      <c r="L153" s="190" t="s">
        <v>175</v>
      </c>
      <c r="M153" s="210"/>
      <c r="Q153" s="198"/>
      <c r="R153" s="248">
        <f t="shared" ref="R153:AK153" si="146">R117*$M$149</f>
        <v>92.933726932022068</v>
      </c>
      <c r="S153" s="198">
        <f t="shared" si="146"/>
        <v>85.766404241153069</v>
      </c>
      <c r="T153" s="198">
        <f t="shared" si="146"/>
        <v>222.24855192427967</v>
      </c>
      <c r="U153" s="248">
        <f t="shared" si="146"/>
        <v>78.402759821577661</v>
      </c>
      <c r="V153" s="198">
        <f t="shared" si="146"/>
        <v>1514.6950094417293</v>
      </c>
      <c r="W153" s="198">
        <f t="shared" si="146"/>
        <v>677.02647877607967</v>
      </c>
      <c r="X153" s="198">
        <f t="shared" si="146"/>
        <v>-1638.4769171369153</v>
      </c>
      <c r="Y153" s="198">
        <f t="shared" si="146"/>
        <v>63.486996814756047</v>
      </c>
      <c r="Z153" s="198">
        <f t="shared" si="146"/>
        <v>1137.633909313643</v>
      </c>
      <c r="AA153" s="198">
        <f t="shared" si="146"/>
        <v>510.75545296015099</v>
      </c>
      <c r="AB153" s="198">
        <f t="shared" si="146"/>
        <v>-1221.6056640499244</v>
      </c>
      <c r="AC153" s="198">
        <f t="shared" si="146"/>
        <v>51.32156324178041</v>
      </c>
      <c r="AD153" s="198">
        <f t="shared" si="146"/>
        <v>854.62208327146664</v>
      </c>
      <c r="AE153" s="198">
        <f t="shared" si="146"/>
        <v>385.47947874713878</v>
      </c>
      <c r="AF153" s="198">
        <f t="shared" si="146"/>
        <v>-910.61002931002622</v>
      </c>
      <c r="AG153" s="198">
        <f t="shared" si="146"/>
        <v>41.423412764064253</v>
      </c>
      <c r="AH153" s="198">
        <f t="shared" si="146"/>
        <v>642.16199421549413</v>
      </c>
      <c r="AI153" s="198">
        <f t="shared" si="146"/>
        <v>291.05669384706789</v>
      </c>
      <c r="AJ153" s="198">
        <f t="shared" si="146"/>
        <v>-678.63869806893376</v>
      </c>
      <c r="AK153" s="198">
        <f t="shared" si="146"/>
        <v>33.387481465010097</v>
      </c>
      <c r="AL153" s="198"/>
      <c r="AM153" s="205"/>
      <c r="AV153" s="221"/>
      <c r="BN153" s="205"/>
      <c r="BQ153" s="212">
        <f t="shared" si="144"/>
        <v>0</v>
      </c>
      <c r="BR153" s="212">
        <f t="shared" si="123"/>
        <v>92.933726932022068</v>
      </c>
      <c r="BS153" s="212">
        <f t="shared" si="124"/>
        <v>85.766404241153069</v>
      </c>
      <c r="BT153" s="212">
        <f t="shared" si="125"/>
        <v>222.24855192427967</v>
      </c>
      <c r="BU153" s="226">
        <f t="shared" si="126"/>
        <v>78.402759821577661</v>
      </c>
      <c r="BV153" s="212">
        <f t="shared" si="127"/>
        <v>1514.6950094417293</v>
      </c>
      <c r="BW153" s="212">
        <f t="shared" si="128"/>
        <v>677.02647877607967</v>
      </c>
      <c r="BX153" s="212">
        <f t="shared" si="129"/>
        <v>-1638.4769171369153</v>
      </c>
      <c r="BY153" s="212">
        <f t="shared" si="130"/>
        <v>63.486996814756047</v>
      </c>
      <c r="BZ153" s="212">
        <f t="shared" si="131"/>
        <v>1137.633909313643</v>
      </c>
      <c r="CA153" s="212">
        <f t="shared" si="132"/>
        <v>510.75545296015099</v>
      </c>
      <c r="CB153" s="212">
        <f t="shared" si="133"/>
        <v>-1221.6056640499244</v>
      </c>
      <c r="CC153" s="212">
        <f t="shared" si="134"/>
        <v>51.32156324178041</v>
      </c>
      <c r="CD153" s="212">
        <f t="shared" si="135"/>
        <v>854.62208327146664</v>
      </c>
      <c r="CE153" s="212">
        <f t="shared" si="136"/>
        <v>385.47947874713878</v>
      </c>
      <c r="CF153" s="212">
        <f t="shared" si="137"/>
        <v>-910.61002931002622</v>
      </c>
      <c r="CG153" s="212">
        <f t="shared" si="138"/>
        <v>41.423412764064253</v>
      </c>
      <c r="CH153" s="212">
        <f t="shared" si="139"/>
        <v>642.16199421549413</v>
      </c>
      <c r="CI153" s="212">
        <f t="shared" si="140"/>
        <v>291.05669384706789</v>
      </c>
      <c r="CJ153" s="212">
        <f t="shared" si="141"/>
        <v>-678.63869806893376</v>
      </c>
      <c r="CK153" s="212">
        <f t="shared" si="142"/>
        <v>33.387481465010097</v>
      </c>
    </row>
    <row r="154" spans="5:89" s="193" customFormat="1" ht="12.75" customHeight="1" x14ac:dyDescent="0.2">
      <c r="F154" s="192"/>
      <c r="G154" s="196" t="s">
        <v>72</v>
      </c>
      <c r="H154" s="192"/>
      <c r="I154" s="192"/>
      <c r="J154" s="192"/>
      <c r="K154" s="192"/>
      <c r="L154" s="190" t="s">
        <v>175</v>
      </c>
      <c r="M154" s="210"/>
      <c r="Q154" s="198"/>
      <c r="R154" s="248">
        <f t="shared" ref="R154:AK154" si="147">R122*$M$149</f>
        <v>169.29059403230571</v>
      </c>
      <c r="S154" s="198">
        <f t="shared" si="147"/>
        <v>156.23440489609121</v>
      </c>
      <c r="T154" s="198">
        <f t="shared" si="147"/>
        <v>404.85398165084587</v>
      </c>
      <c r="U154" s="248">
        <f t="shared" si="147"/>
        <v>142.82059078160125</v>
      </c>
      <c r="V154" s="198">
        <f t="shared" si="147"/>
        <v>2759.2094537834432</v>
      </c>
      <c r="W154" s="198">
        <f t="shared" si="147"/>
        <v>1233.2897705850269</v>
      </c>
      <c r="X154" s="198">
        <f t="shared" si="147"/>
        <v>-2984.6939293979681</v>
      </c>
      <c r="Y154" s="198">
        <f t="shared" si="147"/>
        <v>115.64963290409018</v>
      </c>
      <c r="Z154" s="198">
        <f t="shared" si="147"/>
        <v>2072.34474132172</v>
      </c>
      <c r="AA154" s="198">
        <f t="shared" si="147"/>
        <v>930.40596661007453</v>
      </c>
      <c r="AB154" s="198">
        <f t="shared" si="147"/>
        <v>-2225.3099640727492</v>
      </c>
      <c r="AC154" s="198">
        <f t="shared" si="147"/>
        <v>93.488749614254374</v>
      </c>
      <c r="AD154" s="198">
        <f t="shared" si="147"/>
        <v>1556.8027338017459</v>
      </c>
      <c r="AE154" s="198">
        <f t="shared" si="147"/>
        <v>702.19985896079675</v>
      </c>
      <c r="AF154" s="198">
        <f t="shared" si="147"/>
        <v>-1658.7918927047185</v>
      </c>
      <c r="AG154" s="198">
        <f t="shared" si="147"/>
        <v>75.458010618721431</v>
      </c>
      <c r="AH154" s="198">
        <f t="shared" si="147"/>
        <v>1169.7796812263095</v>
      </c>
      <c r="AI154" s="198">
        <f t="shared" si="147"/>
        <v>530.19675660367079</v>
      </c>
      <c r="AJ154" s="198">
        <f t="shared" si="147"/>
        <v>-1236.2266329148558</v>
      </c>
      <c r="AK154" s="198">
        <f t="shared" si="147"/>
        <v>60.819540516097881</v>
      </c>
      <c r="AL154" s="198"/>
      <c r="AM154" s="205"/>
      <c r="AV154" s="221"/>
      <c r="BN154" s="205"/>
      <c r="BQ154" s="212">
        <f t="shared" si="144"/>
        <v>0</v>
      </c>
      <c r="BR154" s="212">
        <f t="shared" si="123"/>
        <v>169.29059403230571</v>
      </c>
      <c r="BS154" s="212">
        <f t="shared" si="124"/>
        <v>156.23440489609121</v>
      </c>
      <c r="BT154" s="212">
        <f t="shared" si="125"/>
        <v>404.85398165084587</v>
      </c>
      <c r="BU154" s="226">
        <f t="shared" si="126"/>
        <v>142.82059078160125</v>
      </c>
      <c r="BV154" s="212">
        <f t="shared" si="127"/>
        <v>2759.2094537834432</v>
      </c>
      <c r="BW154" s="212">
        <f t="shared" si="128"/>
        <v>1233.2897705850269</v>
      </c>
      <c r="BX154" s="212">
        <f t="shared" si="129"/>
        <v>-2984.6939293979681</v>
      </c>
      <c r="BY154" s="212">
        <f t="shared" si="130"/>
        <v>115.64963290409018</v>
      </c>
      <c r="BZ154" s="212">
        <f t="shared" si="131"/>
        <v>2072.34474132172</v>
      </c>
      <c r="CA154" s="212">
        <f t="shared" si="132"/>
        <v>930.40596661007453</v>
      </c>
      <c r="CB154" s="212">
        <f t="shared" si="133"/>
        <v>-2225.3099640727492</v>
      </c>
      <c r="CC154" s="212">
        <f t="shared" si="134"/>
        <v>93.488749614254374</v>
      </c>
      <c r="CD154" s="212">
        <f t="shared" si="135"/>
        <v>1556.8027338017459</v>
      </c>
      <c r="CE154" s="212">
        <f t="shared" si="136"/>
        <v>702.19985896079675</v>
      </c>
      <c r="CF154" s="212">
        <f t="shared" si="137"/>
        <v>-1658.7918927047185</v>
      </c>
      <c r="CG154" s="212">
        <f t="shared" si="138"/>
        <v>75.458010618721431</v>
      </c>
      <c r="CH154" s="212">
        <f t="shared" si="139"/>
        <v>1169.7796812263095</v>
      </c>
      <c r="CI154" s="212">
        <f t="shared" si="140"/>
        <v>530.19675660367079</v>
      </c>
      <c r="CJ154" s="212">
        <f t="shared" si="141"/>
        <v>-1236.2266329148558</v>
      </c>
      <c r="CK154" s="212">
        <f t="shared" si="142"/>
        <v>60.819540516097881</v>
      </c>
    </row>
    <row r="155" spans="5:89" s="193" customFormat="1" ht="12.75" customHeight="1" x14ac:dyDescent="0.2">
      <c r="F155" s="192"/>
      <c r="G155" s="196" t="s">
        <v>73</v>
      </c>
      <c r="H155" s="192"/>
      <c r="I155" s="192"/>
      <c r="J155" s="192"/>
      <c r="K155" s="192"/>
      <c r="L155" s="190" t="s">
        <v>175</v>
      </c>
      <c r="M155" s="210"/>
      <c r="Q155" s="198"/>
      <c r="R155" s="248">
        <f t="shared" ref="R155:AK155" si="148">R127*$M$149</f>
        <v>24.207850547477101</v>
      </c>
      <c r="S155" s="198">
        <f t="shared" si="148"/>
        <v>22.340869826333915</v>
      </c>
      <c r="T155" s="198">
        <f t="shared" si="148"/>
        <v>57.892434824136174</v>
      </c>
      <c r="U155" s="248">
        <f t="shared" si="148"/>
        <v>20.422750221336106</v>
      </c>
      <c r="V155" s="198">
        <f t="shared" si="148"/>
        <v>394.55547113047533</v>
      </c>
      <c r="W155" s="198">
        <f t="shared" si="148"/>
        <v>176.35530561347653</v>
      </c>
      <c r="X155" s="198">
        <f t="shared" si="148"/>
        <v>-426.79881292778231</v>
      </c>
      <c r="Y155" s="198">
        <f t="shared" si="148"/>
        <v>16.537416300155662</v>
      </c>
      <c r="Z155" s="198">
        <f t="shared" si="148"/>
        <v>296.33667521535205</v>
      </c>
      <c r="AA155" s="198">
        <f t="shared" si="148"/>
        <v>133.04418191054</v>
      </c>
      <c r="AB155" s="198">
        <f t="shared" si="148"/>
        <v>-318.21006559764322</v>
      </c>
      <c r="AC155" s="198">
        <f t="shared" si="148"/>
        <v>13.368502198654131</v>
      </c>
      <c r="AD155" s="198">
        <f t="shared" si="148"/>
        <v>222.61631325237121</v>
      </c>
      <c r="AE155" s="198">
        <f t="shared" si="148"/>
        <v>100.41165805666942</v>
      </c>
      <c r="AF155" s="198">
        <f t="shared" si="148"/>
        <v>-237.20033861006482</v>
      </c>
      <c r="AG155" s="198">
        <f t="shared" si="148"/>
        <v>10.790181546173127</v>
      </c>
      <c r="AH155" s="198">
        <f t="shared" si="148"/>
        <v>167.27362709352462</v>
      </c>
      <c r="AI155" s="198">
        <f t="shared" si="148"/>
        <v>75.815930105186638</v>
      </c>
      <c r="AJ155" s="198">
        <f t="shared" si="148"/>
        <v>-176.77526470668778</v>
      </c>
      <c r="AK155" s="198">
        <f t="shared" si="148"/>
        <v>8.6969412305274005</v>
      </c>
      <c r="AL155" s="198"/>
      <c r="AM155" s="205"/>
      <c r="AV155" s="221"/>
      <c r="BN155" s="205"/>
      <c r="BQ155" s="212">
        <f t="shared" si="144"/>
        <v>0</v>
      </c>
      <c r="BR155" s="212">
        <f t="shared" si="123"/>
        <v>24.207850547477101</v>
      </c>
      <c r="BS155" s="212">
        <f t="shared" si="124"/>
        <v>22.340869826333915</v>
      </c>
      <c r="BT155" s="212">
        <f t="shared" si="125"/>
        <v>57.892434824136174</v>
      </c>
      <c r="BU155" s="226">
        <f t="shared" si="126"/>
        <v>20.422750221336106</v>
      </c>
      <c r="BV155" s="212">
        <f t="shared" si="127"/>
        <v>394.55547113047533</v>
      </c>
      <c r="BW155" s="212">
        <f t="shared" si="128"/>
        <v>176.35530561347653</v>
      </c>
      <c r="BX155" s="212">
        <f t="shared" si="129"/>
        <v>-426.79881292778231</v>
      </c>
      <c r="BY155" s="212">
        <f t="shared" si="130"/>
        <v>16.537416300155662</v>
      </c>
      <c r="BZ155" s="212">
        <f t="shared" si="131"/>
        <v>296.33667521535205</v>
      </c>
      <c r="CA155" s="212">
        <f t="shared" si="132"/>
        <v>133.04418191054</v>
      </c>
      <c r="CB155" s="212">
        <f t="shared" si="133"/>
        <v>-318.21006559764322</v>
      </c>
      <c r="CC155" s="212">
        <f t="shared" si="134"/>
        <v>13.368502198654131</v>
      </c>
      <c r="CD155" s="212">
        <f t="shared" si="135"/>
        <v>222.61631325237121</v>
      </c>
      <c r="CE155" s="212">
        <f t="shared" si="136"/>
        <v>100.41165805666942</v>
      </c>
      <c r="CF155" s="212">
        <f t="shared" si="137"/>
        <v>-237.20033861006482</v>
      </c>
      <c r="CG155" s="212">
        <f t="shared" si="138"/>
        <v>10.790181546173127</v>
      </c>
      <c r="CH155" s="212">
        <f t="shared" si="139"/>
        <v>167.27362709352462</v>
      </c>
      <c r="CI155" s="212">
        <f t="shared" si="140"/>
        <v>75.815930105186638</v>
      </c>
      <c r="CJ155" s="212">
        <f t="shared" si="141"/>
        <v>-176.77526470668778</v>
      </c>
      <c r="CK155" s="212">
        <f t="shared" si="142"/>
        <v>8.6969412305274005</v>
      </c>
    </row>
    <row r="156" spans="5:89" s="193" customFormat="1" ht="12.75" customHeight="1" x14ac:dyDescent="0.2">
      <c r="F156" s="192"/>
      <c r="G156" s="196" t="s">
        <v>180</v>
      </c>
      <c r="H156" s="192"/>
      <c r="I156" s="192"/>
      <c r="J156" s="192"/>
      <c r="K156" s="192"/>
      <c r="L156" s="190" t="s">
        <v>175</v>
      </c>
      <c r="M156" s="210"/>
      <c r="Q156" s="198"/>
      <c r="R156" s="248">
        <f t="shared" ref="R156:AK156" si="149">R132*$M$149</f>
        <v>179.52786157711756</v>
      </c>
      <c r="S156" s="198">
        <f t="shared" si="149"/>
        <v>165.68214422129137</v>
      </c>
      <c r="T156" s="198">
        <f t="shared" si="149"/>
        <v>429.33613643583379</v>
      </c>
      <c r="U156" s="248">
        <f t="shared" si="149"/>
        <v>151.45717574426365</v>
      </c>
      <c r="V156" s="198">
        <f t="shared" si="149"/>
        <v>2926.0631738735342</v>
      </c>
      <c r="W156" s="198">
        <f t="shared" si="149"/>
        <v>1307.8687359075084</v>
      </c>
      <c r="X156" s="198">
        <f t="shared" si="149"/>
        <v>-3165.1830491230085</v>
      </c>
      <c r="Y156" s="198">
        <f t="shared" si="149"/>
        <v>122.64314745973728</v>
      </c>
      <c r="Z156" s="198">
        <f t="shared" si="149"/>
        <v>2197.6626757483818</v>
      </c>
      <c r="AA156" s="198">
        <f t="shared" si="149"/>
        <v>986.66907360619757</v>
      </c>
      <c r="AB156" s="198">
        <f t="shared" si="149"/>
        <v>-2359.8779452566264</v>
      </c>
      <c r="AC156" s="198">
        <f t="shared" si="149"/>
        <v>99.142160825328318</v>
      </c>
      <c r="AD156" s="198">
        <f t="shared" si="149"/>
        <v>1650.945035041342</v>
      </c>
      <c r="AE156" s="198">
        <f t="shared" si="149"/>
        <v>744.6629849673169</v>
      </c>
      <c r="AF156" s="198">
        <f t="shared" si="149"/>
        <v>-1759.1016382275093</v>
      </c>
      <c r="AG156" s="198">
        <f t="shared" si="149"/>
        <v>80.021074783739721</v>
      </c>
      <c r="AH156" s="198">
        <f t="shared" si="149"/>
        <v>1240.5180919079471</v>
      </c>
      <c r="AI156" s="198">
        <f t="shared" si="149"/>
        <v>562.25858543575578</v>
      </c>
      <c r="AJ156" s="198">
        <f t="shared" si="149"/>
        <v>-1310.9831949052782</v>
      </c>
      <c r="AK156" s="198">
        <f t="shared" si="149"/>
        <v>64.497393451604694</v>
      </c>
      <c r="AL156" s="198"/>
      <c r="AM156" s="205"/>
      <c r="AV156" s="221"/>
      <c r="BN156" s="205"/>
      <c r="BQ156" s="212">
        <f t="shared" si="144"/>
        <v>0</v>
      </c>
      <c r="BR156" s="212">
        <f t="shared" si="123"/>
        <v>179.52786157711756</v>
      </c>
      <c r="BS156" s="212">
        <f t="shared" si="124"/>
        <v>165.68214422129137</v>
      </c>
      <c r="BT156" s="212">
        <f t="shared" si="125"/>
        <v>429.33613643583379</v>
      </c>
      <c r="BU156" s="226">
        <f t="shared" si="126"/>
        <v>151.45717574426365</v>
      </c>
      <c r="BV156" s="212">
        <f t="shared" si="127"/>
        <v>2926.0631738735342</v>
      </c>
      <c r="BW156" s="212">
        <f t="shared" si="128"/>
        <v>1307.8687359075084</v>
      </c>
      <c r="BX156" s="212">
        <f t="shared" si="129"/>
        <v>-3165.1830491230085</v>
      </c>
      <c r="BY156" s="212">
        <f t="shared" si="130"/>
        <v>122.64314745973728</v>
      </c>
      <c r="BZ156" s="212">
        <f t="shared" si="131"/>
        <v>2197.6626757483818</v>
      </c>
      <c r="CA156" s="212">
        <f t="shared" si="132"/>
        <v>986.66907360619757</v>
      </c>
      <c r="CB156" s="212">
        <f t="shared" si="133"/>
        <v>-2359.8779452566264</v>
      </c>
      <c r="CC156" s="212">
        <f t="shared" si="134"/>
        <v>99.142160825328318</v>
      </c>
      <c r="CD156" s="212">
        <f t="shared" si="135"/>
        <v>1650.945035041342</v>
      </c>
      <c r="CE156" s="212">
        <f t="shared" si="136"/>
        <v>744.6629849673169</v>
      </c>
      <c r="CF156" s="212">
        <f t="shared" si="137"/>
        <v>-1759.1016382275093</v>
      </c>
      <c r="CG156" s="212">
        <f t="shared" si="138"/>
        <v>80.021074783739721</v>
      </c>
      <c r="CH156" s="212">
        <f t="shared" si="139"/>
        <v>1240.5180919079471</v>
      </c>
      <c r="CI156" s="212">
        <f t="shared" si="140"/>
        <v>562.25858543575578</v>
      </c>
      <c r="CJ156" s="212">
        <f t="shared" si="141"/>
        <v>-1310.9831949052782</v>
      </c>
      <c r="CK156" s="212">
        <f t="shared" si="142"/>
        <v>64.497393451604694</v>
      </c>
    </row>
    <row r="157" spans="5:89" s="193" customFormat="1" ht="12.75" customHeight="1" x14ac:dyDescent="0.2">
      <c r="F157" s="192"/>
      <c r="G157" s="196" t="s">
        <v>75</v>
      </c>
      <c r="H157" s="192"/>
      <c r="I157" s="192"/>
      <c r="J157" s="192"/>
      <c r="K157" s="192"/>
      <c r="L157" s="190" t="s">
        <v>175</v>
      </c>
      <c r="M157" s="210"/>
      <c r="Q157" s="198"/>
      <c r="R157" s="248">
        <f t="shared" ref="R157:AK157" si="150">R137*$M$149</f>
        <v>152.40849457194358</v>
      </c>
      <c r="S157" s="198">
        <f t="shared" si="150"/>
        <v>140.65430266026465</v>
      </c>
      <c r="T157" s="198">
        <f t="shared" si="150"/>
        <v>364.48088694807836</v>
      </c>
      <c r="U157" s="248">
        <f t="shared" si="150"/>
        <v>128.57814906565599</v>
      </c>
      <c r="V157" s="198">
        <f t="shared" si="150"/>
        <v>2484.0538924422108</v>
      </c>
      <c r="W157" s="198">
        <f t="shared" si="150"/>
        <v>1110.302898872035</v>
      </c>
      <c r="X157" s="198">
        <f t="shared" si="150"/>
        <v>-2687.0524682000273</v>
      </c>
      <c r="Y157" s="198">
        <f t="shared" si="150"/>
        <v>104.11674995568028</v>
      </c>
      <c r="Z157" s="198">
        <f t="shared" si="150"/>
        <v>1865.6851200997644</v>
      </c>
      <c r="AA157" s="198">
        <f t="shared" si="150"/>
        <v>837.62345759583479</v>
      </c>
      <c r="AB157" s="198">
        <f t="shared" si="150"/>
        <v>-2003.3962519828283</v>
      </c>
      <c r="AC157" s="198">
        <f t="shared" si="150"/>
        <v>84.165807731775118</v>
      </c>
      <c r="AD157" s="198">
        <f t="shared" si="150"/>
        <v>1401.554305840102</v>
      </c>
      <c r="AE157" s="198">
        <f t="shared" si="150"/>
        <v>632.17465804640051</v>
      </c>
      <c r="AF157" s="198">
        <f t="shared" si="150"/>
        <v>-1493.3728398815958</v>
      </c>
      <c r="AG157" s="198">
        <f t="shared" si="150"/>
        <v>67.933141043839385</v>
      </c>
      <c r="AH157" s="198">
        <f t="shared" si="150"/>
        <v>1053.1262012260686</v>
      </c>
      <c r="AI157" s="198">
        <f t="shared" si="150"/>
        <v>477.32415355263493</v>
      </c>
      <c r="AJ157" s="198">
        <f t="shared" si="150"/>
        <v>-1112.9468896325043</v>
      </c>
      <c r="AK157" s="198">
        <f t="shared" si="150"/>
        <v>54.754457349511121</v>
      </c>
      <c r="AL157" s="198"/>
      <c r="AM157" s="205"/>
      <c r="AV157" s="221"/>
      <c r="BN157" s="205"/>
      <c r="BQ157" s="212">
        <f t="shared" si="144"/>
        <v>0</v>
      </c>
      <c r="BR157" s="212">
        <f t="shared" si="123"/>
        <v>152.40849457194358</v>
      </c>
      <c r="BS157" s="212">
        <f t="shared" si="124"/>
        <v>140.65430266026465</v>
      </c>
      <c r="BT157" s="212">
        <f t="shared" si="125"/>
        <v>364.48088694807836</v>
      </c>
      <c r="BU157" s="226">
        <f t="shared" si="126"/>
        <v>128.57814906565599</v>
      </c>
      <c r="BV157" s="212">
        <f t="shared" si="127"/>
        <v>2484.0538924422108</v>
      </c>
      <c r="BW157" s="212">
        <f t="shared" si="128"/>
        <v>1110.302898872035</v>
      </c>
      <c r="BX157" s="212">
        <f t="shared" si="129"/>
        <v>-2687.0524682000273</v>
      </c>
      <c r="BY157" s="212">
        <f t="shared" si="130"/>
        <v>104.11674995568028</v>
      </c>
      <c r="BZ157" s="212">
        <f t="shared" si="131"/>
        <v>1865.6851200997644</v>
      </c>
      <c r="CA157" s="212">
        <f t="shared" si="132"/>
        <v>837.62345759583479</v>
      </c>
      <c r="CB157" s="212">
        <f t="shared" si="133"/>
        <v>-2003.3962519828283</v>
      </c>
      <c r="CC157" s="212">
        <f t="shared" si="134"/>
        <v>84.165807731775118</v>
      </c>
      <c r="CD157" s="212">
        <f t="shared" si="135"/>
        <v>1401.554305840102</v>
      </c>
      <c r="CE157" s="212">
        <f t="shared" si="136"/>
        <v>632.17465804640051</v>
      </c>
      <c r="CF157" s="212">
        <f t="shared" si="137"/>
        <v>-1493.3728398815958</v>
      </c>
      <c r="CG157" s="212">
        <f t="shared" si="138"/>
        <v>67.933141043839385</v>
      </c>
      <c r="CH157" s="212">
        <f t="shared" si="139"/>
        <v>1053.1262012260686</v>
      </c>
      <c r="CI157" s="212">
        <f t="shared" si="140"/>
        <v>477.32415355263493</v>
      </c>
      <c r="CJ157" s="212">
        <f t="shared" si="141"/>
        <v>-1112.9468896325043</v>
      </c>
      <c r="CK157" s="212">
        <f t="shared" si="142"/>
        <v>54.754457349511121</v>
      </c>
    </row>
    <row r="158" spans="5:89" s="193" customFormat="1" ht="12.75" customHeight="1" x14ac:dyDescent="0.2">
      <c r="F158" s="192"/>
      <c r="G158" s="196" t="s">
        <v>181</v>
      </c>
      <c r="H158" s="192"/>
      <c r="I158" s="192"/>
      <c r="J158" s="192"/>
      <c r="K158" s="192"/>
      <c r="L158" s="190" t="s">
        <v>175</v>
      </c>
      <c r="M158" s="210"/>
      <c r="Q158" s="198"/>
      <c r="R158" s="248">
        <f t="shared" ref="R158:AK158" si="151">R142*$M$149</f>
        <v>114.32398090753344</v>
      </c>
      <c r="S158" s="198">
        <f t="shared" si="151"/>
        <v>105.50697884036681</v>
      </c>
      <c r="T158" s="198">
        <f t="shared" si="151"/>
        <v>273.40277900942851</v>
      </c>
      <c r="U158" s="248">
        <f t="shared" si="151"/>
        <v>96.448468310071675</v>
      </c>
      <c r="V158" s="198">
        <f t="shared" si="151"/>
        <v>1863.3274383455723</v>
      </c>
      <c r="W158" s="198">
        <f t="shared" si="151"/>
        <v>832.85546365859955</v>
      </c>
      <c r="X158" s="198">
        <f t="shared" si="151"/>
        <v>-2015.5998255532206</v>
      </c>
      <c r="Y158" s="198">
        <f t="shared" si="151"/>
        <v>78.099592595011728</v>
      </c>
      <c r="Z158" s="198">
        <f t="shared" si="151"/>
        <v>1399.4794099161491</v>
      </c>
      <c r="AA158" s="198">
        <f t="shared" si="151"/>
        <v>628.31437606442103</v>
      </c>
      <c r="AB158" s="198">
        <f t="shared" si="151"/>
        <v>-1502.7786706061313</v>
      </c>
      <c r="AC158" s="198">
        <f t="shared" si="151"/>
        <v>63.134080703437512</v>
      </c>
      <c r="AD158" s="198">
        <f t="shared" si="151"/>
        <v>1051.327671412022</v>
      </c>
      <c r="AE158" s="198">
        <f t="shared" si="151"/>
        <v>474.20403790293528</v>
      </c>
      <c r="AF158" s="198">
        <f t="shared" si="151"/>
        <v>-1120.2021810789572</v>
      </c>
      <c r="AG158" s="198">
        <f t="shared" si="151"/>
        <v>50.957705090502792</v>
      </c>
      <c r="AH158" s="198">
        <f t="shared" si="151"/>
        <v>789.96633396545258</v>
      </c>
      <c r="AI158" s="198">
        <f t="shared" si="151"/>
        <v>358.04826739296908</v>
      </c>
      <c r="AJ158" s="198">
        <f t="shared" si="151"/>
        <v>-834.83876222780202</v>
      </c>
      <c r="AK158" s="198">
        <f t="shared" si="151"/>
        <v>41.072169594013808</v>
      </c>
      <c r="AL158" s="198"/>
      <c r="AM158" s="205"/>
      <c r="AV158" s="221"/>
      <c r="BN158" s="205"/>
      <c r="BQ158" s="212">
        <f t="shared" si="144"/>
        <v>0</v>
      </c>
      <c r="BR158" s="212">
        <f t="shared" si="123"/>
        <v>114.32398090753344</v>
      </c>
      <c r="BS158" s="212">
        <f t="shared" si="124"/>
        <v>105.50697884036681</v>
      </c>
      <c r="BT158" s="212">
        <f t="shared" si="125"/>
        <v>273.40277900942851</v>
      </c>
      <c r="BU158" s="226">
        <f t="shared" si="126"/>
        <v>96.448468310071675</v>
      </c>
      <c r="BV158" s="212">
        <f t="shared" si="127"/>
        <v>1863.3274383455723</v>
      </c>
      <c r="BW158" s="212">
        <f t="shared" si="128"/>
        <v>832.85546365859955</v>
      </c>
      <c r="BX158" s="212">
        <f t="shared" si="129"/>
        <v>-2015.5998255532206</v>
      </c>
      <c r="BY158" s="212">
        <f t="shared" si="130"/>
        <v>78.099592595011728</v>
      </c>
      <c r="BZ158" s="212">
        <f t="shared" si="131"/>
        <v>1399.4794099161491</v>
      </c>
      <c r="CA158" s="212">
        <f t="shared" si="132"/>
        <v>628.31437606442103</v>
      </c>
      <c r="CB158" s="212">
        <f t="shared" si="133"/>
        <v>-1502.7786706061313</v>
      </c>
      <c r="CC158" s="212">
        <f t="shared" si="134"/>
        <v>63.134080703437512</v>
      </c>
      <c r="CD158" s="212">
        <f t="shared" si="135"/>
        <v>1051.327671412022</v>
      </c>
      <c r="CE158" s="212">
        <f t="shared" si="136"/>
        <v>474.20403790293528</v>
      </c>
      <c r="CF158" s="212">
        <f t="shared" si="137"/>
        <v>-1120.2021810789572</v>
      </c>
      <c r="CG158" s="212">
        <f t="shared" si="138"/>
        <v>50.957705090502792</v>
      </c>
      <c r="CH158" s="212">
        <f t="shared" si="139"/>
        <v>789.96633396545258</v>
      </c>
      <c r="CI158" s="212">
        <f t="shared" si="140"/>
        <v>358.04826739296908</v>
      </c>
      <c r="CJ158" s="212">
        <f t="shared" si="141"/>
        <v>-834.83876222780202</v>
      </c>
      <c r="CK158" s="212">
        <f t="shared" si="142"/>
        <v>41.072169594013808</v>
      </c>
    </row>
    <row r="159" spans="5:89" s="193" customFormat="1" ht="12.75" customHeight="1" x14ac:dyDescent="0.2">
      <c r="F159" s="192"/>
      <c r="G159" s="196" t="s">
        <v>374</v>
      </c>
      <c r="H159" s="192"/>
      <c r="I159" s="192"/>
      <c r="J159" s="192"/>
      <c r="K159" s="192"/>
      <c r="L159" s="190" t="s">
        <v>175</v>
      </c>
      <c r="M159" s="210"/>
      <c r="Q159" s="198"/>
      <c r="R159" s="248">
        <f t="shared" ref="R159:AK159" si="152">SUM(R150:R158)</f>
        <v>2360.3241283075972</v>
      </c>
      <c r="S159" s="198">
        <f t="shared" si="152"/>
        <v>2178.2889808847908</v>
      </c>
      <c r="T159" s="198">
        <f t="shared" si="152"/>
        <v>5644.6527746811826</v>
      </c>
      <c r="U159" s="248">
        <f t="shared" si="152"/>
        <v>1991.2676682830099</v>
      </c>
      <c r="V159" s="198">
        <f t="shared" si="152"/>
        <v>38470.115165267765</v>
      </c>
      <c r="W159" s="198">
        <f t="shared" si="152"/>
        <v>17195.069928995814</v>
      </c>
      <c r="X159" s="198">
        <f t="shared" si="152"/>
        <v>-41613.919175136041</v>
      </c>
      <c r="Y159" s="198">
        <f t="shared" si="152"/>
        <v>1612.4381896926325</v>
      </c>
      <c r="Z159" s="198">
        <f t="shared" si="152"/>
        <v>28893.544399634626</v>
      </c>
      <c r="AA159" s="198">
        <f t="shared" si="152"/>
        <v>12972.130345836067</v>
      </c>
      <c r="AB159" s="198">
        <f t="shared" si="152"/>
        <v>-31026.253001166857</v>
      </c>
      <c r="AC159" s="198">
        <f t="shared" si="152"/>
        <v>1303.4613807174615</v>
      </c>
      <c r="AD159" s="198">
        <f t="shared" si="152"/>
        <v>21705.630348879306</v>
      </c>
      <c r="AE159" s="198">
        <f t="shared" si="152"/>
        <v>9790.3801417524282</v>
      </c>
      <c r="AF159" s="198">
        <f t="shared" si="152"/>
        <v>-23127.608185040481</v>
      </c>
      <c r="AG159" s="198">
        <f t="shared" si="152"/>
        <v>1052.0688651104758</v>
      </c>
      <c r="AH159" s="198">
        <f t="shared" si="152"/>
        <v>16309.584251771756</v>
      </c>
      <c r="AI159" s="198">
        <f t="shared" si="152"/>
        <v>7392.2370260173548</v>
      </c>
      <c r="AJ159" s="198">
        <f t="shared" si="152"/>
        <v>-17236.01695891346</v>
      </c>
      <c r="AK159" s="198">
        <f t="shared" si="152"/>
        <v>847.97285858251928</v>
      </c>
      <c r="AL159" s="198"/>
      <c r="AM159" s="205"/>
      <c r="AV159" s="221"/>
      <c r="BN159" s="205"/>
      <c r="BQ159" s="212">
        <f t="shared" si="144"/>
        <v>0</v>
      </c>
      <c r="BR159" s="212">
        <f t="shared" si="123"/>
        <v>2360.3241283075972</v>
      </c>
      <c r="BS159" s="212">
        <f t="shared" si="124"/>
        <v>2178.2889808847908</v>
      </c>
      <c r="BT159" s="212">
        <f t="shared" si="125"/>
        <v>5644.6527746811826</v>
      </c>
      <c r="BU159" s="226">
        <f t="shared" si="126"/>
        <v>1991.2676682830099</v>
      </c>
      <c r="BV159" s="212">
        <f t="shared" si="127"/>
        <v>38470.115165267765</v>
      </c>
      <c r="BW159" s="212">
        <f t="shared" si="128"/>
        <v>17195.069928995814</v>
      </c>
      <c r="BX159" s="212">
        <f t="shared" si="129"/>
        <v>-41613.919175136041</v>
      </c>
      <c r="BY159" s="212">
        <f t="shared" si="130"/>
        <v>1612.4381896926325</v>
      </c>
      <c r="BZ159" s="212">
        <f t="shared" si="131"/>
        <v>28893.544399634626</v>
      </c>
      <c r="CA159" s="212">
        <f t="shared" si="132"/>
        <v>12972.130345836067</v>
      </c>
      <c r="CB159" s="212">
        <f t="shared" si="133"/>
        <v>-31026.253001166857</v>
      </c>
      <c r="CC159" s="212">
        <f t="shared" si="134"/>
        <v>1303.4613807174615</v>
      </c>
      <c r="CD159" s="212">
        <f t="shared" si="135"/>
        <v>21705.630348879306</v>
      </c>
      <c r="CE159" s="212">
        <f t="shared" si="136"/>
        <v>9790.3801417524282</v>
      </c>
      <c r="CF159" s="212">
        <f t="shared" si="137"/>
        <v>-23127.608185040481</v>
      </c>
      <c r="CG159" s="212">
        <f t="shared" si="138"/>
        <v>1052.0688651104758</v>
      </c>
      <c r="CH159" s="212">
        <f t="shared" si="139"/>
        <v>16309.584251771756</v>
      </c>
      <c r="CI159" s="212">
        <f t="shared" si="140"/>
        <v>7392.2370260173548</v>
      </c>
      <c r="CJ159" s="212">
        <f t="shared" si="141"/>
        <v>-17236.01695891346</v>
      </c>
      <c r="CK159" s="212">
        <f t="shared" si="142"/>
        <v>847.97285858251928</v>
      </c>
    </row>
    <row r="160" spans="5:89" x14ac:dyDescent="0.2">
      <c r="G160" s="67"/>
      <c r="L160" s="182"/>
      <c r="M160" s="63"/>
      <c r="Q160" s="68"/>
      <c r="R160" s="209"/>
      <c r="S160" s="68"/>
      <c r="T160" s="68"/>
      <c r="U160" s="209"/>
      <c r="V160" s="68"/>
      <c r="W160" s="68"/>
      <c r="X160" s="68"/>
      <c r="Y160" s="68"/>
      <c r="Z160" s="68"/>
      <c r="AA160" s="68"/>
      <c r="AB160" s="68"/>
      <c r="AC160" s="68"/>
      <c r="AD160" s="68"/>
      <c r="AE160" s="68"/>
      <c r="AF160" s="68"/>
      <c r="AG160" s="68"/>
      <c r="AH160" s="68"/>
      <c r="AI160" s="68"/>
      <c r="AJ160" s="68"/>
      <c r="AK160" s="68"/>
      <c r="AL160" s="68"/>
    </row>
    <row r="161" spans="5:66" x14ac:dyDescent="0.2">
      <c r="F161" t="s">
        <v>291</v>
      </c>
      <c r="G161" s="67"/>
      <c r="L161" s="182"/>
      <c r="M161" s="63"/>
      <c r="Q161" s="68"/>
      <c r="R161" s="209"/>
      <c r="S161" s="68"/>
      <c r="T161" s="68"/>
      <c r="U161" s="209"/>
      <c r="V161" s="68"/>
      <c r="W161" s="68"/>
      <c r="X161" s="68"/>
      <c r="Y161" s="68"/>
      <c r="Z161" s="68"/>
      <c r="AA161" s="68"/>
      <c r="AB161" s="68"/>
      <c r="AC161" s="68"/>
      <c r="AD161" s="68"/>
      <c r="AE161" s="68"/>
      <c r="AF161" s="68"/>
      <c r="AG161" s="68"/>
      <c r="AH161" s="68"/>
      <c r="AI161" s="68"/>
      <c r="AJ161" s="68"/>
      <c r="AK161" s="68"/>
      <c r="AL161" s="68"/>
    </row>
    <row r="162" spans="5:66" s="146" customFormat="1" x14ac:dyDescent="0.2">
      <c r="G162" s="231" t="s">
        <v>224</v>
      </c>
      <c r="L162" s="232" t="s">
        <v>175</v>
      </c>
      <c r="M162" s="147"/>
      <c r="P162" s="243">
        <f>R162/$R$171</f>
        <v>0.71125358673681993</v>
      </c>
      <c r="Q162" s="209">
        <f>Q38*Q101*'Data &amp; Assumptions'!$D$96*'Data &amp; Assumptions'!$D$97</f>
        <v>620812.01062404655</v>
      </c>
      <c r="R162" s="209">
        <f>R38*R101*'Data &amp; Assumptions'!$D$96*'Data &amp; Assumptions'!$D$97</f>
        <v>721441.75747113768</v>
      </c>
      <c r="S162" s="209">
        <f>S38*S101*'Data &amp; Assumptions'!$D$96*'Data &amp; Assumptions'!$D$97</f>
        <v>697534.62051205919</v>
      </c>
      <c r="T162" s="209">
        <f>T38*T101*'Data &amp; Assumptions'!$D$96*'Data &amp; Assumptions'!$D$97</f>
        <v>775582.67599616037</v>
      </c>
      <c r="U162" s="209">
        <f>U38*U101*'Data &amp; Assumptions'!$D$96*'Data &amp; Assumptions'!$D$97</f>
        <v>652070.79763391265</v>
      </c>
      <c r="V162" s="209">
        <f>V38*V101*'Data &amp; Assumptions'!$D$96*'Data &amp; Assumptions'!$D$97</f>
        <v>2847069.9213948739</v>
      </c>
      <c r="W162" s="209">
        <f>W38*W101*'Data &amp; Assumptions'!$D$96*'Data &amp; Assumptions'!$D$97</f>
        <v>3681344.8084904393</v>
      </c>
      <c r="X162" s="209">
        <f>X38*X101*'Data &amp; Assumptions'!$D$96*'Data &amp; Assumptions'!$D$97</f>
        <v>589370.27240752184</v>
      </c>
      <c r="Y162" s="209">
        <f>Y38*Y101*'Data &amp; Assumptions'!$D$96*'Data &amp; Assumptions'!$D$97</f>
        <v>569839.72032048134</v>
      </c>
      <c r="Z162" s="209">
        <f>Z38*Z101*'Data &amp; Assumptions'!$D$96*'Data &amp; Assumptions'!$D$97</f>
        <v>550956.37166850106</v>
      </c>
      <c r="AA162" s="209">
        <f>AA38*AA101*'Data &amp; Assumptions'!$D$96*'Data &amp; Assumptions'!$D$97</f>
        <v>532698.77942415013</v>
      </c>
      <c r="AB162" s="209">
        <f>AB38*AB101*'Data &amp; Assumptions'!$D$96*'Data &amp; Assumptions'!$D$97</f>
        <v>515046.20727159479</v>
      </c>
      <c r="AC162" s="209">
        <f>AC38*AC101*'Data &amp; Assumptions'!$D$96*'Data &amp; Assumptions'!$D$97</f>
        <v>497978.60605502804</v>
      </c>
      <c r="AD162" s="209">
        <f>AD38*AD101*'Data &amp; Assumptions'!$D$96*'Data &amp; Assumptions'!$D$97</f>
        <v>481476.59100757405</v>
      </c>
      <c r="AE162" s="209">
        <f>AE38*AE101*'Data &amp; Assumptions'!$D$96*'Data &amp; Assumptions'!$D$97</f>
        <v>465521.41973477078</v>
      </c>
      <c r="AF162" s="209">
        <f>AF38*AF101*'Data &amp; Assumptions'!$D$96*'Data &amp; Assumptions'!$D$97</f>
        <v>450094.97092760052</v>
      </c>
      <c r="AG162" s="209">
        <f>AG38*AG101*'Data &amp; Assumptions'!$D$96*'Data &amp; Assumptions'!$D$97</f>
        <v>435179.72378099547</v>
      </c>
      <c r="AH162" s="209">
        <f>AH38*AH101*'Data &amp; Assumptions'!$D$96*'Data &amp; Assumptions'!$D$97</f>
        <v>420758.73809434799</v>
      </c>
      <c r="AI162" s="209">
        <f>AI38*AI101*'Data &amp; Assumptions'!$D$96*'Data &amp; Assumptions'!$D$97</f>
        <v>406815.63503137324</v>
      </c>
      <c r="AJ162" s="209">
        <f>AJ38*AJ101*'Data &amp; Assumptions'!$D$96*'Data &amp; Assumptions'!$D$97</f>
        <v>393334.57851770899</v>
      </c>
      <c r="AK162" s="209">
        <f>AK38*AK101*'Data &amp; Assumptions'!$D$96*'Data &amp; Assumptions'!$D$97</f>
        <v>380300.25725478004</v>
      </c>
      <c r="AL162" s="209"/>
      <c r="AM162" s="203"/>
      <c r="AQ162" s="243">
        <f>AS162/$AS$171</f>
        <v>0.71125358673682004</v>
      </c>
      <c r="AR162" s="209">
        <f>AR38*AR101*'Data &amp; Assumptions'!$D$96*'Data &amp; Assumptions'!$D$97</f>
        <v>620812.01062404655</v>
      </c>
      <c r="AS162" s="209">
        <f>AS38*AS101*'Data &amp; Assumptions'!$D$96*'Data &amp; Assumptions'!$D$97</f>
        <v>685369.6695975808</v>
      </c>
      <c r="AT162" s="209">
        <f>AT38*AT101*'Data &amp; Assumptions'!$D$96*'Data &amp; Assumptions'!$D$97</f>
        <v>522512.97640186874</v>
      </c>
      <c r="AU162" s="209">
        <f>AU38*AU101*'Data &amp; Assumptions'!$D$96*'Data &amp; Assumptions'!$D$97</f>
        <v>580269.12329029676</v>
      </c>
      <c r="AV162" s="209">
        <f>AV38*AV101*'Data &amp; Assumptions'!$D$96*'Data &amp; Assumptions'!$D$97</f>
        <v>487266.06066037482</v>
      </c>
      <c r="AW162" s="209">
        <f>AW38*AW101*'Data &amp; Assumptions'!$D$96*'Data &amp; Assumptions'!$D$97</f>
        <v>2124905.3699502028</v>
      </c>
      <c r="AX162" s="209">
        <f>AX38*AX101*'Data &amp; Assumptions'!$D$96*'Data &amp; Assumptions'!$D$97</f>
        <v>2744214.1999871712</v>
      </c>
      <c r="AY162" s="209">
        <f>AY38*AY101*'Data &amp; Assumptions'!$D$96*'Data &amp; Assumptions'!$D$97</f>
        <v>438803.20005084272</v>
      </c>
      <c r="AZ162" s="209">
        <f>AZ38*AZ101*'Data &amp; Assumptions'!$D$96*'Data &amp; Assumptions'!$D$97</f>
        <v>423744.74675437779</v>
      </c>
      <c r="BA162" s="209">
        <f>BA38*BA101*'Data &amp; Assumptions'!$D$96*'Data &amp; Assumptions'!$D$97</f>
        <v>409203.05590553308</v>
      </c>
      <c r="BB162" s="209">
        <f>BB38*BB101*'Data &amp; Assumptions'!$D$96*'Data &amp; Assumptions'!$D$97</f>
        <v>395160.39371571725</v>
      </c>
      <c r="BC162" s="209">
        <f>BC38*BC101*'Data &amp; Assumptions'!$D$96*'Data &amp; Assumptions'!$D$97</f>
        <v>381599.63496853714</v>
      </c>
      <c r="BD162" s="209">
        <f>BD38*BD101*'Data &amp; Assumptions'!$D$96*'Data &amp; Assumptions'!$D$97</f>
        <v>368504.24213535793</v>
      </c>
      <c r="BE162" s="209">
        <f>BE38*BE101*'Data &amp; Assumptions'!$D$96*'Data &amp; Assumptions'!$D$97</f>
        <v>355858.24520757282</v>
      </c>
      <c r="BF162" s="209">
        <f>BF38*BF101*'Data &amp; Assumptions'!$D$96*'Data &amp; Assumptions'!$D$97</f>
        <v>343646.22222096421</v>
      </c>
      <c r="BG162" s="209">
        <f>BG38*BG101*'Data &amp; Assumptions'!$D$96*'Data &amp; Assumptions'!$D$97</f>
        <v>331853.28044838569</v>
      </c>
      <c r="BH162" s="209">
        <f>BH38*BH101*'Data &amp; Assumptions'!$D$96*'Data &amp; Assumptions'!$D$97</f>
        <v>320465.03823790577</v>
      </c>
      <c r="BI162" s="209">
        <f>BI38*BI101*'Data &amp; Assumptions'!$D$96*'Data &amp; Assumptions'!$D$97</f>
        <v>309467.60747419699</v>
      </c>
      <c r="BJ162" s="209">
        <f>BJ38*BJ101*'Data &amp; Assumptions'!$D$96*'Data &amp; Assumptions'!$D$97</f>
        <v>298847.57664174109</v>
      </c>
      <c r="BK162" s="209">
        <f>BK38*BK101*'Data &amp; Assumptions'!$D$96*'Data &amp; Assumptions'!$D$97</f>
        <v>288591.99446937279</v>
      </c>
      <c r="BL162" s="209">
        <f>BL38*BL101*'Data &amp; Assumptions'!$D$96*'Data &amp; Assumptions'!$D$97</f>
        <v>278688.35413596127</v>
      </c>
      <c r="BN162" s="203"/>
    </row>
    <row r="163" spans="5:66" s="146" customFormat="1" x14ac:dyDescent="0.2">
      <c r="G163" s="231" t="s">
        <v>64</v>
      </c>
      <c r="L163" s="232" t="s">
        <v>175</v>
      </c>
      <c r="M163" s="147"/>
      <c r="P163" s="243">
        <f t="shared" ref="P163:P171" si="153">R163/$R$171</f>
        <v>3.7972233853488524E-2</v>
      </c>
      <c r="Q163" s="209">
        <f>Q39*Q106*'Data &amp; Assumptions'!$D$96*'Data &amp; Assumptions'!$D$97</f>
        <v>33470.300456576413</v>
      </c>
      <c r="R163" s="209">
        <f>R39*R106*'Data &amp; Assumptions'!$D$96*'Data &amp; Assumptions'!$D$97</f>
        <v>38516.157439783114</v>
      </c>
      <c r="S163" s="209">
        <f>S39*S106*'Data &amp; Assumptions'!$D$96*'Data &amp; Assumptions'!$D$97</f>
        <v>36876.493804645565</v>
      </c>
      <c r="T163" s="209">
        <f>T39*T106*'Data &amp; Assumptions'!$D$96*'Data &amp; Assumptions'!$D$97</f>
        <v>40602.626756514837</v>
      </c>
      <c r="U163" s="209">
        <f>U39*U106*'Data &amp; Assumptions'!$D$96*'Data &amp; Assumptions'!$D$97</f>
        <v>33803.60039425092</v>
      </c>
      <c r="V163" s="209">
        <f>V39*V106*'Data &amp; Assumptions'!$D$96*'Data &amp; Assumptions'!$D$97</f>
        <v>146153.26371119675</v>
      </c>
      <c r="W163" s="209">
        <f>W39*W106*'Data &amp; Assumptions'!$D$96*'Data &amp; Assumptions'!$D$97</f>
        <v>187136.73957279642</v>
      </c>
      <c r="X163" s="209">
        <f>X39*X106*'Data &amp; Assumptions'!$D$96*'Data &amp; Assumptions'!$D$97</f>
        <v>29667.637572639404</v>
      </c>
      <c r="Y163" s="209">
        <f>Y39*Y106*'Data &amp; Assumptions'!$D$96*'Data &amp; Assumptions'!$D$97</f>
        <v>28404.662507061803</v>
      </c>
      <c r="Z163" s="209">
        <f>Z39*Z106*'Data &amp; Assumptions'!$D$96*'Data &amp; Assumptions'!$D$97</f>
        <v>27195.453300406323</v>
      </c>
      <c r="AA163" s="209">
        <f>AA39*AA106*'Data &amp; Assumptions'!$D$96*'Data &amp; Assumptions'!$D$97</f>
        <v>26037.721097045516</v>
      </c>
      <c r="AB163" s="209">
        <f>AB39*AB106*'Data &amp; Assumptions'!$D$96*'Data &amp; Assumptions'!$D$97</f>
        <v>24929.27447976722</v>
      </c>
      <c r="AC163" s="209">
        <f>AC39*AC106*'Data &amp; Assumptions'!$D$96*'Data &amp; Assumptions'!$D$97</f>
        <v>23868.015321744006</v>
      </c>
      <c r="AD163" s="209">
        <f>AD39*AD106*'Data &amp; Assumptions'!$D$96*'Data &amp; Assumptions'!$D$97</f>
        <v>22851.934815085278</v>
      </c>
      <c r="AE163" s="209">
        <f>AE39*AE106*'Data &amp; Assumptions'!$D$96*'Data &amp; Assumptions'!$D$97</f>
        <v>21879.109668458957</v>
      </c>
      <c r="AF163" s="209">
        <f>AF39*AF106*'Data &amp; Assumptions'!$D$96*'Data &amp; Assumptions'!$D$97</f>
        <v>20947.698466585302</v>
      </c>
      <c r="AG163" s="209">
        <f>AG39*AG106*'Data &amp; Assumptions'!$D$96*'Data &amp; Assumptions'!$D$97</f>
        <v>20055.938184703889</v>
      </c>
      <c r="AH163" s="209">
        <f>AH39*AH106*'Data &amp; Assumptions'!$D$96*'Data &amp; Assumptions'!$D$97</f>
        <v>19202.140851430544</v>
      </c>
      <c r="AI163" s="209">
        <f>AI39*AI106*'Data &amp; Assumptions'!$D$96*'Data &amp; Assumptions'!$D$97</f>
        <v>18384.690353672508</v>
      </c>
      <c r="AJ163" s="209">
        <f>AJ39*AJ106*'Data &amp; Assumptions'!$D$96*'Data &amp; Assumptions'!$D$97</f>
        <v>17602.039377564117</v>
      </c>
      <c r="AK163" s="209">
        <f>AK39*AK106*'Data &amp; Assumptions'!$D$96*'Data &amp; Assumptions'!$D$97</f>
        <v>16852.706479629858</v>
      </c>
      <c r="AL163" s="209"/>
      <c r="AM163" s="203"/>
      <c r="AQ163" s="243">
        <f t="shared" ref="AQ163:AQ171" si="154">AS163/$AS$171</f>
        <v>3.7972233853488538E-2</v>
      </c>
      <c r="AR163" s="209">
        <f>AR39*AR106*'Data &amp; Assumptions'!$D$96*'Data &amp; Assumptions'!$D$97</f>
        <v>33470.300456576413</v>
      </c>
      <c r="AS163" s="209">
        <f>AS39*AS106*'Data &amp; Assumptions'!$D$96*'Data &amp; Assumptions'!$D$97</f>
        <v>36590.349567793965</v>
      </c>
      <c r="AT163" s="209">
        <f>AT39*AT106*'Data &amp; Assumptions'!$D$96*'Data &amp; Assumptions'!$D$97</f>
        <v>27636.933872927417</v>
      </c>
      <c r="AU163" s="209">
        <f>AU39*AU106*'Data &amp; Assumptions'!$D$96*'Data &amp; Assumptions'!$D$97</f>
        <v>30406.983782647927</v>
      </c>
      <c r="AV163" s="209">
        <f>AV39*AV106*'Data &amp; Assumptions'!$D$96*'Data &amp; Assumptions'!$D$97</f>
        <v>25296.541245814504</v>
      </c>
      <c r="AW163" s="209">
        <f>AW39*AW106*'Data &amp; Assumptions'!$D$96*'Data &amp; Assumptions'!$D$97</f>
        <v>109291.32163594481</v>
      </c>
      <c r="AX163" s="209">
        <f>AX39*AX106*'Data &amp; Assumptions'!$D$96*'Data &amp; Assumptions'!$D$97</f>
        <v>139834.77651339537</v>
      </c>
      <c r="AY163" s="209">
        <f>AY39*AY106*'Data &amp; Assumptions'!$D$96*'Data &amp; Assumptions'!$D$97</f>
        <v>22152.261684001103</v>
      </c>
      <c r="AZ163" s="209">
        <f>AZ39*AZ106*'Data &amp; Assumptions'!$D$96*'Data &amp; Assumptions'!$D$97</f>
        <v>21193.55034325266</v>
      </c>
      <c r="BA163" s="209">
        <f>BA39*BA106*'Data &amp; Assumptions'!$D$96*'Data &amp; Assumptions'!$D$97</f>
        <v>20276.330361174394</v>
      </c>
      <c r="BB163" s="209">
        <f>BB39*BB106*'Data &amp; Assumptions'!$D$96*'Data &amp; Assumptions'!$D$97</f>
        <v>19398.806063957694</v>
      </c>
      <c r="BC163" s="209">
        <f>BC39*BC106*'Data &amp; Assumptions'!$D$96*'Data &amp; Assumptions'!$D$97</f>
        <v>18559.259491432022</v>
      </c>
      <c r="BD163" s="209">
        <f>BD39*BD106*'Data &amp; Assumptions'!$D$96*'Data &amp; Assumptions'!$D$97</f>
        <v>17756.047033754403</v>
      </c>
      <c r="BE163" s="209">
        <f>BE39*BE106*'Data &amp; Assumptions'!$D$96*'Data &amp; Assumptions'!$D$97</f>
        <v>16987.596213655484</v>
      </c>
      <c r="BF163" s="209">
        <f>BF39*BF106*'Data &amp; Assumptions'!$D$96*'Data &amp; Assumptions'!$D$97</f>
        <v>16252.402607945674</v>
      </c>
      <c r="BG163" s="209">
        <f>BG39*BG106*'Data &amp; Assumptions'!$D$96*'Data &amp; Assumptions'!$D$97</f>
        <v>15549.026902254605</v>
      </c>
      <c r="BH163" s="209">
        <f>BH39*BH106*'Data &amp; Assumptions'!$D$96*'Data &amp; Assumptions'!$D$97</f>
        <v>14876.092073231766</v>
      </c>
      <c r="BI163" s="209">
        <f>BI39*BI106*'Data &amp; Assumptions'!$D$96*'Data &amp; Assumptions'!$D$97</f>
        <v>14232.280692702541</v>
      </c>
      <c r="BJ163" s="209">
        <f>BJ39*BJ106*'Data &amp; Assumptions'!$D$96*'Data &amp; Assumptions'!$D$97</f>
        <v>13616.332348490811</v>
      </c>
      <c r="BK163" s="209">
        <f>BK39*BK106*'Data &amp; Assumptions'!$D$96*'Data &amp; Assumptions'!$D$97</f>
        <v>13027.041176866222</v>
      </c>
      <c r="BL163" s="209">
        <f>BL39*BL106*'Data &amp; Assumptions'!$D$96*'Data &amp; Assumptions'!$D$97</f>
        <v>12463.253501783209</v>
      </c>
      <c r="BN163" s="203"/>
    </row>
    <row r="164" spans="5:66" s="146" customFormat="1" x14ac:dyDescent="0.2">
      <c r="G164" s="231" t="s">
        <v>63</v>
      </c>
      <c r="L164" s="232" t="s">
        <v>175</v>
      </c>
      <c r="M164" s="147"/>
      <c r="P164" s="243">
        <f t="shared" si="153"/>
        <v>6.5016939643460475E-2</v>
      </c>
      <c r="Q164" s="209">
        <f>Q40*Q111*'Data &amp; Assumptions'!$D$96*'Data &amp; Assumptions'!$D$97</f>
        <v>57308.624850202075</v>
      </c>
      <c r="R164" s="209">
        <f>R40*R111*'Data &amp; Assumptions'!$D$96*'Data &amp; Assumptions'!$D$97</f>
        <v>65948.258225275247</v>
      </c>
      <c r="S164" s="209">
        <f>S40*S111*'Data &amp; Assumptions'!$D$96*'Data &amp; Assumptions'!$D$97</f>
        <v>63140.788114018767</v>
      </c>
      <c r="T164" s="209">
        <f>T40*T111*'Data &amp; Assumptions'!$D$96*'Data &amp; Assumptions'!$D$97</f>
        <v>69520.759389080733</v>
      </c>
      <c r="U164" s="209">
        <f>U40*U111*'Data &amp; Assumptions'!$D$96*'Data &amp; Assumptions'!$D$97</f>
        <v>57879.308735026156</v>
      </c>
      <c r="V164" s="209">
        <f>V40*V111*'Data &amp; Assumptions'!$D$96*'Data &amp; Assumptions'!$D$97</f>
        <v>250247.00843436579</v>
      </c>
      <c r="W164" s="209">
        <f>W40*W111*'Data &amp; Assumptions'!$D$96*'Data &amp; Assumptions'!$D$97</f>
        <v>320419.86649570521</v>
      </c>
      <c r="X164" s="209">
        <f>X40*X111*'Data &amp; Assumptions'!$D$96*'Data &amp; Assumptions'!$D$97</f>
        <v>50797.617250193689</v>
      </c>
      <c r="Y164" s="209">
        <f>Y40*Y111*'Data &amp; Assumptions'!$D$96*'Data &amp; Assumptions'!$D$97</f>
        <v>48635.122045758821</v>
      </c>
      <c r="Z164" s="209">
        <f>Z40*Z111*'Data &amp; Assumptions'!$D$96*'Data &amp; Assumptions'!$D$97</f>
        <v>46564.685992173137</v>
      </c>
      <c r="AA164" s="209">
        <f>AA40*AA111*'Data &amp; Assumptions'!$D$96*'Data &amp; Assumptions'!$D$97</f>
        <v>44582.390057738041</v>
      </c>
      <c r="AB164" s="209">
        <f>AB40*AB111*'Data &amp; Assumptions'!$D$96*'Data &amp; Assumptions'!$D$97</f>
        <v>42684.482047067751</v>
      </c>
      <c r="AC164" s="209">
        <f>AC40*AC111*'Data &amp; Assumptions'!$D$96*'Data &amp; Assumptions'!$D$97</f>
        <v>40867.369498738539</v>
      </c>
      <c r="AD164" s="209">
        <f>AD40*AD111*'Data &amp; Assumptions'!$D$96*'Data &amp; Assumptions'!$D$97</f>
        <v>39127.612885281684</v>
      </c>
      <c r="AE164" s="209">
        <f>AE40*AE111*'Data &amp; Assumptions'!$D$96*'Data &amp; Assumptions'!$D$97</f>
        <v>37461.919102664688</v>
      </c>
      <c r="AF164" s="209">
        <f>AF40*AF111*'Data &amp; Assumptions'!$D$96*'Data &amp; Assumptions'!$D$97</f>
        <v>35867.135236929593</v>
      </c>
      <c r="AG164" s="209">
        <f>AG40*AG111*'Data &amp; Assumptions'!$D$96*'Data &amp; Assumptions'!$D$97</f>
        <v>34340.242596185097</v>
      </c>
      <c r="AH164" s="209">
        <f>AH40*AH111*'Data &amp; Assumptions'!$D$96*'Data &amp; Assumptions'!$D$97</f>
        <v>32878.350996671164</v>
      </c>
      <c r="AI164" s="209">
        <f>AI40*AI111*'Data &amp; Assumptions'!$D$96*'Data &amp; Assumptions'!$D$97</f>
        <v>31478.693292062184</v>
      </c>
      <c r="AJ164" s="209">
        <f>AJ40*AJ111*'Data &amp; Assumptions'!$D$96*'Data &amp; Assumptions'!$D$97</f>
        <v>30138.620135664802</v>
      </c>
      <c r="AK164" s="209">
        <f>AK40*AK111*'Data &amp; Assumptions'!$D$96*'Data &amp; Assumptions'!$D$97</f>
        <v>28855.594965592987</v>
      </c>
      <c r="AL164" s="209"/>
      <c r="AM164" s="203"/>
      <c r="AQ164" s="243">
        <f t="shared" si="154"/>
        <v>6.5016939643460489E-2</v>
      </c>
      <c r="AR164" s="209">
        <f>AR40*AR111*'Data &amp; Assumptions'!$D$96*'Data &amp; Assumptions'!$D$97</f>
        <v>57308.624850202075</v>
      </c>
      <c r="AS164" s="209">
        <f>AS40*AS111*'Data &amp; Assumptions'!$D$96*'Data &amp; Assumptions'!$D$97</f>
        <v>62650.845314011487</v>
      </c>
      <c r="AT164" s="209">
        <f>AT40*AT111*'Data &amp; Assumptions'!$D$96*'Data &amp; Assumptions'!$D$97</f>
        <v>47320.599269441038</v>
      </c>
      <c r="AU164" s="209">
        <f>AU40*AU111*'Data &amp; Assumptions'!$D$96*'Data &amp; Assumptions'!$D$97</f>
        <v>52063.542981537772</v>
      </c>
      <c r="AV164" s="209">
        <f>AV40*AV111*'Data &amp; Assumptions'!$D$96*'Data &amp; Assumptions'!$D$97</f>
        <v>43313.324723357946</v>
      </c>
      <c r="AW164" s="209">
        <f>AW40*AW111*'Data &amp; Assumptions'!$D$96*'Data &amp; Assumptions'!$D$97</f>
        <v>187131.13612897042</v>
      </c>
      <c r="AX164" s="209">
        <f>AX40*AX111*'Data &amp; Assumptions'!$D$96*'Data &amp; Assumptions'!$D$97</f>
        <v>239428.34808474052</v>
      </c>
      <c r="AY164" s="209">
        <f>AY40*AY111*'Data &amp; Assumptions'!$D$96*'Data &amp; Assumptions'!$D$97</f>
        <v>37929.616319965986</v>
      </c>
      <c r="AZ164" s="209">
        <f>AZ40*AZ111*'Data &amp; Assumptions'!$D$96*'Data &amp; Assumptions'!$D$97</f>
        <v>36288.088523170016</v>
      </c>
      <c r="BA164" s="209">
        <f>BA40*BA111*'Data &amp; Assumptions'!$D$96*'Data &amp; Assumptions'!$D$97</f>
        <v>34717.60319316118</v>
      </c>
      <c r="BB164" s="209">
        <f>BB40*BB111*'Data &amp; Assumptions'!$D$96*'Data &amp; Assumptions'!$D$97</f>
        <v>33215.085735591114</v>
      </c>
      <c r="BC164" s="209">
        <f>BC40*BC111*'Data &amp; Assumptions'!$D$96*'Data &amp; Assumptions'!$D$97</f>
        <v>31777.594619203664</v>
      </c>
      <c r="BD164" s="209">
        <f>BD40*BD111*'Data &amp; Assumptions'!$D$96*'Data &amp; Assumptions'!$D$97</f>
        <v>30402.315617099252</v>
      </c>
      <c r="BE164" s="209">
        <f>BE40*BE111*'Data &amp; Assumptions'!$D$96*'Data &amp; Assumptions'!$D$97</f>
        <v>29086.556297220399</v>
      </c>
      <c r="BF164" s="209">
        <f>BF40*BF111*'Data &amp; Assumptions'!$D$96*'Data &amp; Assumptions'!$D$97</f>
        <v>27827.740751284487</v>
      </c>
      <c r="BG164" s="209">
        <f>BG40*BG111*'Data &amp; Assumptions'!$D$96*'Data &amp; Assumptions'!$D$97</f>
        <v>26623.40455183827</v>
      </c>
      <c r="BH164" s="209">
        <f>BH40*BH111*'Data &amp; Assumptions'!$D$96*'Data &amp; Assumptions'!$D$97</f>
        <v>25471.189927558476</v>
      </c>
      <c r="BI164" s="209">
        <f>BI40*BI111*'Data &amp; Assumptions'!$D$96*'Data &amp; Assumptions'!$D$97</f>
        <v>24368.841147364026</v>
      </c>
      <c r="BJ164" s="209">
        <f>BJ40*BJ111*'Data &amp; Assumptions'!$D$96*'Data &amp; Assumptions'!$D$97</f>
        <v>23314.200104289794</v>
      </c>
      <c r="BK164" s="209">
        <f>BK40*BK111*'Data &amp; Assumptions'!$D$96*'Data &amp; Assumptions'!$D$97</f>
        <v>22305.20209048457</v>
      </c>
      <c r="BL164" s="209">
        <f>BL40*BL111*'Data &amp; Assumptions'!$D$96*'Data &amp; Assumptions'!$D$97</f>
        <v>21339.871755059703</v>
      </c>
      <c r="BN164" s="203"/>
    </row>
    <row r="165" spans="5:66" s="146" customFormat="1" x14ac:dyDescent="0.2">
      <c r="G165" s="231" t="s">
        <v>76</v>
      </c>
      <c r="L165" s="232" t="s">
        <v>175</v>
      </c>
      <c r="M165" s="147"/>
      <c r="P165" s="243">
        <f t="shared" si="153"/>
        <v>2.8032358072855867E-2</v>
      </c>
      <c r="Q165" s="209">
        <f>Q41*Q116*'Data &amp; Assumptions'!$D$96*'Data &amp; Assumptions'!$D$97</f>
        <v>24708.882043257054</v>
      </c>
      <c r="R165" s="209">
        <f>R41*R116*'Data &amp; Assumptions'!$D$96*'Data &amp; Assumptions'!$D$97</f>
        <v>28433.900441790822</v>
      </c>
      <c r="S165" s="209">
        <f>S41*S116*'Data &amp; Assumptions'!$D$96*'Data &amp; Assumptions'!$D$97</f>
        <v>27223.446552863388</v>
      </c>
      <c r="T165" s="209">
        <f>T41*T116*'Data &amp; Assumptions'!$D$96*'Data &amp; Assumptions'!$D$97</f>
        <v>29974.201052503438</v>
      </c>
      <c r="U165" s="209">
        <f>U41*U116*'Data &amp; Assumptions'!$D$96*'Data &amp; Assumptions'!$D$97</f>
        <v>24954.93507333695</v>
      </c>
      <c r="V165" s="209">
        <f>V41*V116*'Data &amp; Assumptions'!$D$96*'Data &amp; Assumptions'!$D$97</f>
        <v>107895.16986745302</v>
      </c>
      <c r="W165" s="209">
        <f>W41*W116*'Data &amp; Assumptions'!$D$96*'Data &amp; Assumptions'!$D$97</f>
        <v>138150.5263169937</v>
      </c>
      <c r="X165" s="209">
        <f>X41*X116*'Data &amp; Assumptions'!$D$96*'Data &amp; Assumptions'!$D$97</f>
        <v>21901.630618329615</v>
      </c>
      <c r="Y165" s="209">
        <f>Y41*Y116*'Data &amp; Assumptions'!$D$96*'Data &amp; Assumptions'!$D$97</f>
        <v>20969.260681602751</v>
      </c>
      <c r="Z165" s="209">
        <f>Z41*Z116*'Data &amp; Assumptions'!$D$96*'Data &amp; Assumptions'!$D$97</f>
        <v>20076.582478978446</v>
      </c>
      <c r="AA165" s="209">
        <f>AA41*AA116*'Data &amp; Assumptions'!$D$96*'Data &amp; Assumptions'!$D$97</f>
        <v>19221.906301582403</v>
      </c>
      <c r="AB165" s="209">
        <f>AB41*AB116*'Data &amp; Assumptions'!$D$96*'Data &amp; Assumptions'!$D$97</f>
        <v>18403.614372798856</v>
      </c>
      <c r="AC165" s="209">
        <f>AC41*AC116*'Data &amp; Assumptions'!$D$96*'Data &amp; Assumptions'!$D$97</f>
        <v>17620.157786057494</v>
      </c>
      <c r="AD165" s="209">
        <f>AD41*AD116*'Data &amp; Assumptions'!$D$96*'Data &amp; Assumptions'!$D$97</f>
        <v>16870.05357297869</v>
      </c>
      <c r="AE165" s="209">
        <f>AE41*AE116*'Data &amp; Assumptions'!$D$96*'Data &amp; Assumptions'!$D$97</f>
        <v>16151.881896334207</v>
      </c>
      <c r="AF165" s="209">
        <f>AF41*AF116*'Data &amp; Assumptions'!$D$96*'Data &amp; Assumptions'!$D$97</f>
        <v>15464.283362501805</v>
      </c>
      <c r="AG165" s="209">
        <f>AG41*AG116*'Data &amp; Assumptions'!$D$96*'Data &amp; Assumptions'!$D$97</f>
        <v>14805.956448333338</v>
      </c>
      <c r="AH165" s="209">
        <f>AH41*AH116*'Data &amp; Assumptions'!$D$96*'Data &amp; Assumptions'!$D$97</f>
        <v>14175.655037562781</v>
      </c>
      <c r="AI165" s="209">
        <f>AI41*AI116*'Data &amp; Assumptions'!$D$96*'Data &amp; Assumptions'!$D$97</f>
        <v>13572.186062089459</v>
      </c>
      <c r="AJ165" s="209">
        <f>AJ41*AJ116*'Data &amp; Assumptions'!$D$96*'Data &amp; Assumptions'!$D$97</f>
        <v>12994.407243677604</v>
      </c>
      <c r="AK165" s="209">
        <f>AK41*AK116*'Data &amp; Assumptions'!$D$96*'Data &amp; Assumptions'!$D$97</f>
        <v>12441.224931788483</v>
      </c>
      <c r="AL165" s="209"/>
      <c r="AM165" s="203"/>
      <c r="AQ165" s="243">
        <f t="shared" si="154"/>
        <v>2.8032358072855867E-2</v>
      </c>
      <c r="AR165" s="209">
        <f>AR41*AR116*'Data &amp; Assumptions'!$D$96*'Data &amp; Assumptions'!$D$97</f>
        <v>24708.882043257054</v>
      </c>
      <c r="AS165" s="209">
        <f>AS41*AS116*'Data &amp; Assumptions'!$D$96*'Data &amp; Assumptions'!$D$97</f>
        <v>27012.205419701277</v>
      </c>
      <c r="AT165" s="209">
        <f>AT41*AT116*'Data &amp; Assumptions'!$D$96*'Data &amp; Assumptions'!$D$97</f>
        <v>20402.498029242633</v>
      </c>
      <c r="AU165" s="209">
        <f>AU41*AU116*'Data &amp; Assumptions'!$D$96*'Data &amp; Assumptions'!$D$97</f>
        <v>22447.44042711618</v>
      </c>
      <c r="AV165" s="209">
        <f>AV41*AV116*'Data &amp; Assumptions'!$D$96*'Data &amp; Assumptions'!$D$97</f>
        <v>18674.742838240792</v>
      </c>
      <c r="AW165" s="209">
        <f>AW41*AW116*'Data &amp; Assumptions'!$D$96*'Data &amp; Assumptions'!$D$97</f>
        <v>80682.465882185628</v>
      </c>
      <c r="AX165" s="209">
        <f>AX41*AX116*'Data &amp; Assumptions'!$D$96*'Data &amp; Assumptions'!$D$97</f>
        <v>103230.65378207009</v>
      </c>
      <c r="AY165" s="209">
        <f>AY41*AY116*'Data &amp; Assumptions'!$D$96*'Data &amp; Assumptions'!$D$97</f>
        <v>16353.531742312069</v>
      </c>
      <c r="AZ165" s="209">
        <f>AZ41*AZ116*'Data &amp; Assumptions'!$D$96*'Data &amp; Assumptions'!$D$97</f>
        <v>15645.779343649974</v>
      </c>
      <c r="BA165" s="209">
        <f>BA41*BA116*'Data &amp; Assumptions'!$D$96*'Data &amp; Assumptions'!$D$97</f>
        <v>14968.65723731292</v>
      </c>
      <c r="BB165" s="209">
        <f>BB41*BB116*'Data &amp; Assumptions'!$D$96*'Data &amp; Assumptions'!$D$97</f>
        <v>14320.839797545648</v>
      </c>
      <c r="BC165" s="209">
        <f>BC41*BC116*'Data &amp; Assumptions'!$D$96*'Data &amp; Assumptions'!$D$97</f>
        <v>13701.058769369016</v>
      </c>
      <c r="BD165" s="209">
        <f>BD41*BD116*'Data &amp; Assumptions'!$D$96*'Data &amp; Assumptions'!$D$97</f>
        <v>13108.100785673123</v>
      </c>
      <c r="BE165" s="209">
        <f>BE41*BE116*'Data &amp; Assumptions'!$D$96*'Data &amp; Assumptions'!$D$97</f>
        <v>12540.804991764482</v>
      </c>
      <c r="BF165" s="209">
        <f>BF41*BF116*'Data &amp; Assumptions'!$D$96*'Data &amp; Assumptions'!$D$97</f>
        <v>11998.060772721663</v>
      </c>
      <c r="BG165" s="209">
        <f>BG41*BG116*'Data &amp; Assumptions'!$D$96*'Data &amp; Assumptions'!$D$97</f>
        <v>11478.805579104061</v>
      </c>
      <c r="BH165" s="209">
        <f>BH41*BH116*'Data &amp; Assumptions'!$D$96*'Data &amp; Assumptions'!$D$97</f>
        <v>10982.022846762093</v>
      </c>
      <c r="BI165" s="209">
        <f>BI41*BI116*'Data &amp; Assumptions'!$D$96*'Data &amp; Assumptions'!$D$97</f>
        <v>10506.740006674096</v>
      </c>
      <c r="BJ165" s="209">
        <f>BJ41*BJ116*'Data &amp; Assumptions'!$D$96*'Data &amp; Assumptions'!$D$97</f>
        <v>10052.026580912674</v>
      </c>
      <c r="BK165" s="209">
        <f>BK41*BK116*'Data &amp; Assumptions'!$D$96*'Data &amp; Assumptions'!$D$97</f>
        <v>9616.9923610171336</v>
      </c>
      <c r="BL165" s="209">
        <f>BL41*BL116*'Data &amp; Assumptions'!$D$96*'Data &amp; Assumptions'!$D$97</f>
        <v>9200.7856651990423</v>
      </c>
      <c r="BN165" s="203"/>
    </row>
    <row r="166" spans="5:66" s="146" customFormat="1" x14ac:dyDescent="0.2">
      <c r="G166" s="231" t="s">
        <v>72</v>
      </c>
      <c r="L166" s="232" t="s">
        <v>175</v>
      </c>
      <c r="M166" s="147"/>
      <c r="P166" s="243">
        <f t="shared" si="153"/>
        <v>3.8719238314569575E-2</v>
      </c>
      <c r="Q166" s="209">
        <f>Q42*Q121*'Data &amp; Assumptions'!$D$96*'Data &amp; Assumptions'!$D$97</f>
        <v>34128.741143823245</v>
      </c>
      <c r="R166" s="209">
        <f>R42*R121*'Data &amp; Assumptions'!$D$96*'Data &amp; Assumptions'!$D$97</f>
        <v>39273.862175886614</v>
      </c>
      <c r="S166" s="209">
        <f>S42*S121*'Data &amp; Assumptions'!$D$96*'Data &amp; Assumptions'!$D$97</f>
        <v>37601.942443969485</v>
      </c>
      <c r="T166" s="209">
        <f>T42*T121*'Data &amp; Assumptions'!$D$96*'Data &amp; Assumptions'!$D$97</f>
        <v>41401.377323462089</v>
      </c>
      <c r="U166" s="209">
        <f>U42*U121*'Data &amp; Assumptions'!$D$96*'Data &amp; Assumptions'!$D$97</f>
        <v>34468.597886696014</v>
      </c>
      <c r="V166" s="209">
        <f>V42*V121*'Data &amp; Assumptions'!$D$96*'Data &amp; Assumptions'!$D$97</f>
        <v>149028.44720487998</v>
      </c>
      <c r="W166" s="209">
        <f>W42*W121*'Data &amp; Assumptions'!$D$96*'Data &amp; Assumptions'!$D$97</f>
        <v>190818.16584422483</v>
      </c>
      <c r="X166" s="209">
        <f>X42*X121*'Data &amp; Assumptions'!$D$96*'Data &amp; Assumptions'!$D$97</f>
        <v>30251.270805859393</v>
      </c>
      <c r="Y166" s="209">
        <f>Y42*Y121*'Data &amp; Assumptions'!$D$96*'Data &amp; Assumptions'!$D$97</f>
        <v>28963.450006637155</v>
      </c>
      <c r="Z166" s="209">
        <f>Z42*Z121*'Data &amp; Assumptions'!$D$96*'Data &amp; Assumptions'!$D$97</f>
        <v>27730.452769094743</v>
      </c>
      <c r="AA166" s="209">
        <f>AA42*AA121*'Data &amp; Assumptions'!$D$96*'Data &amp; Assumptions'!$D$97</f>
        <v>26549.945210352074</v>
      </c>
      <c r="AB166" s="209">
        <f>AB42*AB121*'Data &amp; Assumptions'!$D$96*'Data &amp; Assumptions'!$D$97</f>
        <v>25419.692802791156</v>
      </c>
      <c r="AC166" s="209">
        <f>AC42*AC121*'Data &amp; Assumptions'!$D$96*'Data &amp; Assumptions'!$D$97</f>
        <v>24337.556144422175</v>
      </c>
      <c r="AD166" s="209">
        <f>AD42*AD121*'Data &amp; Assumptions'!$D$96*'Data &amp; Assumptions'!$D$97</f>
        <v>23301.486909309435</v>
      </c>
      <c r="AE166" s="209">
        <f>AE42*AE121*'Data &amp; Assumptions'!$D$96*'Data &amp; Assumptions'!$D$97</f>
        <v>22309.523970390401</v>
      </c>
      <c r="AF166" s="209">
        <f>AF42*AF121*'Data &amp; Assumptions'!$D$96*'Data &amp; Assumptions'!$D$97</f>
        <v>21359.789687351829</v>
      </c>
      <c r="AG166" s="209">
        <f>AG42*AG121*'Data &amp; Assumptions'!$D$96*'Data &amp; Assumptions'!$D$97</f>
        <v>20450.48635252953</v>
      </c>
      <c r="AH166" s="209">
        <f>AH42*AH121*'Data &amp; Assumptions'!$D$96*'Data &amp; Assumptions'!$D$97</f>
        <v>19579.892788113393</v>
      </c>
      <c r="AI166" s="209">
        <f>AI42*AI121*'Data &amp; Assumptions'!$D$96*'Data &amp; Assumptions'!$D$97</f>
        <v>18746.3610882088</v>
      </c>
      <c r="AJ166" s="209">
        <f>AJ42*AJ121*'Data &amp; Assumptions'!$D$96*'Data &amp; Assumptions'!$D$97</f>
        <v>17948.313499595126</v>
      </c>
      <c r="AK166" s="209">
        <f>AK42*AK121*'Data &amp; Assumptions'!$D$96*'Data &amp; Assumptions'!$D$97</f>
        <v>17184.239435266536</v>
      </c>
      <c r="AL166" s="209"/>
      <c r="AM166" s="203"/>
      <c r="AQ166" s="243">
        <f t="shared" si="154"/>
        <v>3.8719238314569568E-2</v>
      </c>
      <c r="AR166" s="209">
        <f>AR42*AR121*'Data &amp; Assumptions'!$D$96*'Data &amp; Assumptions'!$D$97</f>
        <v>34128.741143823245</v>
      </c>
      <c r="AS166" s="209">
        <f>AS42*AS121*'Data &amp; Assumptions'!$D$96*'Data &amp; Assumptions'!$D$97</f>
        <v>37310.169067092276</v>
      </c>
      <c r="AT166" s="209">
        <f>AT42*AT121*'Data &amp; Assumptions'!$D$96*'Data &amp; Assumptions'!$D$97</f>
        <v>28180.618318075896</v>
      </c>
      <c r="AU166" s="209">
        <f>AU42*AU121*'Data &amp; Assumptions'!$D$96*'Data &amp; Assumptions'!$D$97</f>
        <v>31005.161720277254</v>
      </c>
      <c r="AV166" s="209">
        <f>AV42*AV121*'Data &amp; Assumptions'!$D$96*'Data &amp; Assumptions'!$D$97</f>
        <v>25794.184582613067</v>
      </c>
      <c r="AW166" s="209">
        <f>AW42*AW121*'Data &amp; Assumptions'!$D$96*'Data &amp; Assumptions'!$D$97</f>
        <v>111441.34275754921</v>
      </c>
      <c r="AX166" s="209">
        <f>AX42*AX121*'Data &amp; Assumptions'!$D$96*'Data &amp; Assumptions'!$D$97</f>
        <v>142585.66028475377</v>
      </c>
      <c r="AY166" s="209">
        <f>AY42*AY121*'Data &amp; Assumptions'!$D$96*'Data &amp; Assumptions'!$D$97</f>
        <v>22588.049537958592</v>
      </c>
      <c r="AZ166" s="209">
        <f>AZ42*AZ121*'Data &amp; Assumptions'!$D$96*'Data &amp; Assumptions'!$D$97</f>
        <v>21610.478057161818</v>
      </c>
      <c r="BA166" s="209">
        <f>BA42*BA121*'Data &amp; Assumptions'!$D$96*'Data &amp; Assumptions'!$D$97</f>
        <v>20675.214169079783</v>
      </c>
      <c r="BB166" s="209">
        <f>BB42*BB121*'Data &amp; Assumptions'!$D$96*'Data &amp; Assumptions'!$D$97</f>
        <v>19780.426874714602</v>
      </c>
      <c r="BC166" s="209">
        <f>BC42*BC121*'Data &amp; Assumptions'!$D$96*'Data &amp; Assumptions'!$D$97</f>
        <v>18924.364417519671</v>
      </c>
      <c r="BD166" s="209">
        <f>BD42*BD121*'Data &amp; Assumptions'!$D$96*'Data &amp; Assumptions'!$D$97</f>
        <v>18105.35085392357</v>
      </c>
      <c r="BE166" s="209">
        <f>BE42*BE121*'Data &amp; Assumptions'!$D$96*'Data &amp; Assumptions'!$D$97</f>
        <v>17321.78277227642</v>
      </c>
      <c r="BF166" s="209">
        <f>BF42*BF121*'Data &amp; Assumptions'!$D$96*'Data &amp; Assumptions'!$D$97</f>
        <v>16572.126153794172</v>
      </c>
      <c r="BG166" s="209">
        <f>BG42*BG121*'Data &amp; Assumptions'!$D$96*'Data &amp; Assumptions'!$D$97</f>
        <v>15854.91336935756</v>
      </c>
      <c r="BH166" s="209">
        <f>BH42*BH121*'Data &amp; Assumptions'!$D$96*'Data &amp; Assumptions'!$D$97</f>
        <v>15168.740306281044</v>
      </c>
      <c r="BI166" s="209">
        <f>BI42*BI121*'Data &amp; Assumptions'!$D$96*'Data &amp; Assumptions'!$D$97</f>
        <v>14512.263619433434</v>
      </c>
      <c r="BJ166" s="209">
        <f>BJ42*BJ121*'Data &amp; Assumptions'!$D$96*'Data &amp; Assumptions'!$D$97</f>
        <v>13884.198101322778</v>
      </c>
      <c r="BK166" s="209">
        <f>BK42*BK121*'Data &amp; Assumptions'!$D$96*'Data &amp; Assumptions'!$D$97</f>
        <v>13283.314166002405</v>
      </c>
      <c r="BL166" s="209">
        <f>BL42*BL121*'Data &amp; Assumptions'!$D$96*'Data &amp; Assumptions'!$D$97</f>
        <v>12708.435441864454</v>
      </c>
      <c r="BN166" s="203"/>
    </row>
    <row r="167" spans="5:66" s="146" customFormat="1" x14ac:dyDescent="0.2">
      <c r="G167" s="231" t="s">
        <v>73</v>
      </c>
      <c r="L167" s="232" t="s">
        <v>175</v>
      </c>
      <c r="M167" s="147"/>
      <c r="P167" s="243">
        <f t="shared" si="153"/>
        <v>3.8516104157097055E-3</v>
      </c>
      <c r="Q167" s="209">
        <f>Q43*Q126*'Data &amp; Assumptions'!$D$96*'Data &amp; Assumptions'!$D$97</f>
        <v>3394.9690279714614</v>
      </c>
      <c r="R167" s="209">
        <f>R43*R126*'Data &amp; Assumptions'!$D$96*'Data &amp; Assumptions'!$D$97</f>
        <v>3906.7818274945812</v>
      </c>
      <c r="S167" s="209">
        <f>S43*S126*'Data &amp; Assumptions'!$D$96*'Data &amp; Assumptions'!$D$97</f>
        <v>3740.4669996726752</v>
      </c>
      <c r="T167" s="209">
        <f>T43*T126*'Data &amp; Assumptions'!$D$96*'Data &amp; Assumptions'!$D$97</f>
        <v>4118.4171761914604</v>
      </c>
      <c r="U167" s="209">
        <f>U43*U126*'Data &amp; Assumptions'!$D$96*'Data &amp; Assumptions'!$D$97</f>
        <v>3428.77640197153</v>
      </c>
      <c r="V167" s="209">
        <f>V43*V126*'Data &amp; Assumptions'!$D$96*'Data &amp; Assumptions'!$D$97</f>
        <v>14824.659380641</v>
      </c>
      <c r="W167" s="209">
        <f>W43*W126*'Data &amp; Assumptions'!$D$96*'Data &amp; Assumptions'!$D$97</f>
        <v>18981.706951494507</v>
      </c>
      <c r="X167" s="209">
        <f>X43*X126*'Data &amp; Assumptions'!$D$96*'Data &amp; Assumptions'!$D$97</f>
        <v>3009.2562456338101</v>
      </c>
      <c r="Y167" s="209">
        <f>Y43*Y126*'Data &amp; Assumptions'!$D$96*'Data &amp; Assumptions'!$D$97</f>
        <v>2881.1497998521818</v>
      </c>
      <c r="Z167" s="209">
        <f>Z43*Z126*'Data &amp; Assumptions'!$D$96*'Data &amp; Assumptions'!$D$97</f>
        <v>2758.4969479526312</v>
      </c>
      <c r="AA167" s="209">
        <f>AA43*AA126*'Data &amp; Assumptions'!$D$96*'Data &amp; Assumptions'!$D$97</f>
        <v>2641.0655260807412</v>
      </c>
      <c r="AB167" s="209">
        <f>AB43*AB126*'Data &amp; Assumptions'!$D$96*'Data &amp; Assumptions'!$D$97</f>
        <v>2528.6332537830594</v>
      </c>
      <c r="AC167" s="209">
        <f>AC43*AC126*'Data &amp; Assumptions'!$D$96*'Data &amp; Assumptions'!$D$97</f>
        <v>2420.9873132629004</v>
      </c>
      <c r="AD167" s="209">
        <f>AD43*AD126*'Data &amp; Assumptions'!$D$96*'Data &amp; Assumptions'!$D$97</f>
        <v>2317.923946547473</v>
      </c>
      <c r="AE167" s="209">
        <f>AE43*AE126*'Data &amp; Assumptions'!$D$96*'Data &amp; Assumptions'!$D$97</f>
        <v>2219.2480698037693</v>
      </c>
      <c r="AF167" s="209">
        <f>AF43*AF126*'Data &amp; Assumptions'!$D$96*'Data &amp; Assumptions'!$D$97</f>
        <v>2124.772904073779</v>
      </c>
      <c r="AG167" s="209">
        <f>AG43*AG126*'Data &amp; Assumptions'!$D$96*'Data &amp; Assumptions'!$D$97</f>
        <v>2034.3196217290701</v>
      </c>
      <c r="AH167" s="209">
        <f>AH43*AH126*'Data &amp; Assumptions'!$D$96*'Data &amp; Assumptions'!$D$97</f>
        <v>1947.7170079763309</v>
      </c>
      <c r="AI167" s="209">
        <f>AI43*AI126*'Data &amp; Assumptions'!$D$96*'Data &amp; Assumptions'!$D$97</f>
        <v>1864.8011367731697</v>
      </c>
      <c r="AJ167" s="209">
        <f>AJ43*AJ126*'Data &amp; Assumptions'!$D$96*'Data &amp; Assumptions'!$D$97</f>
        <v>1785.4150605398463</v>
      </c>
      <c r="AK167" s="209">
        <f>AK43*AK126*'Data &amp; Assumptions'!$D$96*'Data &amp; Assumptions'!$D$97</f>
        <v>1709.4085130806184</v>
      </c>
      <c r="AL167" s="209"/>
      <c r="AM167" s="203"/>
      <c r="AQ167" s="243">
        <f t="shared" si="154"/>
        <v>3.8516104157097059E-3</v>
      </c>
      <c r="AR167" s="209">
        <f>AR43*AR126*'Data &amp; Assumptions'!$D$96*'Data &amp; Assumptions'!$D$97</f>
        <v>3394.9690279714614</v>
      </c>
      <c r="AS167" s="209">
        <f>AS43*AS126*'Data &amp; Assumptions'!$D$96*'Data &amp; Assumptions'!$D$97</f>
        <v>3711.4427361198523</v>
      </c>
      <c r="AT167" s="209">
        <f>AT43*AT126*'Data &amp; Assumptions'!$D$96*'Data &amp; Assumptions'!$D$97</f>
        <v>2803.2773308507471</v>
      </c>
      <c r="AU167" s="209">
        <f>AU43*AU126*'Data &amp; Assumptions'!$D$96*'Data &amp; Assumptions'!$D$97</f>
        <v>3084.249820525195</v>
      </c>
      <c r="AV167" s="209">
        <f>AV43*AV126*'Data &amp; Assumptions'!$D$96*'Data &amp; Assumptions'!$D$97</f>
        <v>2565.8859607717923</v>
      </c>
      <c r="AW167" s="209">
        <f>AW43*AW126*'Data &amp; Assumptions'!$D$96*'Data &amp; Assumptions'!$D$97</f>
        <v>11085.668396119698</v>
      </c>
      <c r="AX167" s="209">
        <f>AX43*AX126*'Data &amp; Assumptions'!$D$96*'Data &amp; Assumptions'!$D$97</f>
        <v>14183.760791517212</v>
      </c>
      <c r="AY167" s="209">
        <f>AY43*AY126*'Data &amp; Assumptions'!$D$96*'Data &amp; Assumptions'!$D$97</f>
        <v>2246.9545026723954</v>
      </c>
      <c r="AZ167" s="209">
        <f>AZ43*AZ126*'Data &amp; Assumptions'!$D$96*'Data &amp; Assumptions'!$D$97</f>
        <v>2149.7102214975698</v>
      </c>
      <c r="BA167" s="209">
        <f>BA43*BA126*'Data &amp; Assumptions'!$D$96*'Data &amp; Assumptions'!$D$97</f>
        <v>2056.6745036069383</v>
      </c>
      <c r="BB167" s="209">
        <f>BB43*BB126*'Data &amp; Assumptions'!$D$96*'Data &amp; Assumptions'!$D$97</f>
        <v>1967.6652097044748</v>
      </c>
      <c r="BC167" s="209">
        <f>BC43*BC126*'Data &amp; Assumptions'!$D$96*'Data &amp; Assumptions'!$D$97</f>
        <v>1882.5080831659275</v>
      </c>
      <c r="BD167" s="209">
        <f>BD43*BD126*'Data &amp; Assumptions'!$D$96*'Data &amp; Assumptions'!$D$97</f>
        <v>1801.0364088905628</v>
      </c>
      <c r="BE167" s="209">
        <f>BE43*BE126*'Data &amp; Assumptions'!$D$96*'Data &amp; Assumptions'!$D$97</f>
        <v>1723.0906869171499</v>
      </c>
      <c r="BF167" s="209">
        <f>BF43*BF126*'Data &amp; Assumptions'!$D$96*'Data &amp; Assumptions'!$D$97</f>
        <v>1648.518320165156</v>
      </c>
      <c r="BG167" s="209">
        <f>BG43*BG126*'Data &amp; Assumptions'!$D$96*'Data &amp; Assumptions'!$D$97</f>
        <v>1577.1733156902944</v>
      </c>
      <c r="BH167" s="209">
        <f>BH43*BH126*'Data &amp; Assumptions'!$D$96*'Data &amp; Assumptions'!$D$97</f>
        <v>1508.9159988688139</v>
      </c>
      <c r="BI167" s="209">
        <f>BI43*BI126*'Data &amp; Assumptions'!$D$96*'Data &amp; Assumptions'!$D$97</f>
        <v>1443.612739951584</v>
      </c>
      <c r="BJ167" s="209">
        <f>BJ43*BJ126*'Data &amp; Assumptions'!$D$96*'Data &amp; Assumptions'!$D$97</f>
        <v>1381.1356924526453</v>
      </c>
      <c r="BK167" s="209">
        <f>BK43*BK126*'Data &amp; Assumptions'!$D$96*'Data &amp; Assumptions'!$D$97</f>
        <v>1321.3625428594146</v>
      </c>
      <c r="BL167" s="209">
        <f>BL43*BL126*'Data &amp; Assumptions'!$D$96*'Data &amp; Assumptions'!$D$97</f>
        <v>1264.1762711752849</v>
      </c>
      <c r="BN167" s="203"/>
    </row>
    <row r="168" spans="5:66" s="146" customFormat="1" x14ac:dyDescent="0.2">
      <c r="G168" s="231" t="s">
        <v>180</v>
      </c>
      <c r="L168" s="232" t="s">
        <v>175</v>
      </c>
      <c r="M168" s="147"/>
      <c r="P168" s="243">
        <f t="shared" si="153"/>
        <v>5.8341829815392543E-2</v>
      </c>
      <c r="Q168" s="209">
        <f>Q44*Q131*'Data &amp; Assumptions'!$D$96*'Data &amp; Assumptions'!$D$97</f>
        <v>51424.906436686797</v>
      </c>
      <c r="R168" s="209">
        <f>R44*R131*'Data &amp; Assumptions'!$D$96*'Data &amp; Assumptions'!$D$97</f>
        <v>59177.532487682431</v>
      </c>
      <c r="S168" s="209">
        <f>S44*S131*'Data &amp; Assumptions'!$D$96*'Data &amp; Assumptions'!$D$97</f>
        <v>56658.297587655921</v>
      </c>
      <c r="T168" s="209">
        <f>T44*T131*'Data &amp; Assumptions'!$D$96*'Data &amp; Assumptions'!$D$97</f>
        <v>62383.25481261799</v>
      </c>
      <c r="U168" s="209">
        <f>U44*U131*'Data &amp; Assumptions'!$D$96*'Data &amp; Assumptions'!$D$97</f>
        <v>51936.999781427076</v>
      </c>
      <c r="V168" s="209">
        <f>V44*V131*'Data &amp; Assumptions'!$D$96*'Data &amp; Assumptions'!$D$97</f>
        <v>224554.83844597335</v>
      </c>
      <c r="W168" s="209">
        <f>W44*W131*'Data &amp; Assumptions'!$D$96*'Data &amp; Assumptions'!$D$97</f>
        <v>287523.24275914347</v>
      </c>
      <c r="X168" s="209">
        <f>X44*X131*'Data &amp; Assumptions'!$D$96*'Data &amp; Assumptions'!$D$97</f>
        <v>45582.366024764458</v>
      </c>
      <c r="Y168" s="209">
        <f>Y44*Y131*'Data &amp; Assumptions'!$D$96*'Data &amp; Assumptions'!$D$97</f>
        <v>43641.88823719736</v>
      </c>
      <c r="Z168" s="209">
        <f>Z44*Z131*'Data &amp; Assumptions'!$D$96*'Data &amp; Assumptions'!$D$97</f>
        <v>41784.018141429347</v>
      </c>
      <c r="AA168" s="209">
        <f>AA44*AA131*'Data &amp; Assumptions'!$D$96*'Data &amp; Assumptions'!$D$97</f>
        <v>40005.239061934393</v>
      </c>
      <c r="AB168" s="209">
        <f>AB44*AB131*'Data &amp; Assumptions'!$D$96*'Data &amp; Assumptions'!$D$97</f>
        <v>38302.184030876328</v>
      </c>
      <c r="AC168" s="209">
        <f>AC44*AC131*'Data &amp; Assumptions'!$D$96*'Data &amp; Assumptions'!$D$97</f>
        <v>36671.629414934883</v>
      </c>
      <c r="AD168" s="209">
        <f>AD44*AD131*'Data &amp; Assumptions'!$D$96*'Data &amp; Assumptions'!$D$97</f>
        <v>35110.488813437471</v>
      </c>
      <c r="AE168" s="209">
        <f>AE44*AE131*'Data &amp; Assumptions'!$D$96*'Data &amp; Assumptions'!$D$97</f>
        <v>33615.807216258683</v>
      </c>
      <c r="AF168" s="209">
        <f>AF44*AF131*'Data &amp; Assumptions'!$D$96*'Data &amp; Assumptions'!$D$97</f>
        <v>32184.755410416605</v>
      </c>
      <c r="AG168" s="209">
        <f>AG44*AG131*'Data &amp; Assumptions'!$D$96*'Data &amp; Assumptions'!$D$97</f>
        <v>30814.624624790864</v>
      </c>
      <c r="AH168" s="209">
        <f>AH44*AH131*'Data &amp; Assumptions'!$D$96*'Data &amp; Assumptions'!$D$97</f>
        <v>29502.821402813926</v>
      </c>
      <c r="AI168" s="209">
        <f>AI44*AI131*'Data &amp; Assumptions'!$D$96*'Data &amp; Assumptions'!$D$97</f>
        <v>28246.862693439019</v>
      </c>
      <c r="AJ168" s="209">
        <f>AJ44*AJ131*'Data &amp; Assumptions'!$D$96*'Data &amp; Assumptions'!$D$97</f>
        <v>27044.371151089308</v>
      </c>
      <c r="AK168" s="209">
        <f>AK44*AK131*'Data &amp; Assumptions'!$D$96*'Data &amp; Assumptions'!$D$97</f>
        <v>25893.070635690186</v>
      </c>
      <c r="AL168" s="209"/>
      <c r="AM168" s="203"/>
      <c r="AQ168" s="243">
        <f t="shared" si="154"/>
        <v>5.8341829815392529E-2</v>
      </c>
      <c r="AR168" s="209">
        <f>AR44*AR131*'Data &amp; Assumptions'!$D$96*'Data &amp; Assumptions'!$D$97</f>
        <v>51424.906436686797</v>
      </c>
      <c r="AS168" s="209">
        <f>AS44*AS131*'Data &amp; Assumptions'!$D$96*'Data &amp; Assumptions'!$D$97</f>
        <v>56218.655863298292</v>
      </c>
      <c r="AT168" s="209">
        <f>AT44*AT131*'Data &amp; Assumptions'!$D$96*'Data &amp; Assumptions'!$D$97</f>
        <v>42462.323887891653</v>
      </c>
      <c r="AU168" s="209">
        <f>AU44*AU131*'Data &amp; Assumptions'!$D$96*'Data &amp; Assumptions'!$D$97</f>
        <v>46718.322653637311</v>
      </c>
      <c r="AV168" s="209">
        <f>AV44*AV131*'Data &amp; Assumptions'!$D$96*'Data &amp; Assumptions'!$D$97</f>
        <v>38866.465164408204</v>
      </c>
      <c r="AW168" s="209">
        <f>AW44*AW131*'Data &amp; Assumptions'!$D$96*'Data &amp; Assumptions'!$D$97</f>
        <v>167918.89862960586</v>
      </c>
      <c r="AX168" s="209">
        <f>AX44*AX131*'Data &amp; Assumptions'!$D$96*'Data &amp; Assumptions'!$D$97</f>
        <v>214846.90010852448</v>
      </c>
      <c r="AY168" s="209">
        <f>AY44*AY131*'Data &amp; Assumptions'!$D$96*'Data &amp; Assumptions'!$D$97</f>
        <v>34035.487250516191</v>
      </c>
      <c r="AZ168" s="209">
        <f>AZ44*AZ131*'Data &amp; Assumptions'!$D$96*'Data &amp; Assumptions'!$D$97</f>
        <v>32562.490584061634</v>
      </c>
      <c r="BA168" s="209">
        <f>BA44*BA131*'Data &amp; Assumptions'!$D$96*'Data &amp; Assumptions'!$D$97</f>
        <v>31153.242650317108</v>
      </c>
      <c r="BB168" s="209">
        <f>BB44*BB131*'Data &amp; Assumptions'!$D$96*'Data &amp; Assumptions'!$D$97</f>
        <v>29804.984515053751</v>
      </c>
      <c r="BC168" s="209">
        <f>BC44*BC131*'Data &amp; Assumptions'!$D$96*'Data &amp; Assumptions'!$D$97</f>
        <v>28515.076645915091</v>
      </c>
      <c r="BD168" s="209">
        <f>BD44*BD131*'Data &amp; Assumptions'!$D$96*'Data &amp; Assumptions'!$D$97</f>
        <v>27280.993744913394</v>
      </c>
      <c r="BE168" s="209">
        <f>BE44*BE131*'Data &amp; Assumptions'!$D$96*'Data &amp; Assumptions'!$D$97</f>
        <v>26100.319804562583</v>
      </c>
      <c r="BF168" s="209">
        <f>BF44*BF131*'Data &amp; Assumptions'!$D$96*'Data &amp; Assumptions'!$D$97</f>
        <v>24970.743377977804</v>
      </c>
      <c r="BG168" s="209">
        <f>BG44*BG131*'Data &amp; Assumptions'!$D$96*'Data &amp; Assumptions'!$D$97</f>
        <v>23890.05305367228</v>
      </c>
      <c r="BH168" s="209">
        <f>BH44*BH131*'Data &amp; Assumptions'!$D$96*'Data &amp; Assumptions'!$D$97</f>
        <v>22856.133126201672</v>
      </c>
      <c r="BI168" s="209">
        <f>BI44*BI131*'Data &amp; Assumptions'!$D$96*'Data &amp; Assumptions'!$D$97</f>
        <v>21866.959454171392</v>
      </c>
      <c r="BJ168" s="209">
        <f>BJ44*BJ131*'Data &amp; Assumptions'!$D$96*'Data &amp; Assumptions'!$D$97</f>
        <v>20920.595497504317</v>
      </c>
      <c r="BK168" s="209">
        <f>BK44*BK131*'Data &amp; Assumptions'!$D$96*'Data &amp; Assumptions'!$D$97</f>
        <v>20015.188526208596</v>
      </c>
      <c r="BL168" s="209">
        <f>BL44*BL131*'Data &amp; Assumptions'!$D$96*'Data &amp; Assumptions'!$D$97</f>
        <v>19148.965993222082</v>
      </c>
      <c r="BN168" s="203"/>
    </row>
    <row r="169" spans="5:66" s="146" customFormat="1" x14ac:dyDescent="0.2">
      <c r="G169" s="231" t="s">
        <v>75</v>
      </c>
      <c r="L169" s="232" t="s">
        <v>175</v>
      </c>
      <c r="M169" s="147"/>
      <c r="P169" s="243">
        <f t="shared" si="153"/>
        <v>3.2938335943781025E-2</v>
      </c>
      <c r="Q169" s="209">
        <f>Q45*Q136*'Data &amp; Assumptions'!$D$96*'Data &amp; Assumptions'!$D$97</f>
        <v>29033.214238374803</v>
      </c>
      <c r="R169" s="209">
        <f>R45*R136*'Data &amp; Assumptions'!$D$96*'Data &amp; Assumptions'!$D$97</f>
        <v>33410.152742398772</v>
      </c>
      <c r="S169" s="209">
        <f>S45*S136*'Data &amp; Assumptions'!$D$96*'Data &amp; Assumptions'!$D$97</f>
        <v>31987.855812032634</v>
      </c>
      <c r="T169" s="209">
        <f>T45*T136*'Data &amp; Assumptions'!$D$96*'Data &amp; Assumptions'!$D$97</f>
        <v>35220.023279804249</v>
      </c>
      <c r="U169" s="209">
        <f>U45*U136*'Data &amp; Assumptions'!$D$96*'Data &amp; Assumptions'!$D$97</f>
        <v>29322.329315447278</v>
      </c>
      <c r="V169" s="209">
        <f>V45*V136*'Data &amp; Assumptions'!$D$96*'Data &amp; Assumptions'!$D$97</f>
        <v>126778.03781504816</v>
      </c>
      <c r="W169" s="209">
        <f>W45*W136*'Data &amp; Assumptions'!$D$96*'Data &amp; Assumptions'!$D$97</f>
        <v>162328.42184780602</v>
      </c>
      <c r="X169" s="209">
        <f>X45*X136*'Data &amp; Assumptions'!$D$96*'Data &amp; Assumptions'!$D$97</f>
        <v>25734.662248114149</v>
      </c>
      <c r="Y169" s="209">
        <f>Y45*Y136*'Data &amp; Assumptions'!$D$96*'Data &amp; Assumptions'!$D$97</f>
        <v>24639.117088482017</v>
      </c>
      <c r="Z169" s="209">
        <f>Z45*Z136*'Data &amp; Assumptions'!$D$96*'Data &amp; Assumptions'!$D$97</f>
        <v>23590.210162731841</v>
      </c>
      <c r="AA169" s="209">
        <f>AA45*AA136*'Data &amp; Assumptions'!$D$96*'Data &amp; Assumptions'!$D$97</f>
        <v>22585.956043936141</v>
      </c>
      <c r="AB169" s="209">
        <f>AB45*AB136*'Data &amp; Assumptions'!$D$96*'Data &amp; Assumptions'!$D$97</f>
        <v>21624.453826380966</v>
      </c>
      <c r="AC169" s="209">
        <f>AC45*AC136*'Data &amp; Assumptions'!$D$96*'Data &amp; Assumptions'!$D$97</f>
        <v>20703.883527428734</v>
      </c>
      <c r="AD169" s="209">
        <f>AD45*AD136*'Data &amp; Assumptions'!$D$96*'Data &amp; Assumptions'!$D$97</f>
        <v>19822.502642559426</v>
      </c>
      <c r="AE169" s="209">
        <f>AE45*AE136*'Data &amp; Assumptions'!$D$96*'Data &amp; Assumptions'!$D$97</f>
        <v>18978.642847063602</v>
      </c>
      <c r="AF169" s="209">
        <f>AF45*AF136*'Data &amp; Assumptions'!$D$96*'Data &amp; Assumptions'!$D$97</f>
        <v>18170.706838149956</v>
      </c>
      <c r="AG169" s="209">
        <f>AG45*AG136*'Data &amp; Assumptions'!$D$96*'Data &amp; Assumptions'!$D$97</f>
        <v>17397.165311484321</v>
      </c>
      <c r="AH169" s="209">
        <f>AH45*AH136*'Data &amp; Assumptions'!$D$96*'Data &amp; Assumptions'!$D$97</f>
        <v>16656.55406644215</v>
      </c>
      <c r="AI169" s="209">
        <f>AI45*AI136*'Data &amp; Assumptions'!$D$96*'Data &amp; Assumptions'!$D$97</f>
        <v>15947.471234590546</v>
      </c>
      <c r="AJ169" s="209">
        <f>AJ45*AJ136*'Data &amp; Assumptions'!$D$96*'Data &amp; Assumptions'!$D$97</f>
        <v>15268.574626156933</v>
      </c>
      <c r="AK169" s="209">
        <f>AK45*AK136*'Data &amp; Assumptions'!$D$96*'Data &amp; Assumptions'!$D$97</f>
        <v>14618.579189461812</v>
      </c>
      <c r="AL169" s="209"/>
      <c r="AM169" s="203"/>
      <c r="AQ169" s="243">
        <f t="shared" si="154"/>
        <v>3.2938335943781018E-2</v>
      </c>
      <c r="AR169" s="209">
        <f>AR45*AR136*'Data &amp; Assumptions'!$D$96*'Data &amp; Assumptions'!$D$97</f>
        <v>29033.214238374803</v>
      </c>
      <c r="AS169" s="209">
        <f>AS45*AS136*'Data &amp; Assumptions'!$D$96*'Data &amp; Assumptions'!$D$97</f>
        <v>31739.645105278825</v>
      </c>
      <c r="AT169" s="209">
        <f>AT45*AT136*'Data &amp; Assumptions'!$D$96*'Data &amp; Assumptions'!$D$97</f>
        <v>23973.164599030129</v>
      </c>
      <c r="AU169" s="209">
        <f>AU45*AU136*'Data &amp; Assumptions'!$D$96*'Data &amp; Assumptions'!$D$97</f>
        <v>26375.994910764108</v>
      </c>
      <c r="AV169" s="209">
        <f>AV45*AV136*'Data &amp; Assumptions'!$D$96*'Data &amp; Assumptions'!$D$97</f>
        <v>21943.032821962963</v>
      </c>
      <c r="AW169" s="209">
        <f>AW45*AW136*'Data &amp; Assumptions'!$D$96*'Data &amp; Assumptions'!$D$97</f>
        <v>94802.804640734917</v>
      </c>
      <c r="AX169" s="209">
        <f>AX45*AX136*'Data &amp; Assumptions'!$D$96*'Data &amp; Assumptions'!$D$97</f>
        <v>121297.17896485055</v>
      </c>
      <c r="AY169" s="209">
        <f>AY45*AY136*'Data &amp; Assumptions'!$D$96*'Data &amp; Assumptions'!$D$97</f>
        <v>19215.583683527213</v>
      </c>
      <c r="AZ169" s="209">
        <f>AZ45*AZ136*'Data &amp; Assumptions'!$D$96*'Data &amp; Assumptions'!$D$97</f>
        <v>18383.966656819684</v>
      </c>
      <c r="BA169" s="209">
        <f>BA45*BA136*'Data &amp; Assumptions'!$D$96*'Data &amp; Assumptions'!$D$97</f>
        <v>17588.340568014642</v>
      </c>
      <c r="BB169" s="209">
        <f>BB45*BB136*'Data &amp; Assumptions'!$D$96*'Data &amp; Assumptions'!$D$97</f>
        <v>16827.147791943506</v>
      </c>
      <c r="BC169" s="209">
        <f>BC45*BC136*'Data &amp; Assumptions'!$D$96*'Data &amp; Assumptions'!$D$97</f>
        <v>16098.898114745367</v>
      </c>
      <c r="BD169" s="209">
        <f>BD45*BD136*'Data &amp; Assumptions'!$D$96*'Data &amp; Assumptions'!$D$97</f>
        <v>15402.16581642181</v>
      </c>
      <c r="BE169" s="209">
        <f>BE45*BE136*'Data &amp; Assumptions'!$D$96*'Data &amp; Assumptions'!$D$97</f>
        <v>14735.586879655712</v>
      </c>
      <c r="BF169" s="209">
        <f>BF45*BF136*'Data &amp; Assumptions'!$D$96*'Data &amp; Assumptions'!$D$97</f>
        <v>14097.856319425418</v>
      </c>
      <c r="BG169" s="209">
        <f>BG45*BG136*'Data &amp; Assumptions'!$D$96*'Data &amp; Assumptions'!$D$97</f>
        <v>13487.725628190785</v>
      </c>
      <c r="BH169" s="209">
        <f>BH45*BH136*'Data &amp; Assumptions'!$D$96*'Data &amp; Assumptions'!$D$97</f>
        <v>12904.000331645191</v>
      </c>
      <c r="BI169" s="209">
        <f>BI45*BI136*'Data &amp; Assumptions'!$D$96*'Data &amp; Assumptions'!$D$97</f>
        <v>12345.537650252139</v>
      </c>
      <c r="BJ169" s="209">
        <f>BJ45*BJ136*'Data &amp; Assumptions'!$D$96*'Data &amp; Assumptions'!$D$97</f>
        <v>11811.244261984808</v>
      </c>
      <c r="BK169" s="209">
        <f>BK45*BK136*'Data &amp; Assumptions'!$D$96*'Data &amp; Assumptions'!$D$97</f>
        <v>11300.074161891047</v>
      </c>
      <c r="BL169" s="209">
        <f>BL45*BL136*'Data &amp; Assumptions'!$D$96*'Data &amp; Assumptions'!$D$97</f>
        <v>10811.026614293507</v>
      </c>
      <c r="BN169" s="203"/>
    </row>
    <row r="170" spans="5:66" s="146" customFormat="1" x14ac:dyDescent="0.2">
      <c r="G170" s="231" t="s">
        <v>181</v>
      </c>
      <c r="L170" s="232" t="s">
        <v>175</v>
      </c>
      <c r="M170" s="147"/>
      <c r="P170" s="243">
        <f t="shared" si="153"/>
        <v>2.3873867203922292E-2</v>
      </c>
      <c r="Q170" s="209">
        <f>Q46*Q141*'Data &amp; Assumptions'!$D$96*'Data &amp; Assumptions'!$D$97</f>
        <v>21043.415866940704</v>
      </c>
      <c r="R170" s="209">
        <f>R46*R141*'Data &amp; Assumptions'!$D$96*'Data &amp; Assumptions'!$D$97</f>
        <v>24215.8423302312</v>
      </c>
      <c r="S170" s="209">
        <f>S46*S141*'Data &amp; Assumptions'!$D$96*'Data &amp; Assumptions'!$D$97</f>
        <v>23184.954549559337</v>
      </c>
      <c r="T170" s="209">
        <f>T46*T141*'Data &amp; Assumptions'!$D$96*'Data &amp; Assumptions'!$D$97</f>
        <v>25527.645359384165</v>
      </c>
      <c r="U170" s="209">
        <f>U46*U141*'Data &amp; Assumptions'!$D$96*'Data &amp; Assumptions'!$D$97</f>
        <v>21252.967890712083</v>
      </c>
      <c r="V170" s="209">
        <f>V46*V141*'Data &amp; Assumptions'!$D$96*'Data &amp; Assumptions'!$D$97</f>
        <v>91889.342689813377</v>
      </c>
      <c r="W170" s="209">
        <f>W46*W141*'Data &amp; Assumptions'!$D$96*'Data &amp; Assumptions'!$D$97</f>
        <v>117656.43514084391</v>
      </c>
      <c r="X170" s="209">
        <f>X46*X141*'Data &amp; Assumptions'!$D$96*'Data &amp; Assumptions'!$D$97</f>
        <v>18652.609230104925</v>
      </c>
      <c r="Y170" s="209">
        <f>Y46*Y141*'Data &amp; Assumptions'!$D$96*'Data &amp; Assumptions'!$D$97</f>
        <v>17858.552733092012</v>
      </c>
      <c r="Z170" s="209">
        <f>Z46*Z141*'Data &amp; Assumptions'!$D$96*'Data &amp; Assumptions'!$D$97</f>
        <v>17098.299856402096</v>
      </c>
      <c r="AA170" s="209">
        <f>AA46*AA141*'Data &amp; Assumptions'!$D$96*'Data &amp; Assumptions'!$D$97</f>
        <v>16370.411552875217</v>
      </c>
      <c r="AB170" s="209">
        <f>AB46*AB141*'Data &amp; Assumptions'!$D$96*'Data &amp; Assumptions'!$D$97</f>
        <v>15673.510036740146</v>
      </c>
      <c r="AC170" s="209">
        <f>AC46*AC141*'Data &amp; Assumptions'!$D$96*'Data &amp; Assumptions'!$D$97</f>
        <v>15006.276175667923</v>
      </c>
      <c r="AD170" s="209">
        <f>AD46*AD141*'Data &amp; Assumptions'!$D$96*'Data &amp; Assumptions'!$D$97</f>
        <v>14367.446993848902</v>
      </c>
      <c r="AE170" s="209">
        <f>AE46*AE141*'Data &amp; Assumptions'!$D$96*'Data &amp; Assumptions'!$D$97</f>
        <v>13755.813281363207</v>
      </c>
      <c r="AF170" s="209">
        <f>AF46*AF141*'Data &amp; Assumptions'!$D$96*'Data &amp; Assumptions'!$D$97</f>
        <v>13170.217305324939</v>
      </c>
      <c r="AG170" s="209">
        <f>AG46*AG141*'Data &amp; Assumptions'!$D$96*'Data &amp; Assumptions'!$D$97</f>
        <v>12609.550618463323</v>
      </c>
      <c r="AH170" s="209">
        <f>AH46*AH141*'Data &amp; Assumptions'!$D$96*'Data &amp; Assumptions'!$D$97</f>
        <v>12072.751960995114</v>
      </c>
      <c r="AI170" s="209">
        <f>AI46*AI141*'Data &amp; Assumptions'!$D$96*'Data &amp; Assumptions'!$D$97</f>
        <v>11558.805251813752</v>
      </c>
      <c r="AJ170" s="209">
        <f>AJ46*AJ141*'Data &amp; Assumptions'!$D$96*'Data &amp; Assumptions'!$D$97</f>
        <v>11066.737665199897</v>
      </c>
      <c r="AK170" s="209">
        <f>AK46*AK141*'Data &amp; Assumptions'!$D$96*'Data &amp; Assumptions'!$D$97</f>
        <v>10595.617789402055</v>
      </c>
      <c r="AL170" s="209"/>
      <c r="AM170" s="203"/>
      <c r="AQ170" s="243">
        <f t="shared" si="154"/>
        <v>2.3873867203922292E-2</v>
      </c>
      <c r="AR170" s="209">
        <f>AR46*AR141*'Data &amp; Assumptions'!$D$96*'Data &amp; Assumptions'!$D$97</f>
        <v>21043.415866940704</v>
      </c>
      <c r="AS170" s="209">
        <f>AS46*AS141*'Data &amp; Assumptions'!$D$96*'Data &amp; Assumptions'!$D$97</f>
        <v>23005.050213719638</v>
      </c>
      <c r="AT170" s="209">
        <f>AT46*AT141*'Data &amp; Assumptions'!$D$96*'Data &amp; Assumptions'!$D$97</f>
        <v>17375.867107308299</v>
      </c>
      <c r="AU170" s="209">
        <f>AU46*AU141*'Data &amp; Assumptions'!$D$96*'Data &amp; Assumptions'!$D$97</f>
        <v>19117.450284849729</v>
      </c>
      <c r="AV170" s="209">
        <f>AV46*AV141*'Data &amp; Assumptions'!$D$96*'Data &amp; Assumptions'!$D$97</f>
        <v>15904.417652943423</v>
      </c>
      <c r="AW170" s="209">
        <f>AW46*AW141*'Data &amp; Assumptions'!$D$96*'Data &amp; Assumptions'!$D$97</f>
        <v>68713.537089891062</v>
      </c>
      <c r="AX170" s="209">
        <f>AX46*AX141*'Data &amp; Assumptions'!$D$96*'Data &amp; Assumptions'!$D$97</f>
        <v>87916.789353288244</v>
      </c>
      <c r="AY170" s="209">
        <f>AY46*AY141*'Data &amp; Assumptions'!$D$96*'Data &amp; Assumptions'!$D$97</f>
        <v>13927.549160023606</v>
      </c>
      <c r="AZ170" s="209">
        <f>AZ46*AZ141*'Data &amp; Assumptions'!$D$96*'Data &amp; Assumptions'!$D$97</f>
        <v>13324.789066313349</v>
      </c>
      <c r="BA170" s="209">
        <f>BA46*BA141*'Data &amp; Assumptions'!$D$96*'Data &amp; Assumptions'!$D$97</f>
        <v>12748.115380656283</v>
      </c>
      <c r="BB170" s="209">
        <f>BB46*BB141*'Data &amp; Assumptions'!$D$96*'Data &amp; Assumptions'!$D$97</f>
        <v>12196.399128702278</v>
      </c>
      <c r="BC170" s="209">
        <f>BC46*BC141*'Data &amp; Assumptions'!$D$96*'Data &amp; Assumptions'!$D$97</f>
        <v>11668.560196146582</v>
      </c>
      <c r="BD170" s="209">
        <f>BD46*BD141*'Data &amp; Assumptions'!$D$96*'Data &amp; Assumptions'!$D$97</f>
        <v>11163.565214151979</v>
      </c>
      <c r="BE170" s="209">
        <f>BE46*BE141*'Data &amp; Assumptions'!$D$96*'Data &amp; Assumptions'!$D$97</f>
        <v>10680.42553628703</v>
      </c>
      <c r="BF170" s="209">
        <f>BF46*BF141*'Data &amp; Assumptions'!$D$96*'Data &amp; Assumptions'!$D$97</f>
        <v>10218.195303016997</v>
      </c>
      <c r="BG170" s="209">
        <f>BG46*BG141*'Data &amp; Assumptions'!$D$96*'Data &amp; Assumptions'!$D$97</f>
        <v>9775.9695899622457</v>
      </c>
      <c r="BH170" s="209">
        <f>BH46*BH141*'Data &amp; Assumptions'!$D$96*'Data &amp; Assumptions'!$D$97</f>
        <v>9352.8826362957025</v>
      </c>
      <c r="BI170" s="209">
        <f>BI46*BI141*'Data &amp; Assumptions'!$D$96*'Data &amp; Assumptions'!$D$97</f>
        <v>8948.1061498128111</v>
      </c>
      <c r="BJ170" s="209">
        <f>BJ46*BJ141*'Data &amp; Assumptions'!$D$96*'Data &amp; Assumptions'!$D$97</f>
        <v>8560.847685353443</v>
      </c>
      <c r="BK170" s="209">
        <f>BK46*BK141*'Data &amp; Assumptions'!$D$96*'Data &amp; Assumptions'!$D$97</f>
        <v>8190.3490934063611</v>
      </c>
      <c r="BL170" s="209">
        <f>BL46*BL141*'Data &amp; Assumptions'!$D$96*'Data &amp; Assumptions'!$D$97</f>
        <v>7835.885035851049</v>
      </c>
      <c r="BN170" s="203"/>
    </row>
    <row r="171" spans="5:66" s="233" customFormat="1" x14ac:dyDescent="0.2">
      <c r="G171" s="235" t="s">
        <v>374</v>
      </c>
      <c r="L171" s="224"/>
      <c r="M171" s="236"/>
      <c r="P171" s="243">
        <f t="shared" si="153"/>
        <v>1</v>
      </c>
      <c r="Q171" s="244">
        <f>SUM(Q162:Q170)</f>
        <v>875325.06468787917</v>
      </c>
      <c r="R171" s="244">
        <f t="shared" ref="R171:AK171" si="155">SUM(R162:R170)</f>
        <v>1014324.2451416805</v>
      </c>
      <c r="S171" s="244">
        <f t="shared" si="155"/>
        <v>977948.86637647706</v>
      </c>
      <c r="T171" s="244">
        <f t="shared" si="155"/>
        <v>1084330.9811457193</v>
      </c>
      <c r="U171" s="244">
        <f t="shared" si="155"/>
        <v>909118.31311278068</v>
      </c>
      <c r="V171" s="244">
        <f t="shared" si="155"/>
        <v>3958440.6889442462</v>
      </c>
      <c r="W171" s="244">
        <f t="shared" si="155"/>
        <v>5104359.913419446</v>
      </c>
      <c r="X171" s="244">
        <f t="shared" si="155"/>
        <v>814967.32240316132</v>
      </c>
      <c r="Y171" s="244">
        <f t="shared" si="155"/>
        <v>785832.92342016555</v>
      </c>
      <c r="Z171" s="244">
        <f t="shared" si="155"/>
        <v>757754.57131766959</v>
      </c>
      <c r="AA171" s="244">
        <f t="shared" si="155"/>
        <v>730693.41427569464</v>
      </c>
      <c r="AB171" s="244">
        <f t="shared" si="155"/>
        <v>704612.05212180025</v>
      </c>
      <c r="AC171" s="244">
        <f t="shared" si="155"/>
        <v>679474.48123728461</v>
      </c>
      <c r="AD171" s="244">
        <f t="shared" si="155"/>
        <v>655246.04158662248</v>
      </c>
      <c r="AE171" s="244">
        <f t="shared" si="155"/>
        <v>631893.36578710843</v>
      </c>
      <c r="AF171" s="244">
        <f t="shared" si="155"/>
        <v>609384.33013893443</v>
      </c>
      <c r="AG171" s="244">
        <f t="shared" si="155"/>
        <v>587688.00753921492</v>
      </c>
      <c r="AH171" s="244">
        <f t="shared" si="155"/>
        <v>566774.62220635347</v>
      </c>
      <c r="AI171" s="244">
        <f t="shared" si="155"/>
        <v>546615.50614402269</v>
      </c>
      <c r="AJ171" s="244">
        <f t="shared" si="155"/>
        <v>527183.05727719667</v>
      </c>
      <c r="AK171" s="244">
        <f t="shared" si="155"/>
        <v>508450.69919469254</v>
      </c>
      <c r="AL171" s="244"/>
      <c r="AM171" s="207"/>
      <c r="AQ171" s="243">
        <f t="shared" si="154"/>
        <v>1</v>
      </c>
      <c r="AR171" s="244">
        <f>SUM(AR162:AR170)</f>
        <v>875325.06468787917</v>
      </c>
      <c r="AS171" s="244">
        <f t="shared" ref="AS171:BL171" si="156">SUM(AS162:AS170)</f>
        <v>963608.03288459638</v>
      </c>
      <c r="AT171" s="244">
        <f t="shared" si="156"/>
        <v>732668.25881663663</v>
      </c>
      <c r="AU171" s="244">
        <f t="shared" si="156"/>
        <v>811488.26987165224</v>
      </c>
      <c r="AV171" s="244">
        <f t="shared" si="156"/>
        <v>679624.65565048752</v>
      </c>
      <c r="AW171" s="244">
        <f t="shared" si="156"/>
        <v>2955972.5451112045</v>
      </c>
      <c r="AX171" s="244">
        <f t="shared" si="156"/>
        <v>3807538.2678703116</v>
      </c>
      <c r="AY171" s="244">
        <f t="shared" si="156"/>
        <v>607252.23393181979</v>
      </c>
      <c r="AZ171" s="244">
        <f t="shared" si="156"/>
        <v>584903.59955030447</v>
      </c>
      <c r="BA171" s="244">
        <f t="shared" si="156"/>
        <v>563387.2339688564</v>
      </c>
      <c r="BB171" s="244">
        <f t="shared" si="156"/>
        <v>542671.74883293023</v>
      </c>
      <c r="BC171" s="244">
        <f t="shared" si="156"/>
        <v>522726.95530603448</v>
      </c>
      <c r="BD171" s="244">
        <f t="shared" si="156"/>
        <v>503523.817610186</v>
      </c>
      <c r="BE171" s="244">
        <f t="shared" si="156"/>
        <v>485034.4083899121</v>
      </c>
      <c r="BF171" s="244">
        <f t="shared" si="156"/>
        <v>467231.86582729552</v>
      </c>
      <c r="BG171" s="244">
        <f t="shared" si="156"/>
        <v>450090.35243845591</v>
      </c>
      <c r="BH171" s="244">
        <f t="shared" si="156"/>
        <v>433585.0154847505</v>
      </c>
      <c r="BI171" s="244">
        <f t="shared" si="156"/>
        <v>417691.94893455901</v>
      </c>
      <c r="BJ171" s="244">
        <f t="shared" si="156"/>
        <v>402388.1569140525</v>
      </c>
      <c r="BK171" s="244">
        <f t="shared" si="156"/>
        <v>387651.51858810848</v>
      </c>
      <c r="BL171" s="244">
        <f t="shared" si="156"/>
        <v>373460.75441440957</v>
      </c>
      <c r="BN171" s="207"/>
    </row>
    <row r="172" spans="5:66" x14ac:dyDescent="0.2">
      <c r="L172" s="4"/>
      <c r="M172" s="63"/>
    </row>
    <row r="173" spans="5:66" x14ac:dyDescent="0.2">
      <c r="E173" t="s">
        <v>315</v>
      </c>
      <c r="L173" s="4"/>
      <c r="M173" s="63"/>
    </row>
    <row r="174" spans="5:66" ht="25.5" customHeight="1" x14ac:dyDescent="0.2">
      <c r="F174" s="594" t="s">
        <v>317</v>
      </c>
      <c r="G174" s="594"/>
      <c r="H174" s="594"/>
      <c r="I174" s="594"/>
      <c r="J174" s="594"/>
      <c r="L174" s="182" t="s">
        <v>55</v>
      </c>
      <c r="M174" s="65">
        <f>(1-'Data &amp; Assumptions'!D121)/'Data &amp; Assumptions'!D121</f>
        <v>0.33333333333333331</v>
      </c>
      <c r="AN174" s="65">
        <f>M174</f>
        <v>0.33333333333333331</v>
      </c>
    </row>
    <row r="175" spans="5:66" ht="25.5" customHeight="1" x14ac:dyDescent="0.2">
      <c r="F175" s="594" t="s">
        <v>312</v>
      </c>
      <c r="G175" s="594"/>
      <c r="H175" s="594"/>
      <c r="I175" s="594"/>
      <c r="J175" s="594"/>
      <c r="K175" s="594"/>
      <c r="L175" s="4"/>
      <c r="M175" s="63"/>
    </row>
    <row r="176" spans="5:66" ht="12.75" customHeight="1" x14ac:dyDescent="0.2">
      <c r="F176" s="13"/>
      <c r="G176" s="67" t="s">
        <v>224</v>
      </c>
      <c r="H176" s="13"/>
      <c r="I176" s="13"/>
      <c r="J176" s="13"/>
      <c r="K176" s="13"/>
      <c r="L176" s="182" t="s">
        <v>175</v>
      </c>
      <c r="M176" s="63"/>
      <c r="Q176" s="154">
        <f>Q162*$M$174</f>
        <v>206937.33687468217</v>
      </c>
      <c r="R176" s="220">
        <f t="shared" ref="R176:AK176" si="157">R162*$M$174</f>
        <v>240480.58582371255</v>
      </c>
      <c r="S176" s="154">
        <f t="shared" si="157"/>
        <v>232511.54017068638</v>
      </c>
      <c r="T176" s="154">
        <f t="shared" si="157"/>
        <v>258527.55866538678</v>
      </c>
      <c r="U176" s="220">
        <f t="shared" si="157"/>
        <v>217356.93254463753</v>
      </c>
      <c r="V176" s="154">
        <f t="shared" si="157"/>
        <v>949023.30713162455</v>
      </c>
      <c r="W176" s="154">
        <f t="shared" si="157"/>
        <v>1227114.9361634797</v>
      </c>
      <c r="X176" s="154">
        <f t="shared" si="157"/>
        <v>196456.75746917393</v>
      </c>
      <c r="Y176" s="154">
        <f t="shared" si="157"/>
        <v>189946.57344016043</v>
      </c>
      <c r="Z176" s="154">
        <f t="shared" si="157"/>
        <v>183652.12388950033</v>
      </c>
      <c r="AA176" s="154">
        <f t="shared" si="157"/>
        <v>177566.25980805003</v>
      </c>
      <c r="AB176" s="154">
        <f t="shared" si="157"/>
        <v>171682.06909053159</v>
      </c>
      <c r="AC176" s="154">
        <f t="shared" si="157"/>
        <v>165992.86868500934</v>
      </c>
      <c r="AD176" s="154">
        <f t="shared" si="157"/>
        <v>160492.19700252468</v>
      </c>
      <c r="AE176" s="154">
        <f t="shared" si="157"/>
        <v>155173.80657825692</v>
      </c>
      <c r="AF176" s="154">
        <f t="shared" si="157"/>
        <v>150031.65697586682</v>
      </c>
      <c r="AG176" s="154">
        <f t="shared" si="157"/>
        <v>145059.90792699848</v>
      </c>
      <c r="AH176" s="154">
        <f t="shared" si="157"/>
        <v>140252.91269811598</v>
      </c>
      <c r="AI176" s="154">
        <f t="shared" si="157"/>
        <v>135605.2116771244</v>
      </c>
      <c r="AJ176" s="154">
        <f t="shared" si="157"/>
        <v>131111.52617256966</v>
      </c>
      <c r="AK176" s="154">
        <f t="shared" si="157"/>
        <v>126766.75241826</v>
      </c>
      <c r="AR176" s="154">
        <f>AR162*$AN$174</f>
        <v>206937.33687468217</v>
      </c>
      <c r="AS176" s="154">
        <f t="shared" ref="AS176:BL176" si="158">AS162*$AN$174</f>
        <v>228456.55653252691</v>
      </c>
      <c r="AT176" s="154">
        <f t="shared" si="158"/>
        <v>174170.99213395623</v>
      </c>
      <c r="AU176" s="154">
        <f t="shared" si="158"/>
        <v>193423.04109676558</v>
      </c>
      <c r="AV176" s="220">
        <f t="shared" si="158"/>
        <v>162422.02022012492</v>
      </c>
      <c r="AW176" s="154">
        <f t="shared" si="158"/>
        <v>708301.78998340084</v>
      </c>
      <c r="AX176" s="154">
        <f t="shared" si="158"/>
        <v>914738.06666239037</v>
      </c>
      <c r="AY176" s="154">
        <f t="shared" si="158"/>
        <v>146267.73335028091</v>
      </c>
      <c r="AZ176" s="154">
        <f t="shared" si="158"/>
        <v>141248.24891812593</v>
      </c>
      <c r="BA176" s="154">
        <f t="shared" si="158"/>
        <v>136401.01863517769</v>
      </c>
      <c r="BB176" s="154">
        <f t="shared" si="158"/>
        <v>131720.13123857242</v>
      </c>
      <c r="BC176" s="154">
        <f t="shared" si="158"/>
        <v>127199.8783228457</v>
      </c>
      <c r="BD176" s="154">
        <f t="shared" si="158"/>
        <v>122834.74737845264</v>
      </c>
      <c r="BE176" s="154">
        <f t="shared" si="158"/>
        <v>118619.41506919093</v>
      </c>
      <c r="BF176" s="154">
        <f t="shared" si="158"/>
        <v>114548.7407403214</v>
      </c>
      <c r="BG176" s="154">
        <f t="shared" si="158"/>
        <v>110617.76014946189</v>
      </c>
      <c r="BH176" s="154">
        <f t="shared" si="158"/>
        <v>106821.67941263525</v>
      </c>
      <c r="BI176" s="154">
        <f t="shared" si="158"/>
        <v>103155.86915806566</v>
      </c>
      <c r="BJ176" s="154">
        <f t="shared" si="158"/>
        <v>99615.858880580359</v>
      </c>
      <c r="BK176" s="154">
        <f t="shared" si="158"/>
        <v>96197.331489790929</v>
      </c>
      <c r="BL176" s="154">
        <f t="shared" si="158"/>
        <v>92896.118045320414</v>
      </c>
    </row>
    <row r="177" spans="5:66" ht="12.75" customHeight="1" x14ac:dyDescent="0.2">
      <c r="F177" s="13"/>
      <c r="G177" s="67" t="s">
        <v>64</v>
      </c>
      <c r="H177" s="13"/>
      <c r="I177" s="13"/>
      <c r="J177" s="13"/>
      <c r="K177" s="13"/>
      <c r="L177" s="182" t="s">
        <v>175</v>
      </c>
      <c r="M177" s="63"/>
      <c r="Q177" s="154">
        <f>Q163*$M$174</f>
        <v>11156.766818858803</v>
      </c>
      <c r="R177" s="220">
        <f>R163*$M$174</f>
        <v>12838.719146594371</v>
      </c>
      <c r="S177" s="154">
        <f t="shared" ref="S177:AK177" si="159">S163*$M$174</f>
        <v>12292.16460154852</v>
      </c>
      <c r="T177" s="154">
        <f t="shared" si="159"/>
        <v>13534.208918838278</v>
      </c>
      <c r="U177" s="220">
        <f t="shared" si="159"/>
        <v>11267.86679808364</v>
      </c>
      <c r="V177" s="154">
        <f t="shared" si="159"/>
        <v>48717.754570398916</v>
      </c>
      <c r="W177" s="154">
        <f t="shared" si="159"/>
        <v>62378.913190932137</v>
      </c>
      <c r="X177" s="154">
        <f t="shared" si="159"/>
        <v>9889.2125242131333</v>
      </c>
      <c r="Y177" s="154">
        <f t="shared" si="159"/>
        <v>9468.220835687267</v>
      </c>
      <c r="Z177" s="154">
        <f t="shared" si="159"/>
        <v>9065.1511001354411</v>
      </c>
      <c r="AA177" s="154">
        <f t="shared" si="159"/>
        <v>8679.2403656818387</v>
      </c>
      <c r="AB177" s="154">
        <f t="shared" si="159"/>
        <v>8309.7581599224068</v>
      </c>
      <c r="AC177" s="154">
        <f t="shared" si="159"/>
        <v>7956.0051072480019</v>
      </c>
      <c r="AD177" s="154">
        <f t="shared" si="159"/>
        <v>7617.3116050284261</v>
      </c>
      <c r="AE177" s="154">
        <f t="shared" si="159"/>
        <v>7293.0365561529852</v>
      </c>
      <c r="AF177" s="154">
        <f t="shared" si="159"/>
        <v>6982.5661555284332</v>
      </c>
      <c r="AG177" s="154">
        <f t="shared" si="159"/>
        <v>6685.3127282346295</v>
      </c>
      <c r="AH177" s="154">
        <f t="shared" si="159"/>
        <v>6400.7136171435141</v>
      </c>
      <c r="AI177" s="154">
        <f t="shared" si="159"/>
        <v>6128.2301178908356</v>
      </c>
      <c r="AJ177" s="154">
        <f t="shared" si="159"/>
        <v>5867.3464591880384</v>
      </c>
      <c r="AK177" s="154">
        <f t="shared" si="159"/>
        <v>5617.5688265432855</v>
      </c>
      <c r="AR177" s="154">
        <f>AR163*$AN$174</f>
        <v>11156.766818858803</v>
      </c>
      <c r="AS177" s="154">
        <f t="shared" ref="AS177:BL177" si="160">AS163*$AN$174</f>
        <v>12196.783189264654</v>
      </c>
      <c r="AT177" s="154">
        <f t="shared" si="160"/>
        <v>9212.3112909758056</v>
      </c>
      <c r="AU177" s="154">
        <f t="shared" si="160"/>
        <v>10135.661260882642</v>
      </c>
      <c r="AV177" s="220">
        <f t="shared" si="160"/>
        <v>8432.1804152715013</v>
      </c>
      <c r="AW177" s="154">
        <f t="shared" si="160"/>
        <v>36430.440545314937</v>
      </c>
      <c r="AX177" s="154">
        <f t="shared" si="160"/>
        <v>46611.592171131786</v>
      </c>
      <c r="AY177" s="154">
        <f t="shared" si="160"/>
        <v>7384.0872280003678</v>
      </c>
      <c r="AZ177" s="154">
        <f t="shared" si="160"/>
        <v>7064.5167810842195</v>
      </c>
      <c r="BA177" s="154">
        <f t="shared" si="160"/>
        <v>6758.776787058131</v>
      </c>
      <c r="BB177" s="154">
        <f t="shared" si="160"/>
        <v>6466.2686879858975</v>
      </c>
      <c r="BC177" s="154">
        <f t="shared" si="160"/>
        <v>6186.4198304773399</v>
      </c>
      <c r="BD177" s="154">
        <f t="shared" si="160"/>
        <v>5918.6823445848004</v>
      </c>
      <c r="BE177" s="154">
        <f t="shared" si="160"/>
        <v>5662.5320712184948</v>
      </c>
      <c r="BF177" s="154">
        <f t="shared" si="160"/>
        <v>5417.4675359818912</v>
      </c>
      <c r="BG177" s="154">
        <f t="shared" si="160"/>
        <v>5183.0089674182018</v>
      </c>
      <c r="BH177" s="154">
        <f t="shared" si="160"/>
        <v>4958.6973577439221</v>
      </c>
      <c r="BI177" s="154">
        <f t="shared" si="160"/>
        <v>4744.0935642341801</v>
      </c>
      <c r="BJ177" s="154">
        <f t="shared" si="160"/>
        <v>4538.7774494969362</v>
      </c>
      <c r="BK177" s="154">
        <f t="shared" si="160"/>
        <v>4342.3470589554072</v>
      </c>
      <c r="BL177" s="154">
        <f t="shared" si="160"/>
        <v>4154.417833927736</v>
      </c>
    </row>
    <row r="178" spans="5:66" ht="12.75" customHeight="1" x14ac:dyDescent="0.2">
      <c r="F178" s="13"/>
      <c r="G178" s="67" t="s">
        <v>63</v>
      </c>
      <c r="H178" s="13"/>
      <c r="I178" s="13"/>
      <c r="J178" s="13"/>
      <c r="K178" s="13"/>
      <c r="L178" s="182" t="s">
        <v>175</v>
      </c>
      <c r="M178" s="63"/>
      <c r="Q178" s="154">
        <f t="shared" ref="Q178:AK178" si="161">Q164*$M$174</f>
        <v>19102.874950067358</v>
      </c>
      <c r="R178" s="220">
        <f t="shared" si="161"/>
        <v>21982.752741758413</v>
      </c>
      <c r="S178" s="154">
        <f t="shared" si="161"/>
        <v>21046.929371339589</v>
      </c>
      <c r="T178" s="154">
        <f t="shared" si="161"/>
        <v>23173.58646302691</v>
      </c>
      <c r="U178" s="220">
        <f t="shared" si="161"/>
        <v>19293.102911675385</v>
      </c>
      <c r="V178" s="154">
        <f t="shared" si="161"/>
        <v>83415.669478121927</v>
      </c>
      <c r="W178" s="154">
        <f t="shared" si="161"/>
        <v>106806.62216523507</v>
      </c>
      <c r="X178" s="154">
        <f t="shared" si="161"/>
        <v>16932.539083397896</v>
      </c>
      <c r="Y178" s="154">
        <f t="shared" si="161"/>
        <v>16211.707348586273</v>
      </c>
      <c r="Z178" s="154">
        <f t="shared" si="161"/>
        <v>15521.561997391045</v>
      </c>
      <c r="AA178" s="154">
        <f t="shared" si="161"/>
        <v>14860.796685912679</v>
      </c>
      <c r="AB178" s="154">
        <f t="shared" si="161"/>
        <v>14228.160682355916</v>
      </c>
      <c r="AC178" s="154">
        <f t="shared" si="161"/>
        <v>13622.456499579512</v>
      </c>
      <c r="AD178" s="154">
        <f t="shared" si="161"/>
        <v>13042.537628427228</v>
      </c>
      <c r="AE178" s="154">
        <f t="shared" si="161"/>
        <v>12487.306367554895</v>
      </c>
      <c r="AF178" s="154">
        <f t="shared" si="161"/>
        <v>11955.711745643197</v>
      </c>
      <c r="AG178" s="154">
        <f t="shared" si="161"/>
        <v>11446.747532061698</v>
      </c>
      <c r="AH178" s="154">
        <f t="shared" si="161"/>
        <v>10959.450332223721</v>
      </c>
      <c r="AI178" s="154">
        <f t="shared" si="161"/>
        <v>10492.897764020727</v>
      </c>
      <c r="AJ178" s="154">
        <f t="shared" si="161"/>
        <v>10046.206711888266</v>
      </c>
      <c r="AK178" s="154">
        <f t="shared" si="161"/>
        <v>9618.5316551976612</v>
      </c>
      <c r="AR178" s="154">
        <f t="shared" ref="AR178:BL178" si="162">AR164*$AN$174</f>
        <v>19102.874950067358</v>
      </c>
      <c r="AS178" s="154">
        <f t="shared" si="162"/>
        <v>20883.615104670494</v>
      </c>
      <c r="AT178" s="154">
        <f t="shared" si="162"/>
        <v>15773.533089813678</v>
      </c>
      <c r="AU178" s="154">
        <f t="shared" si="162"/>
        <v>17354.514327179255</v>
      </c>
      <c r="AV178" s="220">
        <f t="shared" si="162"/>
        <v>14437.774907785981</v>
      </c>
      <c r="AW178" s="154">
        <f t="shared" si="162"/>
        <v>62377.045376323469</v>
      </c>
      <c r="AX178" s="154">
        <f t="shared" si="162"/>
        <v>79809.449361580162</v>
      </c>
      <c r="AY178" s="154">
        <f t="shared" si="162"/>
        <v>12643.205439988662</v>
      </c>
      <c r="AZ178" s="154">
        <f t="shared" si="162"/>
        <v>12096.029507723339</v>
      </c>
      <c r="BA178" s="154">
        <f t="shared" si="162"/>
        <v>11572.534397720392</v>
      </c>
      <c r="BB178" s="154">
        <f t="shared" si="162"/>
        <v>11071.695245197037</v>
      </c>
      <c r="BC178" s="154">
        <f t="shared" si="162"/>
        <v>10592.531539734555</v>
      </c>
      <c r="BD178" s="154">
        <f t="shared" si="162"/>
        <v>10134.105205699751</v>
      </c>
      <c r="BE178" s="154">
        <f t="shared" si="162"/>
        <v>9695.5187657401329</v>
      </c>
      <c r="BF178" s="154">
        <f t="shared" si="162"/>
        <v>9275.9135837614958</v>
      </c>
      <c r="BG178" s="154">
        <f t="shared" si="162"/>
        <v>8874.46818394609</v>
      </c>
      <c r="BH178" s="154">
        <f t="shared" si="162"/>
        <v>8490.3966425194922</v>
      </c>
      <c r="BI178" s="154">
        <f t="shared" si="162"/>
        <v>8122.9470491213415</v>
      </c>
      <c r="BJ178" s="154">
        <f t="shared" si="162"/>
        <v>7771.4000347632646</v>
      </c>
      <c r="BK178" s="154">
        <f t="shared" si="162"/>
        <v>7435.0673634948562</v>
      </c>
      <c r="BL178" s="154">
        <f t="shared" si="162"/>
        <v>7113.2905850199004</v>
      </c>
    </row>
    <row r="179" spans="5:66" ht="12.75" customHeight="1" x14ac:dyDescent="0.2">
      <c r="F179" s="13"/>
      <c r="G179" s="67" t="s">
        <v>76</v>
      </c>
      <c r="H179" s="13"/>
      <c r="I179" s="13"/>
      <c r="J179" s="13"/>
      <c r="K179" s="13"/>
      <c r="L179" s="182" t="s">
        <v>175</v>
      </c>
      <c r="M179" s="63"/>
      <c r="Q179" s="154">
        <f t="shared" ref="Q179:AK179" si="163">Q165*$M$174</f>
        <v>8236.2940144190179</v>
      </c>
      <c r="R179" s="220">
        <f t="shared" si="163"/>
        <v>9477.9668139302739</v>
      </c>
      <c r="S179" s="154">
        <f t="shared" si="163"/>
        <v>9074.4821842877955</v>
      </c>
      <c r="T179" s="154">
        <f t="shared" si="163"/>
        <v>9991.4003508344795</v>
      </c>
      <c r="U179" s="220">
        <f t="shared" si="163"/>
        <v>8318.3116911123161</v>
      </c>
      <c r="V179" s="154">
        <f t="shared" si="163"/>
        <v>35965.056622484335</v>
      </c>
      <c r="W179" s="154">
        <f t="shared" si="163"/>
        <v>46050.175438997896</v>
      </c>
      <c r="X179" s="154">
        <f t="shared" si="163"/>
        <v>7300.5435394432043</v>
      </c>
      <c r="Y179" s="154">
        <f t="shared" si="163"/>
        <v>6989.75356053425</v>
      </c>
      <c r="Z179" s="154">
        <f t="shared" si="163"/>
        <v>6692.1941596594816</v>
      </c>
      <c r="AA179" s="154">
        <f t="shared" si="163"/>
        <v>6407.3021005274677</v>
      </c>
      <c r="AB179" s="154">
        <f t="shared" si="163"/>
        <v>6134.5381242662852</v>
      </c>
      <c r="AC179" s="154">
        <f t="shared" si="163"/>
        <v>5873.3859286858315</v>
      </c>
      <c r="AD179" s="154">
        <f t="shared" si="163"/>
        <v>5623.3511909928966</v>
      </c>
      <c r="AE179" s="154">
        <f t="shared" si="163"/>
        <v>5383.9606321114024</v>
      </c>
      <c r="AF179" s="154">
        <f t="shared" si="163"/>
        <v>5154.7611208339349</v>
      </c>
      <c r="AG179" s="154">
        <f t="shared" si="163"/>
        <v>4935.318816111112</v>
      </c>
      <c r="AH179" s="154">
        <f t="shared" si="163"/>
        <v>4725.2183458542604</v>
      </c>
      <c r="AI179" s="154">
        <f t="shared" si="163"/>
        <v>4524.0620206964859</v>
      </c>
      <c r="AJ179" s="154">
        <f t="shared" si="163"/>
        <v>4331.4690812258677</v>
      </c>
      <c r="AK179" s="154">
        <f t="shared" si="163"/>
        <v>4147.0749772628278</v>
      </c>
      <c r="AR179" s="154">
        <f t="shared" ref="AR179:BL179" si="164">AR165*$AN$174</f>
        <v>8236.2940144190179</v>
      </c>
      <c r="AS179" s="154">
        <f t="shared" si="164"/>
        <v>9004.0684732337577</v>
      </c>
      <c r="AT179" s="154">
        <f t="shared" si="164"/>
        <v>6800.8326764142112</v>
      </c>
      <c r="AU179" s="154">
        <f t="shared" si="164"/>
        <v>7482.4801423720601</v>
      </c>
      <c r="AV179" s="220">
        <f t="shared" si="164"/>
        <v>6224.9142794135969</v>
      </c>
      <c r="AW179" s="154">
        <f t="shared" si="164"/>
        <v>26894.155294061875</v>
      </c>
      <c r="AX179" s="154">
        <f t="shared" si="164"/>
        <v>34410.217927356694</v>
      </c>
      <c r="AY179" s="154">
        <f t="shared" si="164"/>
        <v>5451.1772474373556</v>
      </c>
      <c r="AZ179" s="154">
        <f t="shared" si="164"/>
        <v>5215.2597812166578</v>
      </c>
      <c r="BA179" s="154">
        <f t="shared" si="164"/>
        <v>4989.5524124376398</v>
      </c>
      <c r="BB179" s="154">
        <f t="shared" si="164"/>
        <v>4773.6132658485494</v>
      </c>
      <c r="BC179" s="154">
        <f t="shared" si="164"/>
        <v>4567.019589789672</v>
      </c>
      <c r="BD179" s="154">
        <f t="shared" si="164"/>
        <v>4369.3669285577071</v>
      </c>
      <c r="BE179" s="154">
        <f t="shared" si="164"/>
        <v>4180.2683305881601</v>
      </c>
      <c r="BF179" s="154">
        <f t="shared" si="164"/>
        <v>3999.3535909072207</v>
      </c>
      <c r="BG179" s="154">
        <f t="shared" si="164"/>
        <v>3826.26852636802</v>
      </c>
      <c r="BH179" s="154">
        <f t="shared" si="164"/>
        <v>3660.6742822540309</v>
      </c>
      <c r="BI179" s="154">
        <f t="shared" si="164"/>
        <v>3502.2466688913651</v>
      </c>
      <c r="BJ179" s="154">
        <f t="shared" si="164"/>
        <v>3350.675526970891</v>
      </c>
      <c r="BK179" s="154">
        <f t="shared" si="164"/>
        <v>3205.6641203390445</v>
      </c>
      <c r="BL179" s="154">
        <f t="shared" si="164"/>
        <v>3066.9285550663471</v>
      </c>
    </row>
    <row r="180" spans="5:66" ht="12.75" customHeight="1" x14ac:dyDescent="0.2">
      <c r="F180" s="13"/>
      <c r="G180" s="67" t="s">
        <v>72</v>
      </c>
      <c r="H180" s="13"/>
      <c r="I180" s="13"/>
      <c r="J180" s="13"/>
      <c r="K180" s="13"/>
      <c r="L180" s="182" t="s">
        <v>175</v>
      </c>
      <c r="M180" s="63"/>
      <c r="Q180" s="154">
        <f t="shared" ref="Q180:AK180" si="165">Q166*$M$174</f>
        <v>11376.24704794108</v>
      </c>
      <c r="R180" s="220">
        <f t="shared" si="165"/>
        <v>13091.287391962203</v>
      </c>
      <c r="S180" s="154">
        <f t="shared" si="165"/>
        <v>12533.980814656494</v>
      </c>
      <c r="T180" s="154">
        <f t="shared" si="165"/>
        <v>13800.459107820696</v>
      </c>
      <c r="U180" s="220">
        <f t="shared" si="165"/>
        <v>11489.532628898671</v>
      </c>
      <c r="V180" s="154">
        <f t="shared" si="165"/>
        <v>49676.149068293322</v>
      </c>
      <c r="W180" s="154">
        <f t="shared" si="165"/>
        <v>63606.055281408277</v>
      </c>
      <c r="X180" s="154">
        <f t="shared" si="165"/>
        <v>10083.756935286463</v>
      </c>
      <c r="Y180" s="154">
        <f t="shared" si="165"/>
        <v>9654.4833355457176</v>
      </c>
      <c r="Z180" s="154">
        <f t="shared" si="165"/>
        <v>9243.4842563649145</v>
      </c>
      <c r="AA180" s="154">
        <f t="shared" si="165"/>
        <v>8849.9817367840242</v>
      </c>
      <c r="AB180" s="154">
        <f t="shared" si="165"/>
        <v>8473.2309342637182</v>
      </c>
      <c r="AC180" s="154">
        <f t="shared" si="165"/>
        <v>8112.518714807391</v>
      </c>
      <c r="AD180" s="154">
        <f t="shared" si="165"/>
        <v>7767.162303103145</v>
      </c>
      <c r="AE180" s="154">
        <f t="shared" si="165"/>
        <v>7436.5079901301333</v>
      </c>
      <c r="AF180" s="154">
        <f t="shared" si="165"/>
        <v>7119.9298957839428</v>
      </c>
      <c r="AG180" s="154">
        <f t="shared" si="165"/>
        <v>6816.8287841765095</v>
      </c>
      <c r="AH180" s="154">
        <f t="shared" si="165"/>
        <v>6526.6309293711311</v>
      </c>
      <c r="AI180" s="154">
        <f t="shared" si="165"/>
        <v>6248.7870294029326</v>
      </c>
      <c r="AJ180" s="154">
        <f t="shared" si="165"/>
        <v>5982.7711665317083</v>
      </c>
      <c r="AK180" s="154">
        <f t="shared" si="165"/>
        <v>5728.0798117555114</v>
      </c>
      <c r="AR180" s="154">
        <f t="shared" ref="AR180:BL180" si="166">AR166*$AN$174</f>
        <v>11376.24704794108</v>
      </c>
      <c r="AS180" s="154">
        <f t="shared" si="166"/>
        <v>12436.723022364091</v>
      </c>
      <c r="AT180" s="154">
        <f t="shared" si="166"/>
        <v>9393.5394393586321</v>
      </c>
      <c r="AU180" s="154">
        <f t="shared" si="166"/>
        <v>10335.053906759083</v>
      </c>
      <c r="AV180" s="220">
        <f t="shared" si="166"/>
        <v>8598.0615275376877</v>
      </c>
      <c r="AW180" s="154">
        <f t="shared" si="166"/>
        <v>37147.114252516403</v>
      </c>
      <c r="AX180" s="154">
        <f t="shared" si="166"/>
        <v>47528.553428251253</v>
      </c>
      <c r="AY180" s="154">
        <f t="shared" si="166"/>
        <v>7529.3498459861967</v>
      </c>
      <c r="AZ180" s="154">
        <f t="shared" si="166"/>
        <v>7203.4926857206056</v>
      </c>
      <c r="BA180" s="154">
        <f t="shared" si="166"/>
        <v>6891.7380563599272</v>
      </c>
      <c r="BB180" s="154">
        <f t="shared" si="166"/>
        <v>6593.4756249048669</v>
      </c>
      <c r="BC180" s="154">
        <f t="shared" si="166"/>
        <v>6308.1214725065565</v>
      </c>
      <c r="BD180" s="154">
        <f t="shared" si="166"/>
        <v>6035.1169513078567</v>
      </c>
      <c r="BE180" s="154">
        <f t="shared" si="166"/>
        <v>5773.9275907588062</v>
      </c>
      <c r="BF180" s="154">
        <f t="shared" si="166"/>
        <v>5524.0420512647233</v>
      </c>
      <c r="BG180" s="154">
        <f t="shared" si="166"/>
        <v>5284.9711231191868</v>
      </c>
      <c r="BH180" s="154">
        <f t="shared" si="166"/>
        <v>5056.2467687603475</v>
      </c>
      <c r="BI180" s="154">
        <f t="shared" si="166"/>
        <v>4837.4212064778112</v>
      </c>
      <c r="BJ180" s="154">
        <f t="shared" si="166"/>
        <v>4628.0660337742593</v>
      </c>
      <c r="BK180" s="154">
        <f t="shared" si="166"/>
        <v>4427.7713886674683</v>
      </c>
      <c r="BL180" s="154">
        <f t="shared" si="166"/>
        <v>4236.1451472881508</v>
      </c>
    </row>
    <row r="181" spans="5:66" ht="12.75" customHeight="1" x14ac:dyDescent="0.2">
      <c r="F181" s="13"/>
      <c r="G181" s="67" t="s">
        <v>73</v>
      </c>
      <c r="H181" s="13"/>
      <c r="I181" s="13"/>
      <c r="J181" s="13"/>
      <c r="K181" s="13"/>
      <c r="L181" s="182" t="s">
        <v>175</v>
      </c>
      <c r="M181" s="63"/>
      <c r="Q181" s="154">
        <f t="shared" ref="Q181:AK181" si="167">Q167*$M$174</f>
        <v>1131.6563426571538</v>
      </c>
      <c r="R181" s="220">
        <f t="shared" si="167"/>
        <v>1302.2606091648604</v>
      </c>
      <c r="S181" s="154">
        <f t="shared" si="167"/>
        <v>1246.8223332242251</v>
      </c>
      <c r="T181" s="154">
        <f t="shared" si="167"/>
        <v>1372.8057253971533</v>
      </c>
      <c r="U181" s="220">
        <f t="shared" si="167"/>
        <v>1142.9254673238433</v>
      </c>
      <c r="V181" s="154">
        <f t="shared" si="167"/>
        <v>4941.5531268803334</v>
      </c>
      <c r="W181" s="154">
        <f t="shared" si="167"/>
        <v>6327.235650498169</v>
      </c>
      <c r="X181" s="154">
        <f t="shared" si="167"/>
        <v>1003.0854152112699</v>
      </c>
      <c r="Y181" s="154">
        <f t="shared" si="167"/>
        <v>960.38326661739393</v>
      </c>
      <c r="Z181" s="154">
        <f t="shared" si="167"/>
        <v>919.498982650877</v>
      </c>
      <c r="AA181" s="154">
        <f t="shared" si="167"/>
        <v>880.35517536024702</v>
      </c>
      <c r="AB181" s="154">
        <f t="shared" si="167"/>
        <v>842.87775126101974</v>
      </c>
      <c r="AC181" s="154">
        <f t="shared" si="167"/>
        <v>806.99577108763344</v>
      </c>
      <c r="AD181" s="154">
        <f t="shared" si="167"/>
        <v>772.64131551582432</v>
      </c>
      <c r="AE181" s="154">
        <f t="shared" si="167"/>
        <v>739.74935660125641</v>
      </c>
      <c r="AF181" s="154">
        <f t="shared" si="167"/>
        <v>708.25763469125968</v>
      </c>
      <c r="AG181" s="154">
        <f t="shared" si="167"/>
        <v>678.10654057635668</v>
      </c>
      <c r="AH181" s="154">
        <f t="shared" si="167"/>
        <v>649.23900265877694</v>
      </c>
      <c r="AI181" s="154">
        <f t="shared" si="167"/>
        <v>621.60037892438982</v>
      </c>
      <c r="AJ181" s="154">
        <f t="shared" si="167"/>
        <v>595.13835351328203</v>
      </c>
      <c r="AK181" s="154">
        <f t="shared" si="167"/>
        <v>569.80283769353946</v>
      </c>
      <c r="AR181" s="154">
        <f t="shared" ref="AR181:BL181" si="168">AR167*$AN$174</f>
        <v>1131.6563426571538</v>
      </c>
      <c r="AS181" s="154">
        <f t="shared" si="168"/>
        <v>1237.1475787066174</v>
      </c>
      <c r="AT181" s="154">
        <f t="shared" si="168"/>
        <v>934.42577695024897</v>
      </c>
      <c r="AU181" s="154">
        <f t="shared" si="168"/>
        <v>1028.0832735083982</v>
      </c>
      <c r="AV181" s="220">
        <f t="shared" si="168"/>
        <v>855.29532025726405</v>
      </c>
      <c r="AW181" s="154">
        <f t="shared" si="168"/>
        <v>3695.2227987065658</v>
      </c>
      <c r="AX181" s="154">
        <f t="shared" si="168"/>
        <v>4727.9202638390707</v>
      </c>
      <c r="AY181" s="154">
        <f t="shared" si="168"/>
        <v>748.98483422413176</v>
      </c>
      <c r="AZ181" s="154">
        <f t="shared" si="168"/>
        <v>716.57007383252324</v>
      </c>
      <c r="BA181" s="154">
        <f t="shared" si="168"/>
        <v>685.55816786897935</v>
      </c>
      <c r="BB181" s="154">
        <f t="shared" si="168"/>
        <v>655.88840323482486</v>
      </c>
      <c r="BC181" s="154">
        <f t="shared" si="168"/>
        <v>627.50269438864245</v>
      </c>
      <c r="BD181" s="154">
        <f t="shared" si="168"/>
        <v>600.34546963018761</v>
      </c>
      <c r="BE181" s="154">
        <f t="shared" si="168"/>
        <v>574.36356230571664</v>
      </c>
      <c r="BF181" s="154">
        <f t="shared" si="168"/>
        <v>549.50610672171865</v>
      </c>
      <c r="BG181" s="154">
        <f t="shared" si="168"/>
        <v>525.72443856343148</v>
      </c>
      <c r="BH181" s="154">
        <f t="shared" si="168"/>
        <v>502.97199962293791</v>
      </c>
      <c r="BI181" s="154">
        <f t="shared" si="168"/>
        <v>481.20424665052798</v>
      </c>
      <c r="BJ181" s="154">
        <f t="shared" si="168"/>
        <v>460.37856415088174</v>
      </c>
      <c r="BK181" s="154">
        <f t="shared" si="168"/>
        <v>440.45418095313818</v>
      </c>
      <c r="BL181" s="154">
        <f t="shared" si="168"/>
        <v>421.3920903917616</v>
      </c>
    </row>
    <row r="182" spans="5:66" ht="12.75" customHeight="1" x14ac:dyDescent="0.2">
      <c r="F182" s="13"/>
      <c r="G182" s="67" t="s">
        <v>180</v>
      </c>
      <c r="H182" s="13"/>
      <c r="I182" s="13"/>
      <c r="J182" s="13"/>
      <c r="K182" s="13"/>
      <c r="L182" s="182" t="s">
        <v>175</v>
      </c>
      <c r="M182" s="63"/>
      <c r="Q182" s="154">
        <f t="shared" ref="Q182:AK182" si="169">Q168*$M$174</f>
        <v>17141.635478895598</v>
      </c>
      <c r="R182" s="220">
        <f t="shared" si="169"/>
        <v>19725.84416256081</v>
      </c>
      <c r="S182" s="154">
        <f t="shared" si="169"/>
        <v>18886.099195885305</v>
      </c>
      <c r="T182" s="154">
        <f t="shared" si="169"/>
        <v>20794.418270872662</v>
      </c>
      <c r="U182" s="220">
        <f t="shared" si="169"/>
        <v>17312.333260475691</v>
      </c>
      <c r="V182" s="154">
        <f t="shared" si="169"/>
        <v>74851.61281532445</v>
      </c>
      <c r="W182" s="154">
        <f t="shared" si="169"/>
        <v>95841.080919714484</v>
      </c>
      <c r="X182" s="154">
        <f t="shared" si="169"/>
        <v>15194.122008254819</v>
      </c>
      <c r="Y182" s="154">
        <f t="shared" si="169"/>
        <v>14547.296079065785</v>
      </c>
      <c r="Z182" s="154">
        <f t="shared" si="169"/>
        <v>13928.006047143115</v>
      </c>
      <c r="AA182" s="154">
        <f t="shared" si="169"/>
        <v>13335.079687311463</v>
      </c>
      <c r="AB182" s="154">
        <f t="shared" si="169"/>
        <v>12767.394676958775</v>
      </c>
      <c r="AC182" s="154">
        <f t="shared" si="169"/>
        <v>12223.87647164496</v>
      </c>
      <c r="AD182" s="154">
        <f t="shared" si="169"/>
        <v>11703.496271145823</v>
      </c>
      <c r="AE182" s="154">
        <f t="shared" si="169"/>
        <v>11205.269072086227</v>
      </c>
      <c r="AF182" s="154">
        <f t="shared" si="169"/>
        <v>10728.251803472202</v>
      </c>
      <c r="AG182" s="154">
        <f t="shared" si="169"/>
        <v>10271.541541596955</v>
      </c>
      <c r="AH182" s="154">
        <f t="shared" si="169"/>
        <v>9834.2738009379755</v>
      </c>
      <c r="AI182" s="154">
        <f t="shared" si="169"/>
        <v>9415.6208978130053</v>
      </c>
      <c r="AJ182" s="154">
        <f t="shared" si="169"/>
        <v>9014.790383696436</v>
      </c>
      <c r="AK182" s="154">
        <f t="shared" si="169"/>
        <v>8631.0235452300622</v>
      </c>
      <c r="AR182" s="154">
        <f t="shared" ref="AR182:BL182" si="170">AR168*$AN$174</f>
        <v>17141.635478895598</v>
      </c>
      <c r="AS182" s="154">
        <f t="shared" si="170"/>
        <v>18739.551954432762</v>
      </c>
      <c r="AT182" s="154">
        <f t="shared" si="170"/>
        <v>14154.107962630551</v>
      </c>
      <c r="AU182" s="154">
        <f t="shared" si="170"/>
        <v>15572.774217879103</v>
      </c>
      <c r="AV182" s="220">
        <f t="shared" si="170"/>
        <v>12955.488388136067</v>
      </c>
      <c r="AW182" s="154">
        <f t="shared" si="170"/>
        <v>55972.966209868617</v>
      </c>
      <c r="AX182" s="154">
        <f t="shared" si="170"/>
        <v>71615.633369508156</v>
      </c>
      <c r="AY182" s="154">
        <f t="shared" si="170"/>
        <v>11345.16241683873</v>
      </c>
      <c r="AZ182" s="154">
        <f t="shared" si="170"/>
        <v>10854.163528020545</v>
      </c>
      <c r="BA182" s="154">
        <f t="shared" si="170"/>
        <v>10384.414216772369</v>
      </c>
      <c r="BB182" s="154">
        <f t="shared" si="170"/>
        <v>9934.9948383512492</v>
      </c>
      <c r="BC182" s="154">
        <f t="shared" si="170"/>
        <v>9505.025548638363</v>
      </c>
      <c r="BD182" s="154">
        <f t="shared" si="170"/>
        <v>9093.6645816377968</v>
      </c>
      <c r="BE182" s="154">
        <f t="shared" si="170"/>
        <v>8700.1066015208598</v>
      </c>
      <c r="BF182" s="154">
        <f t="shared" si="170"/>
        <v>8323.5811259926013</v>
      </c>
      <c r="BG182" s="154">
        <f t="shared" si="170"/>
        <v>7963.35101789076</v>
      </c>
      <c r="BH182" s="154">
        <f t="shared" si="170"/>
        <v>7618.7110420672234</v>
      </c>
      <c r="BI182" s="154">
        <f t="shared" si="170"/>
        <v>7288.9864847237968</v>
      </c>
      <c r="BJ182" s="154">
        <f t="shared" si="170"/>
        <v>6973.5318325014387</v>
      </c>
      <c r="BK182" s="154">
        <f t="shared" si="170"/>
        <v>6671.7295087361981</v>
      </c>
      <c r="BL182" s="154">
        <f t="shared" si="170"/>
        <v>6382.9886644073604</v>
      </c>
    </row>
    <row r="183" spans="5:66" ht="12.75" customHeight="1" x14ac:dyDescent="0.2">
      <c r="F183" s="13"/>
      <c r="G183" s="67" t="s">
        <v>75</v>
      </c>
      <c r="H183" s="13"/>
      <c r="I183" s="13"/>
      <c r="J183" s="13"/>
      <c r="K183" s="13"/>
      <c r="L183" s="182" t="s">
        <v>175</v>
      </c>
      <c r="M183" s="63"/>
      <c r="Q183" s="154">
        <f t="shared" ref="Q183:AK183" si="171">Q169*$M$174</f>
        <v>9677.7380794582677</v>
      </c>
      <c r="R183" s="220">
        <f t="shared" si="171"/>
        <v>11136.71758079959</v>
      </c>
      <c r="S183" s="154">
        <f t="shared" si="171"/>
        <v>10662.618604010877</v>
      </c>
      <c r="T183" s="154">
        <f t="shared" si="171"/>
        <v>11740.00775993475</v>
      </c>
      <c r="U183" s="220">
        <f t="shared" si="171"/>
        <v>9774.109771815758</v>
      </c>
      <c r="V183" s="154">
        <f t="shared" si="171"/>
        <v>42259.345938349383</v>
      </c>
      <c r="W183" s="154">
        <f t="shared" si="171"/>
        <v>54109.473949268671</v>
      </c>
      <c r="X183" s="154">
        <f t="shared" si="171"/>
        <v>8578.2207493713831</v>
      </c>
      <c r="Y183" s="154">
        <f t="shared" si="171"/>
        <v>8213.0390294940044</v>
      </c>
      <c r="Z183" s="154">
        <f t="shared" si="171"/>
        <v>7863.4033875772802</v>
      </c>
      <c r="AA183" s="154">
        <f t="shared" si="171"/>
        <v>7528.6520146453804</v>
      </c>
      <c r="AB183" s="154">
        <f t="shared" si="171"/>
        <v>7208.1512754603218</v>
      </c>
      <c r="AC183" s="154">
        <f t="shared" si="171"/>
        <v>6901.294509142911</v>
      </c>
      <c r="AD183" s="154">
        <f t="shared" si="171"/>
        <v>6607.500880853142</v>
      </c>
      <c r="AE183" s="154">
        <f t="shared" si="171"/>
        <v>6326.2142823545337</v>
      </c>
      <c r="AF183" s="154">
        <f t="shared" si="171"/>
        <v>6056.9022793833183</v>
      </c>
      <c r="AG183" s="154">
        <f t="shared" si="171"/>
        <v>5799.0551038281064</v>
      </c>
      <c r="AH183" s="154">
        <f t="shared" si="171"/>
        <v>5552.1846888140499</v>
      </c>
      <c r="AI183" s="154">
        <f t="shared" si="171"/>
        <v>5315.8237448635155</v>
      </c>
      <c r="AJ183" s="154">
        <f t="shared" si="171"/>
        <v>5089.524875385644</v>
      </c>
      <c r="AK183" s="154">
        <f t="shared" si="171"/>
        <v>4872.8597298206041</v>
      </c>
      <c r="AR183" s="154">
        <f t="shared" ref="AR183:BL183" si="172">AR169*$AN$174</f>
        <v>9677.7380794582677</v>
      </c>
      <c r="AS183" s="154">
        <f t="shared" si="172"/>
        <v>10579.881701759608</v>
      </c>
      <c r="AT183" s="154">
        <f t="shared" si="172"/>
        <v>7991.0548663433765</v>
      </c>
      <c r="AU183" s="154">
        <f t="shared" si="172"/>
        <v>8791.9983035880359</v>
      </c>
      <c r="AV183" s="220">
        <f t="shared" si="172"/>
        <v>7314.3442739876537</v>
      </c>
      <c r="AW183" s="154">
        <f t="shared" si="172"/>
        <v>31600.934880244971</v>
      </c>
      <c r="AX183" s="154">
        <f t="shared" si="172"/>
        <v>40432.392988283515</v>
      </c>
      <c r="AY183" s="154">
        <f t="shared" si="172"/>
        <v>6405.1945611757374</v>
      </c>
      <c r="AZ183" s="154">
        <f t="shared" si="172"/>
        <v>6127.9888856065609</v>
      </c>
      <c r="BA183" s="154">
        <f t="shared" si="172"/>
        <v>5862.7801893382139</v>
      </c>
      <c r="BB183" s="154">
        <f t="shared" si="172"/>
        <v>5609.0492639811682</v>
      </c>
      <c r="BC183" s="154">
        <f t="shared" si="172"/>
        <v>5366.2993715817884</v>
      </c>
      <c r="BD183" s="154">
        <f t="shared" si="172"/>
        <v>5134.0552721406029</v>
      </c>
      <c r="BE183" s="154">
        <f t="shared" si="172"/>
        <v>4911.8622932185699</v>
      </c>
      <c r="BF183" s="154">
        <f t="shared" si="172"/>
        <v>4699.2854398084728</v>
      </c>
      <c r="BG183" s="154">
        <f t="shared" si="172"/>
        <v>4495.9085427302616</v>
      </c>
      <c r="BH183" s="154">
        <f t="shared" si="172"/>
        <v>4301.3334438817301</v>
      </c>
      <c r="BI183" s="154">
        <f t="shared" si="172"/>
        <v>4115.1792167507128</v>
      </c>
      <c r="BJ183" s="154">
        <f t="shared" si="172"/>
        <v>3937.0814206616024</v>
      </c>
      <c r="BK183" s="154">
        <f t="shared" si="172"/>
        <v>3766.6913872970154</v>
      </c>
      <c r="BL183" s="154">
        <f t="shared" si="172"/>
        <v>3603.6755380978357</v>
      </c>
    </row>
    <row r="184" spans="5:66" ht="12.75" customHeight="1" x14ac:dyDescent="0.2">
      <c r="F184" s="13"/>
      <c r="G184" s="67" t="s">
        <v>181</v>
      </c>
      <c r="H184" s="13"/>
      <c r="I184" s="13"/>
      <c r="J184" s="13"/>
      <c r="K184" s="13"/>
      <c r="L184" s="182" t="s">
        <v>175</v>
      </c>
      <c r="M184" s="63"/>
      <c r="Q184" s="154">
        <f t="shared" ref="Q184:AK184" si="173">Q170*$M$174</f>
        <v>7014.4719556469008</v>
      </c>
      <c r="R184" s="220">
        <f t="shared" si="173"/>
        <v>8071.9474434103995</v>
      </c>
      <c r="S184" s="154">
        <f t="shared" si="173"/>
        <v>7728.3181831864458</v>
      </c>
      <c r="T184" s="154">
        <f t="shared" si="173"/>
        <v>8509.2151197947205</v>
      </c>
      <c r="U184" s="220">
        <f t="shared" si="173"/>
        <v>7084.3226302373605</v>
      </c>
      <c r="V184" s="154">
        <f t="shared" si="173"/>
        <v>30629.780896604458</v>
      </c>
      <c r="W184" s="154">
        <f t="shared" si="173"/>
        <v>39218.811713614632</v>
      </c>
      <c r="X184" s="154">
        <f t="shared" si="173"/>
        <v>6217.5364100349743</v>
      </c>
      <c r="Y184" s="154">
        <f t="shared" si="173"/>
        <v>5952.8509110306704</v>
      </c>
      <c r="Z184" s="154">
        <f t="shared" si="173"/>
        <v>5699.4332854673648</v>
      </c>
      <c r="AA184" s="154">
        <f t="shared" si="173"/>
        <v>5456.8038509584057</v>
      </c>
      <c r="AB184" s="154">
        <f t="shared" si="173"/>
        <v>5224.5033455800485</v>
      </c>
      <c r="AC184" s="154">
        <f t="shared" si="173"/>
        <v>5002.0920585559743</v>
      </c>
      <c r="AD184" s="154">
        <f t="shared" si="173"/>
        <v>4789.1489979496337</v>
      </c>
      <c r="AE184" s="154">
        <f t="shared" si="173"/>
        <v>4585.2710937877355</v>
      </c>
      <c r="AF184" s="154">
        <f t="shared" si="173"/>
        <v>4390.0724351083127</v>
      </c>
      <c r="AG184" s="154">
        <f t="shared" si="173"/>
        <v>4203.1835394877744</v>
      </c>
      <c r="AH184" s="154">
        <f t="shared" si="173"/>
        <v>4024.250653665038</v>
      </c>
      <c r="AI184" s="154">
        <f t="shared" si="173"/>
        <v>3852.9350839379172</v>
      </c>
      <c r="AJ184" s="154">
        <f t="shared" si="173"/>
        <v>3688.9125550666322</v>
      </c>
      <c r="AK184" s="154">
        <f t="shared" si="173"/>
        <v>3531.8725964673513</v>
      </c>
      <c r="AR184" s="154">
        <f t="shared" ref="AR184:BL184" si="174">AR170*$AN$174</f>
        <v>7014.4719556469008</v>
      </c>
      <c r="AS184" s="154">
        <f t="shared" si="174"/>
        <v>7668.3500712398791</v>
      </c>
      <c r="AT184" s="154">
        <f t="shared" si="174"/>
        <v>5791.9557024360993</v>
      </c>
      <c r="AU184" s="154">
        <f t="shared" si="174"/>
        <v>6372.4834282832426</v>
      </c>
      <c r="AV184" s="220">
        <f t="shared" si="174"/>
        <v>5301.4725509811406</v>
      </c>
      <c r="AW184" s="154">
        <f t="shared" si="174"/>
        <v>22904.512363297021</v>
      </c>
      <c r="AX184" s="154">
        <f t="shared" si="174"/>
        <v>29305.59645109608</v>
      </c>
      <c r="AY184" s="154">
        <f t="shared" si="174"/>
        <v>4642.5163866745352</v>
      </c>
      <c r="AZ184" s="154">
        <f t="shared" si="174"/>
        <v>4441.5963554377831</v>
      </c>
      <c r="BA184" s="154">
        <f t="shared" si="174"/>
        <v>4249.3717935520945</v>
      </c>
      <c r="BB184" s="154">
        <f t="shared" si="174"/>
        <v>4065.4663762340924</v>
      </c>
      <c r="BC184" s="154">
        <f t="shared" si="174"/>
        <v>3889.5200653821939</v>
      </c>
      <c r="BD184" s="154">
        <f t="shared" si="174"/>
        <v>3721.1884047173262</v>
      </c>
      <c r="BE184" s="154">
        <f t="shared" si="174"/>
        <v>3560.1418454290097</v>
      </c>
      <c r="BF184" s="154">
        <f t="shared" si="174"/>
        <v>3406.0651010056654</v>
      </c>
      <c r="BG184" s="154">
        <f t="shared" si="174"/>
        <v>3258.6565299874151</v>
      </c>
      <c r="BH184" s="154">
        <f t="shared" si="174"/>
        <v>3117.6275454319007</v>
      </c>
      <c r="BI184" s="154">
        <f t="shared" si="174"/>
        <v>2982.7020499376035</v>
      </c>
      <c r="BJ184" s="154">
        <f t="shared" si="174"/>
        <v>2853.615895117814</v>
      </c>
      <c r="BK184" s="154">
        <f t="shared" si="174"/>
        <v>2730.1163644687867</v>
      </c>
      <c r="BL184" s="154">
        <f t="shared" si="174"/>
        <v>2611.9616786170163</v>
      </c>
    </row>
    <row r="185" spans="5:66" ht="12.75" customHeight="1" x14ac:dyDescent="0.2">
      <c r="F185" s="13"/>
      <c r="G185" s="67"/>
      <c r="H185" s="13"/>
      <c r="I185" s="13"/>
      <c r="J185" s="13"/>
      <c r="K185" s="13"/>
      <c r="L185" s="4"/>
      <c r="M185" s="63"/>
      <c r="Q185" s="154"/>
      <c r="R185" s="220"/>
      <c r="S185" s="154"/>
      <c r="T185" s="154"/>
      <c r="U185" s="220"/>
      <c r="V185" s="154"/>
      <c r="W185" s="154"/>
      <c r="X185" s="154"/>
      <c r="Y185" s="154"/>
      <c r="Z185" s="154"/>
      <c r="AA185" s="154"/>
      <c r="AB185" s="154"/>
      <c r="AC185" s="154"/>
      <c r="AD185" s="154"/>
      <c r="AE185" s="154"/>
      <c r="AF185" s="154"/>
      <c r="AG185" s="154"/>
      <c r="AH185" s="154"/>
      <c r="AI185" s="154"/>
      <c r="AJ185" s="154"/>
      <c r="AK185" s="154"/>
    </row>
    <row r="186" spans="5:66" ht="12.75" customHeight="1" x14ac:dyDescent="0.2">
      <c r="E186" t="s">
        <v>316</v>
      </c>
      <c r="F186" s="13"/>
      <c r="G186" s="67"/>
      <c r="H186" s="13"/>
      <c r="I186" s="13"/>
      <c r="J186" s="13"/>
      <c r="K186" s="13"/>
      <c r="L186" s="4"/>
      <c r="M186" s="63"/>
      <c r="Q186" s="154"/>
      <c r="R186" s="220"/>
      <c r="S186" s="154"/>
      <c r="T186" s="154"/>
      <c r="U186" s="220"/>
      <c r="V186" s="154"/>
      <c r="W186" s="154"/>
      <c r="X186" s="154"/>
      <c r="Y186" s="154"/>
      <c r="Z186" s="154"/>
      <c r="AA186" s="154"/>
      <c r="AB186" s="154"/>
      <c r="AC186" s="154"/>
      <c r="AD186" s="154"/>
      <c r="AE186" s="154"/>
      <c r="AF186" s="154"/>
      <c r="AG186" s="154"/>
      <c r="AH186" s="154"/>
      <c r="AI186" s="154"/>
      <c r="AJ186" s="154"/>
      <c r="AK186" s="154"/>
    </row>
    <row r="187" spans="5:66" s="146" customFormat="1" ht="12.75" customHeight="1" x14ac:dyDescent="0.2">
      <c r="F187" s="238"/>
      <c r="G187" s="231" t="s">
        <v>224</v>
      </c>
      <c r="H187" s="238"/>
      <c r="I187" s="238"/>
      <c r="J187" s="238"/>
      <c r="K187" s="238"/>
      <c r="L187" s="232" t="s">
        <v>175</v>
      </c>
      <c r="M187" s="147"/>
      <c r="P187" s="239"/>
      <c r="Q187" s="220">
        <f>Q162+Q176</f>
        <v>827749.34749872866</v>
      </c>
      <c r="R187" s="220">
        <f t="shared" ref="R187:AK187" si="175">R162+R176</f>
        <v>961922.3432948502</v>
      </c>
      <c r="S187" s="220">
        <f t="shared" si="175"/>
        <v>930046.16068274551</v>
      </c>
      <c r="T187" s="220">
        <f t="shared" si="175"/>
        <v>1034110.2346615471</v>
      </c>
      <c r="U187" s="220">
        <f t="shared" si="175"/>
        <v>869427.73017855012</v>
      </c>
      <c r="V187" s="220">
        <f t="shared" si="175"/>
        <v>3796093.2285264982</v>
      </c>
      <c r="W187" s="220">
        <f t="shared" si="175"/>
        <v>4908459.7446539188</v>
      </c>
      <c r="X187" s="220">
        <f t="shared" si="175"/>
        <v>785827.02987669571</v>
      </c>
      <c r="Y187" s="220">
        <f t="shared" si="175"/>
        <v>759786.29376064171</v>
      </c>
      <c r="Z187" s="220">
        <f t="shared" si="175"/>
        <v>734608.49555800133</v>
      </c>
      <c r="AA187" s="220">
        <f t="shared" si="175"/>
        <v>710265.03923220013</v>
      </c>
      <c r="AB187" s="220">
        <f t="shared" si="175"/>
        <v>686728.27636212634</v>
      </c>
      <c r="AC187" s="220">
        <f t="shared" si="175"/>
        <v>663971.47474003735</v>
      </c>
      <c r="AD187" s="220">
        <f t="shared" si="175"/>
        <v>641968.78801009874</v>
      </c>
      <c r="AE187" s="220">
        <f t="shared" si="175"/>
        <v>620695.22631302767</v>
      </c>
      <c r="AF187" s="220">
        <f t="shared" si="175"/>
        <v>600126.62790346728</v>
      </c>
      <c r="AG187" s="220">
        <f t="shared" si="175"/>
        <v>580239.63170799392</v>
      </c>
      <c r="AH187" s="220">
        <f t="shared" si="175"/>
        <v>561011.65079246392</v>
      </c>
      <c r="AI187" s="220">
        <f t="shared" si="175"/>
        <v>542420.84670849761</v>
      </c>
      <c r="AJ187" s="220">
        <f t="shared" si="175"/>
        <v>524446.10469027865</v>
      </c>
      <c r="AK187" s="220">
        <f t="shared" si="175"/>
        <v>507067.00967304001</v>
      </c>
      <c r="AM187" s="203"/>
      <c r="AQ187" s="239"/>
      <c r="AR187" s="220">
        <f>AR162+AR176</f>
        <v>827749.34749872866</v>
      </c>
      <c r="AS187" s="220">
        <f t="shared" ref="AS187:BL187" si="176">AS162+AS176</f>
        <v>913826.22613010765</v>
      </c>
      <c r="AT187" s="220">
        <f t="shared" si="176"/>
        <v>696683.96853582491</v>
      </c>
      <c r="AU187" s="220">
        <f t="shared" si="176"/>
        <v>773692.16438706231</v>
      </c>
      <c r="AV187" s="220">
        <f t="shared" si="176"/>
        <v>649688.08088049968</v>
      </c>
      <c r="AW187" s="220">
        <f t="shared" si="176"/>
        <v>2833207.1599336034</v>
      </c>
      <c r="AX187" s="220">
        <f t="shared" si="176"/>
        <v>3658952.2666495615</v>
      </c>
      <c r="AY187" s="220">
        <f t="shared" si="176"/>
        <v>585070.93340112362</v>
      </c>
      <c r="AZ187" s="220">
        <f t="shared" si="176"/>
        <v>564992.99567250372</v>
      </c>
      <c r="BA187" s="220">
        <f t="shared" si="176"/>
        <v>545604.07454071078</v>
      </c>
      <c r="BB187" s="220">
        <f t="shared" si="176"/>
        <v>526880.52495428966</v>
      </c>
      <c r="BC187" s="220">
        <f t="shared" si="176"/>
        <v>508799.51329138281</v>
      </c>
      <c r="BD187" s="220">
        <f t="shared" si="176"/>
        <v>491338.98951381055</v>
      </c>
      <c r="BE187" s="220">
        <f t="shared" si="176"/>
        <v>474477.66027676372</v>
      </c>
      <c r="BF187" s="220">
        <f t="shared" si="176"/>
        <v>458194.96296128561</v>
      </c>
      <c r="BG187" s="220">
        <f t="shared" si="176"/>
        <v>442471.04059784755</v>
      </c>
      <c r="BH187" s="220">
        <f t="shared" si="176"/>
        <v>427286.71765054099</v>
      </c>
      <c r="BI187" s="220">
        <f t="shared" si="176"/>
        <v>412623.47663226264</v>
      </c>
      <c r="BJ187" s="220">
        <f t="shared" si="176"/>
        <v>398463.43552232144</v>
      </c>
      <c r="BK187" s="220">
        <f t="shared" si="176"/>
        <v>384789.32595916372</v>
      </c>
      <c r="BL187" s="220">
        <f t="shared" si="176"/>
        <v>371584.47218128166</v>
      </c>
      <c r="BN187" s="203"/>
    </row>
    <row r="188" spans="5:66" s="146" customFormat="1" ht="12.75" customHeight="1" x14ac:dyDescent="0.2">
      <c r="F188" s="238"/>
      <c r="G188" s="231" t="s">
        <v>64</v>
      </c>
      <c r="H188" s="238"/>
      <c r="I188" s="238"/>
      <c r="J188" s="238"/>
      <c r="K188" s="238"/>
      <c r="L188" s="232" t="s">
        <v>175</v>
      </c>
      <c r="M188" s="147"/>
      <c r="P188" s="239"/>
      <c r="Q188" s="220">
        <f>Q163+Q177</f>
        <v>44627.067275435213</v>
      </c>
      <c r="R188" s="220">
        <f>R163+R177</f>
        <v>51354.876586377482</v>
      </c>
      <c r="S188" s="220">
        <f t="shared" ref="S188:AK188" si="177">S163+S177</f>
        <v>49168.658406194081</v>
      </c>
      <c r="T188" s="220">
        <f t="shared" si="177"/>
        <v>54136.835675353112</v>
      </c>
      <c r="U188" s="220">
        <f t="shared" si="177"/>
        <v>45071.46719233456</v>
      </c>
      <c r="V188" s="220">
        <f t="shared" si="177"/>
        <v>194871.01828159567</v>
      </c>
      <c r="W188" s="220">
        <f t="shared" si="177"/>
        <v>249515.65276372855</v>
      </c>
      <c r="X188" s="220">
        <f t="shared" si="177"/>
        <v>39556.850096852533</v>
      </c>
      <c r="Y188" s="220">
        <f t="shared" si="177"/>
        <v>37872.883342749068</v>
      </c>
      <c r="Z188" s="220">
        <f t="shared" si="177"/>
        <v>36260.604400541764</v>
      </c>
      <c r="AA188" s="220">
        <f t="shared" si="177"/>
        <v>34716.961462727355</v>
      </c>
      <c r="AB188" s="220">
        <f t="shared" si="177"/>
        <v>33239.032639689627</v>
      </c>
      <c r="AC188" s="220">
        <f t="shared" si="177"/>
        <v>31824.020428992008</v>
      </c>
      <c r="AD188" s="220">
        <f t="shared" si="177"/>
        <v>30469.246420113705</v>
      </c>
      <c r="AE188" s="220">
        <f t="shared" si="177"/>
        <v>29172.146224611941</v>
      </c>
      <c r="AF188" s="220">
        <f t="shared" si="177"/>
        <v>27930.264622113733</v>
      </c>
      <c r="AG188" s="220">
        <f t="shared" si="177"/>
        <v>26741.250912938518</v>
      </c>
      <c r="AH188" s="220">
        <f t="shared" si="177"/>
        <v>25602.854468574056</v>
      </c>
      <c r="AI188" s="220">
        <f t="shared" si="177"/>
        <v>24512.920471563342</v>
      </c>
      <c r="AJ188" s="220">
        <f t="shared" si="177"/>
        <v>23469.385836752153</v>
      </c>
      <c r="AK188" s="220">
        <f t="shared" si="177"/>
        <v>22470.275306173142</v>
      </c>
      <c r="AM188" s="203"/>
      <c r="AQ188" s="239"/>
      <c r="AR188" s="220">
        <f>AR163+AR177</f>
        <v>44627.067275435213</v>
      </c>
      <c r="AS188" s="220">
        <f t="shared" ref="AS188:BL188" si="178">AS163+AS177</f>
        <v>48787.132757058615</v>
      </c>
      <c r="AT188" s="220">
        <f t="shared" si="178"/>
        <v>36849.245163903222</v>
      </c>
      <c r="AU188" s="220">
        <f t="shared" si="178"/>
        <v>40542.645043530567</v>
      </c>
      <c r="AV188" s="220">
        <f t="shared" si="178"/>
        <v>33728.721661086005</v>
      </c>
      <c r="AW188" s="220">
        <f t="shared" si="178"/>
        <v>145721.76218125975</v>
      </c>
      <c r="AX188" s="220">
        <f t="shared" si="178"/>
        <v>186446.36868452714</v>
      </c>
      <c r="AY188" s="220">
        <f t="shared" si="178"/>
        <v>29536.348912001471</v>
      </c>
      <c r="AZ188" s="220">
        <f t="shared" si="178"/>
        <v>28258.067124336878</v>
      </c>
      <c r="BA188" s="220">
        <f t="shared" si="178"/>
        <v>27035.107148232524</v>
      </c>
      <c r="BB188" s="220">
        <f t="shared" si="178"/>
        <v>25865.07475194359</v>
      </c>
      <c r="BC188" s="220">
        <f t="shared" si="178"/>
        <v>24745.67932190936</v>
      </c>
      <c r="BD188" s="220">
        <f t="shared" si="178"/>
        <v>23674.729378339202</v>
      </c>
      <c r="BE188" s="220">
        <f t="shared" si="178"/>
        <v>22650.128284873979</v>
      </c>
      <c r="BF188" s="220">
        <f t="shared" si="178"/>
        <v>21669.870143927565</v>
      </c>
      <c r="BG188" s="220">
        <f t="shared" si="178"/>
        <v>20732.035869672807</v>
      </c>
      <c r="BH188" s="220">
        <f t="shared" si="178"/>
        <v>19834.789430975688</v>
      </c>
      <c r="BI188" s="220">
        <f t="shared" si="178"/>
        <v>18976.37425693672</v>
      </c>
      <c r="BJ188" s="220">
        <f t="shared" si="178"/>
        <v>18155.109797987745</v>
      </c>
      <c r="BK188" s="220">
        <f t="shared" si="178"/>
        <v>17369.388235821629</v>
      </c>
      <c r="BL188" s="220">
        <f t="shared" si="178"/>
        <v>16617.671335710944</v>
      </c>
      <c r="BN188" s="203"/>
    </row>
    <row r="189" spans="5:66" s="146" customFormat="1" ht="12.75" customHeight="1" x14ac:dyDescent="0.2">
      <c r="F189" s="238"/>
      <c r="G189" s="231" t="s">
        <v>63</v>
      </c>
      <c r="H189" s="238"/>
      <c r="I189" s="238"/>
      <c r="J189" s="238"/>
      <c r="K189" s="238"/>
      <c r="L189" s="232" t="s">
        <v>175</v>
      </c>
      <c r="M189" s="147"/>
      <c r="P189" s="239"/>
      <c r="Q189" s="220">
        <f t="shared" ref="Q189:AK189" si="179">Q164+Q178</f>
        <v>76411.499800269434</v>
      </c>
      <c r="R189" s="220">
        <f t="shared" si="179"/>
        <v>87931.010967033653</v>
      </c>
      <c r="S189" s="220">
        <f t="shared" si="179"/>
        <v>84187.717485358356</v>
      </c>
      <c r="T189" s="220">
        <f t="shared" si="179"/>
        <v>92694.345852107639</v>
      </c>
      <c r="U189" s="220">
        <f t="shared" si="179"/>
        <v>77172.411646701541</v>
      </c>
      <c r="V189" s="220">
        <f t="shared" si="179"/>
        <v>333662.67791248771</v>
      </c>
      <c r="W189" s="220">
        <f t="shared" si="179"/>
        <v>427226.48866094026</v>
      </c>
      <c r="X189" s="220">
        <f t="shared" si="179"/>
        <v>67730.156333591585</v>
      </c>
      <c r="Y189" s="220">
        <f t="shared" si="179"/>
        <v>64846.829394345092</v>
      </c>
      <c r="Z189" s="220">
        <f t="shared" si="179"/>
        <v>62086.247989564181</v>
      </c>
      <c r="AA189" s="220">
        <f t="shared" si="179"/>
        <v>59443.186743650716</v>
      </c>
      <c r="AB189" s="220">
        <f t="shared" si="179"/>
        <v>56912.642729423664</v>
      </c>
      <c r="AC189" s="220">
        <f t="shared" si="179"/>
        <v>54489.825998318047</v>
      </c>
      <c r="AD189" s="220">
        <f t="shared" si="179"/>
        <v>52170.150513708912</v>
      </c>
      <c r="AE189" s="220">
        <f t="shared" si="179"/>
        <v>49949.225470219579</v>
      </c>
      <c r="AF189" s="220">
        <f t="shared" si="179"/>
        <v>47822.846982572788</v>
      </c>
      <c r="AG189" s="220">
        <f t="shared" si="179"/>
        <v>45786.990128246791</v>
      </c>
      <c r="AH189" s="220">
        <f t="shared" si="179"/>
        <v>43837.801328894886</v>
      </c>
      <c r="AI189" s="220">
        <f t="shared" si="179"/>
        <v>41971.591056082907</v>
      </c>
      <c r="AJ189" s="220">
        <f t="shared" si="179"/>
        <v>40184.826847553064</v>
      </c>
      <c r="AK189" s="220">
        <f t="shared" si="179"/>
        <v>38474.126620790645</v>
      </c>
      <c r="AM189" s="203"/>
      <c r="AQ189" s="239"/>
      <c r="AR189" s="220">
        <f t="shared" ref="AR189:BL189" si="180">AR164+AR178</f>
        <v>76411.499800269434</v>
      </c>
      <c r="AS189" s="220">
        <f t="shared" si="180"/>
        <v>83534.460418681978</v>
      </c>
      <c r="AT189" s="220">
        <f t="shared" si="180"/>
        <v>63094.132359254712</v>
      </c>
      <c r="AU189" s="220">
        <f t="shared" si="180"/>
        <v>69418.05730871702</v>
      </c>
      <c r="AV189" s="220">
        <f t="shared" si="180"/>
        <v>57751.099631143923</v>
      </c>
      <c r="AW189" s="220">
        <f t="shared" si="180"/>
        <v>249508.18150529388</v>
      </c>
      <c r="AX189" s="220">
        <f t="shared" si="180"/>
        <v>319237.79744632065</v>
      </c>
      <c r="AY189" s="220">
        <f t="shared" si="180"/>
        <v>50572.821759954648</v>
      </c>
      <c r="AZ189" s="220">
        <f t="shared" si="180"/>
        <v>48384.118030893354</v>
      </c>
      <c r="BA189" s="220">
        <f t="shared" si="180"/>
        <v>46290.137590881568</v>
      </c>
      <c r="BB189" s="220">
        <f t="shared" si="180"/>
        <v>44286.780980788149</v>
      </c>
      <c r="BC189" s="220">
        <f t="shared" si="180"/>
        <v>42370.126158938219</v>
      </c>
      <c r="BD189" s="220">
        <f t="shared" si="180"/>
        <v>40536.420822799002</v>
      </c>
      <c r="BE189" s="220">
        <f t="shared" si="180"/>
        <v>38782.075062960532</v>
      </c>
      <c r="BF189" s="220">
        <f t="shared" si="180"/>
        <v>37103.654335045983</v>
      </c>
      <c r="BG189" s="220">
        <f t="shared" si="180"/>
        <v>35497.87273578436</v>
      </c>
      <c r="BH189" s="220">
        <f t="shared" si="180"/>
        <v>33961.586570077969</v>
      </c>
      <c r="BI189" s="220">
        <f t="shared" si="180"/>
        <v>32491.788196485366</v>
      </c>
      <c r="BJ189" s="220">
        <f t="shared" si="180"/>
        <v>31085.600139053058</v>
      </c>
      <c r="BK189" s="220">
        <f t="shared" si="180"/>
        <v>29740.269453979425</v>
      </c>
      <c r="BL189" s="220">
        <f t="shared" si="180"/>
        <v>28453.162340079602</v>
      </c>
      <c r="BN189" s="203"/>
    </row>
    <row r="190" spans="5:66" s="146" customFormat="1" ht="12.75" customHeight="1" x14ac:dyDescent="0.2">
      <c r="F190" s="238"/>
      <c r="G190" s="231" t="s">
        <v>76</v>
      </c>
      <c r="H190" s="238"/>
      <c r="I190" s="238"/>
      <c r="J190" s="238"/>
      <c r="K190" s="238"/>
      <c r="L190" s="232" t="s">
        <v>175</v>
      </c>
      <c r="M190" s="147"/>
      <c r="P190" s="239"/>
      <c r="Q190" s="220">
        <f t="shared" ref="Q190:AK190" si="181">Q165+Q179</f>
        <v>32945.176057676072</v>
      </c>
      <c r="R190" s="220">
        <f t="shared" si="181"/>
        <v>37911.867255721096</v>
      </c>
      <c r="S190" s="220">
        <f t="shared" si="181"/>
        <v>36297.928737151182</v>
      </c>
      <c r="T190" s="220">
        <f t="shared" si="181"/>
        <v>39965.601403337918</v>
      </c>
      <c r="U190" s="220">
        <f t="shared" si="181"/>
        <v>33273.246764449264</v>
      </c>
      <c r="V190" s="220">
        <f t="shared" si="181"/>
        <v>143860.22648993734</v>
      </c>
      <c r="W190" s="220">
        <f t="shared" si="181"/>
        <v>184200.70175599158</v>
      </c>
      <c r="X190" s="220">
        <f t="shared" si="181"/>
        <v>29202.174157772817</v>
      </c>
      <c r="Y190" s="220">
        <f t="shared" si="181"/>
        <v>27959.014242137</v>
      </c>
      <c r="Z190" s="220">
        <f t="shared" si="181"/>
        <v>26768.776638637926</v>
      </c>
      <c r="AA190" s="220">
        <f t="shared" si="181"/>
        <v>25629.208402109871</v>
      </c>
      <c r="AB190" s="220">
        <f t="shared" si="181"/>
        <v>24538.152497065141</v>
      </c>
      <c r="AC190" s="220">
        <f t="shared" si="181"/>
        <v>23493.543714743326</v>
      </c>
      <c r="AD190" s="220">
        <f t="shared" si="181"/>
        <v>22493.404763971586</v>
      </c>
      <c r="AE190" s="220">
        <f t="shared" si="181"/>
        <v>21535.84252844561</v>
      </c>
      <c r="AF190" s="220">
        <f t="shared" si="181"/>
        <v>20619.04448333574</v>
      </c>
      <c r="AG190" s="220">
        <f t="shared" si="181"/>
        <v>19741.275264444448</v>
      </c>
      <c r="AH190" s="220">
        <f t="shared" si="181"/>
        <v>18900.873383417042</v>
      </c>
      <c r="AI190" s="220">
        <f t="shared" si="181"/>
        <v>18096.248082785944</v>
      </c>
      <c r="AJ190" s="220">
        <f t="shared" si="181"/>
        <v>17325.876324903471</v>
      </c>
      <c r="AK190" s="220">
        <f t="shared" si="181"/>
        <v>16588.299909051311</v>
      </c>
      <c r="AM190" s="203"/>
      <c r="AQ190" s="239"/>
      <c r="AR190" s="220">
        <f t="shared" ref="AR190:BL190" si="182">AR165+AR179</f>
        <v>32945.176057676072</v>
      </c>
      <c r="AS190" s="220">
        <f t="shared" si="182"/>
        <v>36016.273892935031</v>
      </c>
      <c r="AT190" s="220">
        <f t="shared" si="182"/>
        <v>27203.330705656845</v>
      </c>
      <c r="AU190" s="220">
        <f t="shared" si="182"/>
        <v>29929.92056948824</v>
      </c>
      <c r="AV190" s="220">
        <f t="shared" si="182"/>
        <v>24899.657117654388</v>
      </c>
      <c r="AW190" s="220">
        <f t="shared" si="182"/>
        <v>107576.6211762475</v>
      </c>
      <c r="AX190" s="220">
        <f t="shared" si="182"/>
        <v>137640.87170942678</v>
      </c>
      <c r="AY190" s="220">
        <f t="shared" si="182"/>
        <v>21804.708989749422</v>
      </c>
      <c r="AZ190" s="220">
        <f t="shared" si="182"/>
        <v>20861.039124866631</v>
      </c>
      <c r="BA190" s="220">
        <f t="shared" si="182"/>
        <v>19958.209649750559</v>
      </c>
      <c r="BB190" s="220">
        <f t="shared" si="182"/>
        <v>19094.453063394198</v>
      </c>
      <c r="BC190" s="220">
        <f t="shared" si="182"/>
        <v>18268.078359158688</v>
      </c>
      <c r="BD190" s="220">
        <f t="shared" si="182"/>
        <v>17477.467714230828</v>
      </c>
      <c r="BE190" s="220">
        <f t="shared" si="182"/>
        <v>16721.07332235264</v>
      </c>
      <c r="BF190" s="220">
        <f t="shared" si="182"/>
        <v>15997.414363628883</v>
      </c>
      <c r="BG190" s="220">
        <f t="shared" si="182"/>
        <v>15305.07410547208</v>
      </c>
      <c r="BH190" s="220">
        <f t="shared" si="182"/>
        <v>14642.697129016124</v>
      </c>
      <c r="BI190" s="220">
        <f t="shared" si="182"/>
        <v>14008.98667556546</v>
      </c>
      <c r="BJ190" s="220">
        <f t="shared" si="182"/>
        <v>13402.702107883564</v>
      </c>
      <c r="BK190" s="220">
        <f t="shared" si="182"/>
        <v>12822.656481356178</v>
      </c>
      <c r="BL190" s="220">
        <f t="shared" si="182"/>
        <v>12267.714220265389</v>
      </c>
      <c r="BN190" s="203"/>
    </row>
    <row r="191" spans="5:66" s="146" customFormat="1" ht="12.75" customHeight="1" x14ac:dyDescent="0.2">
      <c r="F191" s="238"/>
      <c r="G191" s="231" t="s">
        <v>72</v>
      </c>
      <c r="H191" s="238"/>
      <c r="I191" s="238"/>
      <c r="J191" s="238"/>
      <c r="K191" s="238"/>
      <c r="L191" s="232" t="s">
        <v>175</v>
      </c>
      <c r="M191" s="147"/>
      <c r="P191" s="239"/>
      <c r="Q191" s="220">
        <f>Q166+Q180</f>
        <v>45504.988191764322</v>
      </c>
      <c r="R191" s="220">
        <f t="shared" ref="R191:AK191" si="183">R166+R180</f>
        <v>52365.149567848814</v>
      </c>
      <c r="S191" s="220">
        <f t="shared" si="183"/>
        <v>50135.923258625975</v>
      </c>
      <c r="T191" s="220">
        <f t="shared" si="183"/>
        <v>55201.836431282783</v>
      </c>
      <c r="U191" s="220">
        <f t="shared" si="183"/>
        <v>45958.130515594683</v>
      </c>
      <c r="V191" s="220">
        <f t="shared" si="183"/>
        <v>198704.59627317329</v>
      </c>
      <c r="W191" s="220">
        <f t="shared" si="183"/>
        <v>254424.22112563311</v>
      </c>
      <c r="X191" s="220">
        <f t="shared" si="183"/>
        <v>40335.027741145852</v>
      </c>
      <c r="Y191" s="220">
        <f t="shared" si="183"/>
        <v>38617.933342182871</v>
      </c>
      <c r="Z191" s="220">
        <f t="shared" si="183"/>
        <v>36973.937025459658</v>
      </c>
      <c r="AA191" s="220">
        <f t="shared" si="183"/>
        <v>35399.926947136097</v>
      </c>
      <c r="AB191" s="220">
        <f t="shared" si="183"/>
        <v>33892.923737054873</v>
      </c>
      <c r="AC191" s="220">
        <f t="shared" si="183"/>
        <v>32450.074859229564</v>
      </c>
      <c r="AD191" s="220">
        <f t="shared" si="183"/>
        <v>31068.64921241258</v>
      </c>
      <c r="AE191" s="220">
        <f t="shared" si="183"/>
        <v>29746.031960520533</v>
      </c>
      <c r="AF191" s="220">
        <f t="shared" si="183"/>
        <v>28479.719583135771</v>
      </c>
      <c r="AG191" s="220">
        <f t="shared" si="183"/>
        <v>27267.315136706038</v>
      </c>
      <c r="AH191" s="220">
        <f t="shared" si="183"/>
        <v>26106.523717484524</v>
      </c>
      <c r="AI191" s="220">
        <f t="shared" si="183"/>
        <v>24995.14811761173</v>
      </c>
      <c r="AJ191" s="220">
        <f t="shared" si="183"/>
        <v>23931.084666126833</v>
      </c>
      <c r="AK191" s="220">
        <f t="shared" si="183"/>
        <v>22912.319247022046</v>
      </c>
      <c r="AM191" s="203"/>
      <c r="AQ191" s="239"/>
      <c r="AR191" s="220">
        <f t="shared" ref="AR191:BL191" si="184">AR166+AR180</f>
        <v>45504.988191764322</v>
      </c>
      <c r="AS191" s="220">
        <f t="shared" si="184"/>
        <v>49746.892089456363</v>
      </c>
      <c r="AT191" s="220">
        <f t="shared" si="184"/>
        <v>37574.157757434528</v>
      </c>
      <c r="AU191" s="220">
        <f t="shared" si="184"/>
        <v>41340.215627036334</v>
      </c>
      <c r="AV191" s="220">
        <f t="shared" si="184"/>
        <v>34392.246110150751</v>
      </c>
      <c r="AW191" s="220">
        <f t="shared" si="184"/>
        <v>148588.45701006561</v>
      </c>
      <c r="AX191" s="220">
        <f t="shared" si="184"/>
        <v>190114.21371300501</v>
      </c>
      <c r="AY191" s="220">
        <f t="shared" si="184"/>
        <v>30117.399383944787</v>
      </c>
      <c r="AZ191" s="220">
        <f t="shared" si="184"/>
        <v>28813.970742882422</v>
      </c>
      <c r="BA191" s="220">
        <f t="shared" si="184"/>
        <v>27566.952225439709</v>
      </c>
      <c r="BB191" s="220">
        <f t="shared" si="184"/>
        <v>26373.902499619468</v>
      </c>
      <c r="BC191" s="220">
        <f t="shared" si="184"/>
        <v>25232.485890026226</v>
      </c>
      <c r="BD191" s="220">
        <f t="shared" si="184"/>
        <v>24140.467805231427</v>
      </c>
      <c r="BE191" s="220">
        <f t="shared" si="184"/>
        <v>23095.710363035225</v>
      </c>
      <c r="BF191" s="220">
        <f t="shared" si="184"/>
        <v>22096.168205058893</v>
      </c>
      <c r="BG191" s="220">
        <f t="shared" si="184"/>
        <v>21139.884492476747</v>
      </c>
      <c r="BH191" s="220">
        <f t="shared" si="184"/>
        <v>20224.98707504139</v>
      </c>
      <c r="BI191" s="220">
        <f t="shared" si="184"/>
        <v>19349.684825911245</v>
      </c>
      <c r="BJ191" s="220">
        <f t="shared" si="184"/>
        <v>18512.264135097037</v>
      </c>
      <c r="BK191" s="220">
        <f t="shared" si="184"/>
        <v>17711.085554669873</v>
      </c>
      <c r="BL191" s="220">
        <f t="shared" si="184"/>
        <v>16944.580589152603</v>
      </c>
      <c r="BN191" s="203"/>
    </row>
    <row r="192" spans="5:66" s="146" customFormat="1" ht="12.75" customHeight="1" x14ac:dyDescent="0.2">
      <c r="F192" s="238"/>
      <c r="G192" s="231" t="s">
        <v>73</v>
      </c>
      <c r="H192" s="238"/>
      <c r="I192" s="238"/>
      <c r="J192" s="238"/>
      <c r="K192" s="238"/>
      <c r="L192" s="232" t="s">
        <v>175</v>
      </c>
      <c r="M192" s="147"/>
      <c r="P192" s="239"/>
      <c r="Q192" s="220">
        <f t="shared" ref="Q192:AK192" si="185">Q167+Q181</f>
        <v>4526.6253706286152</v>
      </c>
      <c r="R192" s="220">
        <f t="shared" si="185"/>
        <v>5209.0424366594416</v>
      </c>
      <c r="S192" s="220">
        <f t="shared" si="185"/>
        <v>4987.2893328969003</v>
      </c>
      <c r="T192" s="220">
        <f t="shared" si="185"/>
        <v>5491.2229015886132</v>
      </c>
      <c r="U192" s="220">
        <f t="shared" si="185"/>
        <v>4571.7018692953734</v>
      </c>
      <c r="V192" s="220">
        <f t="shared" si="185"/>
        <v>19766.212507521333</v>
      </c>
      <c r="W192" s="220">
        <f t="shared" si="185"/>
        <v>25308.942601992676</v>
      </c>
      <c r="X192" s="220">
        <f t="shared" si="185"/>
        <v>4012.3416608450798</v>
      </c>
      <c r="Y192" s="220">
        <f t="shared" si="185"/>
        <v>3841.5330664695757</v>
      </c>
      <c r="Z192" s="220">
        <f t="shared" si="185"/>
        <v>3677.995930603508</v>
      </c>
      <c r="AA192" s="220">
        <f t="shared" si="185"/>
        <v>3521.4207014409881</v>
      </c>
      <c r="AB192" s="220">
        <f t="shared" si="185"/>
        <v>3371.511005044079</v>
      </c>
      <c r="AC192" s="220">
        <f t="shared" si="185"/>
        <v>3227.9830843505338</v>
      </c>
      <c r="AD192" s="220">
        <f t="shared" si="185"/>
        <v>3090.5652620632973</v>
      </c>
      <c r="AE192" s="220">
        <f t="shared" si="185"/>
        <v>2958.9974264050256</v>
      </c>
      <c r="AF192" s="220">
        <f t="shared" si="185"/>
        <v>2833.0305387650387</v>
      </c>
      <c r="AG192" s="220">
        <f t="shared" si="185"/>
        <v>2712.4261623054267</v>
      </c>
      <c r="AH192" s="220">
        <f t="shared" si="185"/>
        <v>2596.9560106351078</v>
      </c>
      <c r="AI192" s="220">
        <f t="shared" si="185"/>
        <v>2486.4015156975593</v>
      </c>
      <c r="AJ192" s="220">
        <f t="shared" si="185"/>
        <v>2380.5534140531281</v>
      </c>
      <c r="AK192" s="220">
        <f t="shared" si="185"/>
        <v>2279.2113507741578</v>
      </c>
      <c r="AM192" s="203"/>
      <c r="AQ192" s="239"/>
      <c r="AR192" s="220">
        <f t="shared" ref="AR192:BL192" si="186">AR167+AR181</f>
        <v>4526.6253706286152</v>
      </c>
      <c r="AS192" s="220">
        <f t="shared" si="186"/>
        <v>4948.5903148264697</v>
      </c>
      <c r="AT192" s="220">
        <f t="shared" si="186"/>
        <v>3737.7031078009959</v>
      </c>
      <c r="AU192" s="220">
        <f t="shared" si="186"/>
        <v>4112.3330940335927</v>
      </c>
      <c r="AV192" s="220">
        <f t="shared" si="186"/>
        <v>3421.1812810290562</v>
      </c>
      <c r="AW192" s="220">
        <f t="shared" si="186"/>
        <v>14780.891194826263</v>
      </c>
      <c r="AX192" s="220">
        <f t="shared" si="186"/>
        <v>18911.681055356283</v>
      </c>
      <c r="AY192" s="220">
        <f t="shared" si="186"/>
        <v>2995.939336896527</v>
      </c>
      <c r="AZ192" s="220">
        <f t="shared" si="186"/>
        <v>2866.2802953300929</v>
      </c>
      <c r="BA192" s="220">
        <f t="shared" si="186"/>
        <v>2742.2326714759174</v>
      </c>
      <c r="BB192" s="220">
        <f t="shared" si="186"/>
        <v>2623.5536129392995</v>
      </c>
      <c r="BC192" s="220">
        <f t="shared" si="186"/>
        <v>2510.0107775545698</v>
      </c>
      <c r="BD192" s="220">
        <f t="shared" si="186"/>
        <v>2401.3818785207504</v>
      </c>
      <c r="BE192" s="220">
        <f t="shared" si="186"/>
        <v>2297.4542492228666</v>
      </c>
      <c r="BF192" s="220">
        <f t="shared" si="186"/>
        <v>2198.0244268868746</v>
      </c>
      <c r="BG192" s="220">
        <f t="shared" si="186"/>
        <v>2102.8977542537259</v>
      </c>
      <c r="BH192" s="220">
        <f t="shared" si="186"/>
        <v>2011.8879984917517</v>
      </c>
      <c r="BI192" s="220">
        <f t="shared" si="186"/>
        <v>1924.8169866021119</v>
      </c>
      <c r="BJ192" s="220">
        <f t="shared" si="186"/>
        <v>1841.514256603527</v>
      </c>
      <c r="BK192" s="220">
        <f t="shared" si="186"/>
        <v>1761.8167238125527</v>
      </c>
      <c r="BL192" s="220">
        <f t="shared" si="186"/>
        <v>1685.5683615670464</v>
      </c>
      <c r="BN192" s="203"/>
    </row>
    <row r="193" spans="3:66" s="146" customFormat="1" ht="12.75" customHeight="1" x14ac:dyDescent="0.2">
      <c r="F193" s="238"/>
      <c r="G193" s="231" t="s">
        <v>180</v>
      </c>
      <c r="H193" s="238"/>
      <c r="I193" s="238"/>
      <c r="J193" s="238"/>
      <c r="K193" s="238"/>
      <c r="L193" s="232" t="s">
        <v>175</v>
      </c>
      <c r="M193" s="147"/>
      <c r="P193" s="239"/>
      <c r="Q193" s="220">
        <f t="shared" ref="Q193:AK193" si="187">Q168+Q182</f>
        <v>68566.541915582391</v>
      </c>
      <c r="R193" s="220">
        <f t="shared" si="187"/>
        <v>78903.376650243241</v>
      </c>
      <c r="S193" s="220">
        <f t="shared" si="187"/>
        <v>75544.396783541219</v>
      </c>
      <c r="T193" s="220">
        <f t="shared" si="187"/>
        <v>83177.673083490648</v>
      </c>
      <c r="U193" s="220">
        <f t="shared" si="187"/>
        <v>69249.333041902762</v>
      </c>
      <c r="V193" s="220">
        <f t="shared" si="187"/>
        <v>299406.4512612978</v>
      </c>
      <c r="W193" s="220">
        <f t="shared" si="187"/>
        <v>383364.32367885794</v>
      </c>
      <c r="X193" s="220">
        <f t="shared" si="187"/>
        <v>60776.488033019275</v>
      </c>
      <c r="Y193" s="220">
        <f t="shared" si="187"/>
        <v>58189.184316263141</v>
      </c>
      <c r="Z193" s="220">
        <f t="shared" si="187"/>
        <v>55712.024188572461</v>
      </c>
      <c r="AA193" s="220">
        <f t="shared" si="187"/>
        <v>53340.318749245853</v>
      </c>
      <c r="AB193" s="220">
        <f t="shared" si="187"/>
        <v>51069.578707835099</v>
      </c>
      <c r="AC193" s="220">
        <f t="shared" si="187"/>
        <v>48895.505886579842</v>
      </c>
      <c r="AD193" s="220">
        <f t="shared" si="187"/>
        <v>46813.985084583292</v>
      </c>
      <c r="AE193" s="220">
        <f t="shared" si="187"/>
        <v>44821.076288344906</v>
      </c>
      <c r="AF193" s="220">
        <f t="shared" si="187"/>
        <v>42913.007213888806</v>
      </c>
      <c r="AG193" s="220">
        <f t="shared" si="187"/>
        <v>41086.166166387819</v>
      </c>
      <c r="AH193" s="220">
        <f t="shared" si="187"/>
        <v>39337.095203751902</v>
      </c>
      <c r="AI193" s="220">
        <f t="shared" si="187"/>
        <v>37662.483591252021</v>
      </c>
      <c r="AJ193" s="220">
        <f t="shared" si="187"/>
        <v>36059.161534785744</v>
      </c>
      <c r="AK193" s="220">
        <f t="shared" si="187"/>
        <v>34524.094180920249</v>
      </c>
      <c r="AM193" s="203"/>
      <c r="AQ193" s="239"/>
      <c r="AR193" s="220">
        <f t="shared" ref="AR193:BL193" si="188">AR168+AR182</f>
        <v>68566.541915582391</v>
      </c>
      <c r="AS193" s="220">
        <f t="shared" si="188"/>
        <v>74958.207817731047</v>
      </c>
      <c r="AT193" s="220">
        <f t="shared" si="188"/>
        <v>56616.431850522204</v>
      </c>
      <c r="AU193" s="220">
        <f t="shared" si="188"/>
        <v>62291.096871516413</v>
      </c>
      <c r="AV193" s="220">
        <f t="shared" si="188"/>
        <v>51821.95355254427</v>
      </c>
      <c r="AW193" s="220">
        <f t="shared" si="188"/>
        <v>223891.86483947447</v>
      </c>
      <c r="AX193" s="220">
        <f t="shared" si="188"/>
        <v>286462.53347803262</v>
      </c>
      <c r="AY193" s="220">
        <f t="shared" si="188"/>
        <v>45380.649667354919</v>
      </c>
      <c r="AZ193" s="220">
        <f t="shared" si="188"/>
        <v>43416.654112082178</v>
      </c>
      <c r="BA193" s="220">
        <f t="shared" si="188"/>
        <v>41537.656867089478</v>
      </c>
      <c r="BB193" s="220">
        <f t="shared" si="188"/>
        <v>39739.979353404997</v>
      </c>
      <c r="BC193" s="220">
        <f t="shared" si="188"/>
        <v>38020.102194553452</v>
      </c>
      <c r="BD193" s="220">
        <f t="shared" si="188"/>
        <v>36374.658326551187</v>
      </c>
      <c r="BE193" s="220">
        <f t="shared" si="188"/>
        <v>34800.426406083439</v>
      </c>
      <c r="BF193" s="220">
        <f t="shared" si="188"/>
        <v>33294.324503970405</v>
      </c>
      <c r="BG193" s="220">
        <f t="shared" si="188"/>
        <v>31853.40407156304</v>
      </c>
      <c r="BH193" s="220">
        <f t="shared" si="188"/>
        <v>30474.844168268894</v>
      </c>
      <c r="BI193" s="220">
        <f t="shared" si="188"/>
        <v>29155.945938895187</v>
      </c>
      <c r="BJ193" s="220">
        <f t="shared" si="188"/>
        <v>27894.127330005755</v>
      </c>
      <c r="BK193" s="220">
        <f t="shared" si="188"/>
        <v>26686.918034944792</v>
      </c>
      <c r="BL193" s="220">
        <f t="shared" si="188"/>
        <v>25531.954657629441</v>
      </c>
      <c r="BN193" s="203"/>
    </row>
    <row r="194" spans="3:66" s="146" customFormat="1" ht="12.75" customHeight="1" x14ac:dyDescent="0.2">
      <c r="F194" s="238"/>
      <c r="G194" s="231" t="s">
        <v>75</v>
      </c>
      <c r="H194" s="238"/>
      <c r="I194" s="238"/>
      <c r="J194" s="238"/>
      <c r="K194" s="238"/>
      <c r="L194" s="232" t="s">
        <v>175</v>
      </c>
      <c r="M194" s="147"/>
      <c r="P194" s="239"/>
      <c r="Q194" s="220">
        <f t="shared" ref="Q194:AK194" si="189">Q169+Q183</f>
        <v>38710.952317833071</v>
      </c>
      <c r="R194" s="220">
        <f t="shared" si="189"/>
        <v>44546.87032319836</v>
      </c>
      <c r="S194" s="220">
        <f t="shared" si="189"/>
        <v>42650.474416043508</v>
      </c>
      <c r="T194" s="220">
        <f t="shared" si="189"/>
        <v>46960.031039738999</v>
      </c>
      <c r="U194" s="220">
        <f t="shared" si="189"/>
        <v>39096.439087263032</v>
      </c>
      <c r="V194" s="220">
        <f t="shared" si="189"/>
        <v>169037.38375339753</v>
      </c>
      <c r="W194" s="220">
        <f t="shared" si="189"/>
        <v>216437.89579707469</v>
      </c>
      <c r="X194" s="220">
        <f t="shared" si="189"/>
        <v>34312.882997485533</v>
      </c>
      <c r="Y194" s="220">
        <f t="shared" si="189"/>
        <v>32852.156117976017</v>
      </c>
      <c r="Z194" s="220">
        <f t="shared" si="189"/>
        <v>31453.613550309121</v>
      </c>
      <c r="AA194" s="220">
        <f t="shared" si="189"/>
        <v>30114.608058581522</v>
      </c>
      <c r="AB194" s="220">
        <f t="shared" si="189"/>
        <v>28832.605101841287</v>
      </c>
      <c r="AC194" s="220">
        <f t="shared" si="189"/>
        <v>27605.178036571644</v>
      </c>
      <c r="AD194" s="220">
        <f t="shared" si="189"/>
        <v>26430.003523412568</v>
      </c>
      <c r="AE194" s="220">
        <f t="shared" si="189"/>
        <v>25304.857129418135</v>
      </c>
      <c r="AF194" s="220">
        <f t="shared" si="189"/>
        <v>24227.609117533273</v>
      </c>
      <c r="AG194" s="220">
        <f t="shared" si="189"/>
        <v>23196.220415312426</v>
      </c>
      <c r="AH194" s="220">
        <f t="shared" si="189"/>
        <v>22208.7387552562</v>
      </c>
      <c r="AI194" s="220">
        <f t="shared" si="189"/>
        <v>21263.294979454062</v>
      </c>
      <c r="AJ194" s="220">
        <f t="shared" si="189"/>
        <v>20358.099501542576</v>
      </c>
      <c r="AK194" s="220">
        <f t="shared" si="189"/>
        <v>19491.438919282416</v>
      </c>
      <c r="AM194" s="203"/>
      <c r="AQ194" s="239"/>
      <c r="AR194" s="220">
        <f t="shared" ref="AR194:BL194" si="190">AR169+AR183</f>
        <v>38710.952317833071</v>
      </c>
      <c r="AS194" s="220">
        <f t="shared" si="190"/>
        <v>42319.526807038434</v>
      </c>
      <c r="AT194" s="220">
        <f t="shared" si="190"/>
        <v>31964.219465373506</v>
      </c>
      <c r="AU194" s="220">
        <f t="shared" si="190"/>
        <v>35167.993214352144</v>
      </c>
      <c r="AV194" s="220">
        <f t="shared" si="190"/>
        <v>29257.377095950615</v>
      </c>
      <c r="AW194" s="220">
        <f t="shared" si="190"/>
        <v>126403.73952097989</v>
      </c>
      <c r="AX194" s="220">
        <f t="shared" si="190"/>
        <v>161729.57195313406</v>
      </c>
      <c r="AY194" s="220">
        <f t="shared" si="190"/>
        <v>25620.778244702949</v>
      </c>
      <c r="AZ194" s="220">
        <f t="shared" si="190"/>
        <v>24511.955542426243</v>
      </c>
      <c r="BA194" s="220">
        <f t="shared" si="190"/>
        <v>23451.120757352855</v>
      </c>
      <c r="BB194" s="220">
        <f t="shared" si="190"/>
        <v>22436.197055924673</v>
      </c>
      <c r="BC194" s="220">
        <f t="shared" si="190"/>
        <v>21465.197486327153</v>
      </c>
      <c r="BD194" s="220">
        <f t="shared" si="190"/>
        <v>20536.221088562412</v>
      </c>
      <c r="BE194" s="220">
        <f t="shared" si="190"/>
        <v>19647.44917287428</v>
      </c>
      <c r="BF194" s="220">
        <f t="shared" si="190"/>
        <v>18797.141759233891</v>
      </c>
      <c r="BG194" s="220">
        <f t="shared" si="190"/>
        <v>17983.634170921046</v>
      </c>
      <c r="BH194" s="220">
        <f t="shared" si="190"/>
        <v>17205.33377552692</v>
      </c>
      <c r="BI194" s="220">
        <f t="shared" si="190"/>
        <v>16460.716867002851</v>
      </c>
      <c r="BJ194" s="220">
        <f t="shared" si="190"/>
        <v>15748.325682646409</v>
      </c>
      <c r="BK194" s="220">
        <f t="shared" si="190"/>
        <v>15066.765549188061</v>
      </c>
      <c r="BL194" s="220">
        <f t="shared" si="190"/>
        <v>14414.702152391343</v>
      </c>
      <c r="BN194" s="203"/>
    </row>
    <row r="195" spans="3:66" s="146" customFormat="1" ht="12.75" customHeight="1" x14ac:dyDescent="0.2">
      <c r="F195" s="238"/>
      <c r="G195" s="231" t="s">
        <v>181</v>
      </c>
      <c r="H195" s="238"/>
      <c r="I195" s="238"/>
      <c r="J195" s="238"/>
      <c r="K195" s="238"/>
      <c r="L195" s="232" t="s">
        <v>175</v>
      </c>
      <c r="M195" s="147"/>
      <c r="P195" s="239"/>
      <c r="Q195" s="220">
        <f t="shared" ref="Q195:AK195" si="191">Q170+Q184</f>
        <v>28057.887822587603</v>
      </c>
      <c r="R195" s="220">
        <f t="shared" si="191"/>
        <v>32287.789773641598</v>
      </c>
      <c r="S195" s="220">
        <f t="shared" si="191"/>
        <v>30913.272732745783</v>
      </c>
      <c r="T195" s="220">
        <f t="shared" si="191"/>
        <v>34036.860479178882</v>
      </c>
      <c r="U195" s="220">
        <f t="shared" si="191"/>
        <v>28337.290520949442</v>
      </c>
      <c r="V195" s="220">
        <f t="shared" si="191"/>
        <v>122519.12358641783</v>
      </c>
      <c r="W195" s="220">
        <f t="shared" si="191"/>
        <v>156875.24685445853</v>
      </c>
      <c r="X195" s="220">
        <f t="shared" si="191"/>
        <v>24870.145640139897</v>
      </c>
      <c r="Y195" s="220">
        <f t="shared" si="191"/>
        <v>23811.403644122682</v>
      </c>
      <c r="Z195" s="220">
        <f t="shared" si="191"/>
        <v>22797.733141869459</v>
      </c>
      <c r="AA195" s="220">
        <f t="shared" si="191"/>
        <v>21827.215403833623</v>
      </c>
      <c r="AB195" s="220">
        <f t="shared" si="191"/>
        <v>20898.013382320194</v>
      </c>
      <c r="AC195" s="220">
        <f t="shared" si="191"/>
        <v>20008.368234223897</v>
      </c>
      <c r="AD195" s="220">
        <f t="shared" si="191"/>
        <v>19156.595991798535</v>
      </c>
      <c r="AE195" s="220">
        <f t="shared" si="191"/>
        <v>18341.084375150942</v>
      </c>
      <c r="AF195" s="220">
        <f t="shared" si="191"/>
        <v>17560.289740433251</v>
      </c>
      <c r="AG195" s="220">
        <f t="shared" si="191"/>
        <v>16812.734157951098</v>
      </c>
      <c r="AH195" s="220">
        <f t="shared" si="191"/>
        <v>16097.002614660152</v>
      </c>
      <c r="AI195" s="220">
        <f t="shared" si="191"/>
        <v>15411.740335751669</v>
      </c>
      <c r="AJ195" s="220">
        <f t="shared" si="191"/>
        <v>14755.650220266529</v>
      </c>
      <c r="AK195" s="220">
        <f t="shared" si="191"/>
        <v>14127.490385869405</v>
      </c>
      <c r="AM195" s="203"/>
      <c r="AQ195" s="239"/>
      <c r="AR195" s="220">
        <f t="shared" ref="AR195:BL195" si="192">AR170+AR184</f>
        <v>28057.887822587603</v>
      </c>
      <c r="AS195" s="220">
        <f t="shared" si="192"/>
        <v>30673.400284959516</v>
      </c>
      <c r="AT195" s="220">
        <f t="shared" si="192"/>
        <v>23167.822809744397</v>
      </c>
      <c r="AU195" s="220">
        <f t="shared" si="192"/>
        <v>25489.93371313297</v>
      </c>
      <c r="AV195" s="220">
        <f t="shared" si="192"/>
        <v>21205.890203924562</v>
      </c>
      <c r="AW195" s="220">
        <f t="shared" si="192"/>
        <v>91618.049453188083</v>
      </c>
      <c r="AX195" s="220">
        <f t="shared" si="192"/>
        <v>117222.38580438432</v>
      </c>
      <c r="AY195" s="220">
        <f t="shared" si="192"/>
        <v>18570.065546698141</v>
      </c>
      <c r="AZ195" s="220">
        <f t="shared" si="192"/>
        <v>17766.385421751133</v>
      </c>
      <c r="BA195" s="220">
        <f t="shared" si="192"/>
        <v>16997.487174208378</v>
      </c>
      <c r="BB195" s="220">
        <f t="shared" si="192"/>
        <v>16261.86550493637</v>
      </c>
      <c r="BC195" s="220">
        <f t="shared" si="192"/>
        <v>15558.080261528776</v>
      </c>
      <c r="BD195" s="220">
        <f t="shared" si="192"/>
        <v>14884.753618869305</v>
      </c>
      <c r="BE195" s="220">
        <f t="shared" si="192"/>
        <v>14240.567381716039</v>
      </c>
      <c r="BF195" s="220">
        <f t="shared" si="192"/>
        <v>13624.260404022662</v>
      </c>
      <c r="BG195" s="220">
        <f t="shared" si="192"/>
        <v>13034.62611994966</v>
      </c>
      <c r="BH195" s="220">
        <f t="shared" si="192"/>
        <v>12470.510181727603</v>
      </c>
      <c r="BI195" s="220">
        <f t="shared" si="192"/>
        <v>11930.808199750414</v>
      </c>
      <c r="BJ195" s="220">
        <f t="shared" si="192"/>
        <v>11414.463580471256</v>
      </c>
      <c r="BK195" s="220">
        <f t="shared" si="192"/>
        <v>10920.465457875147</v>
      </c>
      <c r="BL195" s="220">
        <f t="shared" si="192"/>
        <v>10447.846714468065</v>
      </c>
      <c r="BN195" s="203"/>
    </row>
    <row r="196" spans="3:66" s="233" customFormat="1" ht="12.75" customHeight="1" x14ac:dyDescent="0.2">
      <c r="F196" s="240"/>
      <c r="G196" s="235" t="s">
        <v>374</v>
      </c>
      <c r="H196" s="240"/>
      <c r="I196" s="240"/>
      <c r="J196" s="240"/>
      <c r="K196" s="240"/>
      <c r="L196" s="224" t="s">
        <v>175</v>
      </c>
      <c r="M196" s="236"/>
      <c r="P196" s="239"/>
      <c r="Q196" s="237">
        <f>SUM(Q187:Q195)</f>
        <v>1167100.0862505054</v>
      </c>
      <c r="R196" s="237">
        <f t="shared" ref="R196:AK196" si="193">SUM(R187:R195)</f>
        <v>1352432.3268555738</v>
      </c>
      <c r="S196" s="237">
        <f t="shared" si="193"/>
        <v>1303931.8218353027</v>
      </c>
      <c r="T196" s="237">
        <f t="shared" si="193"/>
        <v>1445774.6415276257</v>
      </c>
      <c r="U196" s="237">
        <f t="shared" si="193"/>
        <v>1212157.7508170411</v>
      </c>
      <c r="V196" s="237">
        <f t="shared" si="193"/>
        <v>5277920.9185923273</v>
      </c>
      <c r="W196" s="237">
        <f t="shared" si="193"/>
        <v>6805813.2178925965</v>
      </c>
      <c r="X196" s="237">
        <f t="shared" si="193"/>
        <v>1086623.0965375481</v>
      </c>
      <c r="Y196" s="237">
        <f t="shared" si="193"/>
        <v>1047777.2312268872</v>
      </c>
      <c r="Z196" s="237">
        <f t="shared" si="193"/>
        <v>1010339.4284235593</v>
      </c>
      <c r="AA196" s="237">
        <f t="shared" si="193"/>
        <v>974257.88570092618</v>
      </c>
      <c r="AB196" s="237">
        <f t="shared" si="193"/>
        <v>939482.73616240034</v>
      </c>
      <c r="AC196" s="237">
        <f t="shared" si="193"/>
        <v>905965.9749830463</v>
      </c>
      <c r="AD196" s="237">
        <f t="shared" si="193"/>
        <v>873661.38878216327</v>
      </c>
      <c r="AE196" s="237">
        <f t="shared" si="193"/>
        <v>842524.48771614453</v>
      </c>
      <c r="AF196" s="237">
        <f t="shared" si="193"/>
        <v>812512.44018524571</v>
      </c>
      <c r="AG196" s="237">
        <f t="shared" si="193"/>
        <v>783584.01005228644</v>
      </c>
      <c r="AH196" s="237">
        <f t="shared" si="193"/>
        <v>755699.49627513788</v>
      </c>
      <c r="AI196" s="237">
        <f t="shared" si="193"/>
        <v>728820.67485869688</v>
      </c>
      <c r="AJ196" s="237">
        <f t="shared" si="193"/>
        <v>702910.74303626223</v>
      </c>
      <c r="AK196" s="237">
        <f t="shared" si="193"/>
        <v>677934.26559292339</v>
      </c>
      <c r="AM196" s="207"/>
      <c r="AQ196" s="239"/>
      <c r="AR196" s="237">
        <f>SUM(AR187:AR195)</f>
        <v>1167100.0862505054</v>
      </c>
      <c r="AS196" s="237">
        <f>SUM(AS187:AS195)</f>
        <v>1284810.7105127948</v>
      </c>
      <c r="AT196" s="237">
        <f t="shared" ref="AT196:BL196" si="194">SUM(AT187:AT195)</f>
        <v>976891.01175551547</v>
      </c>
      <c r="AU196" s="237">
        <f>SUM(AU187:AU195)</f>
        <v>1081984.3598288696</v>
      </c>
      <c r="AV196" s="237">
        <f t="shared" si="194"/>
        <v>906166.20753398316</v>
      </c>
      <c r="AW196" s="237">
        <f t="shared" si="194"/>
        <v>3941296.7268149396</v>
      </c>
      <c r="AX196" s="237">
        <f t="shared" si="194"/>
        <v>5076717.6904937476</v>
      </c>
      <c r="AY196" s="237">
        <f t="shared" si="194"/>
        <v>809669.64524242654</v>
      </c>
      <c r="AZ196" s="237">
        <f t="shared" si="194"/>
        <v>779871.4660670727</v>
      </c>
      <c r="BA196" s="237">
        <f t="shared" si="194"/>
        <v>751182.9786251419</v>
      </c>
      <c r="BB196" s="237">
        <f t="shared" si="194"/>
        <v>723562.33177724038</v>
      </c>
      <c r="BC196" s="237">
        <f t="shared" si="194"/>
        <v>696969.27374137915</v>
      </c>
      <c r="BD196" s="237">
        <f t="shared" si="194"/>
        <v>671365.09014691471</v>
      </c>
      <c r="BE196" s="237">
        <f t="shared" si="194"/>
        <v>646712.54451988265</v>
      </c>
      <c r="BF196" s="237">
        <f t="shared" si="194"/>
        <v>622975.82110306085</v>
      </c>
      <c r="BG196" s="237">
        <f t="shared" si="194"/>
        <v>600120.46991794091</v>
      </c>
      <c r="BH196" s="237">
        <f t="shared" si="194"/>
        <v>578113.3539796673</v>
      </c>
      <c r="BI196" s="237">
        <f t="shared" si="194"/>
        <v>556922.59857941198</v>
      </c>
      <c r="BJ196" s="237">
        <f t="shared" si="194"/>
        <v>536517.54255206976</v>
      </c>
      <c r="BK196" s="237">
        <f t="shared" si="194"/>
        <v>516868.69145081146</v>
      </c>
      <c r="BL196" s="237">
        <f t="shared" si="194"/>
        <v>497947.67255254614</v>
      </c>
      <c r="BN196" s="207"/>
    </row>
    <row r="197" spans="3:66" s="146" customFormat="1" x14ac:dyDescent="0.2">
      <c r="L197" s="241"/>
      <c r="M197" s="147"/>
      <c r="Q197" s="242"/>
      <c r="AM197" s="203"/>
      <c r="BN197" s="203"/>
    </row>
    <row r="198" spans="3:66" x14ac:dyDescent="0.2">
      <c r="C198" t="s">
        <v>65</v>
      </c>
      <c r="F198" s="158"/>
      <c r="L198" s="4"/>
      <c r="M198" s="63"/>
    </row>
    <row r="199" spans="3:66" x14ac:dyDescent="0.2">
      <c r="D199" t="s">
        <v>360</v>
      </c>
      <c r="L199" s="4"/>
      <c r="M199" s="63"/>
    </row>
    <row r="200" spans="3:66" ht="26.25" customHeight="1" x14ac:dyDescent="0.2">
      <c r="D200" t="s">
        <v>355</v>
      </c>
      <c r="L200" s="183" t="s">
        <v>356</v>
      </c>
      <c r="M200" s="63"/>
      <c r="Q200" s="63">
        <f>'Data &amp; Assumptions'!$D$18</f>
        <v>1072.3076923076924</v>
      </c>
      <c r="R200" s="147">
        <f t="shared" ref="R200:AK200" si="195">Q200*(1+Q18)</f>
        <v>1131.5278409952969</v>
      </c>
      <c r="S200" s="147">
        <f t="shared" si="195"/>
        <v>1194.0185304388242</v>
      </c>
      <c r="T200" s="147">
        <f t="shared" si="195"/>
        <v>1259.9603822184831</v>
      </c>
      <c r="U200" s="147">
        <f t="shared" si="195"/>
        <v>1379.2465722510024</v>
      </c>
      <c r="V200" s="147">
        <f t="shared" si="195"/>
        <v>1443.2392562547511</v>
      </c>
      <c r="W200" s="147">
        <f t="shared" si="195"/>
        <v>1510.2009986476176</v>
      </c>
      <c r="X200" s="147">
        <f t="shared" si="195"/>
        <v>1580.2695543597977</v>
      </c>
      <c r="Y200" s="147">
        <f t="shared" si="195"/>
        <v>1653.5890697150896</v>
      </c>
      <c r="Z200" s="147">
        <f t="shared" si="195"/>
        <v>1713.9866961508828</v>
      </c>
      <c r="AA200" s="147">
        <f t="shared" si="195"/>
        <v>1776.5903563261868</v>
      </c>
      <c r="AB200" s="147">
        <f t="shared" si="195"/>
        <v>1841.4806260044386</v>
      </c>
      <c r="AC200" s="147">
        <f t="shared" si="195"/>
        <v>1908.7410239927549</v>
      </c>
      <c r="AD200" s="147">
        <f t="shared" si="195"/>
        <v>1978.4581196371103</v>
      </c>
      <c r="AE200" s="147">
        <f t="shared" si="195"/>
        <v>2050.7216442437966</v>
      </c>
      <c r="AF200" s="147">
        <f t="shared" si="195"/>
        <v>2117.593002208268</v>
      </c>
      <c r="AG200" s="147">
        <f t="shared" si="195"/>
        <v>2186.6449479324506</v>
      </c>
      <c r="AH200" s="147">
        <f t="shared" si="195"/>
        <v>2257.9485875389432</v>
      </c>
      <c r="AI200" s="147">
        <f t="shared" si="195"/>
        <v>2331.5773458282565</v>
      </c>
      <c r="AJ200" s="147">
        <f t="shared" si="195"/>
        <v>2407.6070418878735</v>
      </c>
      <c r="AK200" s="147">
        <f t="shared" si="195"/>
        <v>2486.1159671668256</v>
      </c>
      <c r="AL200" s="63"/>
      <c r="AR200" s="63">
        <f>'Data &amp; Assumptions'!$D$18</f>
        <v>1072.3076923076924</v>
      </c>
      <c r="AS200" s="63">
        <f t="shared" ref="AS200:BL200" si="196">AR200*(1+AR18)</f>
        <v>1131.5278409952969</v>
      </c>
      <c r="AT200" s="63">
        <f t="shared" si="196"/>
        <v>1194.0185304388242</v>
      </c>
      <c r="AU200" s="63">
        <f t="shared" si="196"/>
        <v>1259.9603822184831</v>
      </c>
      <c r="AV200" s="147">
        <f t="shared" si="196"/>
        <v>1379.2465722510024</v>
      </c>
      <c r="AW200" s="63">
        <f t="shared" si="196"/>
        <v>1443.2392562547511</v>
      </c>
      <c r="AX200" s="63">
        <f t="shared" si="196"/>
        <v>1510.2009986476176</v>
      </c>
      <c r="AY200" s="63">
        <f t="shared" si="196"/>
        <v>1580.2695543597977</v>
      </c>
      <c r="AZ200" s="63">
        <f t="shared" si="196"/>
        <v>1653.5890697150896</v>
      </c>
      <c r="BA200" s="63">
        <f t="shared" si="196"/>
        <v>1713.9866961508828</v>
      </c>
      <c r="BB200" s="63">
        <f t="shared" si="196"/>
        <v>1776.5903563261868</v>
      </c>
      <c r="BC200" s="63">
        <f t="shared" si="196"/>
        <v>1841.4806260044386</v>
      </c>
      <c r="BD200" s="63">
        <f t="shared" si="196"/>
        <v>1908.7410239927549</v>
      </c>
      <c r="BE200" s="63">
        <f t="shared" si="196"/>
        <v>1978.4581196371103</v>
      </c>
      <c r="BF200" s="63">
        <f t="shared" si="196"/>
        <v>2050.7216442437966</v>
      </c>
      <c r="BG200" s="63">
        <f t="shared" si="196"/>
        <v>2117.593002208268</v>
      </c>
      <c r="BH200" s="63">
        <f t="shared" si="196"/>
        <v>2186.6449479324506</v>
      </c>
      <c r="BI200" s="63">
        <f t="shared" si="196"/>
        <v>2257.9485875389432</v>
      </c>
      <c r="BJ200" s="63">
        <f t="shared" si="196"/>
        <v>2331.5773458282565</v>
      </c>
      <c r="BK200" s="63">
        <f t="shared" si="196"/>
        <v>2407.6070418878735</v>
      </c>
      <c r="BL200" s="63">
        <f t="shared" si="196"/>
        <v>2486.1159671668256</v>
      </c>
    </row>
    <row r="201" spans="3:66" x14ac:dyDescent="0.2">
      <c r="D201" s="18" t="s">
        <v>351</v>
      </c>
      <c r="E201" s="18"/>
      <c r="F201" s="18"/>
      <c r="G201" s="67"/>
      <c r="L201" s="182" t="s">
        <v>55</v>
      </c>
      <c r="M201" s="63"/>
      <c r="O201" s="75">
        <f>'Data &amp; Assumptions'!$D$144</f>
        <v>0.18</v>
      </c>
      <c r="P201" s="75">
        <f>IF(O201*(1+'Data &amp; Assumptions'!$D$145)&lt;'Data &amp; Assumptions'!$D$146,O201*(1+'Data &amp; Assumptions'!$D$145),'Data &amp; Assumptions'!$D$146)</f>
        <v>0.18639167443944482</v>
      </c>
      <c r="Q201" s="75">
        <f>IF(P201*(1+'Data &amp; Assumptions'!$D$145)&lt;'Data &amp; Assumptions'!$D$146,P201*(1+'Data &amp; Assumptions'!$D$145),'Data &amp; Assumptions'!$D$146)</f>
        <v>0.19301031277966663</v>
      </c>
      <c r="R201" s="246">
        <f>IF(Q201*(1+'Data &amp; Assumptions'!$D$145)&lt;'Data &amp; Assumptions'!$D$146,Q201*(1+'Data &amp; Assumptions'!$D$145),'Data &amp; Assumptions'!$D$146)</f>
        <v>0.19986397435046133</v>
      </c>
      <c r="S201" s="75">
        <f>IF(R201*(1+'Data &amp; Assumptions'!$D$145)&lt;'Data &amp; Assumptions'!$D$146,R201*(1+'Data &amp; Assumptions'!$D$145),'Data &amp; Assumptions'!$D$146)</f>
        <v>0.20696100466280412</v>
      </c>
      <c r="T201" s="75">
        <f>IF(S201*(1+'Data &amp; Assumptions'!$D$145)&lt;'Data &amp; Assumptions'!$D$146,S201*(1+'Data &amp; Assumptions'!$D$145),'Data &amp; Assumptions'!$D$146)</f>
        <v>0.21431004557094338</v>
      </c>
      <c r="U201" s="246">
        <f>IF(T201*(1+'Data &amp; Assumptions'!$D$145)&lt;'Data &amp; Assumptions'!$D$146,T201*(1+'Data &amp; Assumptions'!$D$145),'Data &amp; Assumptions'!$D$146)</f>
        <v>0.22192004579534369</v>
      </c>
      <c r="V201" s="75">
        <f>IF(U201*(1+'Data &amp; Assumptions'!$D$145)&lt;'Data &amp; Assumptions'!$D$146,U201*(1+'Data &amp; Assumptions'!$D$145),'Data &amp; Assumptions'!$D$146)</f>
        <v>0.22980027181929105</v>
      </c>
      <c r="W201" s="75">
        <f>IF(V201*(1+'Data &amp; Assumptions'!$D$145)&lt;'Data &amp; Assumptions'!$D$146,V201*(1+'Data &amp; Assumptions'!$D$145),'Data &amp; Assumptions'!$D$146)</f>
        <v>0.23</v>
      </c>
      <c r="X201" s="75">
        <f>IF(W201*(1+'Data &amp; Assumptions'!$D$145)&lt;'Data &amp; Assumptions'!$D$146,W201*(1+'Data &amp; Assumptions'!$D$145),'Data &amp; Assumptions'!$D$146)</f>
        <v>0.23</v>
      </c>
      <c r="Y201" s="75">
        <f>IF(X201*(1+'Data &amp; Assumptions'!$D$145)&lt;'Data &amp; Assumptions'!$D$146,X201*(1+'Data &amp; Assumptions'!$D$145),'Data &amp; Assumptions'!$D$146)</f>
        <v>0.23</v>
      </c>
      <c r="Z201" s="75">
        <f>IF(Y201*(1+'Data &amp; Assumptions'!$D$145)&lt;'Data &amp; Assumptions'!$D$146,Y201*(1+'Data &amp; Assumptions'!$D$145),'Data &amp; Assumptions'!$D$146)</f>
        <v>0.23</v>
      </c>
      <c r="AA201" s="75">
        <f>IF(Z201*(1+'Data &amp; Assumptions'!$D$145)&lt;'Data &amp; Assumptions'!$D$146,Z201*(1+'Data &amp; Assumptions'!$D$145),'Data &amp; Assumptions'!$D$146)</f>
        <v>0.23</v>
      </c>
      <c r="AB201" s="75">
        <f>IF(AA201*(1+'Data &amp; Assumptions'!$D$145)&lt;'Data &amp; Assumptions'!$D$146,AA201*(1+'Data &amp; Assumptions'!$D$145),'Data &amp; Assumptions'!$D$146)</f>
        <v>0.23</v>
      </c>
      <c r="AC201" s="75">
        <f>IF(AB201*(1+'Data &amp; Assumptions'!$D$145)&lt;'Data &amp; Assumptions'!$D$146,AB201*(1+'Data &amp; Assumptions'!$D$145),'Data &amp; Assumptions'!$D$146)</f>
        <v>0.23</v>
      </c>
      <c r="AD201" s="75">
        <f>IF(AC201*(1+'Data &amp; Assumptions'!$D$145)&lt;'Data &amp; Assumptions'!$D$146,AC201*(1+'Data &amp; Assumptions'!$D$145),'Data &amp; Assumptions'!$D$146)</f>
        <v>0.23</v>
      </c>
      <c r="AE201" s="75">
        <f>IF(AD201*(1+'Data &amp; Assumptions'!$D$145)&lt;'Data &amp; Assumptions'!$D$146,AD201*(1+'Data &amp; Assumptions'!$D$145),'Data &amp; Assumptions'!$D$146)</f>
        <v>0.23</v>
      </c>
      <c r="AF201" s="75">
        <f>IF(AE201*(1+'Data &amp; Assumptions'!$D$145)&lt;'Data &amp; Assumptions'!$D$146,AE201*(1+'Data &amp; Assumptions'!$D$145),'Data &amp; Assumptions'!$D$146)</f>
        <v>0.23</v>
      </c>
      <c r="AG201" s="75">
        <f>IF(AF201*(1+'Data &amp; Assumptions'!$D$145)&lt;'Data &amp; Assumptions'!$D$146,AF201*(1+'Data &amp; Assumptions'!$D$145),'Data &amp; Assumptions'!$D$146)</f>
        <v>0.23</v>
      </c>
      <c r="AH201" s="75">
        <f>IF(AG201*(1+'Data &amp; Assumptions'!$D$145)&lt;'Data &amp; Assumptions'!$D$146,AG201*(1+'Data &amp; Assumptions'!$D$145),'Data &amp; Assumptions'!$D$146)</f>
        <v>0.23</v>
      </c>
      <c r="AI201" s="75">
        <f>IF(AH201*(1+'Data &amp; Assumptions'!$D$145)&lt;'Data &amp; Assumptions'!$D$146,AH201*(1+'Data &amp; Assumptions'!$D$145),'Data &amp; Assumptions'!$D$146)</f>
        <v>0.23</v>
      </c>
      <c r="AJ201" s="75">
        <f>IF(AI201*(1+'Data &amp; Assumptions'!$D$145)&lt;'Data &amp; Assumptions'!$D$146,AI201*(1+'Data &amp; Assumptions'!$D$145),'Data &amp; Assumptions'!$D$146)</f>
        <v>0.23</v>
      </c>
      <c r="AK201" s="75">
        <f>IF(AJ201*(1+'Data &amp; Assumptions'!$D$145)&lt;'Data &amp; Assumptions'!$D$146,AJ201*(1+'Data &amp; Assumptions'!$D$145),'Data &amp; Assumptions'!$D$146)</f>
        <v>0.23</v>
      </c>
      <c r="AL201" s="75"/>
      <c r="AP201" s="75">
        <f>'Data &amp; Assumptions'!$D$144</f>
        <v>0.18</v>
      </c>
      <c r="AQ201" s="75">
        <f>IF(AP201*(1+'Data &amp; Assumptions'!$D$145)&lt;'Data &amp; Assumptions'!$D$146,AP201*(1+'Data &amp; Assumptions'!$D$145),'Data &amp; Assumptions'!$D$146)</f>
        <v>0.18639167443944482</v>
      </c>
      <c r="AR201" s="75">
        <f>IF(AQ201*(1+'Data &amp; Assumptions'!$D$145)&lt;'Data &amp; Assumptions'!$D$146,AQ201*(1+'Data &amp; Assumptions'!$D$145),'Data &amp; Assumptions'!$D$146)</f>
        <v>0.19301031277966663</v>
      </c>
      <c r="AS201" s="75">
        <f>IF(AR201*(1+'Data &amp; Assumptions'!$D$145)&lt;'Data &amp; Assumptions'!$D$146,AR201*(1+'Data &amp; Assumptions'!$D$145),'Data &amp; Assumptions'!$D$146)</f>
        <v>0.19986397435046133</v>
      </c>
      <c r="AT201" s="75">
        <f>IF(AS201*(1+'Data &amp; Assumptions'!$D$145)&lt;'Data &amp; Assumptions'!$D$146,AS201*(1+'Data &amp; Assumptions'!$D$145),'Data &amp; Assumptions'!$D$146)</f>
        <v>0.20696100466280412</v>
      </c>
      <c r="AU201" s="75">
        <f>IF(AT201*(1+'Data &amp; Assumptions'!$D$145)&lt;'Data &amp; Assumptions'!$D$146,AT201*(1+'Data &amp; Assumptions'!$D$145),'Data &amp; Assumptions'!$D$146)</f>
        <v>0.21431004557094338</v>
      </c>
      <c r="AV201" s="246">
        <f>IF(AU201*(1+'Data &amp; Assumptions'!$D$145)&lt;'Data &amp; Assumptions'!$D$146,AU201*(1+'Data &amp; Assumptions'!$D$145),'Data &amp; Assumptions'!$D$146)</f>
        <v>0.22192004579534369</v>
      </c>
      <c r="AW201" s="75">
        <f>IF(AV201*(1+'Data &amp; Assumptions'!$D$145)&lt;'Data &amp; Assumptions'!$D$146,AV201*(1+'Data &amp; Assumptions'!$D$145),'Data &amp; Assumptions'!$D$146)</f>
        <v>0.22980027181929105</v>
      </c>
      <c r="AX201" s="75">
        <f>IF(AW201*(1+'Data &amp; Assumptions'!$D$145)&lt;'Data &amp; Assumptions'!$D$146,AW201*(1+'Data &amp; Assumptions'!$D$145),'Data &amp; Assumptions'!$D$146)</f>
        <v>0.23</v>
      </c>
      <c r="AY201" s="75">
        <f>IF(AX201*(1+'Data &amp; Assumptions'!$D$145)&lt;'Data &amp; Assumptions'!$D$146,AX201*(1+'Data &amp; Assumptions'!$D$145),'Data &amp; Assumptions'!$D$146)</f>
        <v>0.23</v>
      </c>
      <c r="AZ201" s="75">
        <f>IF(AY201*(1+'Data &amp; Assumptions'!$D$145)&lt;'Data &amp; Assumptions'!$D$146,AY201*(1+'Data &amp; Assumptions'!$D$145),'Data &amp; Assumptions'!$D$146)</f>
        <v>0.23</v>
      </c>
      <c r="BA201" s="75">
        <f>IF(AZ201*(1+'Data &amp; Assumptions'!$D$145)&lt;'Data &amp; Assumptions'!$D$146,AZ201*(1+'Data &amp; Assumptions'!$D$145),'Data &amp; Assumptions'!$D$146)</f>
        <v>0.23</v>
      </c>
      <c r="BB201" s="75">
        <f>IF(BA201*(1+'Data &amp; Assumptions'!$D$145)&lt;'Data &amp; Assumptions'!$D$146,BA201*(1+'Data &amp; Assumptions'!$D$145),'Data &amp; Assumptions'!$D$146)</f>
        <v>0.23</v>
      </c>
      <c r="BC201" s="75">
        <f>IF(BB201*(1+'Data &amp; Assumptions'!$D$145)&lt;'Data &amp; Assumptions'!$D$146,BB201*(1+'Data &amp; Assumptions'!$D$145),'Data &amp; Assumptions'!$D$146)</f>
        <v>0.23</v>
      </c>
      <c r="BD201" s="75">
        <f>IF(BC201*(1+'Data &amp; Assumptions'!$D$145)&lt;'Data &amp; Assumptions'!$D$146,BC201*(1+'Data &amp; Assumptions'!$D$145),'Data &amp; Assumptions'!$D$146)</f>
        <v>0.23</v>
      </c>
      <c r="BE201" s="75">
        <f>IF(BD201*(1+'Data &amp; Assumptions'!$D$145)&lt;'Data &amp; Assumptions'!$D$146,BD201*(1+'Data &amp; Assumptions'!$D$145),'Data &amp; Assumptions'!$D$146)</f>
        <v>0.23</v>
      </c>
      <c r="BF201" s="75">
        <f>IF(BE201*(1+'Data &amp; Assumptions'!$D$145)&lt;'Data &amp; Assumptions'!$D$146,BE201*(1+'Data &amp; Assumptions'!$D$145),'Data &amp; Assumptions'!$D$146)</f>
        <v>0.23</v>
      </c>
      <c r="BG201" s="75">
        <f>IF(BF201*(1+'Data &amp; Assumptions'!$D$145)&lt;'Data &amp; Assumptions'!$D$146,BF201*(1+'Data &amp; Assumptions'!$D$145),'Data &amp; Assumptions'!$D$146)</f>
        <v>0.23</v>
      </c>
      <c r="BH201" s="75">
        <f>IF(BG201*(1+'Data &amp; Assumptions'!$D$145)&lt;'Data &amp; Assumptions'!$D$146,BG201*(1+'Data &amp; Assumptions'!$D$145),'Data &amp; Assumptions'!$D$146)</f>
        <v>0.23</v>
      </c>
      <c r="BI201" s="75">
        <f>IF(BH201*(1+'Data &amp; Assumptions'!$D$145)&lt;'Data &amp; Assumptions'!$D$146,BH201*(1+'Data &amp; Assumptions'!$D$145),'Data &amp; Assumptions'!$D$146)</f>
        <v>0.23</v>
      </c>
      <c r="BJ201" s="75">
        <f>IF(BI201*(1+'Data &amp; Assumptions'!$D$145)&lt;'Data &amp; Assumptions'!$D$146,BI201*(1+'Data &amp; Assumptions'!$D$145),'Data &amp; Assumptions'!$D$146)</f>
        <v>0.23</v>
      </c>
      <c r="BK201" s="75">
        <f>IF(BJ201*(1+'Data &amp; Assumptions'!$D$145)&lt;'Data &amp; Assumptions'!$D$146,BJ201*(1+'Data &amp; Assumptions'!$D$145),'Data &amp; Assumptions'!$D$146)</f>
        <v>0.23</v>
      </c>
      <c r="BL201" s="75">
        <f>IF(BK201*(1+'Data &amp; Assumptions'!$D$145)&lt;'Data &amp; Assumptions'!$D$146,BK201*(1+'Data &amp; Assumptions'!$D$145),'Data &amp; Assumptions'!$D$146)</f>
        <v>0.23</v>
      </c>
    </row>
    <row r="202" spans="3:66" x14ac:dyDescent="0.2">
      <c r="D202" s="156" t="s">
        <v>341</v>
      </c>
      <c r="E202" s="18"/>
      <c r="F202" s="18"/>
      <c r="G202" s="67"/>
      <c r="L202" s="182"/>
      <c r="M202" s="63"/>
      <c r="Q202" s="63">
        <f>Q200*Q201</f>
        <v>206.96644308835022</v>
      </c>
      <c r="R202" s="147">
        <f t="shared" ref="R202:AK202" si="197">R200*R201</f>
        <v>226.1516513895169</v>
      </c>
      <c r="S202" s="63">
        <f t="shared" si="197"/>
        <v>247.11527464562403</v>
      </c>
      <c r="T202" s="63">
        <f t="shared" si="197"/>
        <v>270.02216693082636</v>
      </c>
      <c r="U202" s="147">
        <f t="shared" si="197"/>
        <v>306.08246247701328</v>
      </c>
      <c r="V202" s="63">
        <f t="shared" si="197"/>
        <v>331.65677338761327</v>
      </c>
      <c r="W202" s="63">
        <f t="shared" si="197"/>
        <v>347.34622968895206</v>
      </c>
      <c r="X202" s="63">
        <f t="shared" si="197"/>
        <v>363.46199750275349</v>
      </c>
      <c r="Y202" s="63">
        <f t="shared" si="197"/>
        <v>380.32548603447066</v>
      </c>
      <c r="Z202" s="63">
        <f t="shared" si="197"/>
        <v>394.21694011470305</v>
      </c>
      <c r="AA202" s="63">
        <f t="shared" si="197"/>
        <v>408.61578195502295</v>
      </c>
      <c r="AB202" s="63">
        <f t="shared" si="197"/>
        <v>423.5405439810209</v>
      </c>
      <c r="AC202" s="63">
        <f t="shared" si="197"/>
        <v>439.01043551833362</v>
      </c>
      <c r="AD202" s="63">
        <f t="shared" si="197"/>
        <v>455.04536751653541</v>
      </c>
      <c r="AE202" s="63">
        <f t="shared" si="197"/>
        <v>471.66597817607322</v>
      </c>
      <c r="AF202" s="63">
        <f t="shared" si="197"/>
        <v>487.04639050790166</v>
      </c>
      <c r="AG202" s="63">
        <f t="shared" si="197"/>
        <v>502.92833802446364</v>
      </c>
      <c r="AH202" s="63">
        <f t="shared" si="197"/>
        <v>519.32817513395696</v>
      </c>
      <c r="AI202" s="63">
        <f t="shared" si="197"/>
        <v>536.26278954049906</v>
      </c>
      <c r="AJ202" s="63">
        <f t="shared" si="197"/>
        <v>553.74961963421094</v>
      </c>
      <c r="AK202" s="63">
        <f t="shared" si="197"/>
        <v>571.80667244836991</v>
      </c>
      <c r="AL202" s="63"/>
      <c r="AR202" s="63">
        <f t="shared" ref="AR202:BL202" si="198">AR200*AR201</f>
        <v>206.96644308835022</v>
      </c>
      <c r="AS202" s="63">
        <f t="shared" si="198"/>
        <v>226.1516513895169</v>
      </c>
      <c r="AT202" s="63">
        <f t="shared" si="198"/>
        <v>247.11527464562403</v>
      </c>
      <c r="AU202" s="63">
        <f t="shared" si="198"/>
        <v>270.02216693082636</v>
      </c>
      <c r="AV202" s="147">
        <f t="shared" si="198"/>
        <v>306.08246247701328</v>
      </c>
      <c r="AW202" s="63">
        <f t="shared" si="198"/>
        <v>331.65677338761327</v>
      </c>
      <c r="AX202" s="63">
        <f t="shared" si="198"/>
        <v>347.34622968895206</v>
      </c>
      <c r="AY202" s="63">
        <f t="shared" si="198"/>
        <v>363.46199750275349</v>
      </c>
      <c r="AZ202" s="63">
        <f t="shared" si="198"/>
        <v>380.32548603447066</v>
      </c>
      <c r="BA202" s="63">
        <f t="shared" si="198"/>
        <v>394.21694011470305</v>
      </c>
      <c r="BB202" s="63">
        <f t="shared" si="198"/>
        <v>408.61578195502295</v>
      </c>
      <c r="BC202" s="63">
        <f t="shared" si="198"/>
        <v>423.5405439810209</v>
      </c>
      <c r="BD202" s="63">
        <f t="shared" si="198"/>
        <v>439.01043551833362</v>
      </c>
      <c r="BE202" s="63">
        <f t="shared" si="198"/>
        <v>455.04536751653541</v>
      </c>
      <c r="BF202" s="63">
        <f t="shared" si="198"/>
        <v>471.66597817607322</v>
      </c>
      <c r="BG202" s="63">
        <f t="shared" si="198"/>
        <v>487.04639050790166</v>
      </c>
      <c r="BH202" s="63">
        <f t="shared" si="198"/>
        <v>502.92833802446364</v>
      </c>
      <c r="BI202" s="63">
        <f t="shared" si="198"/>
        <v>519.32817513395696</v>
      </c>
      <c r="BJ202" s="63">
        <f t="shared" si="198"/>
        <v>536.26278954049906</v>
      </c>
      <c r="BK202" s="63">
        <f t="shared" si="198"/>
        <v>553.74961963421094</v>
      </c>
      <c r="BL202" s="63">
        <f t="shared" si="198"/>
        <v>571.80667244836991</v>
      </c>
    </row>
    <row r="203" spans="3:66" x14ac:dyDescent="0.2">
      <c r="D203" s="18" t="s">
        <v>342</v>
      </c>
      <c r="E203" s="18"/>
      <c r="F203" s="18"/>
      <c r="G203" s="67"/>
      <c r="L203" s="182"/>
      <c r="M203" s="63"/>
      <c r="Q203" s="63">
        <f>Q202*'Data &amp; Assumptions'!$D$148</f>
        <v>68.988814362783401</v>
      </c>
      <c r="R203" s="147">
        <f>R202*'Data &amp; Assumptions'!$D$148</f>
        <v>75.383883796505629</v>
      </c>
      <c r="S203" s="63">
        <f>S202*'Data &amp; Assumptions'!$D$148</f>
        <v>82.371758215208004</v>
      </c>
      <c r="T203" s="63">
        <f>T202*'Data &amp; Assumptions'!$D$148</f>
        <v>90.00738897694211</v>
      </c>
      <c r="U203" s="147">
        <f>U202*'Data &amp; Assumptions'!$D$148</f>
        <v>102.02748749233776</v>
      </c>
      <c r="V203" s="63">
        <f>V202*'Data &amp; Assumptions'!$D$148</f>
        <v>110.55225779587109</v>
      </c>
      <c r="W203" s="63">
        <f>W202*'Data &amp; Assumptions'!$D$148</f>
        <v>115.78207656298402</v>
      </c>
      <c r="X203" s="63">
        <f>X202*'Data &amp; Assumptions'!$D$148</f>
        <v>121.15399916758449</v>
      </c>
      <c r="Y203" s="63">
        <f>Y202*'Data &amp; Assumptions'!$D$148</f>
        <v>126.77516201149021</v>
      </c>
      <c r="Z203" s="63">
        <f>Z202*'Data &amp; Assumptions'!$D$148</f>
        <v>131.40564670490102</v>
      </c>
      <c r="AA203" s="63">
        <f>AA202*'Data &amp; Assumptions'!$D$148</f>
        <v>136.20526065167431</v>
      </c>
      <c r="AB203" s="63">
        <f>AB202*'Data &amp; Assumptions'!$D$148</f>
        <v>141.18018132700695</v>
      </c>
      <c r="AC203" s="63">
        <f>AC202*'Data &amp; Assumptions'!$D$148</f>
        <v>146.33681183944452</v>
      </c>
      <c r="AD203" s="63">
        <f>AD202*'Data &amp; Assumptions'!$D$148</f>
        <v>151.68178917217847</v>
      </c>
      <c r="AE203" s="63">
        <f>AE202*'Data &amp; Assumptions'!$D$148</f>
        <v>157.22199272535772</v>
      </c>
      <c r="AF203" s="63">
        <f>AF202*'Data &amp; Assumptions'!$D$148</f>
        <v>162.34879683596722</v>
      </c>
      <c r="AG203" s="63">
        <f>AG202*'Data &amp; Assumptions'!$D$148</f>
        <v>167.64277934148788</v>
      </c>
      <c r="AH203" s="63">
        <f>AH202*'Data &amp; Assumptions'!$D$148</f>
        <v>173.10939171131898</v>
      </c>
      <c r="AI203" s="63">
        <f>AI202*'Data &amp; Assumptions'!$D$148</f>
        <v>178.75426318016633</v>
      </c>
      <c r="AJ203" s="63">
        <f>AJ202*'Data &amp; Assumptions'!$D$148</f>
        <v>184.58320654473698</v>
      </c>
      <c r="AK203" s="63">
        <f>AK202*'Data &amp; Assumptions'!$D$148</f>
        <v>190.60222414945662</v>
      </c>
      <c r="AL203" s="63"/>
      <c r="AR203" s="63">
        <f>AR202*'Data &amp; Assumptions'!$D$148</f>
        <v>68.988814362783401</v>
      </c>
      <c r="AS203" s="63">
        <f>AS202*'Data &amp; Assumptions'!$D$148</f>
        <v>75.383883796505629</v>
      </c>
      <c r="AT203" s="63">
        <f>AT202*'Data &amp; Assumptions'!$D$148</f>
        <v>82.371758215208004</v>
      </c>
      <c r="AU203" s="63">
        <f>AU202*'Data &amp; Assumptions'!$D$148</f>
        <v>90.00738897694211</v>
      </c>
      <c r="AV203" s="147">
        <f>AV202*'Data &amp; Assumptions'!$D$148</f>
        <v>102.02748749233776</v>
      </c>
      <c r="AW203" s="63">
        <f>AW202*'Data &amp; Assumptions'!$D$148</f>
        <v>110.55225779587109</v>
      </c>
      <c r="AX203" s="63">
        <f>AX202*'Data &amp; Assumptions'!$D$148</f>
        <v>115.78207656298402</v>
      </c>
      <c r="AY203" s="63">
        <f>AY202*'Data &amp; Assumptions'!$D$148</f>
        <v>121.15399916758449</v>
      </c>
      <c r="AZ203" s="63">
        <f>AZ202*'Data &amp; Assumptions'!$D$148</f>
        <v>126.77516201149021</v>
      </c>
      <c r="BA203" s="63">
        <f>BA202*'Data &amp; Assumptions'!$D$148</f>
        <v>131.40564670490102</v>
      </c>
      <c r="BB203" s="63">
        <f>BB202*'Data &amp; Assumptions'!$D$148</f>
        <v>136.20526065167431</v>
      </c>
      <c r="BC203" s="63">
        <f>BC202*'Data &amp; Assumptions'!$D$148</f>
        <v>141.18018132700695</v>
      </c>
      <c r="BD203" s="63">
        <f>BD202*'Data &amp; Assumptions'!$D$148</f>
        <v>146.33681183944452</v>
      </c>
      <c r="BE203" s="63">
        <f>BE202*'Data &amp; Assumptions'!$D$148</f>
        <v>151.68178917217847</v>
      </c>
      <c r="BF203" s="63">
        <f>BF202*'Data &amp; Assumptions'!$D$148</f>
        <v>157.22199272535772</v>
      </c>
      <c r="BG203" s="63">
        <f>BG202*'Data &amp; Assumptions'!$D$148</f>
        <v>162.34879683596722</v>
      </c>
      <c r="BH203" s="63">
        <f>BH202*'Data &amp; Assumptions'!$D$148</f>
        <v>167.64277934148788</v>
      </c>
      <c r="BI203" s="63">
        <f>BI202*'Data &amp; Assumptions'!$D$148</f>
        <v>173.10939171131898</v>
      </c>
      <c r="BJ203" s="63">
        <f>BJ202*'Data &amp; Assumptions'!$D$148</f>
        <v>178.75426318016633</v>
      </c>
      <c r="BK203" s="63">
        <f>BK202*'Data &amp; Assumptions'!$D$148</f>
        <v>184.58320654473698</v>
      </c>
      <c r="BL203" s="63">
        <f>BL202*'Data &amp; Assumptions'!$D$148</f>
        <v>190.60222414945662</v>
      </c>
    </row>
    <row r="204" spans="3:66" x14ac:dyDescent="0.2">
      <c r="D204" s="18" t="s">
        <v>362</v>
      </c>
      <c r="E204" s="18"/>
      <c r="F204" s="18"/>
      <c r="G204" s="67"/>
      <c r="L204" s="182"/>
      <c r="M204" s="63"/>
      <c r="Q204" s="63">
        <f>Q203*'Data &amp; Assumptions'!$D$150</f>
        <v>27.595525745113363</v>
      </c>
      <c r="R204" s="147">
        <f>R203*'Data &amp; Assumptions'!$D$150</f>
        <v>30.153553518602251</v>
      </c>
      <c r="S204" s="63">
        <f>S203*'Data &amp; Assumptions'!$D$150</f>
        <v>32.948703286083202</v>
      </c>
      <c r="T204" s="63">
        <f>T203*'Data &amp; Assumptions'!$D$150</f>
        <v>36.002955590776843</v>
      </c>
      <c r="U204" s="147">
        <f>U203*'Data &amp; Assumptions'!$D$150</f>
        <v>40.810994996935108</v>
      </c>
      <c r="V204" s="63">
        <f>V203*'Data &amp; Assumptions'!$D$150</f>
        <v>44.220903118348438</v>
      </c>
      <c r="W204" s="63">
        <f>W203*'Data &amp; Assumptions'!$D$150</f>
        <v>46.312830625193612</v>
      </c>
      <c r="X204" s="63">
        <f>X203*'Data &amp; Assumptions'!$D$150</f>
        <v>48.461599667033795</v>
      </c>
      <c r="Y204" s="63">
        <f>Y203*'Data &amp; Assumptions'!$D$150</f>
        <v>50.710064804596087</v>
      </c>
      <c r="Z204" s="63">
        <f>Z203*'Data &amp; Assumptions'!$D$150</f>
        <v>52.562258681960408</v>
      </c>
      <c r="AA204" s="63">
        <f>AA203*'Data &amp; Assumptions'!$D$150</f>
        <v>54.482104260669729</v>
      </c>
      <c r="AB204" s="63">
        <f>AB203*'Data &amp; Assumptions'!$D$150</f>
        <v>56.472072530802784</v>
      </c>
      <c r="AC204" s="63">
        <f>AC203*'Data &amp; Assumptions'!$D$150</f>
        <v>58.534724735777814</v>
      </c>
      <c r="AD204" s="63">
        <f>AD203*'Data &amp; Assumptions'!$D$150</f>
        <v>60.67271566887139</v>
      </c>
      <c r="AE204" s="63">
        <f>AE203*'Data &amp; Assumptions'!$D$150</f>
        <v>62.888797090143093</v>
      </c>
      <c r="AF204" s="63">
        <f>AF203*'Data &amp; Assumptions'!$D$150</f>
        <v>64.939518734386894</v>
      </c>
      <c r="AG204" s="63">
        <f>AG203*'Data &amp; Assumptions'!$D$150</f>
        <v>67.057111736595161</v>
      </c>
      <c r="AH204" s="63">
        <f>AH203*'Data &amp; Assumptions'!$D$150</f>
        <v>69.243756684527597</v>
      </c>
      <c r="AI204" s="63">
        <f>AI203*'Data &amp; Assumptions'!$D$150</f>
        <v>71.50170527206653</v>
      </c>
      <c r="AJ204" s="63">
        <f>AJ203*'Data &amp; Assumptions'!$D$150</f>
        <v>73.833282617894795</v>
      </c>
      <c r="AK204" s="63">
        <f>AK203*'Data &amp; Assumptions'!$D$150</f>
        <v>76.240889659782653</v>
      </c>
      <c r="AL204" s="63"/>
      <c r="AR204" s="63">
        <f>AR203*'Data &amp; Assumptions'!$D$150</f>
        <v>27.595525745113363</v>
      </c>
      <c r="AS204" s="63">
        <f>AS203*'Data &amp; Assumptions'!$D$150</f>
        <v>30.153553518602251</v>
      </c>
      <c r="AT204" s="63">
        <f>AT203*'Data &amp; Assumptions'!$D$150</f>
        <v>32.948703286083202</v>
      </c>
      <c r="AU204" s="63">
        <f>AU203*'Data &amp; Assumptions'!$D$150</f>
        <v>36.002955590776843</v>
      </c>
      <c r="AV204" s="147">
        <f>AV203*'Data &amp; Assumptions'!$D$150</f>
        <v>40.810994996935108</v>
      </c>
      <c r="AW204" s="63">
        <f>AW203*'Data &amp; Assumptions'!$D$150</f>
        <v>44.220903118348438</v>
      </c>
      <c r="AX204" s="63">
        <f>AX203*'Data &amp; Assumptions'!$D$150</f>
        <v>46.312830625193612</v>
      </c>
      <c r="AY204" s="63">
        <f>AY203*'Data &amp; Assumptions'!$D$150</f>
        <v>48.461599667033795</v>
      </c>
      <c r="AZ204" s="63">
        <f>AZ203*'Data &amp; Assumptions'!$D$150</f>
        <v>50.710064804596087</v>
      </c>
      <c r="BA204" s="63">
        <f>BA203*'Data &amp; Assumptions'!$D$150</f>
        <v>52.562258681960408</v>
      </c>
      <c r="BB204" s="63">
        <f>BB203*'Data &amp; Assumptions'!$D$150</f>
        <v>54.482104260669729</v>
      </c>
      <c r="BC204" s="63">
        <f>BC203*'Data &amp; Assumptions'!$D$150</f>
        <v>56.472072530802784</v>
      </c>
      <c r="BD204" s="63">
        <f>BD203*'Data &amp; Assumptions'!$D$150</f>
        <v>58.534724735777814</v>
      </c>
      <c r="BE204" s="63">
        <f>BE203*'Data &amp; Assumptions'!$D$150</f>
        <v>60.67271566887139</v>
      </c>
      <c r="BF204" s="63">
        <f>BF203*'Data &amp; Assumptions'!$D$150</f>
        <v>62.888797090143093</v>
      </c>
      <c r="BG204" s="63">
        <f>BG203*'Data &amp; Assumptions'!$D$150</f>
        <v>64.939518734386894</v>
      </c>
      <c r="BH204" s="63">
        <f>BH203*'Data &amp; Assumptions'!$D$150</f>
        <v>67.057111736595161</v>
      </c>
      <c r="BI204" s="63">
        <f>BI203*'Data &amp; Assumptions'!$D$150</f>
        <v>69.243756684527597</v>
      </c>
      <c r="BJ204" s="63">
        <f>BJ203*'Data &amp; Assumptions'!$D$150</f>
        <v>71.50170527206653</v>
      </c>
      <c r="BK204" s="63">
        <f>BK203*'Data &amp; Assumptions'!$D$150</f>
        <v>73.833282617894795</v>
      </c>
      <c r="BL204" s="63">
        <f>BL203*'Data &amp; Assumptions'!$D$150</f>
        <v>76.240889659782653</v>
      </c>
    </row>
    <row r="205" spans="3:66" x14ac:dyDescent="0.2">
      <c r="D205" s="156" t="s">
        <v>363</v>
      </c>
      <c r="E205" s="18"/>
      <c r="F205" s="18"/>
      <c r="G205" s="67"/>
      <c r="L205" s="182"/>
      <c r="M205" s="63"/>
      <c r="Q205" s="63">
        <f>Q204*'Data &amp; Assumptions'!$D$21*'Data &amp; Assumptions'!$D$34</f>
        <v>166.47547214562096</v>
      </c>
      <c r="R205" s="147">
        <f>R204*'Data &amp; Assumptions'!$D$21*'Data &amp; Assumptions'!$D$34</f>
        <v>181.9072811021357</v>
      </c>
      <c r="S205" s="63">
        <f>S204*'Data &amp; Assumptions'!$D$21*'Data &amp; Assumptions'!$D$34</f>
        <v>198.76957543046586</v>
      </c>
      <c r="T205" s="63">
        <f>T204*'Data &amp; Assumptions'!$D$21*'Data &amp; Assumptions'!$D$34</f>
        <v>217.19495710907955</v>
      </c>
      <c r="U205" s="147">
        <f>U204*'Data &amp; Assumptions'!$D$21*'Data &amp; Assumptions'!$D$34</f>
        <v>246.20040667463775</v>
      </c>
      <c r="V205" s="63">
        <f>V204*'Data &amp; Assumptions'!$D$21*'Data &amp; Assumptions'!$D$34</f>
        <v>266.77135247682071</v>
      </c>
      <c r="W205" s="63">
        <f>W204*'Data &amp; Assumptions'!$D$21*'Data &amp; Assumptions'!$D$34</f>
        <v>279.39131930090383</v>
      </c>
      <c r="X205" s="63">
        <f>X204*'Data &amp; Assumptions'!$D$21*'Data &amp; Assumptions'!$D$34</f>
        <v>292.35419393776709</v>
      </c>
      <c r="Y205" s="63">
        <f>Y204*'Data &amp; Assumptions'!$D$21*'Data &amp; Assumptions'!$D$34</f>
        <v>305.91850500891729</v>
      </c>
      <c r="Z205" s="63">
        <f>Z204*'Data &amp; Assumptions'!$D$21*'Data &amp; Assumptions'!$D$34</f>
        <v>317.09223125307324</v>
      </c>
      <c r="AA205" s="63">
        <f>AA204*'Data &amp; Assumptions'!$D$21*'Data &amp; Assumptions'!$D$34</f>
        <v>328.67407977860506</v>
      </c>
      <c r="AB205" s="63">
        <f>AB204*'Data &amp; Assumptions'!$D$21*'Data &amp; Assumptions'!$D$34</f>
        <v>340.67895732234484</v>
      </c>
      <c r="AC205" s="63">
        <f>AC204*'Data &amp; Assumptions'!$D$21*'Data &amp; Assumptions'!$D$34</f>
        <v>353.12231509226268</v>
      </c>
      <c r="AD205" s="63">
        <f>AD204*'Data &amp; Assumptions'!$D$21*'Data &amp; Assumptions'!$D$34</f>
        <v>366.02016865436912</v>
      </c>
      <c r="AE205" s="63">
        <f>AE204*'Data &amp; Assumptions'!$D$21*'Data &amp; Assumptions'!$D$34</f>
        <v>379.38911854598967</v>
      </c>
      <c r="AF205" s="63">
        <f>AF204*'Data &amp; Assumptions'!$D$21*'Data &amp; Assumptions'!$D$34</f>
        <v>391.7605028464024</v>
      </c>
      <c r="AG205" s="63">
        <f>AG204*'Data &amp; Assumptions'!$D$21*'Data &amp; Assumptions'!$D$34</f>
        <v>404.53530185226333</v>
      </c>
      <c r="AH205" s="63">
        <f>AH204*'Data &amp; Assumptions'!$D$21*'Data &amp; Assumptions'!$D$34</f>
        <v>417.72667039092403</v>
      </c>
      <c r="AI205" s="63">
        <f>AI204*'Data &amp; Assumptions'!$D$21*'Data &amp; Assumptions'!$D$34</f>
        <v>431.34819225149755</v>
      </c>
      <c r="AJ205" s="63">
        <f>AJ204*'Data &amp; Assumptions'!$D$21*'Data &amp; Assumptions'!$D$34</f>
        <v>445.41389417274206</v>
      </c>
      <c r="AK205" s="63">
        <f>AK204*'Data &amp; Assumptions'!$D$21*'Data &amp; Assumptions'!$D$34</f>
        <v>459.93826028707059</v>
      </c>
      <c r="AL205" s="63"/>
      <c r="AR205" s="63">
        <f>AR204*'Data &amp; Assumptions'!$D$21*'Data &amp; Assumptions'!$D$34</f>
        <v>166.47547214562096</v>
      </c>
      <c r="AS205" s="63">
        <f>AS204*'Data &amp; Assumptions'!$D$21*'Data &amp; Assumptions'!$D$34</f>
        <v>181.9072811021357</v>
      </c>
      <c r="AT205" s="63">
        <f>AT204*'Data &amp; Assumptions'!$D$21*'Data &amp; Assumptions'!$D$34</f>
        <v>198.76957543046586</v>
      </c>
      <c r="AU205" s="63">
        <f>AU204*'Data &amp; Assumptions'!$D$21*'Data &amp; Assumptions'!$D$34</f>
        <v>217.19495710907955</v>
      </c>
      <c r="AV205" s="147">
        <f>AV204*'Data &amp; Assumptions'!$D$21*'Data &amp; Assumptions'!$D$34</f>
        <v>246.20040667463775</v>
      </c>
      <c r="AW205" s="63">
        <f>AW204*'Data &amp; Assumptions'!$D$21*'Data &amp; Assumptions'!$D$34</f>
        <v>266.77135247682071</v>
      </c>
      <c r="AX205" s="63">
        <f>AX204*'Data &amp; Assumptions'!$D$21*'Data &amp; Assumptions'!$D$34</f>
        <v>279.39131930090383</v>
      </c>
      <c r="AY205" s="63">
        <f>AY204*'Data &amp; Assumptions'!$D$21*'Data &amp; Assumptions'!$D$34</f>
        <v>292.35419393776709</v>
      </c>
      <c r="AZ205" s="63">
        <f>AZ204*'Data &amp; Assumptions'!$D$21*'Data &amp; Assumptions'!$D$34</f>
        <v>305.91850500891729</v>
      </c>
      <c r="BA205" s="63">
        <f>BA204*'Data &amp; Assumptions'!$D$21*'Data &amp; Assumptions'!$D$34</f>
        <v>317.09223125307324</v>
      </c>
      <c r="BB205" s="63">
        <f>BB204*'Data &amp; Assumptions'!$D$21*'Data &amp; Assumptions'!$D$34</f>
        <v>328.67407977860506</v>
      </c>
      <c r="BC205" s="63">
        <f>BC204*'Data &amp; Assumptions'!$D$21*'Data &amp; Assumptions'!$D$34</f>
        <v>340.67895732234484</v>
      </c>
      <c r="BD205" s="63">
        <f>BD204*'Data &amp; Assumptions'!$D$21*'Data &amp; Assumptions'!$D$34</f>
        <v>353.12231509226268</v>
      </c>
      <c r="BE205" s="63">
        <f>BE204*'Data &amp; Assumptions'!$D$21*'Data &amp; Assumptions'!$D$34</f>
        <v>366.02016865436912</v>
      </c>
      <c r="BF205" s="63">
        <f>BF204*'Data &amp; Assumptions'!$D$21*'Data &amp; Assumptions'!$D$34</f>
        <v>379.38911854598967</v>
      </c>
      <c r="BG205" s="63">
        <f>BG204*'Data &amp; Assumptions'!$D$21*'Data &amp; Assumptions'!$D$34</f>
        <v>391.7605028464024</v>
      </c>
      <c r="BH205" s="63">
        <f>BH204*'Data &amp; Assumptions'!$D$21*'Data &amp; Assumptions'!$D$34</f>
        <v>404.53530185226333</v>
      </c>
      <c r="BI205" s="63">
        <f>BI204*'Data &amp; Assumptions'!$D$21*'Data &amp; Assumptions'!$D$34</f>
        <v>417.72667039092403</v>
      </c>
      <c r="BJ205" s="63">
        <f>BJ204*'Data &amp; Assumptions'!$D$21*'Data &amp; Assumptions'!$D$34</f>
        <v>431.34819225149755</v>
      </c>
      <c r="BK205" s="63">
        <f>BK204*'Data &amp; Assumptions'!$D$21*'Data &amp; Assumptions'!$D$34</f>
        <v>445.41389417274206</v>
      </c>
      <c r="BL205" s="63">
        <f>BL204*'Data &amp; Assumptions'!$D$21*'Data &amp; Assumptions'!$D$34</f>
        <v>459.93826028707059</v>
      </c>
    </row>
    <row r="206" spans="3:66" x14ac:dyDescent="0.2">
      <c r="D206" s="156" t="s">
        <v>367</v>
      </c>
      <c r="E206" s="18"/>
      <c r="F206" s="18"/>
      <c r="G206" s="67"/>
      <c r="L206" s="182"/>
      <c r="M206" s="63"/>
      <c r="Q206" s="75">
        <f t="shared" ref="Q206:AK206" si="199">(1-P31/$P$19)</f>
        <v>0.88524999999999998</v>
      </c>
      <c r="R206" s="246">
        <f t="shared" si="199"/>
        <v>0.87086934950385886</v>
      </c>
      <c r="S206" s="75">
        <f t="shared" si="199"/>
        <v>0.85782609950385891</v>
      </c>
      <c r="T206" s="75">
        <f t="shared" si="199"/>
        <v>0.84599587175385893</v>
      </c>
      <c r="U206" s="246">
        <f t="shared" si="199"/>
        <v>0.83365635269922134</v>
      </c>
      <c r="V206" s="75">
        <f t="shared" si="199"/>
        <v>0.82392422767091156</v>
      </c>
      <c r="W206" s="75">
        <f t="shared" si="199"/>
        <v>0.784062707511614</v>
      </c>
      <c r="X206" s="75">
        <f t="shared" si="199"/>
        <v>0.73571175700299318</v>
      </c>
      <c r="Y206" s="75">
        <f t="shared" si="199"/>
        <v>0.72845020351236367</v>
      </c>
      <c r="Z206" s="75">
        <f t="shared" si="199"/>
        <v>0.72186397449636264</v>
      </c>
      <c r="AA206" s="75">
        <f t="shared" si="199"/>
        <v>0.71589026477884987</v>
      </c>
      <c r="AB206" s="75">
        <f t="shared" si="199"/>
        <v>0.71047211006506572</v>
      </c>
      <c r="AC206" s="75">
        <f t="shared" si="199"/>
        <v>0.70555784373966346</v>
      </c>
      <c r="AD206" s="75">
        <f t="shared" si="199"/>
        <v>0.70110060418252362</v>
      </c>
      <c r="AE206" s="75">
        <f t="shared" si="199"/>
        <v>0.69705788790419787</v>
      </c>
      <c r="AF206" s="75">
        <f t="shared" si="199"/>
        <v>0.69339114423975634</v>
      </c>
      <c r="AG206" s="75">
        <f t="shared" si="199"/>
        <v>0.69006540773610792</v>
      </c>
      <c r="AH206" s="75">
        <f t="shared" si="199"/>
        <v>0.68704896472729859</v>
      </c>
      <c r="AI206" s="75">
        <f t="shared" si="199"/>
        <v>0.68431305091830874</v>
      </c>
      <c r="AJ206" s="75">
        <f t="shared" si="199"/>
        <v>0.68183157709355491</v>
      </c>
      <c r="AK206" s="75">
        <f t="shared" si="199"/>
        <v>0.67958088033450315</v>
      </c>
      <c r="AL206" s="75"/>
      <c r="AR206" s="75">
        <f t="shared" ref="AR206:BL206" si="200">(1-AQ31/$P$19)</f>
        <v>0.88524999999999998</v>
      </c>
      <c r="AS206" s="75">
        <f t="shared" si="200"/>
        <v>0.87086934950385886</v>
      </c>
      <c r="AT206" s="75">
        <f t="shared" si="200"/>
        <v>0.85782609950385891</v>
      </c>
      <c r="AU206" s="75">
        <f t="shared" si="200"/>
        <v>0.84895342869135892</v>
      </c>
      <c r="AV206" s="246">
        <f t="shared" si="200"/>
        <v>0.84090591626442135</v>
      </c>
      <c r="AW206" s="75">
        <f t="shared" si="200"/>
        <v>0.83360682249318907</v>
      </c>
      <c r="AX206" s="75">
        <f t="shared" si="200"/>
        <v>0.82698654444268138</v>
      </c>
      <c r="AY206" s="75">
        <f t="shared" si="200"/>
        <v>0.82098195225087078</v>
      </c>
      <c r="AZ206" s="75">
        <f t="shared" si="200"/>
        <v>0.81553578713289876</v>
      </c>
      <c r="BA206" s="75">
        <f t="shared" si="200"/>
        <v>0.81059611537089804</v>
      </c>
      <c r="BB206" s="75">
        <f t="shared" si="200"/>
        <v>0.80611583308276336</v>
      </c>
      <c r="BC206" s="75">
        <f t="shared" si="200"/>
        <v>0.80205221704742524</v>
      </c>
      <c r="BD206" s="75">
        <f t="shared" si="200"/>
        <v>0.7983665173033736</v>
      </c>
      <c r="BE206" s="75">
        <f t="shared" si="200"/>
        <v>0.79502358763551872</v>
      </c>
      <c r="BF206" s="75">
        <f t="shared" si="200"/>
        <v>0.79199155042677438</v>
      </c>
      <c r="BG206" s="75">
        <f t="shared" si="200"/>
        <v>0.78924149267844323</v>
      </c>
      <c r="BH206" s="75">
        <f t="shared" si="200"/>
        <v>0.78674719030070683</v>
      </c>
      <c r="BI206" s="75">
        <f t="shared" si="200"/>
        <v>0.78448485804410006</v>
      </c>
      <c r="BJ206" s="75">
        <f t="shared" si="200"/>
        <v>0.78243292268735765</v>
      </c>
      <c r="BK206" s="75">
        <f t="shared" si="200"/>
        <v>0.78057181731879222</v>
      </c>
      <c r="BL206" s="75">
        <f t="shared" si="200"/>
        <v>0.77888379474950342</v>
      </c>
    </row>
    <row r="207" spans="3:66" x14ac:dyDescent="0.2">
      <c r="D207" s="156" t="s">
        <v>366</v>
      </c>
      <c r="E207" s="18"/>
      <c r="F207" s="18"/>
      <c r="G207" s="67"/>
      <c r="L207" s="182"/>
      <c r="M207" s="63"/>
      <c r="Q207" s="63">
        <f>Q205*(1+'Data &amp; Assumptions'!$D$137)</f>
        <v>213.08860434639482</v>
      </c>
      <c r="R207" s="147">
        <f>R205*(1+'Data &amp; Assumptions'!$D$137)</f>
        <v>232.84131981073369</v>
      </c>
      <c r="S207" s="63">
        <f>S205*(1+'Data &amp; Assumptions'!$D$137)</f>
        <v>254.42505655099632</v>
      </c>
      <c r="T207" s="63">
        <f>T205*(1+'Data &amp; Assumptions'!$D$137)</f>
        <v>278.00954509962185</v>
      </c>
      <c r="U207" s="147">
        <f>U205*(1+'Data &amp; Assumptions'!$D$137)</f>
        <v>315.13652054353634</v>
      </c>
      <c r="V207" s="63">
        <f>V205*(1+'Data &amp; Assumptions'!$D$137)</f>
        <v>341.46733117033051</v>
      </c>
      <c r="W207" s="63">
        <f>W205*(1+'Data &amp; Assumptions'!$D$137)</f>
        <v>357.62088870515691</v>
      </c>
      <c r="X207" s="63">
        <f>X205*(1+'Data &amp; Assumptions'!$D$137)</f>
        <v>374.21336824034188</v>
      </c>
      <c r="Y207" s="63">
        <f>Y205*(1+'Data &amp; Assumptions'!$D$137)</f>
        <v>391.57568641141415</v>
      </c>
      <c r="Z207" s="63">
        <f>Z205*(1+'Data &amp; Assumptions'!$D$137)</f>
        <v>405.87805600393375</v>
      </c>
      <c r="AA207" s="63">
        <f>AA205*(1+'Data &amp; Assumptions'!$D$137)</f>
        <v>420.70282211661447</v>
      </c>
      <c r="AB207" s="63">
        <f>AB205*(1+'Data &amp; Assumptions'!$D$137)</f>
        <v>436.06906537260141</v>
      </c>
      <c r="AC207" s="63">
        <f>AC205*(1+'Data &amp; Assumptions'!$D$137)</f>
        <v>451.99656331809626</v>
      </c>
      <c r="AD207" s="63">
        <f>AD205*(1+'Data &amp; Assumptions'!$D$137)</f>
        <v>468.50581587759245</v>
      </c>
      <c r="AE207" s="63">
        <f>AE205*(1+'Data &amp; Assumptions'!$D$137)</f>
        <v>485.61807173886677</v>
      </c>
      <c r="AF207" s="63">
        <f>AF205*(1+'Data &amp; Assumptions'!$D$137)</f>
        <v>501.45344364339508</v>
      </c>
      <c r="AG207" s="63">
        <f>AG205*(1+'Data &amp; Assumptions'!$D$137)</f>
        <v>517.8051863708971</v>
      </c>
      <c r="AH207" s="63">
        <f>AH205*(1+'Data &amp; Assumptions'!$D$137)</f>
        <v>534.6901381003828</v>
      </c>
      <c r="AI207" s="63">
        <f>AI205*(1+'Data &amp; Assumptions'!$D$137)</f>
        <v>552.12568608191691</v>
      </c>
      <c r="AJ207" s="63">
        <f>AJ205*(1+'Data &amp; Assumptions'!$D$137)</f>
        <v>570.12978454110987</v>
      </c>
      <c r="AK207" s="63">
        <f>AK205*(1+'Data &amp; Assumptions'!$D$137)</f>
        <v>588.72097316745032</v>
      </c>
      <c r="AL207" s="63"/>
      <c r="AR207" s="63">
        <f>AR205*(1+'Data &amp; Assumptions'!$D$137)</f>
        <v>213.08860434639482</v>
      </c>
      <c r="AS207" s="63">
        <f>AS205*(1+'Data &amp; Assumptions'!$D$137)</f>
        <v>232.84131981073369</v>
      </c>
      <c r="AT207" s="63">
        <f>AT205*(1+'Data &amp; Assumptions'!$D$137)</f>
        <v>254.42505655099632</v>
      </c>
      <c r="AU207" s="63">
        <f>AU205*(1+'Data &amp; Assumptions'!$D$137)</f>
        <v>278.00954509962185</v>
      </c>
      <c r="AV207" s="147">
        <f>AV205*(1+'Data &amp; Assumptions'!$D$137)</f>
        <v>315.13652054353634</v>
      </c>
      <c r="AW207" s="63">
        <f>AW205*(1+'Data &amp; Assumptions'!$D$137)</f>
        <v>341.46733117033051</v>
      </c>
      <c r="AX207" s="63">
        <f>AX205*(1+'Data &amp; Assumptions'!$D$137)</f>
        <v>357.62088870515691</v>
      </c>
      <c r="AY207" s="63">
        <f>AY205*(1+'Data &amp; Assumptions'!$D$137)</f>
        <v>374.21336824034188</v>
      </c>
      <c r="AZ207" s="63">
        <f>AZ205*(1+'Data &amp; Assumptions'!$D$137)</f>
        <v>391.57568641141415</v>
      </c>
      <c r="BA207" s="63">
        <f>BA205*(1+'Data &amp; Assumptions'!$D$137)</f>
        <v>405.87805600393375</v>
      </c>
      <c r="BB207" s="63">
        <f>BB205*(1+'Data &amp; Assumptions'!$D$137)</f>
        <v>420.70282211661447</v>
      </c>
      <c r="BC207" s="63">
        <f>BC205*(1+'Data &amp; Assumptions'!$D$137)</f>
        <v>436.06906537260141</v>
      </c>
      <c r="BD207" s="63">
        <f>BD205*(1+'Data &amp; Assumptions'!$D$137)</f>
        <v>451.99656331809626</v>
      </c>
      <c r="BE207" s="63">
        <f>BE205*(1+'Data &amp; Assumptions'!$D$137)</f>
        <v>468.50581587759245</v>
      </c>
      <c r="BF207" s="63">
        <f>BF205*(1+'Data &amp; Assumptions'!$D$137)</f>
        <v>485.61807173886677</v>
      </c>
      <c r="BG207" s="63">
        <f>BG205*(1+'Data &amp; Assumptions'!$D$137)</f>
        <v>501.45344364339508</v>
      </c>
      <c r="BH207" s="63">
        <f>BH205*(1+'Data &amp; Assumptions'!$D$137)</f>
        <v>517.8051863708971</v>
      </c>
      <c r="BI207" s="63">
        <f>BI205*(1+'Data &amp; Assumptions'!$D$137)</f>
        <v>534.6901381003828</v>
      </c>
      <c r="BJ207" s="63">
        <f>BJ205*(1+'Data &amp; Assumptions'!$D$137)</f>
        <v>552.12568608191691</v>
      </c>
      <c r="BK207" s="63">
        <f>BK205*(1+'Data &amp; Assumptions'!$D$137)</f>
        <v>570.12978454110987</v>
      </c>
      <c r="BL207" s="63">
        <f>BL205*(1+'Data &amp; Assumptions'!$D$137)</f>
        <v>588.72097316745032</v>
      </c>
    </row>
    <row r="208" spans="3:66" x14ac:dyDescent="0.2">
      <c r="D208" s="156" t="s">
        <v>368</v>
      </c>
      <c r="E208" s="18"/>
      <c r="F208" s="18"/>
      <c r="G208" s="67"/>
      <c r="L208" s="182"/>
      <c r="M208" s="63"/>
      <c r="Q208" s="75">
        <f>1-Q206</f>
        <v>0.11475000000000002</v>
      </c>
      <c r="R208" s="246">
        <f t="shared" ref="R208:AK208" si="201">1-R206</f>
        <v>0.12913065049614114</v>
      </c>
      <c r="S208" s="75">
        <f t="shared" si="201"/>
        <v>0.14217390049614109</v>
      </c>
      <c r="T208" s="75">
        <f t="shared" si="201"/>
        <v>0.15400412824614107</v>
      </c>
      <c r="U208" s="246">
        <f t="shared" si="201"/>
        <v>0.16634364730077866</v>
      </c>
      <c r="V208" s="75">
        <f t="shared" si="201"/>
        <v>0.17607577232908844</v>
      </c>
      <c r="W208" s="75">
        <f t="shared" si="201"/>
        <v>0.215937292488386</v>
      </c>
      <c r="X208" s="75">
        <f t="shared" si="201"/>
        <v>0.26428824299700682</v>
      </c>
      <c r="Y208" s="75">
        <f t="shared" si="201"/>
        <v>0.27154979648763633</v>
      </c>
      <c r="Z208" s="75">
        <f t="shared" si="201"/>
        <v>0.27813602550363736</v>
      </c>
      <c r="AA208" s="75">
        <f t="shared" si="201"/>
        <v>0.28410973522115013</v>
      </c>
      <c r="AB208" s="75">
        <f t="shared" si="201"/>
        <v>0.28952788993493428</v>
      </c>
      <c r="AC208" s="75">
        <f t="shared" si="201"/>
        <v>0.29444215626033654</v>
      </c>
      <c r="AD208" s="75">
        <f t="shared" si="201"/>
        <v>0.29889939581747638</v>
      </c>
      <c r="AE208" s="75">
        <f t="shared" si="201"/>
        <v>0.30294211209580213</v>
      </c>
      <c r="AF208" s="75">
        <f t="shared" si="201"/>
        <v>0.30660885576024366</v>
      </c>
      <c r="AG208" s="75">
        <f t="shared" si="201"/>
        <v>0.30993459226389208</v>
      </c>
      <c r="AH208" s="75">
        <f t="shared" si="201"/>
        <v>0.31295103527270141</v>
      </c>
      <c r="AI208" s="75">
        <f t="shared" si="201"/>
        <v>0.31568694908169126</v>
      </c>
      <c r="AJ208" s="75">
        <f t="shared" si="201"/>
        <v>0.31816842290644509</v>
      </c>
      <c r="AK208" s="75">
        <f t="shared" si="201"/>
        <v>0.32041911966549685</v>
      </c>
      <c r="AL208" s="75"/>
      <c r="AR208" s="75">
        <f>1-AR206</f>
        <v>0.11475000000000002</v>
      </c>
      <c r="AS208" s="75">
        <f t="shared" ref="AS208:BL208" si="202">1-AS206</f>
        <v>0.12913065049614114</v>
      </c>
      <c r="AT208" s="75">
        <f t="shared" si="202"/>
        <v>0.14217390049614109</v>
      </c>
      <c r="AU208" s="75">
        <f t="shared" si="202"/>
        <v>0.15104657130864108</v>
      </c>
      <c r="AV208" s="246">
        <f t="shared" si="202"/>
        <v>0.15909408373557865</v>
      </c>
      <c r="AW208" s="75">
        <f t="shared" si="202"/>
        <v>0.16639317750681093</v>
      </c>
      <c r="AX208" s="75">
        <f t="shared" si="202"/>
        <v>0.17301345555731862</v>
      </c>
      <c r="AY208" s="75">
        <f t="shared" si="202"/>
        <v>0.17901804774912922</v>
      </c>
      <c r="AZ208" s="75">
        <f t="shared" si="202"/>
        <v>0.18446421286710124</v>
      </c>
      <c r="BA208" s="75">
        <f t="shared" si="202"/>
        <v>0.18940388462910196</v>
      </c>
      <c r="BB208" s="75">
        <f t="shared" si="202"/>
        <v>0.19388416691723664</v>
      </c>
      <c r="BC208" s="75">
        <f t="shared" si="202"/>
        <v>0.19794778295257476</v>
      </c>
      <c r="BD208" s="75">
        <f t="shared" si="202"/>
        <v>0.2016334826966264</v>
      </c>
      <c r="BE208" s="75">
        <f t="shared" si="202"/>
        <v>0.20497641236448128</v>
      </c>
      <c r="BF208" s="75">
        <f t="shared" si="202"/>
        <v>0.20800844957322562</v>
      </c>
      <c r="BG208" s="75">
        <f t="shared" si="202"/>
        <v>0.21075850732155677</v>
      </c>
      <c r="BH208" s="75">
        <f t="shared" si="202"/>
        <v>0.21325280969929317</v>
      </c>
      <c r="BI208" s="75">
        <f t="shared" si="202"/>
        <v>0.21551514195589994</v>
      </c>
      <c r="BJ208" s="75">
        <f t="shared" si="202"/>
        <v>0.21756707731264235</v>
      </c>
      <c r="BK208" s="75">
        <f t="shared" si="202"/>
        <v>0.21942818268120778</v>
      </c>
      <c r="BL208" s="75">
        <f t="shared" si="202"/>
        <v>0.22111620525049658</v>
      </c>
    </row>
    <row r="209" spans="3:89" ht="25.5" customHeight="1" x14ac:dyDescent="0.2">
      <c r="D209" s="588" t="s">
        <v>372</v>
      </c>
      <c r="E209" s="588"/>
      <c r="F209" s="588"/>
      <c r="G209" s="588"/>
      <c r="H209" s="588"/>
      <c r="I209" s="588"/>
      <c r="J209" s="588"/>
      <c r="K209" s="588"/>
      <c r="L209" s="182"/>
      <c r="M209" s="63"/>
      <c r="Q209" s="63">
        <f>Q206*Q205+Q208*Q207</f>
        <v>171.82432906565975</v>
      </c>
      <c r="R209" s="147">
        <f t="shared" ref="R209:AK209" si="203">R206*R205+R208*R207</f>
        <v>188.48442665297259</v>
      </c>
      <c r="S209" s="63">
        <f t="shared" si="203"/>
        <v>206.68233226536103</v>
      </c>
      <c r="T209" s="63">
        <f t="shared" si="203"/>
        <v>226.56065471721126</v>
      </c>
      <c r="U209" s="147">
        <f t="shared" si="203"/>
        <v>257.66749128633211</v>
      </c>
      <c r="V209" s="63">
        <f t="shared" si="203"/>
        <v>279.92350461515758</v>
      </c>
      <c r="W209" s="63">
        <f t="shared" si="203"/>
        <v>296.28400071059053</v>
      </c>
      <c r="X209" s="63">
        <f t="shared" si="203"/>
        <v>313.98861128738031</v>
      </c>
      <c r="Y209" s="63">
        <f t="shared" si="203"/>
        <v>329.17869518646989</v>
      </c>
      <c r="Z209" s="63">
        <f t="shared" si="203"/>
        <v>341.78676767034005</v>
      </c>
      <c r="AA209" s="63">
        <f t="shared" si="203"/>
        <v>354.82034139699238</v>
      </c>
      <c r="AB209" s="63">
        <f t="shared" si="203"/>
        <v>368.29705402680099</v>
      </c>
      <c r="AC209" s="63">
        <f t="shared" si="203"/>
        <v>382.23506193849687</v>
      </c>
      <c r="AD209" s="63">
        <f t="shared" si="203"/>
        <v>396.65306668935358</v>
      </c>
      <c r="AE209" s="63">
        <f t="shared" si="203"/>
        <v>411.57034199196596</v>
      </c>
      <c r="AF209" s="63">
        <f t="shared" si="203"/>
        <v>425.39332990914443</v>
      </c>
      <c r="AG209" s="63">
        <f t="shared" si="203"/>
        <v>439.64155732632423</v>
      </c>
      <c r="AH209" s="63">
        <f>AH206*AH205+AH208*AH207</f>
        <v>454.33050869968434</v>
      </c>
      <c r="AI209" s="63">
        <f t="shared" si="203"/>
        <v>469.47607079655546</v>
      </c>
      <c r="AJ209" s="63">
        <f t="shared" si="203"/>
        <v>485.09455232261871</v>
      </c>
      <c r="AK209" s="63">
        <f t="shared" si="203"/>
        <v>501.20270377633631</v>
      </c>
      <c r="AL209" s="63"/>
      <c r="AR209" s="63">
        <f>AR206*AR205+AR208*AR207</f>
        <v>171.82432906565975</v>
      </c>
      <c r="AS209" s="63">
        <f t="shared" ref="AS209:BL209" si="204">AS206*AS205+AS208*AS207</f>
        <v>188.48442665297259</v>
      </c>
      <c r="AT209" s="63">
        <f t="shared" si="204"/>
        <v>206.68233226536103</v>
      </c>
      <c r="AU209" s="63">
        <f t="shared" si="204"/>
        <v>226.38079211059863</v>
      </c>
      <c r="AV209" s="147">
        <f t="shared" si="204"/>
        <v>257.16773454690167</v>
      </c>
      <c r="AW209" s="63">
        <f t="shared" si="204"/>
        <v>279.20025371861487</v>
      </c>
      <c r="AX209" s="63">
        <f t="shared" si="204"/>
        <v>292.92608743029473</v>
      </c>
      <c r="AY209" s="63">
        <f t="shared" si="204"/>
        <v>307.00846351176972</v>
      </c>
      <c r="AZ209" s="63">
        <f t="shared" si="204"/>
        <v>321.71918955274339</v>
      </c>
      <c r="BA209" s="63">
        <f t="shared" si="204"/>
        <v>333.90861136088489</v>
      </c>
      <c r="BB209" s="63">
        <f t="shared" si="204"/>
        <v>346.51699581925106</v>
      </c>
      <c r="BC209" s="63">
        <f t="shared" si="204"/>
        <v>359.56121772649971</v>
      </c>
      <c r="BD209" s="63">
        <f t="shared" si="204"/>
        <v>373.05867411104828</v>
      </c>
      <c r="BE209" s="63">
        <f t="shared" si="204"/>
        <v>387.02730894103729</v>
      </c>
      <c r="BF209" s="63">
        <f t="shared" si="204"/>
        <v>401.48563839942682</v>
      </c>
      <c r="BG209" s="63">
        <f t="shared" si="204"/>
        <v>414.87922331248848</v>
      </c>
      <c r="BH209" s="63">
        <f t="shared" si="204"/>
        <v>428.69042298017644</v>
      </c>
      <c r="BI209" s="63">
        <f t="shared" si="204"/>
        <v>442.93406873798233</v>
      </c>
      <c r="BJ209" s="63">
        <f t="shared" si="204"/>
        <v>457.62539858932757</v>
      </c>
      <c r="BK209" s="63">
        <f t="shared" si="204"/>
        <v>472.78007534774179</v>
      </c>
      <c r="BL209" s="63">
        <f t="shared" si="204"/>
        <v>488.41420506104441</v>
      </c>
    </row>
    <row r="210" spans="3:89" s="146" customFormat="1" x14ac:dyDescent="0.2">
      <c r="D210" s="230" t="s">
        <v>373</v>
      </c>
      <c r="E210" s="230"/>
      <c r="F210" s="230"/>
      <c r="G210" s="231"/>
      <c r="L210" s="232"/>
      <c r="M210" s="147"/>
      <c r="Q210" s="220">
        <f>Q209*$P$19</f>
        <v>55365617.143379249</v>
      </c>
      <c r="R210" s="220">
        <f t="shared" ref="R210:AK210" si="205">R209*$P$19</f>
        <v>60733870.810402274</v>
      </c>
      <c r="S210" s="220">
        <f t="shared" si="205"/>
        <v>66597640.396616325</v>
      </c>
      <c r="T210" s="220">
        <f t="shared" si="205"/>
        <v>73002877.6311014</v>
      </c>
      <c r="U210" s="220">
        <f t="shared" si="205"/>
        <v>83026191.636707008</v>
      </c>
      <c r="V210" s="220">
        <f t="shared" si="205"/>
        <v>90197573.709328547</v>
      </c>
      <c r="W210" s="220">
        <f t="shared" si="205"/>
        <v>95469289.117856935</v>
      </c>
      <c r="X210" s="220">
        <f t="shared" si="205"/>
        <v>101174108.08148921</v>
      </c>
      <c r="Y210" s="220">
        <f t="shared" si="205"/>
        <v>106068690.67119585</v>
      </c>
      <c r="Z210" s="220">
        <f t="shared" si="205"/>
        <v>110131291.80488734</v>
      </c>
      <c r="AA210" s="220">
        <f t="shared" si="205"/>
        <v>114330998.89458641</v>
      </c>
      <c r="AB210" s="220">
        <f t="shared" si="205"/>
        <v>118673495.18641365</v>
      </c>
      <c r="AC210" s="220">
        <f t="shared" si="205"/>
        <v>123164631.0690712</v>
      </c>
      <c r="AD210" s="220">
        <f t="shared" si="205"/>
        <v>127810432.59990281</v>
      </c>
      <c r="AE210" s="220">
        <f t="shared" si="205"/>
        <v>132617110.19741124</v>
      </c>
      <c r="AF210" s="220">
        <f t="shared" si="205"/>
        <v>137071184.08183542</v>
      </c>
      <c r="AG210" s="220">
        <f t="shared" si="205"/>
        <v>141662279.58292669</v>
      </c>
      <c r="AH210" s="220">
        <f t="shared" si="205"/>
        <v>146395386.13656494</v>
      </c>
      <c r="AI210" s="220">
        <f t="shared" si="205"/>
        <v>151275622.8122234</v>
      </c>
      <c r="AJ210" s="220">
        <f t="shared" si="205"/>
        <v>156308244.63728824</v>
      </c>
      <c r="AK210" s="220">
        <f t="shared" si="205"/>
        <v>161498648.99459723</v>
      </c>
      <c r="AL210" s="220"/>
      <c r="AM210" s="203"/>
      <c r="AR210" s="220">
        <f>AR209*$AQ$19</f>
        <v>55365617.143379249</v>
      </c>
      <c r="AS210" s="220">
        <f t="shared" ref="AS210:BL210" si="206">AS209*$AQ$19</f>
        <v>60733870.810402274</v>
      </c>
      <c r="AT210" s="220">
        <f t="shared" si="206"/>
        <v>66597640.396616325</v>
      </c>
      <c r="AU210" s="220">
        <f t="shared" si="206"/>
        <v>72944921.902303994</v>
      </c>
      <c r="AV210" s="220">
        <f>AV209*$AQ$19</f>
        <v>82865158.909557194</v>
      </c>
      <c r="AW210" s="220">
        <f t="shared" si="206"/>
        <v>89964526.198220342</v>
      </c>
      <c r="AX210" s="220">
        <f t="shared" si="206"/>
        <v>94387294.83865051</v>
      </c>
      <c r="AY210" s="220">
        <f t="shared" si="206"/>
        <v>98924949.353792459</v>
      </c>
      <c r="AZ210" s="220">
        <f t="shared" si="206"/>
        <v>103665072.1892173</v>
      </c>
      <c r="BA210" s="220">
        <f t="shared" si="206"/>
        <v>107592774.77184068</v>
      </c>
      <c r="BB210" s="220">
        <f t="shared" si="206"/>
        <v>111655476.43064755</v>
      </c>
      <c r="BC210" s="220">
        <f t="shared" si="206"/>
        <v>115858614.60076101</v>
      </c>
      <c r="BD210" s="220">
        <f t="shared" si="206"/>
        <v>120207794.99133776</v>
      </c>
      <c r="BE210" s="220">
        <f t="shared" si="206"/>
        <v>124708799.54766756</v>
      </c>
      <c r="BF210" s="220">
        <f t="shared" si="206"/>
        <v>129367594.59537084</v>
      </c>
      <c r="BG210" s="220">
        <f t="shared" si="206"/>
        <v>133683305.2895796</v>
      </c>
      <c r="BH210" s="220">
        <f t="shared" si="206"/>
        <v>138133580.73805684</v>
      </c>
      <c r="BI210" s="220">
        <f t="shared" si="206"/>
        <v>142723199.92668319</v>
      </c>
      <c r="BJ210" s="220">
        <f t="shared" si="206"/>
        <v>147457072.87878332</v>
      </c>
      <c r="BK210" s="220">
        <f t="shared" si="206"/>
        <v>152340246.50093901</v>
      </c>
      <c r="BL210" s="220">
        <f t="shared" si="206"/>
        <v>157377910.51966986</v>
      </c>
      <c r="BN210" s="203"/>
      <c r="BQ210" s="220">
        <f>Q210-AR210</f>
        <v>0</v>
      </c>
      <c r="BR210" s="220">
        <f>R210-AS210</f>
        <v>0</v>
      </c>
      <c r="BS210" s="220">
        <f t="shared" ref="BS210:CK210" si="207">S210-AT210</f>
        <v>0</v>
      </c>
      <c r="BT210" s="220">
        <f>T210-AU210</f>
        <v>57955.728797405958</v>
      </c>
      <c r="BU210" s="220">
        <f t="shared" si="207"/>
        <v>161032.72714981437</v>
      </c>
      <c r="BV210" s="220">
        <f t="shared" si="207"/>
        <v>233047.51110820472</v>
      </c>
      <c r="BW210" s="220">
        <f t="shared" si="207"/>
        <v>1081994.279206425</v>
      </c>
      <c r="BX210" s="220">
        <f t="shared" si="207"/>
        <v>2249158.7276967466</v>
      </c>
      <c r="BY210" s="220">
        <f t="shared" si="207"/>
        <v>2403618.4819785506</v>
      </c>
      <c r="BZ210" s="220">
        <f t="shared" si="207"/>
        <v>2538517.0330466628</v>
      </c>
      <c r="CA210" s="220">
        <f t="shared" si="207"/>
        <v>2675522.4639388621</v>
      </c>
      <c r="CB210" s="220">
        <f t="shared" si="207"/>
        <v>2814880.5856526345</v>
      </c>
      <c r="CC210" s="220">
        <f t="shared" si="207"/>
        <v>2956836.0777334422</v>
      </c>
      <c r="CD210" s="220">
        <f t="shared" si="207"/>
        <v>3101633.0522352457</v>
      </c>
      <c r="CE210" s="220">
        <f t="shared" si="207"/>
        <v>3249515.6020403951</v>
      </c>
      <c r="CF210" s="220">
        <f t="shared" si="207"/>
        <v>3387878.7922558188</v>
      </c>
      <c r="CG210" s="220">
        <f t="shared" si="207"/>
        <v>3528698.8448698521</v>
      </c>
      <c r="CH210" s="220">
        <f t="shared" si="207"/>
        <v>3672186.2098817527</v>
      </c>
      <c r="CI210" s="220">
        <f t="shared" si="207"/>
        <v>3818549.9334400892</v>
      </c>
      <c r="CJ210" s="220">
        <f t="shared" si="207"/>
        <v>3967998.136349231</v>
      </c>
      <c r="CK210" s="220">
        <f t="shared" si="207"/>
        <v>4120738.4749273658</v>
      </c>
    </row>
    <row r="211" spans="3:89" s="146" customFormat="1" x14ac:dyDescent="0.2">
      <c r="D211" s="230"/>
      <c r="E211" s="230"/>
      <c r="F211" s="230" t="s">
        <v>375</v>
      </c>
      <c r="G211" s="231"/>
      <c r="L211" s="232"/>
      <c r="M211" s="147"/>
      <c r="Q211" s="220"/>
      <c r="R211" s="220"/>
      <c r="S211" s="220"/>
      <c r="T211" s="220"/>
      <c r="U211" s="220"/>
      <c r="V211" s="220"/>
      <c r="W211" s="220"/>
      <c r="X211" s="220"/>
      <c r="Y211" s="220"/>
      <c r="Z211" s="220"/>
      <c r="AA211" s="220"/>
      <c r="AB211" s="220"/>
      <c r="AC211" s="220"/>
      <c r="AD211" s="220"/>
      <c r="AE211" s="220"/>
      <c r="AF211" s="220"/>
      <c r="AG211" s="220"/>
      <c r="AH211" s="220"/>
      <c r="AI211" s="220"/>
      <c r="AJ211" s="220"/>
      <c r="AK211" s="220"/>
      <c r="AL211" s="220"/>
      <c r="AM211" s="203"/>
      <c r="BN211" s="203"/>
    </row>
    <row r="212" spans="3:89" s="146" customFormat="1" x14ac:dyDescent="0.2">
      <c r="D212" s="230"/>
      <c r="E212" s="230"/>
      <c r="F212" s="230"/>
      <c r="G212" s="231" t="s">
        <v>224</v>
      </c>
      <c r="L212" s="232" t="s">
        <v>175</v>
      </c>
      <c r="M212" s="147"/>
      <c r="Q212" s="220">
        <f>Q$210*(Q187/Q$196)</f>
        <v>39267286.502847478</v>
      </c>
      <c r="R212" s="220">
        <f>R$210*(R187/R$196)</f>
        <v>43197183.450309277</v>
      </c>
      <c r="S212" s="220">
        <f t="shared" ref="S212:AK212" si="208">S$210*(S187/S$196)</f>
        <v>47501624.490016103</v>
      </c>
      <c r="T212" s="220">
        <f t="shared" si="208"/>
        <v>52216314.181786656</v>
      </c>
      <c r="U212" s="220">
        <f t="shared" si="208"/>
        <v>59551055.373292655</v>
      </c>
      <c r="V212" s="220">
        <f t="shared" si="208"/>
        <v>64873726.618628986</v>
      </c>
      <c r="W212" s="220">
        <f t="shared" si="208"/>
        <v>68853955.799690649</v>
      </c>
      <c r="X212" s="220">
        <f t="shared" si="208"/>
        <v>73167365.12176019</v>
      </c>
      <c r="Y212" s="220">
        <f t="shared" si="208"/>
        <v>76914762.954665571</v>
      </c>
      <c r="Z212" s="220">
        <f t="shared" si="208"/>
        <v>80075448.221279189</v>
      </c>
      <c r="AA212" s="220">
        <f t="shared" si="208"/>
        <v>83350940.861923009</v>
      </c>
      <c r="AB212" s="220">
        <f t="shared" si="208"/>
        <v>86746080.222965747</v>
      </c>
      <c r="AC212" s="220">
        <f t="shared" si="208"/>
        <v>90265864.265238181</v>
      </c>
      <c r="AD212" s="220">
        <f t="shared" si="208"/>
        <v>93915456.908974439</v>
      </c>
      <c r="AE212" s="220">
        <f t="shared" si="208"/>
        <v>97700195.575436652</v>
      </c>
      <c r="AF212" s="220">
        <f t="shared" si="208"/>
        <v>101241609.87247498</v>
      </c>
      <c r="AG212" s="220">
        <f t="shared" si="208"/>
        <v>104900135.63016351</v>
      </c>
      <c r="AH212" s="220">
        <f t="shared" si="208"/>
        <v>108680127.0209825</v>
      </c>
      <c r="AI212" s="220">
        <f t="shared" si="208"/>
        <v>112586064.36771336</v>
      </c>
      <c r="AJ212" s="220">
        <f t="shared" si="208"/>
        <v>116622559.61105998</v>
      </c>
      <c r="AK212" s="220">
        <f t="shared" si="208"/>
        <v>120794361.8844882</v>
      </c>
      <c r="AL212" s="220"/>
      <c r="AM212" s="203"/>
      <c r="AR212" s="220">
        <f>AR$210*(Q187/Q$196)</f>
        <v>39267286.502847478</v>
      </c>
      <c r="AS212" s="220">
        <f t="shared" ref="AS212:BL220" si="209">AS$210*(R187/R$196)</f>
        <v>43197183.450309277</v>
      </c>
      <c r="AT212" s="220">
        <f t="shared" si="209"/>
        <v>47501624.490016103</v>
      </c>
      <c r="AU212" s="220">
        <f t="shared" si="209"/>
        <v>52174860.548153035</v>
      </c>
      <c r="AV212" s="220">
        <f t="shared" si="209"/>
        <v>59435553.642304294</v>
      </c>
      <c r="AW212" s="220">
        <f t="shared" si="209"/>
        <v>64706109.46549461</v>
      </c>
      <c r="AX212" s="220">
        <f t="shared" si="209"/>
        <v>68073604.474522322</v>
      </c>
      <c r="AY212" s="220">
        <f t="shared" si="209"/>
        <v>71540812.42990315</v>
      </c>
      <c r="AZ212" s="220">
        <f t="shared" si="209"/>
        <v>75171800.496988729</v>
      </c>
      <c r="BA212" s="220">
        <f t="shared" si="209"/>
        <v>78229715.8603196</v>
      </c>
      <c r="BB212" s="220">
        <f t="shared" si="209"/>
        <v>81400399.741643563</v>
      </c>
      <c r="BC212" s="220">
        <f t="shared" si="209"/>
        <v>84688503.198563352</v>
      </c>
      <c r="BD212" s="220">
        <f t="shared" si="209"/>
        <v>88098834.96688737</v>
      </c>
      <c r="BE212" s="220">
        <f t="shared" si="209"/>
        <v>91636368.423478827</v>
      </c>
      <c r="BF212" s="220">
        <f t="shared" si="209"/>
        <v>95306248.750836208</v>
      </c>
      <c r="BG212" s="220">
        <f t="shared" si="209"/>
        <v>98739302.000267372</v>
      </c>
      <c r="BH212" s="220">
        <f t="shared" si="209"/>
        <v>102287153.62454666</v>
      </c>
      <c r="BI212" s="220">
        <f t="shared" si="209"/>
        <v>105953991.48989169</v>
      </c>
      <c r="BJ212" s="220">
        <f t="shared" si="209"/>
        <v>109744129.22571588</v>
      </c>
      <c r="BK212" s="220">
        <f t="shared" si="209"/>
        <v>113662011.36700037</v>
      </c>
      <c r="BL212" s="220">
        <f t="shared" si="209"/>
        <v>117712218.61164656</v>
      </c>
      <c r="BN212" s="203"/>
    </row>
    <row r="213" spans="3:89" s="146" customFormat="1" x14ac:dyDescent="0.2">
      <c r="D213" s="230"/>
      <c r="E213" s="230"/>
      <c r="F213" s="230"/>
      <c r="G213" s="231" t="s">
        <v>64</v>
      </c>
      <c r="L213" s="232" t="s">
        <v>175</v>
      </c>
      <c r="M213" s="147"/>
      <c r="Q213" s="220">
        <f t="shared" ref="Q213:AK213" si="210">Q$210*(Q188/Q$196)</f>
        <v>2117046.4728020281</v>
      </c>
      <c r="R213" s="220">
        <f>R$210*(R188/R$196)</f>
        <v>2306200.7452401561</v>
      </c>
      <c r="S213" s="220">
        <f t="shared" si="210"/>
        <v>2511263.6845620126</v>
      </c>
      <c r="T213" s="220">
        <f t="shared" si="210"/>
        <v>2733582.8673595744</v>
      </c>
      <c r="U213" s="220">
        <f t="shared" si="210"/>
        <v>3087149.564432512</v>
      </c>
      <c r="V213" s="220">
        <f t="shared" si="210"/>
        <v>3330268.3587676911</v>
      </c>
      <c r="W213" s="220">
        <f t="shared" si="210"/>
        <v>3500108.1032469678</v>
      </c>
      <c r="X213" s="220">
        <f t="shared" si="210"/>
        <v>3683088.4966597361</v>
      </c>
      <c r="Y213" s="220">
        <f t="shared" si="210"/>
        <v>3833951.5580086717</v>
      </c>
      <c r="Z213" s="220">
        <f t="shared" si="210"/>
        <v>3952559.9931189693</v>
      </c>
      <c r="AA213" s="220">
        <f t="shared" si="210"/>
        <v>4074100.8524276265</v>
      </c>
      <c r="AB213" s="220">
        <f t="shared" si="210"/>
        <v>4198685.1148325792</v>
      </c>
      <c r="AC213" s="220">
        <f t="shared" si="210"/>
        <v>4326424.8807409517</v>
      </c>
      <c r="AD213" s="220">
        <f t="shared" si="210"/>
        <v>4457433.5273946337</v>
      </c>
      <c r="AE213" s="220">
        <f t="shared" si="210"/>
        <v>4591825.860220897</v>
      </c>
      <c r="AF213" s="220">
        <f t="shared" si="210"/>
        <v>4711847.1719636405</v>
      </c>
      <c r="AG213" s="220">
        <f t="shared" si="210"/>
        <v>4834486.8126815297</v>
      </c>
      <c r="AH213" s="220">
        <f t="shared" si="210"/>
        <v>4959828.3240889432</v>
      </c>
      <c r="AI213" s="220">
        <f t="shared" si="210"/>
        <v>5087955.7059782771</v>
      </c>
      <c r="AJ213" s="220">
        <f t="shared" si="210"/>
        <v>5218953.5288817072</v>
      </c>
      <c r="AK213" s="220">
        <f t="shared" si="210"/>
        <v>5352907.0422628047</v>
      </c>
      <c r="AL213" s="220"/>
      <c r="AM213" s="203"/>
      <c r="AR213" s="220">
        <f t="shared" ref="AR213:AR220" si="211">AR$210*(Q188/Q$196)</f>
        <v>2117046.4728020281</v>
      </c>
      <c r="AS213" s="220">
        <f t="shared" si="209"/>
        <v>2306200.7452401561</v>
      </c>
      <c r="AT213" s="220">
        <f t="shared" si="209"/>
        <v>2511263.6845620126</v>
      </c>
      <c r="AU213" s="220">
        <f t="shared" si="209"/>
        <v>2731412.7229427136</v>
      </c>
      <c r="AV213" s="220">
        <f t="shared" si="209"/>
        <v>3081161.9103720295</v>
      </c>
      <c r="AW213" s="220">
        <f t="shared" si="209"/>
        <v>3321663.7952476754</v>
      </c>
      <c r="AX213" s="220">
        <f t="shared" si="209"/>
        <v>3460439.8813579148</v>
      </c>
      <c r="AY213" s="220">
        <f t="shared" si="209"/>
        <v>3601211.3168730889</v>
      </c>
      <c r="AZ213" s="220">
        <f t="shared" si="209"/>
        <v>3747070.5305770529</v>
      </c>
      <c r="BA213" s="220">
        <f t="shared" si="209"/>
        <v>3861453.817006486</v>
      </c>
      <c r="BB213" s="220">
        <f t="shared" si="209"/>
        <v>3978760.5820161635</v>
      </c>
      <c r="BC213" s="220">
        <f t="shared" si="209"/>
        <v>4099094.2399161044</v>
      </c>
      <c r="BD213" s="220">
        <f t="shared" si="209"/>
        <v>4222559.5984440856</v>
      </c>
      <c r="BE213" s="220">
        <f t="shared" si="209"/>
        <v>4349262.9901741911</v>
      </c>
      <c r="BF213" s="220">
        <f t="shared" si="209"/>
        <v>4479312.4013434649</v>
      </c>
      <c r="BG213" s="220">
        <f t="shared" si="209"/>
        <v>4595388.21515828</v>
      </c>
      <c r="BH213" s="220">
        <f t="shared" si="209"/>
        <v>4714063.450289838</v>
      </c>
      <c r="BI213" s="220">
        <f t="shared" si="209"/>
        <v>4835415.8432330927</v>
      </c>
      <c r="BJ213" s="220">
        <f t="shared" si="209"/>
        <v>4959523.8240846163</v>
      </c>
      <c r="BK213" s="220">
        <f t="shared" si="209"/>
        <v>5086466.6090499964</v>
      </c>
      <c r="BL213" s="220">
        <f t="shared" si="209"/>
        <v>5216324.2897810806</v>
      </c>
      <c r="BN213" s="203"/>
    </row>
    <row r="214" spans="3:89" s="146" customFormat="1" x14ac:dyDescent="0.2">
      <c r="D214" s="230"/>
      <c r="E214" s="230"/>
      <c r="F214" s="230"/>
      <c r="G214" s="231" t="s">
        <v>63</v>
      </c>
      <c r="L214" s="232" t="s">
        <v>175</v>
      </c>
      <c r="M214" s="147"/>
      <c r="Q214" s="220">
        <f t="shared" ref="Q214:AK214" si="212">Q$210*(Q189/Q$196)</f>
        <v>3624856.0797253433</v>
      </c>
      <c r="R214" s="220">
        <f t="shared" si="212"/>
        <v>3948730.4127936508</v>
      </c>
      <c r="S214" s="220">
        <f t="shared" si="212"/>
        <v>4299843.9343326315</v>
      </c>
      <c r="T214" s="220">
        <f t="shared" si="212"/>
        <v>4680503.9962426974</v>
      </c>
      <c r="U214" s="220">
        <f t="shared" si="212"/>
        <v>5285889.0966353947</v>
      </c>
      <c r="V214" s="220">
        <f t="shared" si="212"/>
        <v>5702162.7359074447</v>
      </c>
      <c r="W214" s="220">
        <f t="shared" si="212"/>
        <v>5992966.2861667145</v>
      </c>
      <c r="X214" s="220">
        <f t="shared" si="212"/>
        <v>6306269.5603527213</v>
      </c>
      <c r="Y214" s="220">
        <f t="shared" si="212"/>
        <v>6564580.7935553249</v>
      </c>
      <c r="Z214" s="220">
        <f t="shared" si="212"/>
        <v>6767664.9075035267</v>
      </c>
      <c r="AA214" s="220">
        <f t="shared" si="212"/>
        <v>6975769.9861875111</v>
      </c>
      <c r="AB214" s="220">
        <f t="shared" si="212"/>
        <v>7189086.0502505591</v>
      </c>
      <c r="AC214" s="220">
        <f t="shared" si="212"/>
        <v>7407805.0406101802</v>
      </c>
      <c r="AD214" s="220">
        <f t="shared" si="212"/>
        <v>7632121.0844098935</v>
      </c>
      <c r="AE214" s="220">
        <f t="shared" si="212"/>
        <v>7862230.7541655544</v>
      </c>
      <c r="AF214" s="220">
        <f t="shared" si="212"/>
        <v>8067734.0282582855</v>
      </c>
      <c r="AG214" s="220">
        <f t="shared" si="212"/>
        <v>8277720.4659594679</v>
      </c>
      <c r="AH214" s="220">
        <f t="shared" si="212"/>
        <v>8492333.109330304</v>
      </c>
      <c r="AI214" s="220">
        <f t="shared" si="212"/>
        <v>8711715.7847640365</v>
      </c>
      <c r="AJ214" s="220">
        <f t="shared" si="212"/>
        <v>8936013.295887772</v>
      </c>
      <c r="AK214" s="220">
        <f t="shared" si="212"/>
        <v>9165371.6088098809</v>
      </c>
      <c r="AL214" s="220"/>
      <c r="AM214" s="203"/>
      <c r="AR214" s="220">
        <f t="shared" si="211"/>
        <v>3624856.0797253433</v>
      </c>
      <c r="AS214" s="220">
        <f t="shared" si="209"/>
        <v>3948730.4127936508</v>
      </c>
      <c r="AT214" s="220">
        <f t="shared" si="209"/>
        <v>4299843.9343326315</v>
      </c>
      <c r="AU214" s="220">
        <f t="shared" si="209"/>
        <v>4676788.2246314446</v>
      </c>
      <c r="AV214" s="220">
        <f t="shared" si="209"/>
        <v>5275636.8964578025</v>
      </c>
      <c r="AW214" s="220">
        <f t="shared" si="209"/>
        <v>5687429.802648956</v>
      </c>
      <c r="AX214" s="220">
        <f t="shared" si="209"/>
        <v>5925045.4364670329</v>
      </c>
      <c r="AY214" s="220">
        <f t="shared" si="209"/>
        <v>6166077.5538222408</v>
      </c>
      <c r="AZ214" s="220">
        <f t="shared" si="209"/>
        <v>6415821.0830131834</v>
      </c>
      <c r="BA214" s="220">
        <f t="shared" si="209"/>
        <v>6611670.7993795034</v>
      </c>
      <c r="BB214" s="220">
        <f t="shared" si="209"/>
        <v>6812526.1635867544</v>
      </c>
      <c r="BC214" s="220">
        <f t="shared" si="209"/>
        <v>7018564.2440153174</v>
      </c>
      <c r="BD214" s="220">
        <f t="shared" si="209"/>
        <v>7229964.4949050732</v>
      </c>
      <c r="BE214" s="220">
        <f t="shared" si="209"/>
        <v>7446908.9813559111</v>
      </c>
      <c r="BF214" s="220">
        <f t="shared" si="209"/>
        <v>7669582.5999079933</v>
      </c>
      <c r="BG214" s="220">
        <f t="shared" si="209"/>
        <v>7868330.3009250592</v>
      </c>
      <c r="BH214" s="220">
        <f t="shared" si="209"/>
        <v>8071528.7914192602</v>
      </c>
      <c r="BI214" s="220">
        <f t="shared" si="209"/>
        <v>8279311.1736204335</v>
      </c>
      <c r="BJ214" s="220">
        <f t="shared" si="209"/>
        <v>8491811.7373594362</v>
      </c>
      <c r="BK214" s="220">
        <f t="shared" si="209"/>
        <v>8709166.1184611768</v>
      </c>
      <c r="BL214" s="220">
        <f t="shared" si="209"/>
        <v>8931511.4517091662</v>
      </c>
      <c r="BN214" s="203"/>
    </row>
    <row r="215" spans="3:89" s="146" customFormat="1" x14ac:dyDescent="0.2">
      <c r="D215" s="230"/>
      <c r="E215" s="230"/>
      <c r="F215" s="230"/>
      <c r="G215" s="231" t="s">
        <v>76</v>
      </c>
      <c r="L215" s="232" t="s">
        <v>175</v>
      </c>
      <c r="M215" s="147"/>
      <c r="Q215" s="220">
        <f t="shared" ref="Q215:AK215" si="213">Q$210*(Q190/Q$196)</f>
        <v>1562873.6779469396</v>
      </c>
      <c r="R215" s="220">
        <f t="shared" si="213"/>
        <v>1702513.6137077657</v>
      </c>
      <c r="S215" s="220">
        <f t="shared" si="213"/>
        <v>1853897.853168685</v>
      </c>
      <c r="T215" s="220">
        <f t="shared" si="213"/>
        <v>2018021.2219094336</v>
      </c>
      <c r="U215" s="220">
        <f t="shared" si="213"/>
        <v>2279035.8436255842</v>
      </c>
      <c r="V215" s="220">
        <f t="shared" si="213"/>
        <v>2458514.1730633592</v>
      </c>
      <c r="W215" s="220">
        <f t="shared" si="213"/>
        <v>2583895.4859093549</v>
      </c>
      <c r="X215" s="220">
        <f t="shared" si="213"/>
        <v>2718977.660117208</v>
      </c>
      <c r="Y215" s="220">
        <f t="shared" si="213"/>
        <v>2830349.7582670972</v>
      </c>
      <c r="Z215" s="220">
        <f t="shared" si="213"/>
        <v>2917910.4252613373</v>
      </c>
      <c r="AA215" s="220">
        <f t="shared" si="213"/>
        <v>3007635.9047200503</v>
      </c>
      <c r="AB215" s="220">
        <f t="shared" si="213"/>
        <v>3099608.1249337257</v>
      </c>
      <c r="AC215" s="220">
        <f t="shared" si="213"/>
        <v>3193909.8421280188</v>
      </c>
      <c r="AD215" s="220">
        <f t="shared" si="213"/>
        <v>3290624.7551300931</v>
      </c>
      <c r="AE215" s="220">
        <f t="shared" si="213"/>
        <v>3389837.6171010365</v>
      </c>
      <c r="AF215" s="220">
        <f t="shared" si="213"/>
        <v>3478441.3163231076</v>
      </c>
      <c r="AG215" s="220">
        <f t="shared" si="213"/>
        <v>3568977.9525345792</v>
      </c>
      <c r="AH215" s="220">
        <f t="shared" si="213"/>
        <v>3661509.1989901769</v>
      </c>
      <c r="AI215" s="220">
        <f t="shared" si="213"/>
        <v>3756097.0671128333</v>
      </c>
      <c r="AJ215" s="220">
        <f t="shared" si="213"/>
        <v>3852803.989664874</v>
      </c>
      <c r="AK215" s="220">
        <f t="shared" si="213"/>
        <v>3951692.9006176367</v>
      </c>
      <c r="AL215" s="220"/>
      <c r="AM215" s="203"/>
      <c r="AR215" s="220">
        <f t="shared" si="211"/>
        <v>1562873.6779469396</v>
      </c>
      <c r="AS215" s="220">
        <f t="shared" si="209"/>
        <v>1702513.6137077657</v>
      </c>
      <c r="AT215" s="220">
        <f t="shared" si="209"/>
        <v>1853897.853168685</v>
      </c>
      <c r="AU215" s="220">
        <f t="shared" si="209"/>
        <v>2016419.1495742113</v>
      </c>
      <c r="AV215" s="220">
        <f t="shared" si="209"/>
        <v>2274615.5594967268</v>
      </c>
      <c r="AW215" s="220">
        <f t="shared" si="209"/>
        <v>2452161.9998784903</v>
      </c>
      <c r="AX215" s="220">
        <f t="shared" si="209"/>
        <v>2554611.0934135662</v>
      </c>
      <c r="AY215" s="220">
        <f t="shared" si="209"/>
        <v>2658533.2198287942</v>
      </c>
      <c r="AZ215" s="220">
        <f t="shared" si="209"/>
        <v>2766211.312262109</v>
      </c>
      <c r="BA215" s="220">
        <f t="shared" si="209"/>
        <v>2850652.834852309</v>
      </c>
      <c r="BB215" s="220">
        <f t="shared" si="209"/>
        <v>2937252.5659560207</v>
      </c>
      <c r="BC215" s="220">
        <f t="shared" si="209"/>
        <v>3026086.849434915</v>
      </c>
      <c r="BD215" s="220">
        <f t="shared" si="209"/>
        <v>3117233.0578250978</v>
      </c>
      <c r="BE215" s="220">
        <f t="shared" si="209"/>
        <v>3210769.6893471237</v>
      </c>
      <c r="BF215" s="220">
        <f t="shared" si="209"/>
        <v>3306776.4630104667</v>
      </c>
      <c r="BG215" s="220">
        <f t="shared" si="209"/>
        <v>3392467.4652572135</v>
      </c>
      <c r="BH215" s="220">
        <f t="shared" si="209"/>
        <v>3480077.4462349997</v>
      </c>
      <c r="BI215" s="220">
        <f t="shared" si="209"/>
        <v>3569663.7935936982</v>
      </c>
      <c r="BJ215" s="220">
        <f t="shared" si="209"/>
        <v>3661284.407022702</v>
      </c>
      <c r="BK215" s="220">
        <f t="shared" si="209"/>
        <v>3754997.7665434736</v>
      </c>
      <c r="BL215" s="220">
        <f t="shared" si="209"/>
        <v>3850862.9984602681</v>
      </c>
      <c r="BN215" s="203"/>
    </row>
    <row r="216" spans="3:89" s="146" customFormat="1" x14ac:dyDescent="0.2">
      <c r="D216" s="230"/>
      <c r="E216" s="230"/>
      <c r="F216" s="230"/>
      <c r="G216" s="231" t="s">
        <v>72</v>
      </c>
      <c r="L216" s="232" t="s">
        <v>175</v>
      </c>
      <c r="M216" s="147"/>
      <c r="Q216" s="220">
        <f t="shared" ref="Q216:AK216" si="214">Q$210*(Q191/Q$196)</f>
        <v>2158693.8292783676</v>
      </c>
      <c r="R216" s="220">
        <f t="shared" si="214"/>
        <v>2351569.2176742465</v>
      </c>
      <c r="S216" s="220">
        <f t="shared" si="214"/>
        <v>2560666.2343976907</v>
      </c>
      <c r="T216" s="220">
        <f t="shared" si="214"/>
        <v>2787358.9660882219</v>
      </c>
      <c r="U216" s="220">
        <f t="shared" si="214"/>
        <v>3147881.1638836679</v>
      </c>
      <c r="V216" s="220">
        <f t="shared" si="214"/>
        <v>3395782.6851092852</v>
      </c>
      <c r="W216" s="220">
        <f t="shared" si="214"/>
        <v>3568963.5826870189</v>
      </c>
      <c r="X216" s="220">
        <f t="shared" si="214"/>
        <v>3755543.6371230697</v>
      </c>
      <c r="Y216" s="220">
        <f t="shared" si="214"/>
        <v>3909374.5349252285</v>
      </c>
      <c r="Z216" s="220">
        <f t="shared" si="214"/>
        <v>4030316.28101457</v>
      </c>
      <c r="AA216" s="220">
        <f t="shared" si="214"/>
        <v>4154248.1390844849</v>
      </c>
      <c r="AB216" s="220">
        <f t="shared" si="214"/>
        <v>4281283.2712527728</v>
      </c>
      <c r="AC216" s="220">
        <f t="shared" si="214"/>
        <v>4411535.9832090205</v>
      </c>
      <c r="AD216" s="220">
        <f t="shared" si="214"/>
        <v>4545121.8825960681</v>
      </c>
      <c r="AE216" s="220">
        <f t="shared" si="214"/>
        <v>4682158.0333379274</v>
      </c>
      <c r="AF216" s="220">
        <f t="shared" si="214"/>
        <v>4804540.4507148666</v>
      </c>
      <c r="AG216" s="220">
        <f t="shared" si="214"/>
        <v>4929592.7058466505</v>
      </c>
      <c r="AH216" s="220">
        <f t="shared" si="214"/>
        <v>5057399.9839124614</v>
      </c>
      <c r="AI216" s="220">
        <f t="shared" si="214"/>
        <v>5188047.9371809475</v>
      </c>
      <c r="AJ216" s="220">
        <f t="shared" si="214"/>
        <v>5321622.7998888846</v>
      </c>
      <c r="AK216" s="220">
        <f t="shared" si="214"/>
        <v>5458211.4985597702</v>
      </c>
      <c r="AL216" s="220"/>
      <c r="AM216" s="203"/>
      <c r="AR216" s="220">
        <f t="shared" si="211"/>
        <v>2158693.8292783676</v>
      </c>
      <c r="AS216" s="220">
        <f t="shared" si="209"/>
        <v>2351569.2176742465</v>
      </c>
      <c r="AT216" s="220">
        <f t="shared" si="209"/>
        <v>2560666.2343976907</v>
      </c>
      <c r="AU216" s="220">
        <f t="shared" si="209"/>
        <v>2785146.1297516059</v>
      </c>
      <c r="AV216" s="220">
        <f t="shared" si="209"/>
        <v>3141775.7183782086</v>
      </c>
      <c r="AW216" s="220">
        <f t="shared" si="209"/>
        <v>3387008.8492899388</v>
      </c>
      <c r="AX216" s="220">
        <f t="shared" si="209"/>
        <v>3528514.9922047304</v>
      </c>
      <c r="AY216" s="220">
        <f t="shared" si="209"/>
        <v>3672055.7378091663</v>
      </c>
      <c r="AZ216" s="220">
        <f t="shared" si="209"/>
        <v>3820784.3503414341</v>
      </c>
      <c r="BA216" s="220">
        <f t="shared" si="209"/>
        <v>3937417.8289919929</v>
      </c>
      <c r="BB216" s="220">
        <f t="shared" si="209"/>
        <v>4057032.298023351</v>
      </c>
      <c r="BC216" s="220">
        <f t="shared" si="209"/>
        <v>4179733.2061518962</v>
      </c>
      <c r="BD216" s="220">
        <f t="shared" si="209"/>
        <v>4305627.4229336558</v>
      </c>
      <c r="BE216" s="220">
        <f t="shared" si="209"/>
        <v>4434823.3727582386</v>
      </c>
      <c r="BF216" s="220">
        <f t="shared" si="209"/>
        <v>4567431.1662096819</v>
      </c>
      <c r="BG216" s="220">
        <f t="shared" si="209"/>
        <v>4685790.4682984743</v>
      </c>
      <c r="BH216" s="220">
        <f t="shared" si="209"/>
        <v>4806800.3285249434</v>
      </c>
      <c r="BI216" s="220">
        <f t="shared" si="209"/>
        <v>4930540.0126463249</v>
      </c>
      <c r="BJ216" s="220">
        <f t="shared" si="209"/>
        <v>5057089.4936662428</v>
      </c>
      <c r="BK216" s="220">
        <f t="shared" si="209"/>
        <v>5186529.5461624898</v>
      </c>
      <c r="BL216" s="220">
        <f t="shared" si="209"/>
        <v>5318941.8373803832</v>
      </c>
      <c r="BN216" s="203"/>
    </row>
    <row r="217" spans="3:89" s="146" customFormat="1" x14ac:dyDescent="0.2">
      <c r="D217" s="230"/>
      <c r="E217" s="230"/>
      <c r="F217" s="230"/>
      <c r="G217" s="231" t="s">
        <v>73</v>
      </c>
      <c r="L217" s="232" t="s">
        <v>175</v>
      </c>
      <c r="M217" s="147"/>
      <c r="Q217" s="220">
        <f t="shared" ref="Q217:AK217" si="215">Q$210*(Q192/Q$196)</f>
        <v>214736.85948125136</v>
      </c>
      <c r="R217" s="220">
        <f t="shared" si="215"/>
        <v>233923.20939971309</v>
      </c>
      <c r="S217" s="220">
        <f t="shared" si="215"/>
        <v>254723.21173867362</v>
      </c>
      <c r="T217" s="220">
        <f t="shared" si="215"/>
        <v>277273.55426998279</v>
      </c>
      <c r="U217" s="220">
        <f t="shared" si="215"/>
        <v>313136.63196903525</v>
      </c>
      <c r="V217" s="220">
        <f t="shared" si="215"/>
        <v>337796.72660895315</v>
      </c>
      <c r="W217" s="220">
        <f t="shared" si="215"/>
        <v>355023.9598384194</v>
      </c>
      <c r="X217" s="220">
        <f t="shared" si="215"/>
        <v>373584.07910499867</v>
      </c>
      <c r="Y217" s="220">
        <f t="shared" si="215"/>
        <v>388886.46401813108</v>
      </c>
      <c r="Z217" s="220">
        <f t="shared" si="215"/>
        <v>400917.18851604679</v>
      </c>
      <c r="AA217" s="220">
        <f t="shared" si="215"/>
        <v>413245.35549863044</v>
      </c>
      <c r="AB217" s="220">
        <f t="shared" si="215"/>
        <v>425882.22180899739</v>
      </c>
      <c r="AC217" s="220">
        <f t="shared" si="215"/>
        <v>438839.15804749285</v>
      </c>
      <c r="AD217" s="220">
        <f t="shared" si="215"/>
        <v>452127.66432674753</v>
      </c>
      <c r="AE217" s="220">
        <f t="shared" si="215"/>
        <v>465759.38562348334</v>
      </c>
      <c r="AF217" s="220">
        <f t="shared" si="215"/>
        <v>477933.42142550938</v>
      </c>
      <c r="AG217" s="220">
        <f t="shared" si="215"/>
        <v>490373.04031627235</v>
      </c>
      <c r="AH217" s="220">
        <f t="shared" si="215"/>
        <v>503086.7161226499</v>
      </c>
      <c r="AI217" s="220">
        <f t="shared" si="215"/>
        <v>516082.96913548547</v>
      </c>
      <c r="AJ217" s="220">
        <f t="shared" si="215"/>
        <v>529370.37753704097</v>
      </c>
      <c r="AK217" s="220">
        <f t="shared" si="215"/>
        <v>542957.588375099</v>
      </c>
      <c r="AL217" s="220"/>
      <c r="AM217" s="203"/>
      <c r="AR217" s="220">
        <f t="shared" si="211"/>
        <v>214736.85948125136</v>
      </c>
      <c r="AS217" s="220">
        <f t="shared" si="209"/>
        <v>233923.20939971309</v>
      </c>
      <c r="AT217" s="220">
        <f t="shared" si="209"/>
        <v>254723.21173867362</v>
      </c>
      <c r="AU217" s="220">
        <f t="shared" si="209"/>
        <v>277053.43156474963</v>
      </c>
      <c r="AV217" s="220">
        <f t="shared" si="209"/>
        <v>312529.29054071679</v>
      </c>
      <c r="AW217" s="220">
        <f t="shared" si="209"/>
        <v>336923.9460766252</v>
      </c>
      <c r="AX217" s="220">
        <f t="shared" si="209"/>
        <v>351000.32148229663</v>
      </c>
      <c r="AY217" s="220">
        <f t="shared" si="209"/>
        <v>365279.08973587281</v>
      </c>
      <c r="AZ217" s="220">
        <f t="shared" si="209"/>
        <v>380073.92295261659</v>
      </c>
      <c r="BA217" s="220">
        <f t="shared" si="209"/>
        <v>391676.08096877293</v>
      </c>
      <c r="BB217" s="220">
        <f t="shared" si="209"/>
        <v>403574.77409511805</v>
      </c>
      <c r="BC217" s="220">
        <f t="shared" si="209"/>
        <v>415780.49188133614</v>
      </c>
      <c r="BD217" s="220">
        <f t="shared" si="209"/>
        <v>428303.86521566269</v>
      </c>
      <c r="BE217" s="220">
        <f t="shared" si="209"/>
        <v>441155.67965398123</v>
      </c>
      <c r="BF217" s="220">
        <f t="shared" si="209"/>
        <v>454346.88848697284</v>
      </c>
      <c r="BG217" s="220">
        <f t="shared" si="209"/>
        <v>466120.72342188633</v>
      </c>
      <c r="BH217" s="220">
        <f t="shared" si="209"/>
        <v>478158.22359855595</v>
      </c>
      <c r="BI217" s="220">
        <f t="shared" si="209"/>
        <v>490467.27400719339</v>
      </c>
      <c r="BJ217" s="220">
        <f t="shared" si="209"/>
        <v>503055.82999167207</v>
      </c>
      <c r="BK217" s="220">
        <f t="shared" si="209"/>
        <v>515931.9266326772</v>
      </c>
      <c r="BL217" s="220">
        <f t="shared" si="209"/>
        <v>529103.6878093679</v>
      </c>
      <c r="BN217" s="203"/>
    </row>
    <row r="218" spans="3:89" s="146" customFormat="1" x14ac:dyDescent="0.2">
      <c r="D218" s="230"/>
      <c r="E218" s="230"/>
      <c r="F218" s="230"/>
      <c r="G218" s="231" t="s">
        <v>180</v>
      </c>
      <c r="L218" s="232" t="s">
        <v>175</v>
      </c>
      <c r="M218" s="147"/>
      <c r="Q218" s="220">
        <f t="shared" ref="Q218:AK218" si="216">Q$210*(Q193/Q$196)</f>
        <v>3252702.1060718014</v>
      </c>
      <c r="R218" s="220">
        <f t="shared" si="216"/>
        <v>3543325.1548505267</v>
      </c>
      <c r="S218" s="220">
        <f t="shared" si="216"/>
        <v>3858390.8197656088</v>
      </c>
      <c r="T218" s="220">
        <f t="shared" si="216"/>
        <v>4199969.5632632226</v>
      </c>
      <c r="U218" s="220">
        <f t="shared" si="216"/>
        <v>4743201.4455014411</v>
      </c>
      <c r="V218" s="220">
        <f t="shared" si="216"/>
        <v>5116737.4186220448</v>
      </c>
      <c r="W218" s="220">
        <f t="shared" si="216"/>
        <v>5377684.970628907</v>
      </c>
      <c r="X218" s="220">
        <f t="shared" si="216"/>
        <v>5658822.2619778905</v>
      </c>
      <c r="Y218" s="220">
        <f t="shared" si="216"/>
        <v>5890613.3934823135</v>
      </c>
      <c r="Z218" s="220">
        <f t="shared" si="216"/>
        <v>6072847.4217086621</v>
      </c>
      <c r="AA218" s="220">
        <f t="shared" si="216"/>
        <v>6259586.9260728704</v>
      </c>
      <c r="AB218" s="220">
        <f t="shared" si="216"/>
        <v>6451002.418323094</v>
      </c>
      <c r="AC218" s="220">
        <f t="shared" si="216"/>
        <v>6647266.133332327</v>
      </c>
      <c r="AD218" s="220">
        <f t="shared" si="216"/>
        <v>6848552.2677457528</v>
      </c>
      <c r="AE218" s="220">
        <f t="shared" si="216"/>
        <v>7055037.2125215</v>
      </c>
      <c r="AF218" s="220">
        <f t="shared" si="216"/>
        <v>7239442.0323940003</v>
      </c>
      <c r="AG218" s="220">
        <f t="shared" si="216"/>
        <v>7427869.7418353874</v>
      </c>
      <c r="AH218" s="220">
        <f t="shared" si="216"/>
        <v>7620448.6971728802</v>
      </c>
      <c r="AI218" s="220">
        <f t="shared" si="216"/>
        <v>7817307.9585405607</v>
      </c>
      <c r="AJ218" s="220">
        <f t="shared" si="216"/>
        <v>8018577.4629767081</v>
      </c>
      <c r="AK218" s="220">
        <f t="shared" si="216"/>
        <v>8224388.1906521181</v>
      </c>
      <c r="AL218" s="220"/>
      <c r="AM218" s="203"/>
      <c r="AR218" s="220">
        <f t="shared" si="211"/>
        <v>3252702.1060718014</v>
      </c>
      <c r="AS218" s="220">
        <f t="shared" si="209"/>
        <v>3543325.1548505267</v>
      </c>
      <c r="AT218" s="220">
        <f t="shared" si="209"/>
        <v>3858390.8197656088</v>
      </c>
      <c r="AU218" s="220">
        <f t="shared" si="209"/>
        <v>4196635.2796724327</v>
      </c>
      <c r="AV218" s="220">
        <f t="shared" si="209"/>
        <v>4734001.8104328811</v>
      </c>
      <c r="AW218" s="220">
        <f t="shared" si="209"/>
        <v>5103517.0749768056</v>
      </c>
      <c r="AX218" s="220">
        <f t="shared" si="209"/>
        <v>5316737.3671916202</v>
      </c>
      <c r="AY218" s="220">
        <f t="shared" si="209"/>
        <v>5533023.3820039649</v>
      </c>
      <c r="AZ218" s="220">
        <f t="shared" si="209"/>
        <v>5757126.4320314964</v>
      </c>
      <c r="BA218" s="220">
        <f t="shared" si="209"/>
        <v>5932868.7983178413</v>
      </c>
      <c r="BB218" s="220">
        <f t="shared" si="209"/>
        <v>6113102.8963905321</v>
      </c>
      <c r="BC218" s="220">
        <f t="shared" si="209"/>
        <v>6297987.6155079259</v>
      </c>
      <c r="BD218" s="220">
        <f t="shared" si="209"/>
        <v>6487683.985838131</v>
      </c>
      <c r="BE218" s="220">
        <f t="shared" si="209"/>
        <v>6682355.3803594485</v>
      </c>
      <c r="BF218" s="220">
        <f t="shared" si="209"/>
        <v>6882167.71279452</v>
      </c>
      <c r="BG218" s="220">
        <f t="shared" si="209"/>
        <v>7060510.5356421368</v>
      </c>
      <c r="BH218" s="220">
        <f t="shared" si="209"/>
        <v>7242847.1976900706</v>
      </c>
      <c r="BI218" s="220">
        <f t="shared" si="209"/>
        <v>7429297.1359292427</v>
      </c>
      <c r="BJ218" s="220">
        <f t="shared" si="209"/>
        <v>7619980.8530239034</v>
      </c>
      <c r="BK218" s="220">
        <f t="shared" si="209"/>
        <v>7815020.0594430929</v>
      </c>
      <c r="BL218" s="220">
        <f t="shared" si="209"/>
        <v>8014537.8107205052</v>
      </c>
      <c r="BN218" s="203"/>
    </row>
    <row r="219" spans="3:89" s="146" customFormat="1" x14ac:dyDescent="0.2">
      <c r="D219" s="230"/>
      <c r="E219" s="230"/>
      <c r="F219" s="230"/>
      <c r="G219" s="231" t="s">
        <v>75</v>
      </c>
      <c r="L219" s="232" t="s">
        <v>175</v>
      </c>
      <c r="M219" s="147"/>
      <c r="Q219" s="220">
        <f t="shared" ref="Q219:AK219" si="217">Q$210*(Q194/Q$196)</f>
        <v>1836394.1452273431</v>
      </c>
      <c r="R219" s="220">
        <f t="shared" si="217"/>
        <v>2000472.6399192268</v>
      </c>
      <c r="S219" s="220">
        <f t="shared" si="217"/>
        <v>2178350.8235168438</v>
      </c>
      <c r="T219" s="220">
        <f t="shared" si="217"/>
        <v>2371197.6272626324</v>
      </c>
      <c r="U219" s="220">
        <f t="shared" si="217"/>
        <v>2677892.7427424314</v>
      </c>
      <c r="V219" s="220">
        <f t="shared" si="217"/>
        <v>2888781.7979651713</v>
      </c>
      <c r="W219" s="220">
        <f t="shared" si="217"/>
        <v>3036106.2504018904</v>
      </c>
      <c r="X219" s="220">
        <f t="shared" si="217"/>
        <v>3194829.3240195587</v>
      </c>
      <c r="Y219" s="220">
        <f t="shared" si="217"/>
        <v>3325692.7916625775</v>
      </c>
      <c r="Z219" s="220">
        <f t="shared" si="217"/>
        <v>3428577.5599515121</v>
      </c>
      <c r="AA219" s="220">
        <f t="shared" si="217"/>
        <v>3534006.0072282706</v>
      </c>
      <c r="AB219" s="220">
        <f t="shared" si="217"/>
        <v>3642074.4001555056</v>
      </c>
      <c r="AC219" s="220">
        <f t="shared" si="217"/>
        <v>3752879.9782287623</v>
      </c>
      <c r="AD219" s="220">
        <f t="shared" si="217"/>
        <v>3866521.0885113133</v>
      </c>
      <c r="AE219" s="220">
        <f t="shared" si="217"/>
        <v>3983097.3169202604</v>
      </c>
      <c r="AF219" s="220">
        <f t="shared" si="217"/>
        <v>4087207.659805208</v>
      </c>
      <c r="AG219" s="220">
        <f t="shared" si="217"/>
        <v>4193589.2253874769</v>
      </c>
      <c r="AH219" s="220">
        <f t="shared" si="217"/>
        <v>4302314.480434821</v>
      </c>
      <c r="AI219" s="220">
        <f t="shared" si="217"/>
        <v>4413456.2890666779</v>
      </c>
      <c r="AJ219" s="220">
        <f t="shared" si="217"/>
        <v>4527088.0104804579</v>
      </c>
      <c r="AK219" s="220">
        <f t="shared" si="217"/>
        <v>4643283.5928004188</v>
      </c>
      <c r="AL219" s="220"/>
      <c r="AM219" s="203"/>
      <c r="AR219" s="220">
        <f t="shared" si="211"/>
        <v>1836394.1452273431</v>
      </c>
      <c r="AS219" s="220">
        <f t="shared" si="209"/>
        <v>2000472.6399192268</v>
      </c>
      <c r="AT219" s="220">
        <f t="shared" si="209"/>
        <v>2178350.8235168438</v>
      </c>
      <c r="AU219" s="220">
        <f t="shared" si="209"/>
        <v>2369315.1742543397</v>
      </c>
      <c r="AV219" s="220">
        <f t="shared" si="209"/>
        <v>2672698.8591874032</v>
      </c>
      <c r="AW219" s="220">
        <f t="shared" si="209"/>
        <v>2881317.9230463179</v>
      </c>
      <c r="AX219" s="220">
        <f t="shared" si="209"/>
        <v>3001696.7599327373</v>
      </c>
      <c r="AY219" s="220">
        <f t="shared" si="209"/>
        <v>3123806.4270167751</v>
      </c>
      <c r="AZ219" s="220">
        <f t="shared" si="209"/>
        <v>3250329.3964057923</v>
      </c>
      <c r="BA219" s="220">
        <f t="shared" si="209"/>
        <v>3349549.1349469465</v>
      </c>
      <c r="BB219" s="220">
        <f t="shared" si="209"/>
        <v>3451304.7927592886</v>
      </c>
      <c r="BC219" s="220">
        <f t="shared" si="209"/>
        <v>3555686.0747388131</v>
      </c>
      <c r="BD219" s="220">
        <f t="shared" si="209"/>
        <v>3662783.8944853111</v>
      </c>
      <c r="BE219" s="220">
        <f t="shared" si="209"/>
        <v>3772690.4882908082</v>
      </c>
      <c r="BF219" s="220">
        <f t="shared" si="209"/>
        <v>3885499.5268876567</v>
      </c>
      <c r="BG219" s="220">
        <f t="shared" si="209"/>
        <v>3986187.418074951</v>
      </c>
      <c r="BH219" s="220">
        <f t="shared" si="209"/>
        <v>4089130.1308490396</v>
      </c>
      <c r="BI219" s="220">
        <f t="shared" si="209"/>
        <v>4194395.0963437865</v>
      </c>
      <c r="BJ219" s="220">
        <f t="shared" si="209"/>
        <v>4302050.3473454816</v>
      </c>
      <c r="BK219" s="220">
        <f t="shared" si="209"/>
        <v>4412164.5985365808</v>
      </c>
      <c r="BL219" s="220">
        <f t="shared" si="209"/>
        <v>4524807.3239897005</v>
      </c>
      <c r="BN219" s="203"/>
    </row>
    <row r="220" spans="3:89" s="146" customFormat="1" x14ac:dyDescent="0.2">
      <c r="D220" s="230"/>
      <c r="E220" s="230"/>
      <c r="F220" s="230"/>
      <c r="G220" s="231" t="s">
        <v>181</v>
      </c>
      <c r="L220" s="232" t="s">
        <v>175</v>
      </c>
      <c r="M220" s="147"/>
      <c r="Q220" s="220">
        <f t="shared" ref="Q220:AK220" si="218">Q$210*(Q195/Q$196)</f>
        <v>1331027.4699986943</v>
      </c>
      <c r="R220" s="220">
        <f t="shared" si="218"/>
        <v>1449952.3665077162</v>
      </c>
      <c r="S220" s="220">
        <f t="shared" si="218"/>
        <v>1578879.3451180651</v>
      </c>
      <c r="T220" s="220">
        <f t="shared" si="218"/>
        <v>1718655.6529189812</v>
      </c>
      <c r="U220" s="220">
        <f t="shared" si="218"/>
        <v>1940949.7746242629</v>
      </c>
      <c r="V220" s="220">
        <f t="shared" si="218"/>
        <v>2093803.1946556042</v>
      </c>
      <c r="W220" s="220">
        <f t="shared" si="218"/>
        <v>2200584.6792870108</v>
      </c>
      <c r="X220" s="220">
        <f t="shared" si="218"/>
        <v>2315627.9403738445</v>
      </c>
      <c r="Y220" s="220">
        <f t="shared" si="218"/>
        <v>2410478.4226109297</v>
      </c>
      <c r="Z220" s="220">
        <f t="shared" si="218"/>
        <v>2485049.8065335429</v>
      </c>
      <c r="AA220" s="220">
        <f t="shared" si="218"/>
        <v>2561464.8614439531</v>
      </c>
      <c r="AB220" s="220">
        <f t="shared" si="218"/>
        <v>2639793.3618906648</v>
      </c>
      <c r="AC220" s="220">
        <f t="shared" si="218"/>
        <v>2720105.7875362546</v>
      </c>
      <c r="AD220" s="220">
        <f t="shared" si="218"/>
        <v>2802473.4208138576</v>
      </c>
      <c r="AE220" s="220">
        <f t="shared" si="218"/>
        <v>2886968.4420838957</v>
      </c>
      <c r="AF220" s="220">
        <f t="shared" si="218"/>
        <v>2962428.1284758113</v>
      </c>
      <c r="AG220" s="220">
        <f t="shared" si="218"/>
        <v>3039534.008201831</v>
      </c>
      <c r="AH220" s="220">
        <f t="shared" si="218"/>
        <v>3118338.605530174</v>
      </c>
      <c r="AI220" s="220">
        <f t="shared" si="218"/>
        <v>3198894.7327312203</v>
      </c>
      <c r="AJ220" s="220">
        <f t="shared" si="218"/>
        <v>3281255.5609107981</v>
      </c>
      <c r="AK220" s="220">
        <f t="shared" si="218"/>
        <v>3365474.6880312967</v>
      </c>
      <c r="AL220" s="220"/>
      <c r="AM220" s="203"/>
      <c r="AR220" s="220">
        <f t="shared" si="211"/>
        <v>1331027.4699986943</v>
      </c>
      <c r="AS220" s="220">
        <f t="shared" si="209"/>
        <v>1449952.3665077162</v>
      </c>
      <c r="AT220" s="220">
        <f t="shared" si="209"/>
        <v>1578879.3451180651</v>
      </c>
      <c r="AU220" s="220">
        <f t="shared" si="209"/>
        <v>1717291.2417594644</v>
      </c>
      <c r="AV220" s="220">
        <f t="shared" si="209"/>
        <v>1937185.2223871062</v>
      </c>
      <c r="AW220" s="220">
        <f t="shared" si="209"/>
        <v>2088393.3415609146</v>
      </c>
      <c r="AX220" s="220">
        <f t="shared" si="209"/>
        <v>2175644.5120782815</v>
      </c>
      <c r="AY220" s="220">
        <f t="shared" si="209"/>
        <v>2264150.1967994175</v>
      </c>
      <c r="AZ220" s="220">
        <f t="shared" si="209"/>
        <v>2355854.66464489</v>
      </c>
      <c r="BA220" s="220">
        <f t="shared" si="209"/>
        <v>2427769.6170572331</v>
      </c>
      <c r="BB220" s="220">
        <f t="shared" si="209"/>
        <v>2501522.6161767524</v>
      </c>
      <c r="BC220" s="220">
        <f t="shared" si="209"/>
        <v>2577178.6805513441</v>
      </c>
      <c r="BD220" s="220">
        <f t="shared" si="209"/>
        <v>2654803.7048033616</v>
      </c>
      <c r="BE220" s="220">
        <f t="shared" si="209"/>
        <v>2734464.5422490132</v>
      </c>
      <c r="BF220" s="220">
        <f t="shared" si="209"/>
        <v>2816229.0858938452</v>
      </c>
      <c r="BG220" s="220">
        <f t="shared" si="209"/>
        <v>2889208.162534222</v>
      </c>
      <c r="BH220" s="220">
        <f t="shared" si="209"/>
        <v>2963821.5449034702</v>
      </c>
      <c r="BI220" s="220">
        <f t="shared" si="209"/>
        <v>3040118.1074177022</v>
      </c>
      <c r="BJ220" s="220">
        <f t="shared" si="209"/>
        <v>3118147.1605733773</v>
      </c>
      <c r="BK220" s="220">
        <f t="shared" si="209"/>
        <v>3197958.5091091329</v>
      </c>
      <c r="BL220" s="220">
        <f t="shared" si="209"/>
        <v>3279602.5081728217</v>
      </c>
      <c r="BN220" s="203"/>
    </row>
    <row r="221" spans="3:89" s="233" customFormat="1" x14ac:dyDescent="0.2">
      <c r="D221" s="234"/>
      <c r="E221" s="234"/>
      <c r="F221" s="234"/>
      <c r="G221" s="235" t="s">
        <v>374</v>
      </c>
      <c r="L221" s="224"/>
      <c r="M221" s="236"/>
      <c r="Q221" s="237">
        <f>SUM(Q212:Q220)</f>
        <v>55365617.143379241</v>
      </c>
      <c r="R221" s="237">
        <f t="shared" ref="R221:AK221" si="219">SUM(R212:R220)</f>
        <v>60733870.810402289</v>
      </c>
      <c r="S221" s="237">
        <f t="shared" si="219"/>
        <v>66597640.396616332</v>
      </c>
      <c r="T221" s="237">
        <f t="shared" si="219"/>
        <v>73002877.6311014</v>
      </c>
      <c r="U221" s="237">
        <f t="shared" si="219"/>
        <v>83026191.636706993</v>
      </c>
      <c r="V221" s="237">
        <f t="shared" si="219"/>
        <v>90197573.709328532</v>
      </c>
      <c r="W221" s="237">
        <f t="shared" si="219"/>
        <v>95469289.117856935</v>
      </c>
      <c r="X221" s="237">
        <f t="shared" si="219"/>
        <v>101174108.08148924</v>
      </c>
      <c r="Y221" s="237">
        <f t="shared" si="219"/>
        <v>106068690.67119583</v>
      </c>
      <c r="Z221" s="237">
        <f t="shared" si="219"/>
        <v>110131291.80488737</v>
      </c>
      <c r="AA221" s="237">
        <f t="shared" si="219"/>
        <v>114330998.89458641</v>
      </c>
      <c r="AB221" s="237">
        <f t="shared" si="219"/>
        <v>118673495.18641363</v>
      </c>
      <c r="AC221" s="237">
        <f t="shared" si="219"/>
        <v>123164631.06907119</v>
      </c>
      <c r="AD221" s="237">
        <f t="shared" si="219"/>
        <v>127810432.59990281</v>
      </c>
      <c r="AE221" s="237">
        <f t="shared" si="219"/>
        <v>132617110.19741121</v>
      </c>
      <c r="AF221" s="237">
        <f t="shared" si="219"/>
        <v>137071184.08183542</v>
      </c>
      <c r="AG221" s="237">
        <f t="shared" si="219"/>
        <v>141662279.58292672</v>
      </c>
      <c r="AH221" s="237">
        <f t="shared" si="219"/>
        <v>146395386.13656494</v>
      </c>
      <c r="AI221" s="237">
        <f t="shared" si="219"/>
        <v>151275622.8122234</v>
      </c>
      <c r="AJ221" s="237">
        <f t="shared" si="219"/>
        <v>156308244.63728821</v>
      </c>
      <c r="AK221" s="237">
        <f t="shared" si="219"/>
        <v>161498648.9945972</v>
      </c>
      <c r="AL221" s="237"/>
      <c r="AM221" s="207"/>
      <c r="AR221" s="237">
        <f t="shared" ref="AR221:BL221" si="220">SUM(AR212:AR220)</f>
        <v>55365617.143379241</v>
      </c>
      <c r="AS221" s="237">
        <f t="shared" si="220"/>
        <v>60733870.810402289</v>
      </c>
      <c r="AT221" s="237">
        <f t="shared" si="220"/>
        <v>66597640.396616332</v>
      </c>
      <c r="AU221" s="237">
        <f t="shared" si="220"/>
        <v>72944921.902304009</v>
      </c>
      <c r="AV221" s="237">
        <f t="shared" si="220"/>
        <v>82865158.909557164</v>
      </c>
      <c r="AW221" s="237">
        <f t="shared" si="220"/>
        <v>89964526.198220357</v>
      </c>
      <c r="AX221" s="237">
        <f t="shared" si="220"/>
        <v>94387294.83865051</v>
      </c>
      <c r="AY221" s="237">
        <f t="shared" si="220"/>
        <v>98924949.353792459</v>
      </c>
      <c r="AZ221" s="237">
        <f t="shared" si="220"/>
        <v>103665072.1892173</v>
      </c>
      <c r="BA221" s="237">
        <f t="shared" si="220"/>
        <v>107592774.77184066</v>
      </c>
      <c r="BB221" s="237">
        <f t="shared" si="220"/>
        <v>111655476.43064755</v>
      </c>
      <c r="BC221" s="237">
        <f t="shared" si="220"/>
        <v>115858614.60076103</v>
      </c>
      <c r="BD221" s="237">
        <f t="shared" si="220"/>
        <v>120207794.99133775</v>
      </c>
      <c r="BE221" s="237">
        <f t="shared" si="220"/>
        <v>124708799.54766753</v>
      </c>
      <c r="BF221" s="237">
        <f t="shared" si="220"/>
        <v>129367594.5953708</v>
      </c>
      <c r="BG221" s="237">
        <f t="shared" si="220"/>
        <v>133683305.2895796</v>
      </c>
      <c r="BH221" s="237">
        <f t="shared" si="220"/>
        <v>138133580.73805684</v>
      </c>
      <c r="BI221" s="237">
        <f t="shared" si="220"/>
        <v>142723199.92668316</v>
      </c>
      <c r="BJ221" s="237">
        <f t="shared" si="220"/>
        <v>147457072.87878329</v>
      </c>
      <c r="BK221" s="237">
        <f t="shared" si="220"/>
        <v>152340246.50093898</v>
      </c>
      <c r="BL221" s="237">
        <f t="shared" si="220"/>
        <v>157377910.51966983</v>
      </c>
      <c r="BN221" s="207"/>
    </row>
    <row r="222" spans="3:89" x14ac:dyDescent="0.2">
      <c r="D222" s="18"/>
      <c r="E222" s="18"/>
      <c r="F222" s="18"/>
      <c r="G222" s="67"/>
      <c r="L222" s="182"/>
      <c r="M222" s="63"/>
      <c r="Q222" s="154"/>
      <c r="R222" s="220"/>
      <c r="S222" s="154"/>
      <c r="T222" s="154"/>
      <c r="U222" s="220"/>
      <c r="V222" s="154"/>
      <c r="W222" s="154"/>
      <c r="X222" s="154"/>
      <c r="Y222" s="154"/>
      <c r="Z222" s="154"/>
      <c r="AA222" s="154"/>
      <c r="AB222" s="154"/>
      <c r="AC222" s="154"/>
      <c r="AD222" s="154"/>
      <c r="AE222" s="154"/>
      <c r="AF222" s="154"/>
      <c r="AG222" s="154"/>
      <c r="AH222" s="154"/>
      <c r="AI222" s="154"/>
      <c r="AJ222" s="154"/>
      <c r="AK222" s="154"/>
      <c r="AL222" s="154"/>
    </row>
    <row r="223" spans="3:89" x14ac:dyDescent="0.2">
      <c r="C223" t="s">
        <v>65</v>
      </c>
      <c r="L223" s="4"/>
      <c r="M223" s="63"/>
    </row>
    <row r="224" spans="3:89" x14ac:dyDescent="0.2">
      <c r="D224" t="s">
        <v>318</v>
      </c>
      <c r="L224" s="4"/>
      <c r="M224" s="63"/>
    </row>
    <row r="225" spans="3:73" x14ac:dyDescent="0.2">
      <c r="G225" s="67" t="s">
        <v>224</v>
      </c>
      <c r="L225" s="182" t="s">
        <v>175</v>
      </c>
      <c r="M225" s="63"/>
      <c r="Q225" s="154">
        <f>Q187+Q212</f>
        <v>40095035.850346208</v>
      </c>
      <c r="R225" s="220">
        <f t="shared" ref="R225:AK225" si="221">R187+R212</f>
        <v>44159105.793604128</v>
      </c>
      <c r="S225" s="154">
        <f t="shared" si="221"/>
        <v>48431670.650698848</v>
      </c>
      <c r="T225" s="154">
        <f t="shared" si="221"/>
        <v>53250424.416448206</v>
      </c>
      <c r="U225" s="220">
        <f t="shared" si="221"/>
        <v>60420483.103471205</v>
      </c>
      <c r="V225" s="154">
        <f t="shared" si="221"/>
        <v>68669819.847155482</v>
      </c>
      <c r="W225" s="154">
        <f t="shared" si="221"/>
        <v>73762415.544344574</v>
      </c>
      <c r="X225" s="154">
        <f t="shared" si="221"/>
        <v>73953192.151636884</v>
      </c>
      <c r="Y225" s="154">
        <f t="shared" si="221"/>
        <v>77674549.248426214</v>
      </c>
      <c r="Z225" s="154">
        <f t="shared" si="221"/>
        <v>80810056.716837198</v>
      </c>
      <c r="AA225" s="154">
        <f t="shared" si="221"/>
        <v>84061205.901155204</v>
      </c>
      <c r="AB225" s="154">
        <f t="shared" si="221"/>
        <v>87432808.499327868</v>
      </c>
      <c r="AC225" s="154">
        <f t="shared" si="221"/>
        <v>90929835.739978224</v>
      </c>
      <c r="AD225" s="154">
        <f t="shared" si="221"/>
        <v>94557425.696984544</v>
      </c>
      <c r="AE225" s="154">
        <f t="shared" si="221"/>
        <v>98320890.801749676</v>
      </c>
      <c r="AF225" s="154">
        <f t="shared" si="221"/>
        <v>101841736.50037844</v>
      </c>
      <c r="AG225" s="154">
        <f t="shared" si="221"/>
        <v>105480375.2618715</v>
      </c>
      <c r="AH225" s="154">
        <f t="shared" si="221"/>
        <v>109241138.67177497</v>
      </c>
      <c r="AI225" s="154">
        <f t="shared" si="221"/>
        <v>113128485.21442185</v>
      </c>
      <c r="AJ225" s="154">
        <f t="shared" si="221"/>
        <v>117147005.71575026</v>
      </c>
      <c r="AK225" s="154">
        <f t="shared" si="221"/>
        <v>121301428.89416124</v>
      </c>
      <c r="AR225" s="154">
        <f>AR187+AR212</f>
        <v>40095035.850346208</v>
      </c>
      <c r="AS225" s="154">
        <f t="shared" ref="AS225:BL225" si="222">AS187+AS212</f>
        <v>44111009.676439382</v>
      </c>
      <c r="AT225" s="154">
        <f t="shared" si="222"/>
        <v>48198308.458551928</v>
      </c>
      <c r="AU225" s="154">
        <f t="shared" si="222"/>
        <v>52948552.712540098</v>
      </c>
      <c r="AV225" s="220">
        <f t="shared" si="222"/>
        <v>60085241.723184794</v>
      </c>
      <c r="AW225" s="154">
        <f t="shared" si="222"/>
        <v>67539316.625428215</v>
      </c>
      <c r="AX225" s="154">
        <f t="shared" si="222"/>
        <v>71732556.741171882</v>
      </c>
      <c r="AY225" s="154">
        <f t="shared" si="222"/>
        <v>72125883.363304272</v>
      </c>
      <c r="AZ225" s="154">
        <f t="shared" si="222"/>
        <v>75736793.492661238</v>
      </c>
      <c r="BA225" s="154">
        <f t="shared" si="222"/>
        <v>78775319.934860304</v>
      </c>
      <c r="BB225" s="154">
        <f t="shared" si="222"/>
        <v>81927280.266597852</v>
      </c>
      <c r="BC225" s="154">
        <f t="shared" si="222"/>
        <v>85197302.711854741</v>
      </c>
      <c r="BD225" s="154">
        <f t="shared" si="222"/>
        <v>88590173.956401184</v>
      </c>
      <c r="BE225" s="154">
        <f t="shared" si="222"/>
        <v>92110846.083755597</v>
      </c>
      <c r="BF225" s="154">
        <f t="shared" si="222"/>
        <v>95764443.713797495</v>
      </c>
      <c r="BG225" s="154">
        <f t="shared" si="222"/>
        <v>99181773.040865213</v>
      </c>
      <c r="BH225" s="154">
        <f t="shared" si="222"/>
        <v>102714440.34219721</v>
      </c>
      <c r="BI225" s="154">
        <f t="shared" si="222"/>
        <v>106366614.96652396</v>
      </c>
      <c r="BJ225" s="154">
        <f t="shared" si="222"/>
        <v>110142592.66123819</v>
      </c>
      <c r="BK225" s="154">
        <f t="shared" si="222"/>
        <v>114046800.69295953</v>
      </c>
      <c r="BL225" s="154">
        <f t="shared" si="222"/>
        <v>118083803.08382784</v>
      </c>
    </row>
    <row r="226" spans="3:73" s="146" customFormat="1" x14ac:dyDescent="0.2">
      <c r="G226" s="231" t="s">
        <v>64</v>
      </c>
      <c r="L226" s="232" t="s">
        <v>175</v>
      </c>
      <c r="M226" s="147"/>
      <c r="Q226" s="220">
        <f>Q188+Q213</f>
        <v>2161673.5400774633</v>
      </c>
      <c r="R226" s="229">
        <f>R188+R213</f>
        <v>2357555.6218265337</v>
      </c>
      <c r="S226" s="220">
        <f t="shared" ref="S226:AK226" si="223">S188+S213</f>
        <v>2560432.3429682069</v>
      </c>
      <c r="T226" s="220">
        <f t="shared" si="223"/>
        <v>2787719.7030349276</v>
      </c>
      <c r="U226" s="220">
        <f t="shared" si="223"/>
        <v>3132221.0316248466</v>
      </c>
      <c r="V226" s="220">
        <f t="shared" si="223"/>
        <v>3525139.3770492868</v>
      </c>
      <c r="W226" s="220">
        <f t="shared" si="223"/>
        <v>3749623.7560106963</v>
      </c>
      <c r="X226" s="220">
        <f t="shared" si="223"/>
        <v>3722645.3467565887</v>
      </c>
      <c r="Y226" s="220">
        <f t="shared" si="223"/>
        <v>3871824.4413514207</v>
      </c>
      <c r="Z226" s="220">
        <f t="shared" si="223"/>
        <v>3988820.5975195109</v>
      </c>
      <c r="AA226" s="220">
        <f t="shared" si="223"/>
        <v>4108817.8138903538</v>
      </c>
      <c r="AB226" s="220">
        <f t="shared" si="223"/>
        <v>4231924.1474722689</v>
      </c>
      <c r="AC226" s="220">
        <f t="shared" si="223"/>
        <v>4358248.9011699436</v>
      </c>
      <c r="AD226" s="220">
        <f t="shared" si="223"/>
        <v>4487902.7738147471</v>
      </c>
      <c r="AE226" s="220">
        <f t="shared" si="223"/>
        <v>4620998.0064455094</v>
      </c>
      <c r="AF226" s="220">
        <f t="shared" si="223"/>
        <v>4739777.4365857542</v>
      </c>
      <c r="AG226" s="220">
        <f t="shared" si="223"/>
        <v>4861228.0635944679</v>
      </c>
      <c r="AH226" s="220">
        <f t="shared" si="223"/>
        <v>4985431.178557517</v>
      </c>
      <c r="AI226" s="220">
        <f t="shared" si="223"/>
        <v>5112468.6264498401</v>
      </c>
      <c r="AJ226" s="220">
        <f t="shared" si="223"/>
        <v>5242422.9147184594</v>
      </c>
      <c r="AK226" s="220">
        <f t="shared" si="223"/>
        <v>5375377.3175689783</v>
      </c>
      <c r="AM226" s="203"/>
      <c r="AR226" s="220">
        <f t="shared" ref="AR226:BL226" si="224">AR188+AR213</f>
        <v>2161673.5400774633</v>
      </c>
      <c r="AS226" s="229">
        <f>AS188+AS213</f>
        <v>2354987.8779972149</v>
      </c>
      <c r="AT226" s="220">
        <f t="shared" si="224"/>
        <v>2548112.9297259157</v>
      </c>
      <c r="AU226" s="220">
        <f t="shared" si="224"/>
        <v>2771955.3679862441</v>
      </c>
      <c r="AV226" s="220">
        <f t="shared" si="224"/>
        <v>3114890.6320331157</v>
      </c>
      <c r="AW226" s="220">
        <f t="shared" si="224"/>
        <v>3467385.5574289351</v>
      </c>
      <c r="AX226" s="220">
        <f t="shared" si="224"/>
        <v>3646886.2500424418</v>
      </c>
      <c r="AY226" s="220">
        <f t="shared" si="224"/>
        <v>3630747.6657850905</v>
      </c>
      <c r="AZ226" s="220">
        <f t="shared" si="224"/>
        <v>3775328.5977013898</v>
      </c>
      <c r="BA226" s="220">
        <f t="shared" si="224"/>
        <v>3888488.9241547184</v>
      </c>
      <c r="BB226" s="220">
        <f t="shared" si="224"/>
        <v>4004625.6567681073</v>
      </c>
      <c r="BC226" s="220">
        <f t="shared" si="224"/>
        <v>4123839.9192380137</v>
      </c>
      <c r="BD226" s="220">
        <f t="shared" si="224"/>
        <v>4246234.3278224245</v>
      </c>
      <c r="BE226" s="220">
        <f t="shared" si="224"/>
        <v>4371913.1184590654</v>
      </c>
      <c r="BF226" s="220">
        <f t="shared" si="224"/>
        <v>4500982.2714873925</v>
      </c>
      <c r="BG226" s="220">
        <f t="shared" si="224"/>
        <v>4616120.2510279529</v>
      </c>
      <c r="BH226" s="220">
        <f t="shared" si="224"/>
        <v>4733898.2397208139</v>
      </c>
      <c r="BI226" s="220">
        <f t="shared" si="224"/>
        <v>4854392.2174900295</v>
      </c>
      <c r="BJ226" s="220">
        <f t="shared" si="224"/>
        <v>4977678.9338826044</v>
      </c>
      <c r="BK226" s="220">
        <f t="shared" si="224"/>
        <v>5103835.9972858177</v>
      </c>
      <c r="BL226" s="220">
        <f t="shared" si="224"/>
        <v>5232941.9611167917</v>
      </c>
      <c r="BN226" s="203"/>
    </row>
    <row r="227" spans="3:73" x14ac:dyDescent="0.2">
      <c r="G227" s="67" t="s">
        <v>63</v>
      </c>
      <c r="L227" s="182" t="s">
        <v>175</v>
      </c>
      <c r="M227" s="63"/>
      <c r="Q227" s="154">
        <f t="shared" ref="Q227:AK227" si="225">Q189+Q214</f>
        <v>3701267.5795256128</v>
      </c>
      <c r="R227" s="220">
        <f t="shared" si="225"/>
        <v>4036661.4237606842</v>
      </c>
      <c r="S227" s="154">
        <f t="shared" si="225"/>
        <v>4384031.6518179895</v>
      </c>
      <c r="T227" s="154">
        <f t="shared" si="225"/>
        <v>4773198.3420948051</v>
      </c>
      <c r="U227" s="220">
        <f t="shared" si="225"/>
        <v>5363061.5082820961</v>
      </c>
      <c r="V227" s="154">
        <f t="shared" si="225"/>
        <v>6035825.4138199324</v>
      </c>
      <c r="W227" s="154">
        <f t="shared" si="225"/>
        <v>6420192.7748276545</v>
      </c>
      <c r="X227" s="154">
        <f t="shared" si="225"/>
        <v>6373999.716686313</v>
      </c>
      <c r="Y227" s="154">
        <f t="shared" si="225"/>
        <v>6629427.6229496701</v>
      </c>
      <c r="Z227" s="154">
        <f t="shared" si="225"/>
        <v>6829751.1554930909</v>
      </c>
      <c r="AA227" s="154">
        <f t="shared" si="225"/>
        <v>7035213.1729311617</v>
      </c>
      <c r="AB227" s="154">
        <f t="shared" si="225"/>
        <v>7245998.6929799831</v>
      </c>
      <c r="AC227" s="154">
        <f t="shared" si="225"/>
        <v>7462294.8666084986</v>
      </c>
      <c r="AD227" s="154">
        <f t="shared" si="225"/>
        <v>7684291.2349236021</v>
      </c>
      <c r="AE227" s="154">
        <f t="shared" si="225"/>
        <v>7912179.9796357742</v>
      </c>
      <c r="AF227" s="154">
        <f t="shared" si="225"/>
        <v>8115556.8752408586</v>
      </c>
      <c r="AG227" s="154">
        <f t="shared" si="225"/>
        <v>8323507.456087715</v>
      </c>
      <c r="AH227" s="154">
        <f t="shared" si="225"/>
        <v>8536170.9106591996</v>
      </c>
      <c r="AI227" s="154">
        <f t="shared" si="225"/>
        <v>8753687.3758201189</v>
      </c>
      <c r="AJ227" s="154">
        <f t="shared" si="225"/>
        <v>8976198.1227353252</v>
      </c>
      <c r="AK227" s="154">
        <f t="shared" si="225"/>
        <v>9203845.7354306709</v>
      </c>
      <c r="AR227" s="154">
        <f t="shared" ref="AR227:BL227" si="226">AR189+AR214</f>
        <v>3701267.5795256128</v>
      </c>
      <c r="AS227" s="154">
        <f t="shared" si="226"/>
        <v>4032264.8732123328</v>
      </c>
      <c r="AT227" s="154">
        <f t="shared" si="226"/>
        <v>4362938.0666918866</v>
      </c>
      <c r="AU227" s="154">
        <f t="shared" si="226"/>
        <v>4746206.2819401613</v>
      </c>
      <c r="AV227" s="220">
        <f t="shared" si="226"/>
        <v>5333387.9960889462</v>
      </c>
      <c r="AW227" s="154">
        <f t="shared" si="226"/>
        <v>5936937.9841542495</v>
      </c>
      <c r="AX227" s="154">
        <f t="shared" si="226"/>
        <v>6244283.2339133536</v>
      </c>
      <c r="AY227" s="154">
        <f t="shared" si="226"/>
        <v>6216650.3755821958</v>
      </c>
      <c r="AZ227" s="154">
        <f t="shared" si="226"/>
        <v>6464205.2010440771</v>
      </c>
      <c r="BA227" s="154">
        <f t="shared" si="226"/>
        <v>6657960.9369703848</v>
      </c>
      <c r="BB227" s="154">
        <f t="shared" si="226"/>
        <v>6856812.9445675425</v>
      </c>
      <c r="BC227" s="154">
        <f t="shared" si="226"/>
        <v>7060934.3701742552</v>
      </c>
      <c r="BD227" s="154">
        <f t="shared" si="226"/>
        <v>7270500.9157278724</v>
      </c>
      <c r="BE227" s="154">
        <f t="shared" si="226"/>
        <v>7485691.0564188715</v>
      </c>
      <c r="BF227" s="154">
        <f t="shared" si="226"/>
        <v>7706686.2542430395</v>
      </c>
      <c r="BG227" s="154">
        <f t="shared" si="226"/>
        <v>7903828.1736608436</v>
      </c>
      <c r="BH227" s="154">
        <f t="shared" si="226"/>
        <v>8105490.3779893378</v>
      </c>
      <c r="BI227" s="154">
        <f t="shared" si="226"/>
        <v>8311802.961816919</v>
      </c>
      <c r="BJ227" s="154">
        <f t="shared" si="226"/>
        <v>8522897.3374984898</v>
      </c>
      <c r="BK227" s="154">
        <f t="shared" si="226"/>
        <v>8738906.3879151568</v>
      </c>
      <c r="BL227" s="154">
        <f t="shared" si="226"/>
        <v>8959964.6140492465</v>
      </c>
    </row>
    <row r="228" spans="3:73" x14ac:dyDescent="0.2">
      <c r="G228" s="67" t="s">
        <v>76</v>
      </c>
      <c r="L228" s="182" t="s">
        <v>175</v>
      </c>
      <c r="M228" s="63"/>
      <c r="Q228" s="154">
        <f t="shared" ref="Q228:AK228" si="227">Q190+Q215</f>
        <v>1595818.8540046157</v>
      </c>
      <c r="R228" s="220">
        <f t="shared" si="227"/>
        <v>1740425.4809634867</v>
      </c>
      <c r="S228" s="154">
        <f t="shared" si="227"/>
        <v>1890195.7819058362</v>
      </c>
      <c r="T228" s="154">
        <f t="shared" si="227"/>
        <v>2057986.8233127715</v>
      </c>
      <c r="U228" s="220">
        <f t="shared" si="227"/>
        <v>2312309.0903900336</v>
      </c>
      <c r="V228" s="154">
        <f t="shared" si="227"/>
        <v>2602374.3995532966</v>
      </c>
      <c r="W228" s="154">
        <f t="shared" si="227"/>
        <v>2768096.1876653465</v>
      </c>
      <c r="X228" s="154">
        <f t="shared" si="227"/>
        <v>2748179.8342749807</v>
      </c>
      <c r="Y228" s="154">
        <f t="shared" si="227"/>
        <v>2858308.772509234</v>
      </c>
      <c r="Z228" s="154">
        <f t="shared" si="227"/>
        <v>2944679.2018999751</v>
      </c>
      <c r="AA228" s="154">
        <f t="shared" si="227"/>
        <v>3033265.1131221601</v>
      </c>
      <c r="AB228" s="154">
        <f t="shared" si="227"/>
        <v>3124146.2774307909</v>
      </c>
      <c r="AC228" s="154">
        <f t="shared" si="227"/>
        <v>3217403.385842762</v>
      </c>
      <c r="AD228" s="154">
        <f t="shared" si="227"/>
        <v>3313118.1598940645</v>
      </c>
      <c r="AE228" s="154">
        <f t="shared" si="227"/>
        <v>3411373.4596294821</v>
      </c>
      <c r="AF228" s="154">
        <f t="shared" si="227"/>
        <v>3499060.3608064433</v>
      </c>
      <c r="AG228" s="154">
        <f t="shared" si="227"/>
        <v>3588719.2277990235</v>
      </c>
      <c r="AH228" s="154">
        <f t="shared" si="227"/>
        <v>3680410.0723735942</v>
      </c>
      <c r="AI228" s="154">
        <f t="shared" si="227"/>
        <v>3774193.3151956191</v>
      </c>
      <c r="AJ228" s="154">
        <f t="shared" si="227"/>
        <v>3870129.8659897777</v>
      </c>
      <c r="AK228" s="154">
        <f t="shared" si="227"/>
        <v>3968281.2005266882</v>
      </c>
      <c r="AR228" s="154">
        <f t="shared" ref="AR228:BL228" si="228">AR190+AR215</f>
        <v>1595818.8540046157</v>
      </c>
      <c r="AS228" s="154">
        <f t="shared" si="228"/>
        <v>1738529.8876007008</v>
      </c>
      <c r="AT228" s="154">
        <f t="shared" si="228"/>
        <v>1881101.1838743419</v>
      </c>
      <c r="AU228" s="154">
        <f t="shared" si="228"/>
        <v>2046349.0701436996</v>
      </c>
      <c r="AV228" s="220">
        <f t="shared" si="228"/>
        <v>2299515.2166143814</v>
      </c>
      <c r="AW228" s="154">
        <f t="shared" si="228"/>
        <v>2559738.6210547378</v>
      </c>
      <c r="AX228" s="154">
        <f t="shared" si="228"/>
        <v>2692251.9651229931</v>
      </c>
      <c r="AY228" s="154">
        <f t="shared" si="228"/>
        <v>2680337.9288185434</v>
      </c>
      <c r="AZ228" s="154">
        <f t="shared" si="228"/>
        <v>2787072.3513869755</v>
      </c>
      <c r="BA228" s="154">
        <f t="shared" si="228"/>
        <v>2870611.0445020595</v>
      </c>
      <c r="BB228" s="154">
        <f t="shared" si="228"/>
        <v>2956347.0190194151</v>
      </c>
      <c r="BC228" s="154">
        <f t="shared" si="228"/>
        <v>3044354.9277940737</v>
      </c>
      <c r="BD228" s="154">
        <f t="shared" si="228"/>
        <v>3134710.5255393288</v>
      </c>
      <c r="BE228" s="154">
        <f t="shared" si="228"/>
        <v>3227490.7626694762</v>
      </c>
      <c r="BF228" s="154">
        <f t="shared" si="228"/>
        <v>3322773.8773740954</v>
      </c>
      <c r="BG228" s="154">
        <f t="shared" si="228"/>
        <v>3407772.5393626858</v>
      </c>
      <c r="BH228" s="154">
        <f t="shared" si="228"/>
        <v>3494720.143364016</v>
      </c>
      <c r="BI228" s="154">
        <f t="shared" si="228"/>
        <v>3583672.7802692638</v>
      </c>
      <c r="BJ228" s="154">
        <f t="shared" si="228"/>
        <v>3674687.1091305856</v>
      </c>
      <c r="BK228" s="154">
        <f t="shared" si="228"/>
        <v>3767820.4230248299</v>
      </c>
      <c r="BL228" s="154">
        <f t="shared" si="228"/>
        <v>3863130.7126805335</v>
      </c>
    </row>
    <row r="229" spans="3:73" x14ac:dyDescent="0.2">
      <c r="G229" s="67" t="s">
        <v>72</v>
      </c>
      <c r="L229" s="182" t="s">
        <v>175</v>
      </c>
      <c r="M229" s="63"/>
      <c r="Q229" s="154">
        <f t="shared" ref="Q229:AK229" si="229">Q191+Q216</f>
        <v>2204198.8174701319</v>
      </c>
      <c r="R229" s="220">
        <f t="shared" si="229"/>
        <v>2403934.3672420955</v>
      </c>
      <c r="S229" s="154">
        <f t="shared" si="229"/>
        <v>2610802.1576563166</v>
      </c>
      <c r="T229" s="154">
        <f t="shared" si="229"/>
        <v>2842560.8025195044</v>
      </c>
      <c r="U229" s="220">
        <f t="shared" si="229"/>
        <v>3193839.2943992624</v>
      </c>
      <c r="V229" s="154">
        <f t="shared" si="229"/>
        <v>3594487.2813824583</v>
      </c>
      <c r="W229" s="154">
        <f t="shared" si="229"/>
        <v>3823387.8038126519</v>
      </c>
      <c r="X229" s="154">
        <f t="shared" si="229"/>
        <v>3795878.6648642155</v>
      </c>
      <c r="Y229" s="154">
        <f t="shared" si="229"/>
        <v>3947992.4682674115</v>
      </c>
      <c r="Z229" s="154">
        <f t="shared" si="229"/>
        <v>4067290.2180400295</v>
      </c>
      <c r="AA229" s="154">
        <f t="shared" si="229"/>
        <v>4189648.0660316208</v>
      </c>
      <c r="AB229" s="154">
        <f t="shared" si="229"/>
        <v>4315176.1949898275</v>
      </c>
      <c r="AC229" s="154">
        <f t="shared" si="229"/>
        <v>4443986.0580682503</v>
      </c>
      <c r="AD229" s="154">
        <f t="shared" si="229"/>
        <v>4576190.5318084806</v>
      </c>
      <c r="AE229" s="154">
        <f t="shared" si="229"/>
        <v>4711904.0652984483</v>
      </c>
      <c r="AF229" s="154">
        <f t="shared" si="229"/>
        <v>4833020.1702980027</v>
      </c>
      <c r="AG229" s="154">
        <f t="shared" si="229"/>
        <v>4956860.020983357</v>
      </c>
      <c r="AH229" s="154">
        <f t="shared" si="229"/>
        <v>5083506.5076299459</v>
      </c>
      <c r="AI229" s="154">
        <f t="shared" si="229"/>
        <v>5213043.0852985596</v>
      </c>
      <c r="AJ229" s="154">
        <f t="shared" si="229"/>
        <v>5345553.8845550111</v>
      </c>
      <c r="AK229" s="154">
        <f t="shared" si="229"/>
        <v>5481123.8178067924</v>
      </c>
      <c r="AR229" s="154">
        <f t="shared" ref="AR229:BL229" si="230">AR191+AR216</f>
        <v>2204198.8174701319</v>
      </c>
      <c r="AS229" s="154">
        <f t="shared" si="230"/>
        <v>2401316.1097637028</v>
      </c>
      <c r="AT229" s="154">
        <f t="shared" si="230"/>
        <v>2598240.3921551253</v>
      </c>
      <c r="AU229" s="154">
        <f t="shared" si="230"/>
        <v>2826486.3453786424</v>
      </c>
      <c r="AV229" s="220">
        <f t="shared" si="230"/>
        <v>3176167.9644883592</v>
      </c>
      <c r="AW229" s="154">
        <f t="shared" si="230"/>
        <v>3535597.3063000045</v>
      </c>
      <c r="AX229" s="154">
        <f t="shared" si="230"/>
        <v>3718629.2059177356</v>
      </c>
      <c r="AY229" s="154">
        <f t="shared" si="230"/>
        <v>3702173.1371931112</v>
      </c>
      <c r="AZ229" s="154">
        <f t="shared" si="230"/>
        <v>3849598.3210843164</v>
      </c>
      <c r="BA229" s="154">
        <f t="shared" si="230"/>
        <v>3964984.7812174326</v>
      </c>
      <c r="BB229" s="154">
        <f t="shared" si="230"/>
        <v>4083406.2005229704</v>
      </c>
      <c r="BC229" s="154">
        <f t="shared" si="230"/>
        <v>4204965.6920419224</v>
      </c>
      <c r="BD229" s="154">
        <f t="shared" si="230"/>
        <v>4329767.8907388868</v>
      </c>
      <c r="BE229" s="154">
        <f t="shared" si="230"/>
        <v>4457919.0831212737</v>
      </c>
      <c r="BF229" s="154">
        <f t="shared" si="230"/>
        <v>4589527.334414741</v>
      </c>
      <c r="BG229" s="154">
        <f t="shared" si="230"/>
        <v>4706930.3527909508</v>
      </c>
      <c r="BH229" s="154">
        <f t="shared" si="230"/>
        <v>4827025.3155999845</v>
      </c>
      <c r="BI229" s="154">
        <f t="shared" si="230"/>
        <v>4949889.6974722361</v>
      </c>
      <c r="BJ229" s="154">
        <f t="shared" si="230"/>
        <v>5075601.75780134</v>
      </c>
      <c r="BK229" s="154">
        <f t="shared" si="230"/>
        <v>5204240.6317171594</v>
      </c>
      <c r="BL229" s="154">
        <f t="shared" si="230"/>
        <v>5335886.417969536</v>
      </c>
    </row>
    <row r="230" spans="3:73" x14ac:dyDescent="0.2">
      <c r="G230" s="67" t="s">
        <v>73</v>
      </c>
      <c r="L230" s="182" t="s">
        <v>175</v>
      </c>
      <c r="M230" s="63"/>
      <c r="Q230" s="154">
        <f t="shared" ref="Q230:AK230" si="231">Q192+Q217</f>
        <v>219263.48485187997</v>
      </c>
      <c r="R230" s="220">
        <f t="shared" si="231"/>
        <v>239132.25183637254</v>
      </c>
      <c r="S230" s="154">
        <f t="shared" si="231"/>
        <v>259710.50107157053</v>
      </c>
      <c r="T230" s="154">
        <f t="shared" si="231"/>
        <v>282764.77717157139</v>
      </c>
      <c r="U230" s="220">
        <f t="shared" si="231"/>
        <v>317708.33383833064</v>
      </c>
      <c r="V230" s="154">
        <f t="shared" si="231"/>
        <v>357562.93911647447</v>
      </c>
      <c r="W230" s="154">
        <f t="shared" si="231"/>
        <v>380332.90244041209</v>
      </c>
      <c r="X230" s="154">
        <f t="shared" si="231"/>
        <v>377596.42076584377</v>
      </c>
      <c r="Y230" s="154">
        <f t="shared" si="231"/>
        <v>392727.99708460068</v>
      </c>
      <c r="Z230" s="154">
        <f t="shared" si="231"/>
        <v>404595.18444665032</v>
      </c>
      <c r="AA230" s="154">
        <f t="shared" si="231"/>
        <v>416766.77620007144</v>
      </c>
      <c r="AB230" s="154">
        <f t="shared" si="231"/>
        <v>429253.73281404149</v>
      </c>
      <c r="AC230" s="154">
        <f t="shared" si="231"/>
        <v>442067.14113184338</v>
      </c>
      <c r="AD230" s="154">
        <f t="shared" si="231"/>
        <v>455218.22958881082</v>
      </c>
      <c r="AE230" s="154">
        <f t="shared" si="231"/>
        <v>468718.38304988836</v>
      </c>
      <c r="AF230" s="154">
        <f t="shared" si="231"/>
        <v>480766.4519642744</v>
      </c>
      <c r="AG230" s="154">
        <f t="shared" si="231"/>
        <v>493085.46647857776</v>
      </c>
      <c r="AH230" s="154">
        <f t="shared" si="231"/>
        <v>505683.67213328503</v>
      </c>
      <c r="AI230" s="154">
        <f t="shared" si="231"/>
        <v>518569.37065118301</v>
      </c>
      <c r="AJ230" s="154">
        <f t="shared" si="231"/>
        <v>531750.93095109414</v>
      </c>
      <c r="AK230" s="154">
        <f t="shared" si="231"/>
        <v>545236.79972587316</v>
      </c>
      <c r="AR230" s="154">
        <f t="shared" ref="AR230:BL230" si="232">AR192+AR217</f>
        <v>219263.48485187997</v>
      </c>
      <c r="AS230" s="154">
        <f t="shared" si="232"/>
        <v>238871.79971453955</v>
      </c>
      <c r="AT230" s="154">
        <f t="shared" si="232"/>
        <v>258460.91484647462</v>
      </c>
      <c r="AU230" s="154">
        <f t="shared" si="232"/>
        <v>281165.76465878321</v>
      </c>
      <c r="AV230" s="220">
        <f t="shared" si="232"/>
        <v>315950.47182174586</v>
      </c>
      <c r="AW230" s="154">
        <f t="shared" si="232"/>
        <v>351704.83727145148</v>
      </c>
      <c r="AX230" s="154">
        <f t="shared" si="232"/>
        <v>369912.00253765291</v>
      </c>
      <c r="AY230" s="154">
        <f t="shared" si="232"/>
        <v>368275.02907276934</v>
      </c>
      <c r="AZ230" s="154">
        <f t="shared" si="232"/>
        <v>382940.20324794669</v>
      </c>
      <c r="BA230" s="154">
        <f t="shared" si="232"/>
        <v>394418.31364024885</v>
      </c>
      <c r="BB230" s="154">
        <f t="shared" si="232"/>
        <v>406198.32770805736</v>
      </c>
      <c r="BC230" s="154">
        <f t="shared" si="232"/>
        <v>418290.50265889073</v>
      </c>
      <c r="BD230" s="154">
        <f t="shared" si="232"/>
        <v>430705.24709418346</v>
      </c>
      <c r="BE230" s="154">
        <f t="shared" si="232"/>
        <v>443453.13390320411</v>
      </c>
      <c r="BF230" s="154">
        <f t="shared" si="232"/>
        <v>456544.91291385971</v>
      </c>
      <c r="BG230" s="154">
        <f t="shared" si="232"/>
        <v>468223.62117614003</v>
      </c>
      <c r="BH230" s="154">
        <f t="shared" si="232"/>
        <v>480170.11159704771</v>
      </c>
      <c r="BI230" s="154">
        <f t="shared" si="232"/>
        <v>492392.09099379549</v>
      </c>
      <c r="BJ230" s="154">
        <f t="shared" si="232"/>
        <v>504897.34424827562</v>
      </c>
      <c r="BK230" s="154">
        <f t="shared" si="232"/>
        <v>517693.74335648975</v>
      </c>
      <c r="BL230" s="154">
        <f t="shared" si="232"/>
        <v>530789.256170935</v>
      </c>
    </row>
    <row r="231" spans="3:73" x14ac:dyDescent="0.2">
      <c r="G231" s="67" t="s">
        <v>180</v>
      </c>
      <c r="L231" s="182" t="s">
        <v>175</v>
      </c>
      <c r="M231" s="63"/>
      <c r="Q231" s="154">
        <f t="shared" ref="Q231:AK231" si="233">Q193+Q218</f>
        <v>3321268.6479873839</v>
      </c>
      <c r="R231" s="220">
        <f t="shared" si="233"/>
        <v>3622228.5315007698</v>
      </c>
      <c r="S231" s="154">
        <f t="shared" si="233"/>
        <v>3933935.2165491502</v>
      </c>
      <c r="T231" s="154">
        <f t="shared" si="233"/>
        <v>4283147.2363467133</v>
      </c>
      <c r="U231" s="220">
        <f t="shared" si="233"/>
        <v>4812450.7785433438</v>
      </c>
      <c r="V231" s="154">
        <f t="shared" si="233"/>
        <v>5416143.8698833426</v>
      </c>
      <c r="W231" s="154">
        <f t="shared" si="233"/>
        <v>5761049.2943077646</v>
      </c>
      <c r="X231" s="154">
        <f t="shared" si="233"/>
        <v>5719598.7500109095</v>
      </c>
      <c r="Y231" s="154">
        <f t="shared" si="233"/>
        <v>5948802.577798577</v>
      </c>
      <c r="Z231" s="154">
        <f t="shared" si="233"/>
        <v>6128559.4458972346</v>
      </c>
      <c r="AA231" s="154">
        <f t="shared" si="233"/>
        <v>6312927.2448221166</v>
      </c>
      <c r="AB231" s="154">
        <f t="shared" si="233"/>
        <v>6502071.9970309287</v>
      </c>
      <c r="AC231" s="154">
        <f t="shared" si="233"/>
        <v>6696161.6392189069</v>
      </c>
      <c r="AD231" s="154">
        <f t="shared" si="233"/>
        <v>6895366.2528303359</v>
      </c>
      <c r="AE231" s="154">
        <f t="shared" si="233"/>
        <v>7099858.2888098452</v>
      </c>
      <c r="AF231" s="154">
        <f t="shared" si="233"/>
        <v>7282355.039607889</v>
      </c>
      <c r="AG231" s="154">
        <f t="shared" si="233"/>
        <v>7468955.9080017749</v>
      </c>
      <c r="AH231" s="154">
        <f t="shared" si="233"/>
        <v>7659785.7923766319</v>
      </c>
      <c r="AI231" s="154">
        <f t="shared" si="233"/>
        <v>7854970.4421318127</v>
      </c>
      <c r="AJ231" s="154">
        <f t="shared" si="233"/>
        <v>8054636.6245114934</v>
      </c>
      <c r="AK231" s="154">
        <f t="shared" si="233"/>
        <v>8258912.2848330382</v>
      </c>
      <c r="AR231" s="154">
        <f t="shared" ref="AR231:BL231" si="234">AR193+AR218</f>
        <v>3321268.6479873839</v>
      </c>
      <c r="AS231" s="154">
        <f t="shared" si="234"/>
        <v>3618283.3626682577</v>
      </c>
      <c r="AT231" s="154">
        <f t="shared" si="234"/>
        <v>3915007.251616131</v>
      </c>
      <c r="AU231" s="154">
        <f t="shared" si="234"/>
        <v>4258926.3765439494</v>
      </c>
      <c r="AV231" s="220">
        <f t="shared" si="234"/>
        <v>4785823.7639854252</v>
      </c>
      <c r="AW231" s="154">
        <f t="shared" si="234"/>
        <v>5327408.9398162803</v>
      </c>
      <c r="AX231" s="154">
        <f t="shared" si="234"/>
        <v>5603199.900669653</v>
      </c>
      <c r="AY231" s="154">
        <f t="shared" si="234"/>
        <v>5578404.0316713201</v>
      </c>
      <c r="AZ231" s="154">
        <f t="shared" si="234"/>
        <v>5800543.0861435784</v>
      </c>
      <c r="BA231" s="154">
        <f t="shared" si="234"/>
        <v>5974406.4551849309</v>
      </c>
      <c r="BB231" s="154">
        <f t="shared" si="234"/>
        <v>6152842.8757439367</v>
      </c>
      <c r="BC231" s="154">
        <f t="shared" si="234"/>
        <v>6336007.7177024791</v>
      </c>
      <c r="BD231" s="154">
        <f t="shared" si="234"/>
        <v>6524058.6441646824</v>
      </c>
      <c r="BE231" s="154">
        <f t="shared" si="234"/>
        <v>6717155.8067655321</v>
      </c>
      <c r="BF231" s="154">
        <f t="shared" si="234"/>
        <v>6915462.0372984903</v>
      </c>
      <c r="BG231" s="154">
        <f t="shared" si="234"/>
        <v>7092363.9397136997</v>
      </c>
      <c r="BH231" s="154">
        <f t="shared" si="234"/>
        <v>7273322.0418583397</v>
      </c>
      <c r="BI231" s="154">
        <f t="shared" si="234"/>
        <v>7458453.0818681382</v>
      </c>
      <c r="BJ231" s="154">
        <f t="shared" si="234"/>
        <v>7647874.9803539095</v>
      </c>
      <c r="BK231" s="154">
        <f t="shared" si="234"/>
        <v>7841706.9774780376</v>
      </c>
      <c r="BL231" s="154">
        <f t="shared" si="234"/>
        <v>8040069.7653781343</v>
      </c>
    </row>
    <row r="232" spans="3:73" x14ac:dyDescent="0.2">
      <c r="G232" s="67" t="s">
        <v>75</v>
      </c>
      <c r="L232" s="182" t="s">
        <v>175</v>
      </c>
      <c r="M232" s="63"/>
      <c r="Q232" s="154">
        <f t="shared" ref="Q232:AK232" si="235">Q194+Q219</f>
        <v>1875105.097545176</v>
      </c>
      <c r="R232" s="220">
        <f t="shared" si="235"/>
        <v>2045019.5102424251</v>
      </c>
      <c r="S232" s="154">
        <f t="shared" si="235"/>
        <v>2221001.2979328874</v>
      </c>
      <c r="T232" s="154">
        <f t="shared" si="235"/>
        <v>2418157.6583023714</v>
      </c>
      <c r="U232" s="220">
        <f t="shared" si="235"/>
        <v>2716989.1818296942</v>
      </c>
      <c r="V232" s="154">
        <f t="shared" si="235"/>
        <v>3057819.1817185688</v>
      </c>
      <c r="W232" s="154">
        <f t="shared" si="235"/>
        <v>3252544.1461989651</v>
      </c>
      <c r="X232" s="154">
        <f t="shared" si="235"/>
        <v>3229142.2070170441</v>
      </c>
      <c r="Y232" s="154">
        <f t="shared" si="235"/>
        <v>3358544.9477805537</v>
      </c>
      <c r="Z232" s="154">
        <f t="shared" si="235"/>
        <v>3460031.1735018212</v>
      </c>
      <c r="AA232" s="154">
        <f t="shared" si="235"/>
        <v>3564120.6152868522</v>
      </c>
      <c r="AB232" s="154">
        <f t="shared" si="235"/>
        <v>3670907.0052573471</v>
      </c>
      <c r="AC232" s="154">
        <f t="shared" si="235"/>
        <v>3780485.1562653338</v>
      </c>
      <c r="AD232" s="154">
        <f t="shared" si="235"/>
        <v>3892951.0920347259</v>
      </c>
      <c r="AE232" s="154">
        <f t="shared" si="235"/>
        <v>4008402.1740496787</v>
      </c>
      <c r="AF232" s="154">
        <f t="shared" si="235"/>
        <v>4111435.2689227411</v>
      </c>
      <c r="AG232" s="154">
        <f t="shared" si="235"/>
        <v>4216785.4458027892</v>
      </c>
      <c r="AH232" s="154">
        <f t="shared" si="235"/>
        <v>4324523.2191900769</v>
      </c>
      <c r="AI232" s="154">
        <f t="shared" si="235"/>
        <v>4434719.5840461319</v>
      </c>
      <c r="AJ232" s="154">
        <f t="shared" si="235"/>
        <v>4547446.1099820007</v>
      </c>
      <c r="AK232" s="154">
        <f t="shared" si="235"/>
        <v>4662775.0317197014</v>
      </c>
      <c r="AR232" s="154">
        <f t="shared" ref="AR232:BL232" si="236">AR194+AR219</f>
        <v>1875105.097545176</v>
      </c>
      <c r="AS232" s="154">
        <f t="shared" si="236"/>
        <v>2042792.1667262651</v>
      </c>
      <c r="AT232" s="154">
        <f t="shared" si="236"/>
        <v>2210315.0429822174</v>
      </c>
      <c r="AU232" s="154">
        <f t="shared" si="236"/>
        <v>2404483.1674686917</v>
      </c>
      <c r="AV232" s="220">
        <f t="shared" si="236"/>
        <v>2701956.236283354</v>
      </c>
      <c r="AW232" s="154">
        <f t="shared" si="236"/>
        <v>3007721.6625672979</v>
      </c>
      <c r="AX232" s="154">
        <f t="shared" si="236"/>
        <v>3163426.3318858715</v>
      </c>
      <c r="AY232" s="154">
        <f t="shared" si="236"/>
        <v>3149427.2052614782</v>
      </c>
      <c r="AZ232" s="154">
        <f t="shared" si="236"/>
        <v>3274841.3519482184</v>
      </c>
      <c r="BA232" s="154">
        <f t="shared" si="236"/>
        <v>3373000.2557042995</v>
      </c>
      <c r="BB232" s="154">
        <f t="shared" si="236"/>
        <v>3473740.9898152133</v>
      </c>
      <c r="BC232" s="154">
        <f t="shared" si="236"/>
        <v>3577151.2722251401</v>
      </c>
      <c r="BD232" s="154">
        <f t="shared" si="236"/>
        <v>3683320.1155738737</v>
      </c>
      <c r="BE232" s="154">
        <f t="shared" si="236"/>
        <v>3792337.9374636826</v>
      </c>
      <c r="BF232" s="154">
        <f t="shared" si="236"/>
        <v>3904296.6686468907</v>
      </c>
      <c r="BG232" s="154">
        <f t="shared" si="236"/>
        <v>4004171.0522458721</v>
      </c>
      <c r="BH232" s="154">
        <f t="shared" si="236"/>
        <v>4106335.4646245665</v>
      </c>
      <c r="BI232" s="154">
        <f t="shared" si="236"/>
        <v>4210855.8132107891</v>
      </c>
      <c r="BJ232" s="154">
        <f t="shared" si="236"/>
        <v>4317798.6730281282</v>
      </c>
      <c r="BK232" s="154">
        <f t="shared" si="236"/>
        <v>4427231.3640857693</v>
      </c>
      <c r="BL232" s="154">
        <f t="shared" si="236"/>
        <v>4539222.0261420915</v>
      </c>
    </row>
    <row r="233" spans="3:73" x14ac:dyDescent="0.2">
      <c r="G233" s="67" t="s">
        <v>181</v>
      </c>
      <c r="L233" s="182" t="s">
        <v>175</v>
      </c>
      <c r="M233" s="63"/>
      <c r="Q233" s="154">
        <f t="shared" ref="Q233:AK233" si="237">Q195+Q220</f>
        <v>1359085.3578212818</v>
      </c>
      <c r="R233" s="220">
        <f t="shared" si="237"/>
        <v>1482240.1562813579</v>
      </c>
      <c r="S233" s="154">
        <f t="shared" si="237"/>
        <v>1609792.617850811</v>
      </c>
      <c r="T233" s="154">
        <f t="shared" si="237"/>
        <v>1752692.51339816</v>
      </c>
      <c r="U233" s="220">
        <f t="shared" si="237"/>
        <v>1969287.0651452125</v>
      </c>
      <c r="V233" s="154">
        <f t="shared" si="237"/>
        <v>2216322.3182420218</v>
      </c>
      <c r="W233" s="154">
        <f t="shared" si="237"/>
        <v>2357459.9261414693</v>
      </c>
      <c r="X233" s="154">
        <f t="shared" si="237"/>
        <v>2340498.0860139844</v>
      </c>
      <c r="Y233" s="154">
        <f t="shared" si="237"/>
        <v>2434289.8262550524</v>
      </c>
      <c r="Z233" s="154">
        <f t="shared" si="237"/>
        <v>2507847.5396754122</v>
      </c>
      <c r="AA233" s="154">
        <f t="shared" si="237"/>
        <v>2583292.0768477865</v>
      </c>
      <c r="AB233" s="154">
        <f t="shared" si="237"/>
        <v>2660691.3752729851</v>
      </c>
      <c r="AC233" s="154">
        <f t="shared" si="237"/>
        <v>2740114.1557704783</v>
      </c>
      <c r="AD233" s="154">
        <f t="shared" si="237"/>
        <v>2821630.0168056563</v>
      </c>
      <c r="AE233" s="154">
        <f t="shared" si="237"/>
        <v>2905309.5264590466</v>
      </c>
      <c r="AF233" s="154">
        <f t="shared" si="237"/>
        <v>2979988.4182162448</v>
      </c>
      <c r="AG233" s="154">
        <f t="shared" si="237"/>
        <v>3056346.7423597821</v>
      </c>
      <c r="AH233" s="154">
        <f t="shared" si="237"/>
        <v>3134435.6081448342</v>
      </c>
      <c r="AI233" s="154">
        <f t="shared" si="237"/>
        <v>3214306.4730669721</v>
      </c>
      <c r="AJ233" s="154">
        <f t="shared" si="237"/>
        <v>3296011.2111310647</v>
      </c>
      <c r="AK233" s="154">
        <f t="shared" si="237"/>
        <v>3379602.1784171662</v>
      </c>
      <c r="AR233" s="154">
        <f t="shared" ref="AR233:BL233" si="238">AR195+AR220</f>
        <v>1359085.3578212818</v>
      </c>
      <c r="AS233" s="154">
        <f t="shared" si="238"/>
        <v>1480625.7667926757</v>
      </c>
      <c r="AT233" s="154">
        <f t="shared" si="238"/>
        <v>1602047.1679278095</v>
      </c>
      <c r="AU233" s="154">
        <f t="shared" si="238"/>
        <v>1742781.1754725974</v>
      </c>
      <c r="AV233" s="220">
        <f t="shared" si="238"/>
        <v>1958391.1125910308</v>
      </c>
      <c r="AW233" s="154">
        <f t="shared" si="238"/>
        <v>2180011.3910141028</v>
      </c>
      <c r="AX233" s="154">
        <f t="shared" si="238"/>
        <v>2292866.897882666</v>
      </c>
      <c r="AY233" s="154">
        <f t="shared" si="238"/>
        <v>2282720.2623461154</v>
      </c>
      <c r="AZ233" s="154">
        <f t="shared" si="238"/>
        <v>2373621.0500666411</v>
      </c>
      <c r="BA233" s="154">
        <f t="shared" si="238"/>
        <v>2444767.1042314414</v>
      </c>
      <c r="BB233" s="154">
        <f t="shared" si="238"/>
        <v>2517784.4816816887</v>
      </c>
      <c r="BC233" s="154">
        <f t="shared" si="238"/>
        <v>2592736.760812873</v>
      </c>
      <c r="BD233" s="154">
        <f t="shared" si="238"/>
        <v>2669688.458422231</v>
      </c>
      <c r="BE233" s="154">
        <f t="shared" si="238"/>
        <v>2748705.1096307291</v>
      </c>
      <c r="BF233" s="154">
        <f t="shared" si="238"/>
        <v>2829853.3462978681</v>
      </c>
      <c r="BG233" s="154">
        <f t="shared" si="238"/>
        <v>2902242.7886541719</v>
      </c>
      <c r="BH233" s="154">
        <f t="shared" si="238"/>
        <v>2976292.055085198</v>
      </c>
      <c r="BI233" s="154">
        <f t="shared" si="238"/>
        <v>3052048.9156174525</v>
      </c>
      <c r="BJ233" s="154">
        <f t="shared" si="238"/>
        <v>3129561.6241538487</v>
      </c>
      <c r="BK233" s="154">
        <f t="shared" si="238"/>
        <v>3208878.9745670082</v>
      </c>
      <c r="BL233" s="154">
        <f t="shared" si="238"/>
        <v>3290050.3548872899</v>
      </c>
    </row>
    <row r="234" spans="3:73" s="1" customFormat="1" x14ac:dyDescent="0.2">
      <c r="G234" s="122" t="s">
        <v>374</v>
      </c>
      <c r="L234" s="190"/>
      <c r="M234" s="124"/>
      <c r="Q234" s="217">
        <f>SUM(Q225:Q233)</f>
        <v>56532717.229629748</v>
      </c>
      <c r="R234" s="237">
        <f t="shared" ref="R234:AK234" si="239">SUM(R225:R233)</f>
        <v>62086303.137257859</v>
      </c>
      <c r="S234" s="217">
        <f t="shared" si="239"/>
        <v>67901572.218451619</v>
      </c>
      <c r="T234" s="217">
        <f t="shared" si="239"/>
        <v>74448652.272629023</v>
      </c>
      <c r="U234" s="237">
        <f t="shared" si="239"/>
        <v>84238349.387524009</v>
      </c>
      <c r="V234" s="217">
        <f t="shared" si="239"/>
        <v>95475494.627920881</v>
      </c>
      <c r="W234" s="217">
        <f t="shared" si="239"/>
        <v>102275102.33574954</v>
      </c>
      <c r="X234" s="217">
        <f t="shared" si="239"/>
        <v>102260731.17802677</v>
      </c>
      <c r="Y234" s="217">
        <f t="shared" si="239"/>
        <v>107116467.90242273</v>
      </c>
      <c r="Z234" s="217">
        <f t="shared" si="239"/>
        <v>111141631.23331094</v>
      </c>
      <c r="AA234" s="217">
        <f t="shared" si="239"/>
        <v>115305256.78028734</v>
      </c>
      <c r="AB234" s="217">
        <f t="shared" si="239"/>
        <v>119612977.92257604</v>
      </c>
      <c r="AC234" s="217">
        <f t="shared" si="239"/>
        <v>124070597.04405424</v>
      </c>
      <c r="AD234" s="217">
        <f t="shared" si="239"/>
        <v>128684093.98868498</v>
      </c>
      <c r="AE234" s="217">
        <f t="shared" si="239"/>
        <v>133459634.68512736</v>
      </c>
      <c r="AF234" s="217">
        <f t="shared" si="239"/>
        <v>137883696.52202067</v>
      </c>
      <c r="AG234" s="217">
        <f t="shared" si="239"/>
        <v>142445863.59297898</v>
      </c>
      <c r="AH234" s="217">
        <f t="shared" si="239"/>
        <v>147151085.63284004</v>
      </c>
      <c r="AI234" s="217">
        <f t="shared" si="239"/>
        <v>152004443.48708209</v>
      </c>
      <c r="AJ234" s="217">
        <f t="shared" si="239"/>
        <v>157011155.38032448</v>
      </c>
      <c r="AK234" s="217">
        <f t="shared" si="239"/>
        <v>162176583.26019013</v>
      </c>
      <c r="AM234" s="207"/>
      <c r="AR234" s="217">
        <f t="shared" ref="AR234:BL234" si="240">SUM(AR225:AR233)</f>
        <v>56532717.229629748</v>
      </c>
      <c r="AS234" s="217">
        <f t="shared" si="240"/>
        <v>62018681.520915069</v>
      </c>
      <c r="AT234" s="217">
        <f t="shared" si="240"/>
        <v>67574531.408371836</v>
      </c>
      <c r="AU234" s="217">
        <f t="shared" si="240"/>
        <v>74026906.262132883</v>
      </c>
      <c r="AV234" s="237">
        <f t="shared" si="240"/>
        <v>83771325.117091134</v>
      </c>
      <c r="AW234" s="217">
        <f t="shared" si="240"/>
        <v>93905822.925035283</v>
      </c>
      <c r="AX234" s="217">
        <f t="shared" si="240"/>
        <v>99464012.529144242</v>
      </c>
      <c r="AY234" s="217">
        <f t="shared" si="240"/>
        <v>99734618.999034896</v>
      </c>
      <c r="AZ234" s="217">
        <f t="shared" si="240"/>
        <v>104444943.65528439</v>
      </c>
      <c r="BA234" s="217">
        <f t="shared" si="240"/>
        <v>108343957.75046583</v>
      </c>
      <c r="BB234" s="217">
        <f t="shared" si="240"/>
        <v>112379038.7624248</v>
      </c>
      <c r="BC234" s="217">
        <f t="shared" si="240"/>
        <v>116555583.87450239</v>
      </c>
      <c r="BD234" s="217">
        <f t="shared" si="240"/>
        <v>120879160.08148466</v>
      </c>
      <c r="BE234" s="217">
        <f t="shared" si="240"/>
        <v>125355512.09218742</v>
      </c>
      <c r="BF234" s="217">
        <f t="shared" si="240"/>
        <v>129990570.41647388</v>
      </c>
      <c r="BG234" s="217">
        <f t="shared" si="240"/>
        <v>134283425.75949752</v>
      </c>
      <c r="BH234" s="217">
        <f t="shared" si="240"/>
        <v>138711694.09203652</v>
      </c>
      <c r="BI234" s="217">
        <f t="shared" si="240"/>
        <v>143280122.52526259</v>
      </c>
      <c r="BJ234" s="217">
        <f t="shared" si="240"/>
        <v>147993590.4213354</v>
      </c>
      <c r="BK234" s="217">
        <f t="shared" si="240"/>
        <v>152857115.19238976</v>
      </c>
      <c r="BL234" s="217">
        <f t="shared" si="240"/>
        <v>157875858.19222239</v>
      </c>
      <c r="BN234" s="207"/>
      <c r="BU234" s="233"/>
    </row>
    <row r="235" spans="3:73" x14ac:dyDescent="0.2">
      <c r="L235" s="4"/>
      <c r="M235" s="63"/>
    </row>
    <row r="236" spans="3:73" x14ac:dyDescent="0.2">
      <c r="L236" s="4"/>
      <c r="M236" s="63"/>
    </row>
    <row r="237" spans="3:73" x14ac:dyDescent="0.2">
      <c r="C237" t="s">
        <v>387</v>
      </c>
      <c r="K237" s="3"/>
      <c r="L237" s="4"/>
      <c r="M237" s="74"/>
      <c r="N237" s="3"/>
    </row>
    <row r="238" spans="3:73" x14ac:dyDescent="0.2">
      <c r="D238" t="s">
        <v>376</v>
      </c>
      <c r="K238" s="79"/>
      <c r="L238" s="4"/>
      <c r="M238" s="74"/>
      <c r="N238" s="3"/>
    </row>
    <row r="239" spans="3:73" x14ac:dyDescent="0.2">
      <c r="E239" s="18" t="s">
        <v>188</v>
      </c>
      <c r="L239" s="64" t="s">
        <v>55</v>
      </c>
      <c r="M239" s="14">
        <f>'Data &amp; Assumptions'!D98</f>
        <v>0.6</v>
      </c>
      <c r="N239" s="3"/>
      <c r="AN239" s="66">
        <f>M239</f>
        <v>0.6</v>
      </c>
    </row>
    <row r="240" spans="3:73" x14ac:dyDescent="0.2">
      <c r="E240" t="s">
        <v>377</v>
      </c>
      <c r="L240" s="64"/>
      <c r="M240" s="74"/>
      <c r="N240" s="3"/>
    </row>
    <row r="241" spans="4:64" x14ac:dyDescent="0.2">
      <c r="F241" t="s">
        <v>386</v>
      </c>
      <c r="L241" s="64" t="s">
        <v>55</v>
      </c>
      <c r="M241" s="116">
        <f>(1-'Data &amp; Assumptions'!D157)*('Data &amp; Assumptions'!D154+'Data &amp; Assumptions'!D155)+'Data &amp; Assumptions'!D157*'Data &amp; Assumptions'!D156</f>
        <v>0.3507168303144918</v>
      </c>
      <c r="N241" s="3"/>
      <c r="AN241" s="160">
        <f>M241</f>
        <v>0.3507168303144918</v>
      </c>
    </row>
    <row r="242" spans="4:64" x14ac:dyDescent="0.2">
      <c r="L242" s="64"/>
      <c r="M242" s="116"/>
      <c r="N242" s="3"/>
    </row>
    <row r="243" spans="4:64" x14ac:dyDescent="0.2">
      <c r="D243" t="s">
        <v>378</v>
      </c>
      <c r="K243" s="80"/>
      <c r="L243" s="64"/>
      <c r="M243" s="63"/>
    </row>
    <row r="244" spans="4:64" x14ac:dyDescent="0.2">
      <c r="E244" s="18" t="s">
        <v>189</v>
      </c>
      <c r="K244" s="80"/>
      <c r="L244" s="64" t="s">
        <v>55</v>
      </c>
      <c r="M244" s="60">
        <f>'Data &amp; Assumptions'!D99</f>
        <v>0.3</v>
      </c>
      <c r="AN244" s="66">
        <f>M244</f>
        <v>0.3</v>
      </c>
    </row>
    <row r="245" spans="4:64" x14ac:dyDescent="0.2">
      <c r="E245" t="s">
        <v>390</v>
      </c>
      <c r="K245" s="80"/>
      <c r="L245" s="64"/>
      <c r="M245" s="74"/>
    </row>
    <row r="246" spans="4:64" x14ac:dyDescent="0.2">
      <c r="F246" t="s">
        <v>389</v>
      </c>
      <c r="K246" s="80"/>
      <c r="L246" s="64"/>
      <c r="M246" s="74"/>
    </row>
    <row r="247" spans="4:64" x14ac:dyDescent="0.2">
      <c r="F247" t="s">
        <v>388</v>
      </c>
      <c r="K247" s="80"/>
      <c r="L247" s="64" t="s">
        <v>55</v>
      </c>
      <c r="M247" s="14">
        <f>'Data &amp; Assumptions'!D158</f>
        <v>0.33333333333333331</v>
      </c>
      <c r="S247" s="63"/>
      <c r="AN247" s="66">
        <f>M247</f>
        <v>0.33333333333333331</v>
      </c>
    </row>
    <row r="248" spans="4:64" x14ac:dyDescent="0.2">
      <c r="K248" s="80"/>
      <c r="L248" s="64"/>
      <c r="M248" s="74"/>
    </row>
    <row r="249" spans="4:64" x14ac:dyDescent="0.2">
      <c r="D249" t="s">
        <v>379</v>
      </c>
      <c r="K249" s="80"/>
      <c r="L249" s="64"/>
      <c r="M249" s="74"/>
    </row>
    <row r="250" spans="4:64" x14ac:dyDescent="0.2">
      <c r="E250" s="18" t="s">
        <v>394</v>
      </c>
      <c r="L250" s="64" t="s">
        <v>55</v>
      </c>
      <c r="M250" s="14">
        <f>'Data &amp; Assumptions'!D100</f>
        <v>0.1</v>
      </c>
      <c r="AN250" s="66">
        <f>M250</f>
        <v>0.1</v>
      </c>
    </row>
    <row r="251" spans="4:64" x14ac:dyDescent="0.2">
      <c r="E251" t="s">
        <v>393</v>
      </c>
      <c r="L251" s="64"/>
      <c r="M251" s="74"/>
    </row>
    <row r="252" spans="4:64" x14ac:dyDescent="0.2">
      <c r="F252" t="s">
        <v>395</v>
      </c>
      <c r="L252" s="64"/>
      <c r="M252" s="74"/>
    </row>
    <row r="253" spans="4:64" x14ac:dyDescent="0.2">
      <c r="G253" s="67" t="s">
        <v>224</v>
      </c>
      <c r="L253" s="182" t="s">
        <v>175</v>
      </c>
      <c r="M253" s="74"/>
      <c r="Q253" s="154">
        <f>$M$250*Q225</f>
        <v>4009503.5850346209</v>
      </c>
      <c r="R253" s="220">
        <f>$M$250*R225</f>
        <v>4415910.5793604134</v>
      </c>
      <c r="S253" s="154">
        <f>$M$250*S225</f>
        <v>4843167.065069885</v>
      </c>
      <c r="T253" s="154">
        <f t="shared" ref="T253:AK253" si="241">$M$250*T225</f>
        <v>5325042.4416448213</v>
      </c>
      <c r="U253" s="220">
        <f t="shared" si="241"/>
        <v>6042048.3103471212</v>
      </c>
      <c r="V253" s="154">
        <f t="shared" si="241"/>
        <v>6866981.9847155483</v>
      </c>
      <c r="W253" s="154">
        <f t="shared" si="241"/>
        <v>7376241.5544344578</v>
      </c>
      <c r="X253" s="154">
        <f t="shared" si="241"/>
        <v>7395319.2151636891</v>
      </c>
      <c r="Y253" s="154">
        <f t="shared" si="241"/>
        <v>7767454.9248426221</v>
      </c>
      <c r="Z253" s="154">
        <f t="shared" si="241"/>
        <v>8081005.6716837203</v>
      </c>
      <c r="AA253" s="154">
        <f t="shared" si="241"/>
        <v>8406120.5901155211</v>
      </c>
      <c r="AB253" s="154">
        <f t="shared" si="241"/>
        <v>8743280.8499327879</v>
      </c>
      <c r="AC253" s="154">
        <f t="shared" si="241"/>
        <v>9092983.5739978235</v>
      </c>
      <c r="AD253" s="154">
        <f t="shared" si="241"/>
        <v>9455742.5696984548</v>
      </c>
      <c r="AE253" s="154">
        <f t="shared" si="241"/>
        <v>9832089.0801749676</v>
      </c>
      <c r="AF253" s="154">
        <f t="shared" si="241"/>
        <v>10184173.650037846</v>
      </c>
      <c r="AG253" s="154">
        <f t="shared" si="241"/>
        <v>10548037.526187152</v>
      </c>
      <c r="AH253" s="154">
        <f t="shared" si="241"/>
        <v>10924113.867177498</v>
      </c>
      <c r="AI253" s="154">
        <f t="shared" si="241"/>
        <v>11312848.521442186</v>
      </c>
      <c r="AJ253" s="154">
        <f t="shared" si="241"/>
        <v>11714700.571575027</v>
      </c>
      <c r="AK253" s="154">
        <f t="shared" si="241"/>
        <v>12130142.889416125</v>
      </c>
      <c r="AR253" s="154">
        <f>$AN$250*AR225</f>
        <v>4009503.5850346209</v>
      </c>
      <c r="AS253" s="154">
        <f t="shared" ref="AS253:BL253" si="242">$AN$250*AS225</f>
        <v>4411100.967643938</v>
      </c>
      <c r="AT253" s="154">
        <f t="shared" si="242"/>
        <v>4819830.8458551932</v>
      </c>
      <c r="AU253" s="154">
        <f t="shared" si="242"/>
        <v>5294855.2712540105</v>
      </c>
      <c r="AV253" s="220">
        <f t="shared" si="242"/>
        <v>6008524.17231848</v>
      </c>
      <c r="AW253" s="154">
        <f t="shared" si="242"/>
        <v>6753931.6625428218</v>
      </c>
      <c r="AX253" s="154">
        <f t="shared" si="242"/>
        <v>7173255.6741171889</v>
      </c>
      <c r="AY253" s="154">
        <f t="shared" si="242"/>
        <v>7212588.3363304278</v>
      </c>
      <c r="AZ253" s="154">
        <f t="shared" si="242"/>
        <v>7573679.349266124</v>
      </c>
      <c r="BA253" s="154">
        <f t="shared" si="242"/>
        <v>7877531.993486031</v>
      </c>
      <c r="BB253" s="154">
        <f t="shared" si="242"/>
        <v>8192728.0266597858</v>
      </c>
      <c r="BC253" s="154">
        <f t="shared" si="242"/>
        <v>8519730.2711854745</v>
      </c>
      <c r="BD253" s="154">
        <f t="shared" si="242"/>
        <v>8859017.395640118</v>
      </c>
      <c r="BE253" s="154">
        <f t="shared" si="242"/>
        <v>9211084.6083755605</v>
      </c>
      <c r="BF253" s="154">
        <f t="shared" si="242"/>
        <v>9576444.3713797498</v>
      </c>
      <c r="BG253" s="154">
        <f t="shared" si="242"/>
        <v>9918177.3040865213</v>
      </c>
      <c r="BH253" s="154">
        <f t="shared" si="242"/>
        <v>10271444.034219721</v>
      </c>
      <c r="BI253" s="154">
        <f t="shared" si="242"/>
        <v>10636661.496652396</v>
      </c>
      <c r="BJ253" s="154">
        <f t="shared" si="242"/>
        <v>11014259.26612382</v>
      </c>
      <c r="BK253" s="154">
        <f t="shared" si="242"/>
        <v>11404680.069295954</v>
      </c>
      <c r="BL253" s="154">
        <f t="shared" si="242"/>
        <v>11808380.308382785</v>
      </c>
    </row>
    <row r="254" spans="4:64" x14ac:dyDescent="0.2">
      <c r="G254" s="67" t="s">
        <v>64</v>
      </c>
      <c r="L254" s="182" t="s">
        <v>175</v>
      </c>
      <c r="M254" s="74"/>
      <c r="Q254" s="154">
        <f t="shared" ref="Q254:R261" si="243">$M$250*Q226</f>
        <v>216167.35400774633</v>
      </c>
      <c r="R254" s="220">
        <f t="shared" si="243"/>
        <v>235755.56218265338</v>
      </c>
      <c r="S254" s="154">
        <f t="shared" ref="S254:AK254" si="244">$M$250*S226</f>
        <v>256043.23429682071</v>
      </c>
      <c r="T254" s="154">
        <f t="shared" si="244"/>
        <v>278771.9703034928</v>
      </c>
      <c r="U254" s="220">
        <f t="shared" si="244"/>
        <v>313222.10316248465</v>
      </c>
      <c r="V254" s="154">
        <f t="shared" si="244"/>
        <v>352513.93770492868</v>
      </c>
      <c r="W254" s="154">
        <f t="shared" si="244"/>
        <v>374962.37560106965</v>
      </c>
      <c r="X254" s="154">
        <f t="shared" si="244"/>
        <v>372264.53467565891</v>
      </c>
      <c r="Y254" s="154">
        <f t="shared" si="244"/>
        <v>387182.44413514208</v>
      </c>
      <c r="Z254" s="154">
        <f t="shared" si="244"/>
        <v>398882.05975195114</v>
      </c>
      <c r="AA254" s="154">
        <f t="shared" si="244"/>
        <v>410881.7813890354</v>
      </c>
      <c r="AB254" s="154">
        <f t="shared" si="244"/>
        <v>423192.41474722693</v>
      </c>
      <c r="AC254" s="154">
        <f t="shared" si="244"/>
        <v>435824.89011699439</v>
      </c>
      <c r="AD254" s="154">
        <f t="shared" si="244"/>
        <v>448790.27738147473</v>
      </c>
      <c r="AE254" s="154">
        <f t="shared" si="244"/>
        <v>462099.80064455094</v>
      </c>
      <c r="AF254" s="154">
        <f t="shared" si="244"/>
        <v>473977.74365857546</v>
      </c>
      <c r="AG254" s="154">
        <f t="shared" si="244"/>
        <v>486122.80635944684</v>
      </c>
      <c r="AH254" s="154">
        <f t="shared" si="244"/>
        <v>498543.11785575171</v>
      </c>
      <c r="AI254" s="154">
        <f t="shared" si="244"/>
        <v>511246.86264498404</v>
      </c>
      <c r="AJ254" s="154">
        <f t="shared" si="244"/>
        <v>524242.29147184594</v>
      </c>
      <c r="AK254" s="154">
        <f t="shared" si="244"/>
        <v>537537.73175689788</v>
      </c>
      <c r="AR254" s="154">
        <f t="shared" ref="AR254:BL254" si="245">$AN$250*AR226</f>
        <v>216167.35400774633</v>
      </c>
      <c r="AS254" s="154">
        <f t="shared" si="245"/>
        <v>235498.7877997215</v>
      </c>
      <c r="AT254" s="154">
        <f t="shared" si="245"/>
        <v>254811.29297259159</v>
      </c>
      <c r="AU254" s="154">
        <f t="shared" si="245"/>
        <v>277195.53679862444</v>
      </c>
      <c r="AV254" s="220">
        <f t="shared" si="245"/>
        <v>311489.06320331158</v>
      </c>
      <c r="AW254" s="154">
        <f t="shared" si="245"/>
        <v>346738.55574289354</v>
      </c>
      <c r="AX254" s="154">
        <f t="shared" si="245"/>
        <v>364688.62500424421</v>
      </c>
      <c r="AY254" s="154">
        <f t="shared" si="245"/>
        <v>363074.76657850906</v>
      </c>
      <c r="AZ254" s="154">
        <f t="shared" si="245"/>
        <v>377532.85977013898</v>
      </c>
      <c r="BA254" s="154">
        <f t="shared" si="245"/>
        <v>388848.89241547184</v>
      </c>
      <c r="BB254" s="154">
        <f t="shared" si="245"/>
        <v>400462.56567681074</v>
      </c>
      <c r="BC254" s="154">
        <f t="shared" si="245"/>
        <v>412383.99192380137</v>
      </c>
      <c r="BD254" s="154">
        <f t="shared" si="245"/>
        <v>424623.43278224248</v>
      </c>
      <c r="BE254" s="154">
        <f t="shared" si="245"/>
        <v>437191.31184590654</v>
      </c>
      <c r="BF254" s="154">
        <f t="shared" si="245"/>
        <v>450098.22714873927</v>
      </c>
      <c r="BG254" s="154">
        <f t="shared" si="245"/>
        <v>461612.02510279533</v>
      </c>
      <c r="BH254" s="154">
        <f t="shared" si="245"/>
        <v>473389.82397208142</v>
      </c>
      <c r="BI254" s="154">
        <f t="shared" si="245"/>
        <v>485439.22174900299</v>
      </c>
      <c r="BJ254" s="154">
        <f t="shared" si="245"/>
        <v>497767.89338826045</v>
      </c>
      <c r="BK254" s="154">
        <f t="shared" si="245"/>
        <v>510383.59972858179</v>
      </c>
      <c r="BL254" s="154">
        <f t="shared" si="245"/>
        <v>523294.19611167919</v>
      </c>
    </row>
    <row r="255" spans="4:64" x14ac:dyDescent="0.2">
      <c r="G255" s="67" t="s">
        <v>63</v>
      </c>
      <c r="L255" s="182" t="s">
        <v>175</v>
      </c>
      <c r="M255" s="74"/>
      <c r="Q255" s="154">
        <f t="shared" si="243"/>
        <v>370126.75795256131</v>
      </c>
      <c r="R255" s="220">
        <f t="shared" si="243"/>
        <v>403666.14237606846</v>
      </c>
      <c r="S255" s="154">
        <f t="shared" ref="S255:AK255" si="246">$M$250*S227</f>
        <v>438403.16518179898</v>
      </c>
      <c r="T255" s="154">
        <f t="shared" si="246"/>
        <v>477319.83420948056</v>
      </c>
      <c r="U255" s="220">
        <f t="shared" si="246"/>
        <v>536306.15082820959</v>
      </c>
      <c r="V255" s="154">
        <f t="shared" si="246"/>
        <v>603582.54138199321</v>
      </c>
      <c r="W255" s="154">
        <f t="shared" si="246"/>
        <v>642019.27748276549</v>
      </c>
      <c r="X255" s="154">
        <f t="shared" si="246"/>
        <v>637399.9716686313</v>
      </c>
      <c r="Y255" s="154">
        <f t="shared" si="246"/>
        <v>662942.76229496708</v>
      </c>
      <c r="Z255" s="154">
        <f t="shared" si="246"/>
        <v>682975.11554930918</v>
      </c>
      <c r="AA255" s="154">
        <f t="shared" si="246"/>
        <v>703521.31729311624</v>
      </c>
      <c r="AB255" s="154">
        <f t="shared" si="246"/>
        <v>724599.86929799838</v>
      </c>
      <c r="AC255" s="154">
        <f t="shared" si="246"/>
        <v>746229.48666084989</v>
      </c>
      <c r="AD255" s="154">
        <f t="shared" si="246"/>
        <v>768429.12349236023</v>
      </c>
      <c r="AE255" s="154">
        <f t="shared" si="246"/>
        <v>791217.99796357751</v>
      </c>
      <c r="AF255" s="154">
        <f t="shared" si="246"/>
        <v>811555.68752408586</v>
      </c>
      <c r="AG255" s="154">
        <f t="shared" si="246"/>
        <v>832350.74560877157</v>
      </c>
      <c r="AH255" s="154">
        <f t="shared" si="246"/>
        <v>853617.09106591996</v>
      </c>
      <c r="AI255" s="154">
        <f t="shared" si="246"/>
        <v>875368.73758201196</v>
      </c>
      <c r="AJ255" s="154">
        <f t="shared" si="246"/>
        <v>897619.81227353262</v>
      </c>
      <c r="AK255" s="154">
        <f t="shared" si="246"/>
        <v>920384.57354306709</v>
      </c>
      <c r="AR255" s="154">
        <f t="shared" ref="AR255:BL255" si="247">$AN$250*AR227</f>
        <v>370126.75795256131</v>
      </c>
      <c r="AS255" s="154">
        <f t="shared" si="247"/>
        <v>403226.48732123332</v>
      </c>
      <c r="AT255" s="154">
        <f t="shared" si="247"/>
        <v>436293.80666918866</v>
      </c>
      <c r="AU255" s="154">
        <f t="shared" si="247"/>
        <v>474620.62819401617</v>
      </c>
      <c r="AV255" s="220">
        <f t="shared" si="247"/>
        <v>533338.79960889462</v>
      </c>
      <c r="AW255" s="154">
        <f t="shared" si="247"/>
        <v>593693.798415425</v>
      </c>
      <c r="AX255" s="154">
        <f t="shared" si="247"/>
        <v>624428.32339133543</v>
      </c>
      <c r="AY255" s="154">
        <f t="shared" si="247"/>
        <v>621665.03755821963</v>
      </c>
      <c r="AZ255" s="154">
        <f t="shared" si="247"/>
        <v>646420.5201044078</v>
      </c>
      <c r="BA255" s="154">
        <f t="shared" si="247"/>
        <v>665796.09369703848</v>
      </c>
      <c r="BB255" s="154">
        <f t="shared" si="247"/>
        <v>685681.29445675435</v>
      </c>
      <c r="BC255" s="154">
        <f t="shared" si="247"/>
        <v>706093.43701742555</v>
      </c>
      <c r="BD255" s="154">
        <f t="shared" si="247"/>
        <v>727050.09157278726</v>
      </c>
      <c r="BE255" s="154">
        <f t="shared" si="247"/>
        <v>748569.10564188717</v>
      </c>
      <c r="BF255" s="154">
        <f t="shared" si="247"/>
        <v>770668.62542430405</v>
      </c>
      <c r="BG255" s="154">
        <f t="shared" si="247"/>
        <v>790382.81736608443</v>
      </c>
      <c r="BH255" s="154">
        <f t="shared" si="247"/>
        <v>810549.0377989338</v>
      </c>
      <c r="BI255" s="154">
        <f t="shared" si="247"/>
        <v>831180.29618169193</v>
      </c>
      <c r="BJ255" s="154">
        <f t="shared" si="247"/>
        <v>852289.73374984902</v>
      </c>
      <c r="BK255" s="154">
        <f t="shared" si="247"/>
        <v>873890.63879151572</v>
      </c>
      <c r="BL255" s="154">
        <f t="shared" si="247"/>
        <v>895996.46140492475</v>
      </c>
    </row>
    <row r="256" spans="4:64" x14ac:dyDescent="0.2">
      <c r="G256" s="67" t="s">
        <v>76</v>
      </c>
      <c r="L256" s="182" t="s">
        <v>175</v>
      </c>
      <c r="M256" s="74"/>
      <c r="Q256" s="154">
        <f t="shared" si="243"/>
        <v>159581.88540046159</v>
      </c>
      <c r="R256" s="220">
        <f t="shared" si="243"/>
        <v>174042.54809634868</v>
      </c>
      <c r="S256" s="154">
        <f t="shared" ref="S256:AK256" si="248">$M$250*S228</f>
        <v>189019.57819058362</v>
      </c>
      <c r="T256" s="154">
        <f t="shared" si="248"/>
        <v>205798.68233127717</v>
      </c>
      <c r="U256" s="220">
        <f t="shared" si="248"/>
        <v>231230.90903900337</v>
      </c>
      <c r="V256" s="154">
        <f t="shared" si="248"/>
        <v>260237.43995532967</v>
      </c>
      <c r="W256" s="154">
        <f t="shared" si="248"/>
        <v>276809.61876653467</v>
      </c>
      <c r="X256" s="154">
        <f t="shared" si="248"/>
        <v>274817.98342749808</v>
      </c>
      <c r="Y256" s="154">
        <f t="shared" si="248"/>
        <v>285830.87725092343</v>
      </c>
      <c r="Z256" s="154">
        <f t="shared" si="248"/>
        <v>294467.92018999753</v>
      </c>
      <c r="AA256" s="154">
        <f t="shared" si="248"/>
        <v>303326.511312216</v>
      </c>
      <c r="AB256" s="154">
        <f t="shared" si="248"/>
        <v>312414.62774307909</v>
      </c>
      <c r="AC256" s="154">
        <f t="shared" si="248"/>
        <v>321740.33858427621</v>
      </c>
      <c r="AD256" s="154">
        <f t="shared" si="248"/>
        <v>331311.81598940649</v>
      </c>
      <c r="AE256" s="154">
        <f t="shared" si="248"/>
        <v>341137.34596294822</v>
      </c>
      <c r="AF256" s="154">
        <f t="shared" si="248"/>
        <v>349906.03608064435</v>
      </c>
      <c r="AG256" s="154">
        <f t="shared" si="248"/>
        <v>358871.92277990235</v>
      </c>
      <c r="AH256" s="154">
        <f t="shared" si="248"/>
        <v>368041.00723735942</v>
      </c>
      <c r="AI256" s="154">
        <f t="shared" si="248"/>
        <v>377419.33151956194</v>
      </c>
      <c r="AJ256" s="154">
        <f t="shared" si="248"/>
        <v>387012.98659897782</v>
      </c>
      <c r="AK256" s="154">
        <f t="shared" si="248"/>
        <v>396828.12005266885</v>
      </c>
      <c r="AR256" s="154">
        <f t="shared" ref="AR256:BL256" si="249">$AN$250*AR228</f>
        <v>159581.88540046159</v>
      </c>
      <c r="AS256" s="154">
        <f t="shared" si="249"/>
        <v>173852.98876007009</v>
      </c>
      <c r="AT256" s="154">
        <f t="shared" si="249"/>
        <v>188110.1183874342</v>
      </c>
      <c r="AU256" s="154">
        <f t="shared" si="249"/>
        <v>204634.90701436996</v>
      </c>
      <c r="AV256" s="220">
        <f t="shared" si="249"/>
        <v>229951.52166143816</v>
      </c>
      <c r="AW256" s="154">
        <f t="shared" si="249"/>
        <v>255973.86210547379</v>
      </c>
      <c r="AX256" s="154">
        <f t="shared" si="249"/>
        <v>269225.1965122993</v>
      </c>
      <c r="AY256" s="154">
        <f t="shared" si="249"/>
        <v>268033.79288185434</v>
      </c>
      <c r="AZ256" s="154">
        <f t="shared" si="249"/>
        <v>278707.23513869755</v>
      </c>
      <c r="BA256" s="154">
        <f t="shared" si="249"/>
        <v>287061.10445020598</v>
      </c>
      <c r="BB256" s="154">
        <f t="shared" si="249"/>
        <v>295634.7019019415</v>
      </c>
      <c r="BC256" s="154">
        <f t="shared" si="249"/>
        <v>304435.49277940736</v>
      </c>
      <c r="BD256" s="154">
        <f t="shared" si="249"/>
        <v>313471.05255393288</v>
      </c>
      <c r="BE256" s="154">
        <f t="shared" si="249"/>
        <v>322749.07626694767</v>
      </c>
      <c r="BF256" s="154">
        <f t="shared" si="249"/>
        <v>332277.38773740956</v>
      </c>
      <c r="BG256" s="154">
        <f t="shared" si="249"/>
        <v>340777.25393626862</v>
      </c>
      <c r="BH256" s="154">
        <f t="shared" si="249"/>
        <v>349472.0143364016</v>
      </c>
      <c r="BI256" s="154">
        <f t="shared" si="249"/>
        <v>358367.27802692639</v>
      </c>
      <c r="BJ256" s="154">
        <f t="shared" si="249"/>
        <v>367468.7109130586</v>
      </c>
      <c r="BK256" s="154">
        <f t="shared" si="249"/>
        <v>376782.04230248299</v>
      </c>
      <c r="BL256" s="154">
        <f t="shared" si="249"/>
        <v>386313.07126805338</v>
      </c>
    </row>
    <row r="257" spans="3:89" x14ac:dyDescent="0.2">
      <c r="G257" s="67" t="s">
        <v>72</v>
      </c>
      <c r="L257" s="182" t="s">
        <v>175</v>
      </c>
      <c r="M257" s="74"/>
      <c r="Q257" s="154">
        <f t="shared" si="243"/>
        <v>220419.88174701319</v>
      </c>
      <c r="R257" s="220">
        <f t="shared" si="243"/>
        <v>240393.43672420958</v>
      </c>
      <c r="S257" s="154">
        <f t="shared" ref="S257:AK257" si="250">$M$250*S229</f>
        <v>261080.21576563167</v>
      </c>
      <c r="T257" s="154">
        <f t="shared" si="250"/>
        <v>284256.08025195048</v>
      </c>
      <c r="U257" s="220">
        <f t="shared" si="250"/>
        <v>319383.92943992629</v>
      </c>
      <c r="V257" s="154">
        <f t="shared" si="250"/>
        <v>359448.72813824588</v>
      </c>
      <c r="W257" s="154">
        <f t="shared" si="250"/>
        <v>382338.78038126521</v>
      </c>
      <c r="X257" s="154">
        <f t="shared" si="250"/>
        <v>379587.86648642155</v>
      </c>
      <c r="Y257" s="154">
        <f t="shared" si="250"/>
        <v>394799.24682674115</v>
      </c>
      <c r="Z257" s="154">
        <f t="shared" si="250"/>
        <v>406729.02180400299</v>
      </c>
      <c r="AA257" s="154">
        <f t="shared" si="250"/>
        <v>418964.80660316208</v>
      </c>
      <c r="AB257" s="154">
        <f t="shared" si="250"/>
        <v>431517.61949898279</v>
      </c>
      <c r="AC257" s="154">
        <f t="shared" si="250"/>
        <v>444398.60580682504</v>
      </c>
      <c r="AD257" s="154">
        <f t="shared" si="250"/>
        <v>457619.05318084807</v>
      </c>
      <c r="AE257" s="154">
        <f t="shared" si="250"/>
        <v>471190.40652984485</v>
      </c>
      <c r="AF257" s="154">
        <f t="shared" si="250"/>
        <v>483302.01702980028</v>
      </c>
      <c r="AG257" s="154">
        <f t="shared" si="250"/>
        <v>495686.00209833571</v>
      </c>
      <c r="AH257" s="154">
        <f t="shared" si="250"/>
        <v>508350.6507629946</v>
      </c>
      <c r="AI257" s="154">
        <f t="shared" si="250"/>
        <v>521304.30852985597</v>
      </c>
      <c r="AJ257" s="154">
        <f t="shared" si="250"/>
        <v>534555.38845550118</v>
      </c>
      <c r="AK257" s="154">
        <f t="shared" si="250"/>
        <v>548112.38178067922</v>
      </c>
      <c r="AR257" s="154">
        <f t="shared" ref="AR257:BL257" si="251">$AN$250*AR229</f>
        <v>220419.88174701319</v>
      </c>
      <c r="AS257" s="154">
        <f t="shared" si="251"/>
        <v>240131.61097637028</v>
      </c>
      <c r="AT257" s="154">
        <f t="shared" si="251"/>
        <v>259824.03921551254</v>
      </c>
      <c r="AU257" s="154">
        <f t="shared" si="251"/>
        <v>282648.63453786424</v>
      </c>
      <c r="AV257" s="220">
        <f t="shared" si="251"/>
        <v>317616.79644883593</v>
      </c>
      <c r="AW257" s="154">
        <f t="shared" si="251"/>
        <v>353559.73063000047</v>
      </c>
      <c r="AX257" s="154">
        <f t="shared" si="251"/>
        <v>371862.92059177358</v>
      </c>
      <c r="AY257" s="154">
        <f t="shared" si="251"/>
        <v>370217.31371931115</v>
      </c>
      <c r="AZ257" s="154">
        <f t="shared" si="251"/>
        <v>384959.83210843167</v>
      </c>
      <c r="BA257" s="154">
        <f t="shared" si="251"/>
        <v>396498.4781217433</v>
      </c>
      <c r="BB257" s="154">
        <f t="shared" si="251"/>
        <v>408340.62005229708</v>
      </c>
      <c r="BC257" s="154">
        <f t="shared" si="251"/>
        <v>420496.56920419226</v>
      </c>
      <c r="BD257" s="154">
        <f t="shared" si="251"/>
        <v>432976.78907388868</v>
      </c>
      <c r="BE257" s="154">
        <f t="shared" si="251"/>
        <v>445791.9083121274</v>
      </c>
      <c r="BF257" s="154">
        <f t="shared" si="251"/>
        <v>458952.73344147415</v>
      </c>
      <c r="BG257" s="154">
        <f t="shared" si="251"/>
        <v>470693.03527909511</v>
      </c>
      <c r="BH257" s="154">
        <f t="shared" si="251"/>
        <v>482702.53155999846</v>
      </c>
      <c r="BI257" s="154">
        <f t="shared" si="251"/>
        <v>494988.96974722366</v>
      </c>
      <c r="BJ257" s="154">
        <f t="shared" si="251"/>
        <v>507560.17578013404</v>
      </c>
      <c r="BK257" s="154">
        <f t="shared" si="251"/>
        <v>520424.06317171594</v>
      </c>
      <c r="BL257" s="154">
        <f t="shared" si="251"/>
        <v>533588.64179695363</v>
      </c>
    </row>
    <row r="258" spans="3:89" x14ac:dyDescent="0.2">
      <c r="G258" s="67" t="s">
        <v>73</v>
      </c>
      <c r="L258" s="182" t="s">
        <v>175</v>
      </c>
      <c r="M258" s="74"/>
      <c r="Q258" s="154">
        <f t="shared" si="243"/>
        <v>21926.348485187998</v>
      </c>
      <c r="R258" s="220">
        <f t="shared" si="243"/>
        <v>23913.225183637256</v>
      </c>
      <c r="S258" s="154">
        <f t="shared" ref="S258:AK258" si="252">$M$250*S230</f>
        <v>25971.050107157054</v>
      </c>
      <c r="T258" s="154">
        <f t="shared" si="252"/>
        <v>28276.47771715714</v>
      </c>
      <c r="U258" s="220">
        <f t="shared" si="252"/>
        <v>31770.833383833065</v>
      </c>
      <c r="V258" s="154">
        <f t="shared" si="252"/>
        <v>35756.293911647452</v>
      </c>
      <c r="W258" s="154">
        <f t="shared" si="252"/>
        <v>38033.290244041207</v>
      </c>
      <c r="X258" s="154">
        <f t="shared" si="252"/>
        <v>37759.64207658438</v>
      </c>
      <c r="Y258" s="154">
        <f t="shared" si="252"/>
        <v>39272.799708460072</v>
      </c>
      <c r="Z258" s="154">
        <f t="shared" si="252"/>
        <v>40459.518444665038</v>
      </c>
      <c r="AA258" s="154">
        <f t="shared" si="252"/>
        <v>41676.677620007147</v>
      </c>
      <c r="AB258" s="154">
        <f t="shared" si="252"/>
        <v>42925.37328140415</v>
      </c>
      <c r="AC258" s="154">
        <f t="shared" si="252"/>
        <v>44206.714113184338</v>
      </c>
      <c r="AD258" s="154">
        <f t="shared" si="252"/>
        <v>45521.822958881086</v>
      </c>
      <c r="AE258" s="154">
        <f t="shared" si="252"/>
        <v>46871.838304988836</v>
      </c>
      <c r="AF258" s="154">
        <f t="shared" si="252"/>
        <v>48076.645196427446</v>
      </c>
      <c r="AG258" s="154">
        <f t="shared" si="252"/>
        <v>49308.54664785778</v>
      </c>
      <c r="AH258" s="154">
        <f t="shared" si="252"/>
        <v>50568.367213328507</v>
      </c>
      <c r="AI258" s="154">
        <f t="shared" si="252"/>
        <v>51856.937065118305</v>
      </c>
      <c r="AJ258" s="154">
        <f t="shared" si="252"/>
        <v>53175.09309510942</v>
      </c>
      <c r="AK258" s="154">
        <f t="shared" si="252"/>
        <v>54523.679972587321</v>
      </c>
      <c r="AR258" s="154">
        <f t="shared" ref="AR258:BL258" si="253">$AN$250*AR230</f>
        <v>21926.348485187998</v>
      </c>
      <c r="AS258" s="154">
        <f t="shared" si="253"/>
        <v>23887.179971453956</v>
      </c>
      <c r="AT258" s="154">
        <f t="shared" si="253"/>
        <v>25846.091484647462</v>
      </c>
      <c r="AU258" s="154">
        <f t="shared" si="253"/>
        <v>28116.576465878323</v>
      </c>
      <c r="AV258" s="220">
        <f t="shared" si="253"/>
        <v>31595.047182174589</v>
      </c>
      <c r="AW258" s="154">
        <f t="shared" si="253"/>
        <v>35170.483727145147</v>
      </c>
      <c r="AX258" s="154">
        <f t="shared" si="253"/>
        <v>36991.200253765295</v>
      </c>
      <c r="AY258" s="154">
        <f t="shared" si="253"/>
        <v>36827.502907276932</v>
      </c>
      <c r="AZ258" s="154">
        <f t="shared" si="253"/>
        <v>38294.02032479467</v>
      </c>
      <c r="BA258" s="154">
        <f t="shared" si="253"/>
        <v>39441.831364024889</v>
      </c>
      <c r="BB258" s="154">
        <f t="shared" si="253"/>
        <v>40619.83277080574</v>
      </c>
      <c r="BC258" s="154">
        <f t="shared" si="253"/>
        <v>41829.050265889076</v>
      </c>
      <c r="BD258" s="154">
        <f t="shared" si="253"/>
        <v>43070.524709418351</v>
      </c>
      <c r="BE258" s="154">
        <f t="shared" si="253"/>
        <v>44345.313390320414</v>
      </c>
      <c r="BF258" s="154">
        <f t="shared" si="253"/>
        <v>45654.491291385973</v>
      </c>
      <c r="BG258" s="154">
        <f t="shared" si="253"/>
        <v>46822.362117614008</v>
      </c>
      <c r="BH258" s="154">
        <f t="shared" si="253"/>
        <v>48017.011159704773</v>
      </c>
      <c r="BI258" s="154">
        <f t="shared" si="253"/>
        <v>49239.20909937955</v>
      </c>
      <c r="BJ258" s="154">
        <f t="shared" si="253"/>
        <v>50489.734424827562</v>
      </c>
      <c r="BK258" s="154">
        <f t="shared" si="253"/>
        <v>51769.374335648979</v>
      </c>
      <c r="BL258" s="154">
        <f t="shared" si="253"/>
        <v>53078.925617093504</v>
      </c>
    </row>
    <row r="259" spans="3:89" x14ac:dyDescent="0.2">
      <c r="G259" s="67" t="s">
        <v>180</v>
      </c>
      <c r="L259" s="182" t="s">
        <v>175</v>
      </c>
      <c r="M259" s="74"/>
      <c r="Q259" s="154">
        <f t="shared" si="243"/>
        <v>332126.86479873839</v>
      </c>
      <c r="R259" s="220">
        <f t="shared" si="243"/>
        <v>362222.85315007699</v>
      </c>
      <c r="S259" s="154">
        <f t="shared" ref="S259:AK259" si="254">$M$250*S231</f>
        <v>393393.52165491506</v>
      </c>
      <c r="T259" s="154">
        <f t="shared" si="254"/>
        <v>428314.72363467136</v>
      </c>
      <c r="U259" s="220">
        <f t="shared" si="254"/>
        <v>481245.07785433438</v>
      </c>
      <c r="V259" s="154">
        <f t="shared" si="254"/>
        <v>541614.38698833424</v>
      </c>
      <c r="W259" s="154">
        <f t="shared" si="254"/>
        <v>576104.92943077651</v>
      </c>
      <c r="X259" s="154">
        <f t="shared" si="254"/>
        <v>571959.87500109093</v>
      </c>
      <c r="Y259" s="154">
        <f t="shared" si="254"/>
        <v>594880.25777985773</v>
      </c>
      <c r="Z259" s="154">
        <f t="shared" si="254"/>
        <v>612855.94458972348</v>
      </c>
      <c r="AA259" s="154">
        <f t="shared" si="254"/>
        <v>631292.72448221175</v>
      </c>
      <c r="AB259" s="154">
        <f t="shared" si="254"/>
        <v>650207.19970309292</v>
      </c>
      <c r="AC259" s="154">
        <f t="shared" si="254"/>
        <v>669616.16392189078</v>
      </c>
      <c r="AD259" s="154">
        <f t="shared" si="254"/>
        <v>689536.62528303359</v>
      </c>
      <c r="AE259" s="154">
        <f t="shared" si="254"/>
        <v>709985.82888098457</v>
      </c>
      <c r="AF259" s="154">
        <f t="shared" si="254"/>
        <v>728235.50396078895</v>
      </c>
      <c r="AG259" s="154">
        <f t="shared" si="254"/>
        <v>746895.59080017754</v>
      </c>
      <c r="AH259" s="154">
        <f t="shared" si="254"/>
        <v>765978.57923766319</v>
      </c>
      <c r="AI259" s="154">
        <f t="shared" si="254"/>
        <v>785497.04421318136</v>
      </c>
      <c r="AJ259" s="154">
        <f t="shared" si="254"/>
        <v>805463.66245114943</v>
      </c>
      <c r="AK259" s="154">
        <f t="shared" si="254"/>
        <v>825891.22848330392</v>
      </c>
      <c r="AR259" s="154">
        <f t="shared" ref="AR259:BL259" si="255">$AN$250*AR231</f>
        <v>332126.86479873839</v>
      </c>
      <c r="AS259" s="154">
        <f t="shared" si="255"/>
        <v>361828.33626682579</v>
      </c>
      <c r="AT259" s="154">
        <f t="shared" si="255"/>
        <v>391500.72516161314</v>
      </c>
      <c r="AU259" s="154">
        <f t="shared" si="255"/>
        <v>425892.63765439496</v>
      </c>
      <c r="AV259" s="220">
        <f t="shared" si="255"/>
        <v>478582.37639854255</v>
      </c>
      <c r="AW259" s="154">
        <f t="shared" si="255"/>
        <v>532740.893981628</v>
      </c>
      <c r="AX259" s="154">
        <f t="shared" si="255"/>
        <v>560319.99006696534</v>
      </c>
      <c r="AY259" s="154">
        <f t="shared" si="255"/>
        <v>557840.40316713206</v>
      </c>
      <c r="AZ259" s="154">
        <f t="shared" si="255"/>
        <v>580054.30861435784</v>
      </c>
      <c r="BA259" s="154">
        <f t="shared" si="255"/>
        <v>597440.64551849314</v>
      </c>
      <c r="BB259" s="154">
        <f t="shared" si="255"/>
        <v>615284.28757439367</v>
      </c>
      <c r="BC259" s="154">
        <f t="shared" si="255"/>
        <v>633600.77177024796</v>
      </c>
      <c r="BD259" s="154">
        <f t="shared" si="255"/>
        <v>652405.86441646831</v>
      </c>
      <c r="BE259" s="154">
        <f t="shared" si="255"/>
        <v>671715.58067655331</v>
      </c>
      <c r="BF259" s="154">
        <f t="shared" si="255"/>
        <v>691546.20372984908</v>
      </c>
      <c r="BG259" s="154">
        <f t="shared" si="255"/>
        <v>709236.39397137007</v>
      </c>
      <c r="BH259" s="154">
        <f t="shared" si="255"/>
        <v>727332.20418583404</v>
      </c>
      <c r="BI259" s="154">
        <f t="shared" si="255"/>
        <v>745845.30818681384</v>
      </c>
      <c r="BJ259" s="154">
        <f t="shared" si="255"/>
        <v>764787.49803539098</v>
      </c>
      <c r="BK259" s="154">
        <f t="shared" si="255"/>
        <v>784170.69774780376</v>
      </c>
      <c r="BL259" s="154">
        <f t="shared" si="255"/>
        <v>804006.97653781343</v>
      </c>
    </row>
    <row r="260" spans="3:89" x14ac:dyDescent="0.2">
      <c r="G260" s="67" t="s">
        <v>75</v>
      </c>
      <c r="L260" s="182" t="s">
        <v>175</v>
      </c>
      <c r="M260" s="74"/>
      <c r="Q260" s="154">
        <f t="shared" si="243"/>
        <v>187510.50975451761</v>
      </c>
      <c r="R260" s="220">
        <f t="shared" si="243"/>
        <v>204501.95102424253</v>
      </c>
      <c r="S260" s="154">
        <f t="shared" ref="S260:AK260" si="256">$M$250*S232</f>
        <v>222100.12979328877</v>
      </c>
      <c r="T260" s="154">
        <f t="shared" si="256"/>
        <v>241815.76583023716</v>
      </c>
      <c r="U260" s="220">
        <f t="shared" si="256"/>
        <v>271698.91818296944</v>
      </c>
      <c r="V260" s="154">
        <f t="shared" si="256"/>
        <v>305781.9181718569</v>
      </c>
      <c r="W260" s="154">
        <f t="shared" si="256"/>
        <v>325254.41461989656</v>
      </c>
      <c r="X260" s="154">
        <f t="shared" si="256"/>
        <v>322914.22070170444</v>
      </c>
      <c r="Y260" s="154">
        <f t="shared" si="256"/>
        <v>335854.49477805541</v>
      </c>
      <c r="Z260" s="154">
        <f t="shared" si="256"/>
        <v>346003.11735018215</v>
      </c>
      <c r="AA260" s="154">
        <f t="shared" si="256"/>
        <v>356412.06152868527</v>
      </c>
      <c r="AB260" s="154">
        <f t="shared" si="256"/>
        <v>367090.70052573475</v>
      </c>
      <c r="AC260" s="154">
        <f t="shared" si="256"/>
        <v>378048.51562653342</v>
      </c>
      <c r="AD260" s="154">
        <f t="shared" si="256"/>
        <v>389295.10920347262</v>
      </c>
      <c r="AE260" s="154">
        <f t="shared" si="256"/>
        <v>400840.21740496787</v>
      </c>
      <c r="AF260" s="154">
        <f t="shared" si="256"/>
        <v>411143.52689227415</v>
      </c>
      <c r="AG260" s="154">
        <f t="shared" si="256"/>
        <v>421678.54458027892</v>
      </c>
      <c r="AH260" s="154">
        <f t="shared" si="256"/>
        <v>432452.32191900769</v>
      </c>
      <c r="AI260" s="154">
        <f t="shared" si="256"/>
        <v>443471.95840461319</v>
      </c>
      <c r="AJ260" s="154">
        <f t="shared" si="256"/>
        <v>454744.61099820008</v>
      </c>
      <c r="AK260" s="154">
        <f t="shared" si="256"/>
        <v>466277.50317197014</v>
      </c>
      <c r="AR260" s="154">
        <f t="shared" ref="AR260:BL260" si="257">$AN$250*AR232</f>
        <v>187510.50975451761</v>
      </c>
      <c r="AS260" s="154">
        <f t="shared" si="257"/>
        <v>204279.21667262653</v>
      </c>
      <c r="AT260" s="154">
        <f t="shared" si="257"/>
        <v>221031.50429822176</v>
      </c>
      <c r="AU260" s="154">
        <f t="shared" si="257"/>
        <v>240448.31674686918</v>
      </c>
      <c r="AV260" s="220">
        <f t="shared" si="257"/>
        <v>270195.62362833542</v>
      </c>
      <c r="AW260" s="154">
        <f t="shared" si="257"/>
        <v>300772.1662567298</v>
      </c>
      <c r="AX260" s="154">
        <f t="shared" si="257"/>
        <v>316342.63318858715</v>
      </c>
      <c r="AY260" s="154">
        <f t="shared" si="257"/>
        <v>314942.72052614787</v>
      </c>
      <c r="AZ260" s="154">
        <f t="shared" si="257"/>
        <v>327484.13519482187</v>
      </c>
      <c r="BA260" s="154">
        <f t="shared" si="257"/>
        <v>337300.02557042998</v>
      </c>
      <c r="BB260" s="154">
        <f t="shared" si="257"/>
        <v>347374.09898152133</v>
      </c>
      <c r="BC260" s="154">
        <f t="shared" si="257"/>
        <v>357715.12722251401</v>
      </c>
      <c r="BD260" s="154">
        <f t="shared" si="257"/>
        <v>368332.01155738742</v>
      </c>
      <c r="BE260" s="154">
        <f t="shared" si="257"/>
        <v>379233.79374636826</v>
      </c>
      <c r="BF260" s="154">
        <f t="shared" si="257"/>
        <v>390429.66686468909</v>
      </c>
      <c r="BG260" s="154">
        <f t="shared" si="257"/>
        <v>400417.10522458726</v>
      </c>
      <c r="BH260" s="154">
        <f t="shared" si="257"/>
        <v>410633.5464624567</v>
      </c>
      <c r="BI260" s="154">
        <f t="shared" si="257"/>
        <v>421085.58132107893</v>
      </c>
      <c r="BJ260" s="154">
        <f t="shared" si="257"/>
        <v>431779.86730281287</v>
      </c>
      <c r="BK260" s="154">
        <f t="shared" si="257"/>
        <v>442723.13640857697</v>
      </c>
      <c r="BL260" s="154">
        <f t="shared" si="257"/>
        <v>453922.20261420915</v>
      </c>
    </row>
    <row r="261" spans="3:89" x14ac:dyDescent="0.2">
      <c r="G261" s="67" t="s">
        <v>181</v>
      </c>
      <c r="L261" s="182" t="s">
        <v>175</v>
      </c>
      <c r="M261" s="74"/>
      <c r="Q261" s="154">
        <f t="shared" si="243"/>
        <v>135908.53578212819</v>
      </c>
      <c r="R261" s="220">
        <f t="shared" si="243"/>
        <v>148224.01562813579</v>
      </c>
      <c r="S261" s="154">
        <f t="shared" ref="S261:AK261" si="258">$M$250*S233</f>
        <v>160979.26178508112</v>
      </c>
      <c r="T261" s="154">
        <f t="shared" si="258"/>
        <v>175269.25133981602</v>
      </c>
      <c r="U261" s="220">
        <f t="shared" si="258"/>
        <v>196928.70651452127</v>
      </c>
      <c r="V261" s="154">
        <f t="shared" si="258"/>
        <v>221632.2318242022</v>
      </c>
      <c r="W261" s="154">
        <f t="shared" si="258"/>
        <v>235745.99261414693</v>
      </c>
      <c r="X261" s="154">
        <f t="shared" si="258"/>
        <v>234049.80860139846</v>
      </c>
      <c r="Y261" s="154">
        <f t="shared" si="258"/>
        <v>243428.98262550525</v>
      </c>
      <c r="Z261" s="154">
        <f t="shared" si="258"/>
        <v>250784.75396754124</v>
      </c>
      <c r="AA261" s="154">
        <f t="shared" si="258"/>
        <v>258329.20768477867</v>
      </c>
      <c r="AB261" s="154">
        <f t="shared" si="258"/>
        <v>266069.13752729853</v>
      </c>
      <c r="AC261" s="154">
        <f t="shared" si="258"/>
        <v>274011.41557704785</v>
      </c>
      <c r="AD261" s="154">
        <f t="shared" si="258"/>
        <v>282163.00168056565</v>
      </c>
      <c r="AE261" s="154">
        <f t="shared" si="258"/>
        <v>290530.95264590468</v>
      </c>
      <c r="AF261" s="154">
        <f t="shared" si="258"/>
        <v>297998.84182162449</v>
      </c>
      <c r="AG261" s="154">
        <f t="shared" si="258"/>
        <v>305634.67423597822</v>
      </c>
      <c r="AH261" s="154">
        <f t="shared" si="258"/>
        <v>313443.56081448344</v>
      </c>
      <c r="AI261" s="154">
        <f t="shared" si="258"/>
        <v>321430.64730669721</v>
      </c>
      <c r="AJ261" s="154">
        <f t="shared" si="258"/>
        <v>329601.12111310649</v>
      </c>
      <c r="AK261" s="154">
        <f t="shared" si="258"/>
        <v>337960.21784171666</v>
      </c>
      <c r="AR261" s="154">
        <f t="shared" ref="AR261:BL261" si="259">$AN$250*AR233</f>
        <v>135908.53578212819</v>
      </c>
      <c r="AS261" s="154">
        <f t="shared" si="259"/>
        <v>148062.57667926757</v>
      </c>
      <c r="AT261" s="154">
        <f t="shared" si="259"/>
        <v>160204.71679278096</v>
      </c>
      <c r="AU261" s="154">
        <f t="shared" si="259"/>
        <v>174278.11754725975</v>
      </c>
      <c r="AV261" s="220">
        <f t="shared" si="259"/>
        <v>195839.11125910308</v>
      </c>
      <c r="AW261" s="154">
        <f t="shared" si="259"/>
        <v>218001.13910141028</v>
      </c>
      <c r="AX261" s="154">
        <f t="shared" si="259"/>
        <v>229286.68978826661</v>
      </c>
      <c r="AY261" s="154">
        <f t="shared" si="259"/>
        <v>228272.02623461155</v>
      </c>
      <c r="AZ261" s="154">
        <f t="shared" si="259"/>
        <v>237362.10500666412</v>
      </c>
      <c r="BA261" s="154">
        <f t="shared" si="259"/>
        <v>244476.71042314416</v>
      </c>
      <c r="BB261" s="154">
        <f t="shared" si="259"/>
        <v>251778.44816816889</v>
      </c>
      <c r="BC261" s="154">
        <f t="shared" si="259"/>
        <v>259273.67608128733</v>
      </c>
      <c r="BD261" s="154">
        <f t="shared" si="259"/>
        <v>266968.84584222309</v>
      </c>
      <c r="BE261" s="154">
        <f t="shared" si="259"/>
        <v>274870.51096307294</v>
      </c>
      <c r="BF261" s="154">
        <f t="shared" si="259"/>
        <v>282985.33462978684</v>
      </c>
      <c r="BG261" s="154">
        <f t="shared" si="259"/>
        <v>290224.27886541717</v>
      </c>
      <c r="BH261" s="154">
        <f t="shared" si="259"/>
        <v>297629.20550851984</v>
      </c>
      <c r="BI261" s="154">
        <f t="shared" si="259"/>
        <v>305204.89156174526</v>
      </c>
      <c r="BJ261" s="154">
        <f t="shared" si="259"/>
        <v>312956.1624153849</v>
      </c>
      <c r="BK261" s="154">
        <f t="shared" si="259"/>
        <v>320887.89745670086</v>
      </c>
      <c r="BL261" s="154">
        <f t="shared" si="259"/>
        <v>329005.03548872902</v>
      </c>
    </row>
    <row r="262" spans="3:89" x14ac:dyDescent="0.2">
      <c r="L262" s="64"/>
      <c r="M262" s="74"/>
    </row>
    <row r="263" spans="3:89" x14ac:dyDescent="0.2">
      <c r="L263" s="64"/>
      <c r="M263" s="63"/>
    </row>
    <row r="264" spans="3:89" x14ac:dyDescent="0.2">
      <c r="C264" t="s">
        <v>403</v>
      </c>
      <c r="E264" s="18"/>
      <c r="L264" s="64"/>
      <c r="M264" s="63"/>
    </row>
    <row r="265" spans="3:89" s="193" customFormat="1" x14ac:dyDescent="0.2">
      <c r="D265" s="193" t="s">
        <v>400</v>
      </c>
      <c r="E265" s="211"/>
      <c r="M265" s="195"/>
      <c r="R265" s="221"/>
      <c r="U265" s="221"/>
      <c r="AM265" s="205"/>
      <c r="AV265" s="221"/>
      <c r="BN265" s="205"/>
      <c r="BU265" s="221"/>
    </row>
    <row r="266" spans="3:89" s="193" customFormat="1" ht="13.5" thickBot="1" x14ac:dyDescent="0.25">
      <c r="E266" s="211"/>
      <c r="G266" s="196" t="s">
        <v>224</v>
      </c>
      <c r="L266" s="190" t="s">
        <v>175</v>
      </c>
      <c r="M266" s="195"/>
      <c r="Q266" s="212">
        <f>$M$239*Q225*$M$241</f>
        <v>8437202.3308676016</v>
      </c>
      <c r="R266" s="226">
        <f t="shared" ref="R266:AK266" si="260">$M$239*R225*$M$241</f>
        <v>9292404.9680730905</v>
      </c>
      <c r="S266" s="212">
        <f t="shared" si="260"/>
        <v>10191481.210469101</v>
      </c>
      <c r="T266" s="212">
        <f t="shared" si="260"/>
        <v>11205492.038542882</v>
      </c>
      <c r="U266" s="226">
        <f t="shared" si="260"/>
        <v>12714288.192071836</v>
      </c>
      <c r="V266" s="212">
        <f t="shared" si="260"/>
        <v>14450196.933036929</v>
      </c>
      <c r="W266" s="212">
        <f t="shared" si="260"/>
        <v>15521832.345631756</v>
      </c>
      <c r="X266" s="212">
        <f t="shared" si="260"/>
        <v>15561977.485836383</v>
      </c>
      <c r="Y266" s="212">
        <f t="shared" si="260"/>
        <v>16345063.02510896</v>
      </c>
      <c r="Z266" s="212">
        <f t="shared" si="260"/>
        <v>17004868.169558071</v>
      </c>
      <c r="AA266" s="212">
        <f t="shared" si="260"/>
        <v>17689007.811640203</v>
      </c>
      <c r="AB266" s="212">
        <f t="shared" si="260"/>
        <v>18398494.477426935</v>
      </c>
      <c r="AC266" s="212">
        <f t="shared" si="260"/>
        <v>19134374.263045531</v>
      </c>
      <c r="AD266" s="212">
        <f t="shared" si="260"/>
        <v>19897728.373886697</v>
      </c>
      <c r="AE266" s="212">
        <f t="shared" si="260"/>
        <v>20689674.705412153</v>
      </c>
      <c r="AF266" s="212">
        <f t="shared" si="260"/>
        <v>21430566.611481845</v>
      </c>
      <c r="AG266" s="212">
        <f t="shared" si="260"/>
        <v>22196245.723336022</v>
      </c>
      <c r="AH266" s="212">
        <f t="shared" si="260"/>
        <v>22987623.536946461</v>
      </c>
      <c r="AI266" s="212">
        <f t="shared" si="260"/>
        <v>23805638.251609128</v>
      </c>
      <c r="AJ266" s="212">
        <f t="shared" si="260"/>
        <v>24651255.915276952</v>
      </c>
      <c r="AK266" s="212">
        <f t="shared" si="260"/>
        <v>25525471.592627361</v>
      </c>
      <c r="AM266" s="205"/>
      <c r="AR266" s="212">
        <f>$AN$239*AR225*$AN$241</f>
        <v>8437202.3308676016</v>
      </c>
      <c r="AS266" s="212">
        <f t="shared" ref="AS266:BL266" si="261">$AN$239*AS225*$AN$241</f>
        <v>9282284.0974156186</v>
      </c>
      <c r="AT266" s="212">
        <f t="shared" si="261"/>
        <v>10142374.781462094</v>
      </c>
      <c r="AU266" s="212">
        <f t="shared" si="261"/>
        <v>11141969.146249108</v>
      </c>
      <c r="AV266" s="226">
        <f t="shared" si="261"/>
        <v>12643743.315501256</v>
      </c>
      <c r="AW266" s="212">
        <f t="shared" si="261"/>
        <v>14212305.029086225</v>
      </c>
      <c r="AX266" s="212">
        <f t="shared" si="261"/>
        <v>15094688.958370939</v>
      </c>
      <c r="AY266" s="212">
        <f t="shared" si="261"/>
        <v>15177456.718086487</v>
      </c>
      <c r="AZ266" s="212">
        <f t="shared" si="261"/>
        <v>15937300.891157625</v>
      </c>
      <c r="BA266" s="212">
        <f t="shared" si="261"/>
        <v>16576698.308738524</v>
      </c>
      <c r="BB266" s="212">
        <f t="shared" si="261"/>
        <v>17239965.630832929</v>
      </c>
      <c r="BC266" s="212">
        <f t="shared" si="261"/>
        <v>17928076.775067572</v>
      </c>
      <c r="BD266" s="212">
        <f t="shared" si="261"/>
        <v>18642039.00419908</v>
      </c>
      <c r="BE266" s="212">
        <f t="shared" si="261"/>
        <v>19382894.38564847</v>
      </c>
      <c r="BF266" s="212">
        <f t="shared" si="261"/>
        <v>20151721.293680169</v>
      </c>
      <c r="BG266" s="212">
        <f t="shared" si="261"/>
        <v>20870830.239518136</v>
      </c>
      <c r="BH266" s="212">
        <f t="shared" si="261"/>
        <v>21614209.766605422</v>
      </c>
      <c r="BI266" s="212">
        <f t="shared" si="261"/>
        <v>22382737.231404759</v>
      </c>
      <c r="BJ266" s="212">
        <f t="shared" si="261"/>
        <v>23177316.588461798</v>
      </c>
      <c r="BK266" s="212">
        <f t="shared" si="261"/>
        <v>23998879.46792601</v>
      </c>
      <c r="BL266" s="212">
        <f t="shared" si="261"/>
        <v>24848386.277424429</v>
      </c>
      <c r="BN266" s="205"/>
      <c r="BQ266" s="212">
        <f>Q266-AR266</f>
        <v>0</v>
      </c>
      <c r="BR266" s="212">
        <f t="shared" ref="BR266:CK274" si="262">R266-AS266</f>
        <v>10120.87065747194</v>
      </c>
      <c r="BS266" s="212">
        <f t="shared" si="262"/>
        <v>49106.429007006809</v>
      </c>
      <c r="BT266" s="212">
        <f t="shared" si="262"/>
        <v>63522.892293773592</v>
      </c>
      <c r="BU266" s="226">
        <f t="shared" si="262"/>
        <v>70544.876570580527</v>
      </c>
      <c r="BV266" s="212">
        <f t="shared" si="262"/>
        <v>237891.90395070426</v>
      </c>
      <c r="BW266" s="212">
        <f t="shared" si="262"/>
        <v>427143.38726081699</v>
      </c>
      <c r="BX266" s="212">
        <f t="shared" si="262"/>
        <v>384520.76774989627</v>
      </c>
      <c r="BY266" s="212">
        <f t="shared" si="262"/>
        <v>407762.13395133428</v>
      </c>
      <c r="BZ266" s="212">
        <f t="shared" si="262"/>
        <v>428169.86081954651</v>
      </c>
      <c r="CA266" s="212">
        <f t="shared" si="262"/>
        <v>449042.18080727383</v>
      </c>
      <c r="CB266" s="212">
        <f t="shared" si="262"/>
        <v>470417.70235936344</v>
      </c>
      <c r="CC266" s="212">
        <f t="shared" si="262"/>
        <v>492335.2588464506</v>
      </c>
      <c r="CD266" s="212">
        <f t="shared" si="262"/>
        <v>514833.98823822662</v>
      </c>
      <c r="CE266" s="212">
        <f t="shared" si="262"/>
        <v>537953.41173198447</v>
      </c>
      <c r="CF266" s="212">
        <f t="shared" si="262"/>
        <v>559736.37196370959</v>
      </c>
      <c r="CG266" s="212">
        <f t="shared" si="262"/>
        <v>582035.95673060045</v>
      </c>
      <c r="CH266" s="212">
        <f t="shared" si="262"/>
        <v>604886.30554170161</v>
      </c>
      <c r="CI266" s="212">
        <f t="shared" si="262"/>
        <v>628321.66314733028</v>
      </c>
      <c r="CJ266" s="212">
        <f t="shared" si="262"/>
        <v>652376.4473509416</v>
      </c>
      <c r="CK266" s="212">
        <f t="shared" si="262"/>
        <v>677085.3152029328</v>
      </c>
    </row>
    <row r="267" spans="3:89" s="221" customFormat="1" ht="13.5" thickBot="1" x14ac:dyDescent="0.25">
      <c r="E267" s="222"/>
      <c r="G267" s="223" t="s">
        <v>64</v>
      </c>
      <c r="L267" s="224" t="s">
        <v>175</v>
      </c>
      <c r="M267" s="225"/>
      <c r="Q267" s="226">
        <f t="shared" ref="Q267:AK267" si="263">$M$239*Q226*$M$241</f>
        <v>454881.1752904047</v>
      </c>
      <c r="R267" s="228">
        <f>$M$239*R226*$M$241</f>
        <v>496100.6609862675</v>
      </c>
      <c r="S267" s="226">
        <f t="shared" si="263"/>
        <v>538792.02933631034</v>
      </c>
      <c r="T267" s="226">
        <f t="shared" si="263"/>
        <v>586620.13083219971</v>
      </c>
      <c r="U267" s="226">
        <f t="shared" si="263"/>
        <v>659113.57923351228</v>
      </c>
      <c r="V267" s="226">
        <f t="shared" si="263"/>
        <v>741795.42524131679</v>
      </c>
      <c r="W267" s="226">
        <f t="shared" si="263"/>
        <v>789033.69514799444</v>
      </c>
      <c r="X267" s="226">
        <f t="shared" si="263"/>
        <v>783356.62583967776</v>
      </c>
      <c r="Y267" s="226">
        <f t="shared" si="263"/>
        <v>814748.39736296888</v>
      </c>
      <c r="Z267" s="226">
        <f t="shared" si="263"/>
        <v>839367.90999312</v>
      </c>
      <c r="AA267" s="226">
        <f t="shared" si="263"/>
        <v>864618.93601640663</v>
      </c>
      <c r="AB267" s="226">
        <f t="shared" si="263"/>
        <v>890524.21387969935</v>
      </c>
      <c r="AC267" s="226">
        <f t="shared" si="263"/>
        <v>917106.74420396367</v>
      </c>
      <c r="AD267" s="226">
        <f t="shared" si="263"/>
        <v>944389.82135515416</v>
      </c>
      <c r="AE267" s="226">
        <f t="shared" si="263"/>
        <v>972397.06422609277</v>
      </c>
      <c r="AF267" s="226">
        <f t="shared" si="263"/>
        <v>997391.83137330168</v>
      </c>
      <c r="AG267" s="226">
        <f t="shared" si="263"/>
        <v>1022948.6987398239</v>
      </c>
      <c r="AH267" s="226">
        <f t="shared" si="263"/>
        <v>1049084.7724168401</v>
      </c>
      <c r="AI267" s="226">
        <f t="shared" si="263"/>
        <v>1075817.2750504629</v>
      </c>
      <c r="AJ267" s="226">
        <f t="shared" si="263"/>
        <v>1103163.5686908704</v>
      </c>
      <c r="AK267" s="226">
        <f t="shared" si="263"/>
        <v>1131141.1767373243</v>
      </c>
      <c r="AM267" s="205"/>
      <c r="AR267" s="226">
        <f t="shared" ref="AR267:BL267" si="264">$AN$239*AR226*$AN$241</f>
        <v>454881.1752904047</v>
      </c>
      <c r="AS267" s="227">
        <f>$AN$239*AS226*$AN$241</f>
        <v>495560.33040014055</v>
      </c>
      <c r="AT267" s="226">
        <f t="shared" si="264"/>
        <v>536199.65399810788</v>
      </c>
      <c r="AU267" s="226">
        <f t="shared" si="264"/>
        <v>583302.8402600257</v>
      </c>
      <c r="AV267" s="226">
        <f t="shared" si="264"/>
        <v>655466.74154577497</v>
      </c>
      <c r="AW267" s="226">
        <f t="shared" si="264"/>
        <v>729642.28330783395</v>
      </c>
      <c r="AX267" s="226">
        <f t="shared" si="264"/>
        <v>767414.63167943305</v>
      </c>
      <c r="AY267" s="226">
        <f t="shared" si="264"/>
        <v>764018.58780953195</v>
      </c>
      <c r="AZ267" s="226">
        <f t="shared" si="264"/>
        <v>794442.76750889199</v>
      </c>
      <c r="BA267" s="226">
        <f t="shared" si="264"/>
        <v>818255.10611553071</v>
      </c>
      <c r="BB267" s="226">
        <f t="shared" si="264"/>
        <v>842693.7701626803</v>
      </c>
      <c r="BC267" s="226">
        <f t="shared" si="264"/>
        <v>867780.03911971557</v>
      </c>
      <c r="BD267" s="226">
        <f t="shared" si="264"/>
        <v>893535.5065358805</v>
      </c>
      <c r="BE267" s="226">
        <f t="shared" si="264"/>
        <v>919982.1067897852</v>
      </c>
      <c r="BF267" s="226">
        <f t="shared" si="264"/>
        <v>947142.1413346678</v>
      </c>
      <c r="BG267" s="226">
        <f t="shared" si="264"/>
        <v>971370.63767463586</v>
      </c>
      <c r="BH267" s="226">
        <f t="shared" si="264"/>
        <v>996154.67139974167</v>
      </c>
      <c r="BI267" s="226">
        <f t="shared" si="264"/>
        <v>1021510.2309728642</v>
      </c>
      <c r="BJ267" s="226">
        <f t="shared" si="264"/>
        <v>1047453.4668087154</v>
      </c>
      <c r="BK267" s="226">
        <f t="shared" si="264"/>
        <v>1074000.7100478511</v>
      </c>
      <c r="BL267" s="226">
        <f t="shared" si="264"/>
        <v>1101168.4906935489</v>
      </c>
      <c r="BN267" s="205"/>
      <c r="BQ267" s="226">
        <f>Q267-AR267</f>
        <v>0</v>
      </c>
      <c r="BR267" s="226">
        <f t="shared" si="262"/>
        <v>540.33058612694731</v>
      </c>
      <c r="BS267" s="226">
        <f t="shared" si="262"/>
        <v>2592.3753382024588</v>
      </c>
      <c r="BT267" s="226">
        <f t="shared" si="262"/>
        <v>3317.2905721740099</v>
      </c>
      <c r="BU267" s="226">
        <f t="shared" si="262"/>
        <v>3646.8376877373084</v>
      </c>
      <c r="BV267" s="226">
        <f t="shared" si="262"/>
        <v>12153.141933482839</v>
      </c>
      <c r="BW267" s="226">
        <f t="shared" si="262"/>
        <v>21619.063468561391</v>
      </c>
      <c r="BX267" s="226">
        <f t="shared" si="262"/>
        <v>19338.038030145806</v>
      </c>
      <c r="BY267" s="226">
        <f t="shared" si="262"/>
        <v>20305.629854076891</v>
      </c>
      <c r="BZ267" s="226">
        <f t="shared" si="262"/>
        <v>21112.803877589293</v>
      </c>
      <c r="CA267" s="226">
        <f t="shared" si="262"/>
        <v>21925.165853726328</v>
      </c>
      <c r="CB267" s="226">
        <f t="shared" si="262"/>
        <v>22744.174759983784</v>
      </c>
      <c r="CC267" s="226">
        <f t="shared" si="262"/>
        <v>23571.237668083166</v>
      </c>
      <c r="CD267" s="226">
        <f t="shared" si="262"/>
        <v>24407.714565368951</v>
      </c>
      <c r="CE267" s="226">
        <f t="shared" si="262"/>
        <v>25254.922891424969</v>
      </c>
      <c r="CF267" s="226">
        <f t="shared" si="262"/>
        <v>26021.193698665826</v>
      </c>
      <c r="CG267" s="226">
        <f t="shared" si="262"/>
        <v>26794.027340082219</v>
      </c>
      <c r="CH267" s="226">
        <f t="shared" si="262"/>
        <v>27574.541443975875</v>
      </c>
      <c r="CI267" s="226">
        <f t="shared" si="262"/>
        <v>28363.808241747553</v>
      </c>
      <c r="CJ267" s="226">
        <f t="shared" si="262"/>
        <v>29162.858643019339</v>
      </c>
      <c r="CK267" s="226">
        <f t="shared" si="262"/>
        <v>29972.686043775408</v>
      </c>
    </row>
    <row r="268" spans="3:89" s="193" customFormat="1" x14ac:dyDescent="0.2">
      <c r="E268" s="211"/>
      <c r="G268" s="196" t="s">
        <v>63</v>
      </c>
      <c r="L268" s="190" t="s">
        <v>175</v>
      </c>
      <c r="M268" s="195"/>
      <c r="Q268" s="212">
        <f t="shared" ref="Q268:AK268" si="265">$M$239*Q227*$M$241</f>
        <v>778858.10018220847</v>
      </c>
      <c r="R268" s="226">
        <f t="shared" si="265"/>
        <v>849435.05975647853</v>
      </c>
      <c r="S268" s="212">
        <f t="shared" si="265"/>
        <v>922532.21095440653</v>
      </c>
      <c r="T268" s="212">
        <f t="shared" si="265"/>
        <v>1004424.5958011263</v>
      </c>
      <c r="U268" s="226">
        <f t="shared" si="265"/>
        <v>1128549.5597798126</v>
      </c>
      <c r="V268" s="212">
        <f t="shared" si="265"/>
        <v>1270119.3344799494</v>
      </c>
      <c r="W268" s="212">
        <f t="shared" si="265"/>
        <v>1351001.7959973339</v>
      </c>
      <c r="X268" s="212">
        <f t="shared" si="265"/>
        <v>1341281.3862370155</v>
      </c>
      <c r="Y268" s="212">
        <f t="shared" si="265"/>
        <v>1395031.1056321464</v>
      </c>
      <c r="Z268" s="212">
        <f t="shared" si="265"/>
        <v>1437185.2062547647</v>
      </c>
      <c r="AA268" s="212">
        <f t="shared" si="265"/>
        <v>1480420.5987583054</v>
      </c>
      <c r="AB268" s="212">
        <f t="shared" si="265"/>
        <v>1524776.2164389342</v>
      </c>
      <c r="AC268" s="212">
        <f t="shared" si="265"/>
        <v>1570291.4414934213</v>
      </c>
      <c r="AD268" s="212">
        <f t="shared" si="265"/>
        <v>1617006.1590755023</v>
      </c>
      <c r="AE268" s="212">
        <f t="shared" si="265"/>
        <v>1664960.8100013833</v>
      </c>
      <c r="AF268" s="212">
        <f t="shared" si="265"/>
        <v>1707757.4301128732</v>
      </c>
      <c r="AG268" s="212">
        <f t="shared" si="265"/>
        <v>1751516.4912588736</v>
      </c>
      <c r="AH268" s="212">
        <f t="shared" si="265"/>
        <v>1796267.2828854981</v>
      </c>
      <c r="AI268" s="212">
        <f t="shared" si="265"/>
        <v>1842039.2940069684</v>
      </c>
      <c r="AJ268" s="212">
        <f t="shared" si="265"/>
        <v>1888862.2523283749</v>
      </c>
      <c r="AK268" s="212">
        <f t="shared" si="265"/>
        <v>1936766.1618202785</v>
      </c>
      <c r="AM268" s="205"/>
      <c r="AR268" s="212">
        <f t="shared" ref="AR268:BL268" si="266">$AN$239*AR227*$AN$241</f>
        <v>778858.10018220847</v>
      </c>
      <c r="AS268" s="212">
        <f t="shared" si="266"/>
        <v>848509.89319289732</v>
      </c>
      <c r="AT268" s="212">
        <f t="shared" si="266"/>
        <v>918093.48576516914</v>
      </c>
      <c r="AU268" s="212">
        <f t="shared" si="266"/>
        <v>998744.65393246943</v>
      </c>
      <c r="AV268" s="226">
        <f t="shared" si="266"/>
        <v>1122305.3596954045</v>
      </c>
      <c r="AW268" s="212">
        <f t="shared" si="266"/>
        <v>1249310.4429457721</v>
      </c>
      <c r="AX268" s="212">
        <f t="shared" si="266"/>
        <v>1313985.1340304094</v>
      </c>
      <c r="AY268" s="212">
        <f t="shared" si="266"/>
        <v>1308170.3489385496</v>
      </c>
      <c r="AZ268" s="212">
        <f t="shared" si="266"/>
        <v>1360263.3351675784</v>
      </c>
      <c r="BA268" s="212">
        <f t="shared" si="266"/>
        <v>1401035.3737031743</v>
      </c>
      <c r="BB268" s="212">
        <f t="shared" si="266"/>
        <v>1442879.8211868634</v>
      </c>
      <c r="BC268" s="212">
        <f t="shared" si="266"/>
        <v>1485833.1128197003</v>
      </c>
      <c r="BD268" s="212">
        <f t="shared" si="266"/>
        <v>1529932.2215776134</v>
      </c>
      <c r="BE268" s="212">
        <f t="shared" si="266"/>
        <v>1575214.7040124596</v>
      </c>
      <c r="BF268" s="212">
        <f t="shared" si="266"/>
        <v>1621718.7451898293</v>
      </c>
      <c r="BG268" s="212">
        <f t="shared" si="266"/>
        <v>1663203.3386500259</v>
      </c>
      <c r="BH268" s="212">
        <f t="shared" si="266"/>
        <v>1705639.1361078194</v>
      </c>
      <c r="BI268" s="212">
        <f t="shared" si="266"/>
        <v>1749053.5133802206</v>
      </c>
      <c r="BJ268" s="212">
        <f t="shared" si="266"/>
        <v>1793474.123581975</v>
      </c>
      <c r="BK268" s="212">
        <f t="shared" si="266"/>
        <v>1838928.9292708011</v>
      </c>
      <c r="BL268" s="212">
        <f t="shared" si="266"/>
        <v>1885446.2335016162</v>
      </c>
      <c r="BN268" s="205"/>
      <c r="BQ268" s="212">
        <f t="shared" ref="BQ268:BQ274" si="267">Q268-AR268</f>
        <v>0</v>
      </c>
      <c r="BR268" s="212">
        <f t="shared" si="262"/>
        <v>925.16656358120963</v>
      </c>
      <c r="BS268" s="212">
        <f t="shared" si="262"/>
        <v>4438.7251892373897</v>
      </c>
      <c r="BT268" s="212">
        <f t="shared" si="262"/>
        <v>5679.941868656897</v>
      </c>
      <c r="BU268" s="226">
        <f t="shared" si="262"/>
        <v>6244.2000844080467</v>
      </c>
      <c r="BV268" s="212">
        <f t="shared" si="262"/>
        <v>20808.891534177354</v>
      </c>
      <c r="BW268" s="212">
        <f t="shared" si="262"/>
        <v>37016.661966924556</v>
      </c>
      <c r="BX268" s="212">
        <f t="shared" si="262"/>
        <v>33111.037298465846</v>
      </c>
      <c r="BY268" s="212">
        <f t="shared" si="262"/>
        <v>34767.770464567933</v>
      </c>
      <c r="BZ268" s="212">
        <f t="shared" si="262"/>
        <v>36149.8325515904</v>
      </c>
      <c r="CA268" s="212">
        <f t="shared" si="262"/>
        <v>37540.777571442071</v>
      </c>
      <c r="CB268" s="212">
        <f t="shared" si="262"/>
        <v>38943.103619233938</v>
      </c>
      <c r="CC268" s="212">
        <f t="shared" si="262"/>
        <v>40359.219915807946</v>
      </c>
      <c r="CD268" s="212">
        <f t="shared" si="262"/>
        <v>41791.455063042697</v>
      </c>
      <c r="CE268" s="212">
        <f t="shared" si="262"/>
        <v>43242.064811554039</v>
      </c>
      <c r="CF268" s="212">
        <f t="shared" si="262"/>
        <v>44554.091462847311</v>
      </c>
      <c r="CG268" s="212">
        <f t="shared" si="262"/>
        <v>45877.355151054217</v>
      </c>
      <c r="CH268" s="212">
        <f t="shared" si="262"/>
        <v>47213.769505277509</v>
      </c>
      <c r="CI268" s="212">
        <f t="shared" si="262"/>
        <v>48565.170424993383</v>
      </c>
      <c r="CJ268" s="212">
        <f t="shared" si="262"/>
        <v>49933.323057573754</v>
      </c>
      <c r="CK268" s="212">
        <f t="shared" si="262"/>
        <v>51319.928318662336</v>
      </c>
    </row>
    <row r="269" spans="3:89" s="193" customFormat="1" x14ac:dyDescent="0.2">
      <c r="E269" s="211"/>
      <c r="G269" s="196" t="s">
        <v>76</v>
      </c>
      <c r="L269" s="190" t="s">
        <v>175</v>
      </c>
      <c r="M269" s="195"/>
      <c r="Q269" s="212">
        <f t="shared" ref="Q269:AK269" si="268">$M$239*Q228*$M$241</f>
        <v>335808.31813956209</v>
      </c>
      <c r="R269" s="226">
        <f t="shared" si="268"/>
        <v>366237.90484925336</v>
      </c>
      <c r="S269" s="212">
        <f t="shared" si="268"/>
        <v>397754.0839823024</v>
      </c>
      <c r="T269" s="212">
        <f t="shared" si="268"/>
        <v>433062.36930074717</v>
      </c>
      <c r="U269" s="226">
        <f t="shared" si="268"/>
        <v>486579.42893338692</v>
      </c>
      <c r="V269" s="212">
        <f t="shared" si="268"/>
        <v>547617.90042174654</v>
      </c>
      <c r="W269" s="212">
        <f t="shared" si="268"/>
        <v>582490.75256617134</v>
      </c>
      <c r="X269" s="212">
        <f t="shared" si="268"/>
        <v>578299.752366676</v>
      </c>
      <c r="Y269" s="212">
        <f t="shared" si="268"/>
        <v>601474.19565272657</v>
      </c>
      <c r="Z269" s="212">
        <f t="shared" si="268"/>
        <v>619649.13359002001</v>
      </c>
      <c r="AA269" s="212">
        <f t="shared" si="268"/>
        <v>638290.27558663941</v>
      </c>
      <c r="AB269" s="212">
        <f t="shared" si="268"/>
        <v>657414.40791560756</v>
      </c>
      <c r="AC269" s="212">
        <f t="shared" si="268"/>
        <v>677038.51039553236</v>
      </c>
      <c r="AD269" s="212">
        <f t="shared" si="268"/>
        <v>697179.77969725674</v>
      </c>
      <c r="AE269" s="212">
        <f t="shared" si="268"/>
        <v>717855.65206814033</v>
      </c>
      <c r="AF269" s="212">
        <f t="shared" si="268"/>
        <v>736307.61529267067</v>
      </c>
      <c r="AG269" s="212">
        <f t="shared" si="268"/>
        <v>755174.53947740654</v>
      </c>
      <c r="AH269" s="212">
        <f t="shared" si="268"/>
        <v>774469.05290423776</v>
      </c>
      <c r="AI269" s="212">
        <f t="shared" si="268"/>
        <v>794203.86989973066</v>
      </c>
      <c r="AJ269" s="212">
        <f t="shared" si="268"/>
        <v>814391.80770323018</v>
      </c>
      <c r="AK269" s="212">
        <f t="shared" si="268"/>
        <v>835045.8026671838</v>
      </c>
      <c r="AM269" s="205"/>
      <c r="AR269" s="212">
        <f t="shared" ref="AR269:BL269" si="269">$AN$239*AR228*$AN$241</f>
        <v>335808.31813956209</v>
      </c>
      <c r="AS269" s="212">
        <f t="shared" si="269"/>
        <v>365839.0149517965</v>
      </c>
      <c r="AT269" s="212">
        <f t="shared" si="269"/>
        <v>395840.30682554829</v>
      </c>
      <c r="AU269" s="212">
        <f t="shared" si="269"/>
        <v>430613.4357586836</v>
      </c>
      <c r="AV269" s="226">
        <f t="shared" si="269"/>
        <v>483887.21281856269</v>
      </c>
      <c r="AW269" s="212">
        <f t="shared" si="269"/>
        <v>538646.04936594341</v>
      </c>
      <c r="AX269" s="212">
        <f t="shared" si="269"/>
        <v>566530.84536953876</v>
      </c>
      <c r="AY269" s="212">
        <f t="shared" si="269"/>
        <v>564023.7735401697</v>
      </c>
      <c r="AZ269" s="212">
        <f t="shared" si="269"/>
        <v>586483.90856135858</v>
      </c>
      <c r="BA269" s="212">
        <f t="shared" si="269"/>
        <v>604062.96395612089</v>
      </c>
      <c r="BB269" s="212">
        <f t="shared" si="269"/>
        <v>622104.39349211159</v>
      </c>
      <c r="BC269" s="212">
        <f t="shared" si="269"/>
        <v>640623.90637694462</v>
      </c>
      <c r="BD269" s="212">
        <f t="shared" si="269"/>
        <v>659637.44368237688</v>
      </c>
      <c r="BE269" s="212">
        <f t="shared" si="269"/>
        <v>679161.19809164421</v>
      </c>
      <c r="BF269" s="212">
        <f t="shared" si="269"/>
        <v>699211.63327466196</v>
      </c>
      <c r="BG269" s="212">
        <f t="shared" si="269"/>
        <v>717097.91006282868</v>
      </c>
      <c r="BH269" s="212">
        <f t="shared" si="269"/>
        <v>735394.30291010044</v>
      </c>
      <c r="BI269" s="212">
        <f t="shared" si="269"/>
        <v>754112.61502821499</v>
      </c>
      <c r="BJ269" s="212">
        <f t="shared" si="269"/>
        <v>773264.76918708114</v>
      </c>
      <c r="BK269" s="212">
        <f t="shared" si="269"/>
        <v>792862.82157448563</v>
      </c>
      <c r="BL269" s="212">
        <f t="shared" si="269"/>
        <v>812918.97518512828</v>
      </c>
      <c r="BN269" s="205"/>
      <c r="BQ269" s="212">
        <f t="shared" si="267"/>
        <v>0</v>
      </c>
      <c r="BR269" s="212">
        <f t="shared" si="262"/>
        <v>398.88989745685831</v>
      </c>
      <c r="BS269" s="212">
        <f t="shared" si="262"/>
        <v>1913.7771567541058</v>
      </c>
      <c r="BT269" s="212">
        <f t="shared" si="262"/>
        <v>2448.9335420635762</v>
      </c>
      <c r="BU269" s="226">
        <f t="shared" si="262"/>
        <v>2692.2161148242303</v>
      </c>
      <c r="BV269" s="212">
        <f t="shared" si="262"/>
        <v>8971.8510558031267</v>
      </c>
      <c r="BW269" s="212">
        <f t="shared" si="262"/>
        <v>15959.907196632586</v>
      </c>
      <c r="BX269" s="212">
        <f t="shared" si="262"/>
        <v>14275.978826506296</v>
      </c>
      <c r="BY269" s="212">
        <f t="shared" si="262"/>
        <v>14990.287091367994</v>
      </c>
      <c r="BZ269" s="212">
        <f t="shared" si="262"/>
        <v>15586.169633899117</v>
      </c>
      <c r="CA269" s="212">
        <f t="shared" si="262"/>
        <v>16185.882094527828</v>
      </c>
      <c r="CB269" s="212">
        <f t="shared" si="262"/>
        <v>16790.501538662938</v>
      </c>
      <c r="CC269" s="212">
        <f t="shared" si="262"/>
        <v>17401.06671315548</v>
      </c>
      <c r="CD269" s="212">
        <f t="shared" si="262"/>
        <v>18018.581605612533</v>
      </c>
      <c r="CE269" s="212">
        <f t="shared" si="262"/>
        <v>18644.018793478375</v>
      </c>
      <c r="CF269" s="212">
        <f t="shared" si="262"/>
        <v>19209.705229841988</v>
      </c>
      <c r="CG269" s="212">
        <f t="shared" si="262"/>
        <v>19780.236567306099</v>
      </c>
      <c r="CH269" s="212">
        <f t="shared" si="262"/>
        <v>20356.43787602277</v>
      </c>
      <c r="CI269" s="212">
        <f t="shared" si="262"/>
        <v>20939.100712649524</v>
      </c>
      <c r="CJ269" s="212">
        <f t="shared" si="262"/>
        <v>21528.986128744553</v>
      </c>
      <c r="CK269" s="212">
        <f t="shared" si="262"/>
        <v>22126.827482055523</v>
      </c>
    </row>
    <row r="270" spans="3:89" s="193" customFormat="1" x14ac:dyDescent="0.2">
      <c r="E270" s="211"/>
      <c r="G270" s="196" t="s">
        <v>72</v>
      </c>
      <c r="L270" s="190" t="s">
        <v>175</v>
      </c>
      <c r="M270" s="195"/>
      <c r="Q270" s="212">
        <f t="shared" ref="Q270:AK270" si="270">$M$239*Q229*$M$241</f>
        <v>463829.77358764544</v>
      </c>
      <c r="R270" s="226">
        <f t="shared" si="270"/>
        <v>505860.14493793272</v>
      </c>
      <c r="S270" s="212">
        <f t="shared" si="270"/>
        <v>549391.35438687564</v>
      </c>
      <c r="T270" s="212">
        <f t="shared" si="270"/>
        <v>598160.34878151515</v>
      </c>
      <c r="U270" s="226">
        <f t="shared" si="270"/>
        <v>672079.91631934932</v>
      </c>
      <c r="V270" s="212">
        <f t="shared" si="270"/>
        <v>756388.31155932625</v>
      </c>
      <c r="W270" s="212">
        <f t="shared" si="270"/>
        <v>804555.87096975558</v>
      </c>
      <c r="X270" s="212">
        <f t="shared" si="270"/>
        <v>798767.12015974964</v>
      </c>
      <c r="Y270" s="212">
        <f t="shared" si="270"/>
        <v>830776.44274574006</v>
      </c>
      <c r="Z270" s="212">
        <f t="shared" si="270"/>
        <v>855880.27994408249</v>
      </c>
      <c r="AA270" s="212">
        <f t="shared" si="270"/>
        <v>881628.05391111039</v>
      </c>
      <c r="AB270" s="212">
        <f t="shared" si="270"/>
        <v>908042.95041322894</v>
      </c>
      <c r="AC270" s="212">
        <f t="shared" si="270"/>
        <v>935148.42254849384</v>
      </c>
      <c r="AD270" s="212">
        <f t="shared" si="270"/>
        <v>962968.22293863527</v>
      </c>
      <c r="AE270" s="212">
        <f t="shared" si="270"/>
        <v>991526.43511646392</v>
      </c>
      <c r="AF270" s="212">
        <f t="shared" si="270"/>
        <v>1017012.9089837524</v>
      </c>
      <c r="AG270" s="212">
        <f t="shared" si="270"/>
        <v>1043072.5409231449</v>
      </c>
      <c r="AH270" s="212">
        <f t="shared" si="270"/>
        <v>1069722.7735434398</v>
      </c>
      <c r="AI270" s="212">
        <f t="shared" si="270"/>
        <v>1096981.1683012738</v>
      </c>
      <c r="AJ270" s="212">
        <f t="shared" si="270"/>
        <v>1124865.4287998714</v>
      </c>
      <c r="AK270" s="212">
        <f t="shared" si="270"/>
        <v>1153393.4231654785</v>
      </c>
      <c r="AM270" s="205"/>
      <c r="AR270" s="212">
        <f t="shared" ref="AR270:BL270" si="271">$AN$239*AR229*$AN$241</f>
        <v>463829.77358764544</v>
      </c>
      <c r="AS270" s="212">
        <f t="shared" si="271"/>
        <v>505309.18475967128</v>
      </c>
      <c r="AT270" s="212">
        <f t="shared" si="271"/>
        <v>546747.98083903664</v>
      </c>
      <c r="AU270" s="212">
        <f t="shared" si="271"/>
        <v>594777.79918703367</v>
      </c>
      <c r="AV270" s="226">
        <f t="shared" si="271"/>
        <v>668361.33663107315</v>
      </c>
      <c r="AW270" s="212">
        <f t="shared" si="271"/>
        <v>743996.08832039579</v>
      </c>
      <c r="AX270" s="212">
        <f t="shared" si="271"/>
        <v>782511.50892861828</v>
      </c>
      <c r="AY270" s="212">
        <f t="shared" si="271"/>
        <v>779048.6567710957</v>
      </c>
      <c r="AZ270" s="212">
        <f t="shared" si="271"/>
        <v>810071.35269280849</v>
      </c>
      <c r="BA270" s="212">
        <f t="shared" si="271"/>
        <v>834352.13682826597</v>
      </c>
      <c r="BB270" s="212">
        <f t="shared" si="271"/>
        <v>859271.56772037502</v>
      </c>
      <c r="BC270" s="212">
        <f t="shared" si="271"/>
        <v>884851.34345647588</v>
      </c>
      <c r="BD270" s="212">
        <f t="shared" si="271"/>
        <v>911113.48238244315</v>
      </c>
      <c r="BE270" s="212">
        <f t="shared" si="271"/>
        <v>938080.35037846724</v>
      </c>
      <c r="BF270" s="212">
        <f t="shared" si="271"/>
        <v>965774.68762059393</v>
      </c>
      <c r="BG270" s="212">
        <f t="shared" si="271"/>
        <v>990479.816305149</v>
      </c>
      <c r="BH270" s="212">
        <f t="shared" si="271"/>
        <v>1015751.4111210215</v>
      </c>
      <c r="BI270" s="212">
        <f t="shared" si="271"/>
        <v>1041605.7750622928</v>
      </c>
      <c r="BJ270" s="212">
        <f t="shared" si="271"/>
        <v>1068059.3762608492</v>
      </c>
      <c r="BK270" s="212">
        <f t="shared" si="271"/>
        <v>1095128.8671298383</v>
      </c>
      <c r="BL270" s="212">
        <f t="shared" si="271"/>
        <v>1122831.102857054</v>
      </c>
      <c r="BN270" s="205"/>
      <c r="BQ270" s="212">
        <f t="shared" si="267"/>
        <v>0</v>
      </c>
      <c r="BR270" s="212">
        <f t="shared" si="262"/>
        <v>550.96017826144816</v>
      </c>
      <c r="BS270" s="212">
        <f t="shared" si="262"/>
        <v>2643.3735478390008</v>
      </c>
      <c r="BT270" s="212">
        <f t="shared" si="262"/>
        <v>3382.5495944814757</v>
      </c>
      <c r="BU270" s="226">
        <f t="shared" si="262"/>
        <v>3718.5796882761642</v>
      </c>
      <c r="BV270" s="212">
        <f t="shared" si="262"/>
        <v>12392.223238930455</v>
      </c>
      <c r="BW270" s="212">
        <f t="shared" si="262"/>
        <v>22044.362041137298</v>
      </c>
      <c r="BX270" s="212">
        <f t="shared" si="262"/>
        <v>19718.463388653938</v>
      </c>
      <c r="BY270" s="212">
        <f t="shared" si="262"/>
        <v>20705.09005293157</v>
      </c>
      <c r="BZ270" s="212">
        <f t="shared" si="262"/>
        <v>21528.143115816521</v>
      </c>
      <c r="CA270" s="212">
        <f t="shared" si="262"/>
        <v>22356.486190735362</v>
      </c>
      <c r="CB270" s="212">
        <f t="shared" si="262"/>
        <v>23191.606956753065</v>
      </c>
      <c r="CC270" s="212">
        <f t="shared" si="262"/>
        <v>24034.940166050685</v>
      </c>
      <c r="CD270" s="212">
        <f t="shared" si="262"/>
        <v>24887.872560168034</v>
      </c>
      <c r="CE270" s="212">
        <f t="shared" si="262"/>
        <v>25751.74749586999</v>
      </c>
      <c r="CF270" s="212">
        <f t="shared" si="262"/>
        <v>26533.092678603367</v>
      </c>
      <c r="CG270" s="212">
        <f t="shared" si="262"/>
        <v>27321.129802123411</v>
      </c>
      <c r="CH270" s="212">
        <f t="shared" si="262"/>
        <v>28116.998481146991</v>
      </c>
      <c r="CI270" s="212">
        <f t="shared" si="262"/>
        <v>28921.792040424654</v>
      </c>
      <c r="CJ270" s="212">
        <f t="shared" si="262"/>
        <v>29736.561670033028</v>
      </c>
      <c r="CK270" s="212">
        <f t="shared" si="262"/>
        <v>30562.320308424532</v>
      </c>
    </row>
    <row r="271" spans="3:89" s="193" customFormat="1" x14ac:dyDescent="0.2">
      <c r="E271" s="211"/>
      <c r="G271" s="196" t="s">
        <v>73</v>
      </c>
      <c r="L271" s="190" t="s">
        <v>175</v>
      </c>
      <c r="M271" s="195"/>
      <c r="Q271" s="212">
        <f t="shared" ref="Q271:AK271" si="272">$M$239*Q230*$M$241</f>
        <v>46139.636646576553</v>
      </c>
      <c r="R271" s="226">
        <f t="shared" si="272"/>
        <v>50320.623234011633</v>
      </c>
      <c r="S271" s="212">
        <f t="shared" si="272"/>
        <v>54650.906241125784</v>
      </c>
      <c r="T271" s="212">
        <f t="shared" si="272"/>
        <v>59502.219824518252</v>
      </c>
      <c r="U271" s="226">
        <f t="shared" si="272"/>
        <v>66855.395884966623</v>
      </c>
      <c r="V271" s="212">
        <f t="shared" si="272"/>
        <v>75242.004386918125</v>
      </c>
      <c r="W271" s="212">
        <f t="shared" si="272"/>
        <v>80033.490004927298</v>
      </c>
      <c r="X271" s="212">
        <f t="shared" si="272"/>
        <v>79457.651897456322</v>
      </c>
      <c r="Y271" s="212">
        <f t="shared" si="272"/>
        <v>82641.790987962071</v>
      </c>
      <c r="Z271" s="212">
        <f t="shared" si="272"/>
        <v>85139.00438978181</v>
      </c>
      <c r="AA271" s="212">
        <f t="shared" si="272"/>
        <v>87700.273637566934</v>
      </c>
      <c r="AB271" s="212">
        <f t="shared" si="272"/>
        <v>90327.905143922631</v>
      </c>
      <c r="AC271" s="212">
        <f t="shared" si="272"/>
        <v>93024.231914369535</v>
      </c>
      <c r="AD271" s="212">
        <f t="shared" si="272"/>
        <v>95791.616749657405</v>
      </c>
      <c r="AE271" s="212">
        <f t="shared" si="272"/>
        <v>98632.455368034396</v>
      </c>
      <c r="AF271" s="212">
        <f t="shared" si="272"/>
        <v>101167.73169267281</v>
      </c>
      <c r="AG271" s="212">
        <f t="shared" si="272"/>
        <v>103760.02312650564</v>
      </c>
      <c r="AH271" s="212">
        <f t="shared" si="272"/>
        <v>106411.06477942706</v>
      </c>
      <c r="AI271" s="212">
        <f t="shared" si="272"/>
        <v>109122.60358377825</v>
      </c>
      <c r="AJ271" s="212">
        <f t="shared" si="272"/>
        <v>111896.40061196875</v>
      </c>
      <c r="AK271" s="212">
        <f t="shared" si="272"/>
        <v>114734.23330240537</v>
      </c>
      <c r="AM271" s="205"/>
      <c r="AR271" s="212">
        <f t="shared" ref="AR271:BL271" si="273">$AN$239*AR230*$AN$241</f>
        <v>46139.636646576553</v>
      </c>
      <c r="AS271" s="212">
        <f t="shared" si="273"/>
        <v>50265.81626844086</v>
      </c>
      <c r="AT271" s="212">
        <f t="shared" si="273"/>
        <v>54387.95568908361</v>
      </c>
      <c r="AU271" s="212">
        <f t="shared" si="273"/>
        <v>59165.739464447281</v>
      </c>
      <c r="AV271" s="226">
        <f t="shared" si="273"/>
        <v>66485.488808214519</v>
      </c>
      <c r="AW271" s="212">
        <f t="shared" si="273"/>
        <v>74009.283440470565</v>
      </c>
      <c r="AX271" s="212">
        <f t="shared" si="273"/>
        <v>77840.619015175122</v>
      </c>
      <c r="AY271" s="212">
        <f t="shared" si="273"/>
        <v>77496.150528227387</v>
      </c>
      <c r="AZ271" s="212">
        <f t="shared" si="273"/>
        <v>80582.144569864264</v>
      </c>
      <c r="BA271" s="212">
        <f t="shared" si="273"/>
        <v>82997.484466737093</v>
      </c>
      <c r="BB271" s="212">
        <f t="shared" si="273"/>
        <v>85476.353983690249</v>
      </c>
      <c r="BC271" s="212">
        <f t="shared" si="273"/>
        <v>88020.911545908995</v>
      </c>
      <c r="BD271" s="212">
        <f t="shared" si="273"/>
        <v>90633.347436415192</v>
      </c>
      <c r="BE271" s="212">
        <f t="shared" si="273"/>
        <v>93315.886509335789</v>
      </c>
      <c r="BF271" s="212">
        <f t="shared" si="273"/>
        <v>96070.790852012738</v>
      </c>
      <c r="BG271" s="212">
        <f t="shared" si="273"/>
        <v>98528.342578361524</v>
      </c>
      <c r="BH271" s="212">
        <f t="shared" si="273"/>
        <v>101042.24373064341</v>
      </c>
      <c r="BI271" s="212">
        <f t="shared" si="273"/>
        <v>103614.11605516126</v>
      </c>
      <c r="BJ271" s="212">
        <f t="shared" si="273"/>
        <v>106245.59772537602</v>
      </c>
      <c r="BK271" s="212">
        <f t="shared" si="273"/>
        <v>108938.34524617925</v>
      </c>
      <c r="BL271" s="212">
        <f t="shared" si="273"/>
        <v>111694.03529355428</v>
      </c>
      <c r="BN271" s="205"/>
      <c r="BQ271" s="212">
        <f t="shared" si="267"/>
        <v>0</v>
      </c>
      <c r="BR271" s="212">
        <f t="shared" si="262"/>
        <v>54.806965570773173</v>
      </c>
      <c r="BS271" s="212">
        <f t="shared" si="262"/>
        <v>262.95055204217351</v>
      </c>
      <c r="BT271" s="212">
        <f t="shared" si="262"/>
        <v>336.48036007097107</v>
      </c>
      <c r="BU271" s="226">
        <f t="shared" si="262"/>
        <v>369.90707675210433</v>
      </c>
      <c r="BV271" s="212">
        <f t="shared" si="262"/>
        <v>1232.72094644756</v>
      </c>
      <c r="BW271" s="212">
        <f t="shared" si="262"/>
        <v>2192.8709897521767</v>
      </c>
      <c r="BX271" s="212">
        <f t="shared" si="262"/>
        <v>1961.5013692289358</v>
      </c>
      <c r="BY271" s="212">
        <f t="shared" si="262"/>
        <v>2059.6464180978073</v>
      </c>
      <c r="BZ271" s="212">
        <f t="shared" si="262"/>
        <v>2141.5199230447179</v>
      </c>
      <c r="CA271" s="212">
        <f t="shared" si="262"/>
        <v>2223.9196538766846</v>
      </c>
      <c r="CB271" s="212">
        <f t="shared" si="262"/>
        <v>2306.9935980136361</v>
      </c>
      <c r="CC271" s="212">
        <f t="shared" si="262"/>
        <v>2390.8844779543433</v>
      </c>
      <c r="CD271" s="212">
        <f t="shared" si="262"/>
        <v>2475.7302403216163</v>
      </c>
      <c r="CE271" s="212">
        <f t="shared" si="262"/>
        <v>2561.6645160216576</v>
      </c>
      <c r="CF271" s="212">
        <f t="shared" si="262"/>
        <v>2639.3891143112851</v>
      </c>
      <c r="CG271" s="212">
        <f t="shared" si="262"/>
        <v>2717.7793958622206</v>
      </c>
      <c r="CH271" s="212">
        <f t="shared" si="262"/>
        <v>2796.948724265807</v>
      </c>
      <c r="CI271" s="212">
        <f t="shared" si="262"/>
        <v>2877.0058584022336</v>
      </c>
      <c r="CJ271" s="212">
        <f t="shared" si="262"/>
        <v>2958.0553657895071</v>
      </c>
      <c r="CK271" s="212">
        <f t="shared" si="262"/>
        <v>3040.19800885109</v>
      </c>
    </row>
    <row r="272" spans="3:89" s="193" customFormat="1" x14ac:dyDescent="0.2">
      <c r="E272" s="211"/>
      <c r="G272" s="196" t="s">
        <v>180</v>
      </c>
      <c r="L272" s="190" t="s">
        <v>175</v>
      </c>
      <c r="M272" s="195"/>
      <c r="Q272" s="212">
        <f t="shared" ref="Q272:AK272" si="274">$M$239*Q231*$M$241</f>
        <v>698894.88770701969</v>
      </c>
      <c r="R272" s="226">
        <f t="shared" si="274"/>
        <v>762225.90554559964</v>
      </c>
      <c r="S272" s="212">
        <f t="shared" si="274"/>
        <v>827818.37388640305</v>
      </c>
      <c r="T272" s="212">
        <f t="shared" si="274"/>
        <v>901303.09350107692</v>
      </c>
      <c r="U272" s="226">
        <f t="shared" si="274"/>
        <v>1012684.4898571379</v>
      </c>
      <c r="V272" s="212">
        <f t="shared" si="274"/>
        <v>1139719.6863436508</v>
      </c>
      <c r="W272" s="212">
        <f t="shared" si="274"/>
        <v>1212298.1686710953</v>
      </c>
      <c r="X272" s="212">
        <f t="shared" si="274"/>
        <v>1203575.7265647333</v>
      </c>
      <c r="Y272" s="212">
        <f t="shared" si="274"/>
        <v>1251807.110551317</v>
      </c>
      <c r="Z272" s="212">
        <f t="shared" si="274"/>
        <v>1289633.3659554098</v>
      </c>
      <c r="AA272" s="212">
        <f t="shared" si="274"/>
        <v>1328429.8999860061</v>
      </c>
      <c r="AB272" s="212">
        <f t="shared" si="274"/>
        <v>1368231.6487651831</v>
      </c>
      <c r="AC272" s="212">
        <f t="shared" si="274"/>
        <v>1409073.9512282079</v>
      </c>
      <c r="AD272" s="212">
        <f t="shared" si="274"/>
        <v>1450992.597630102</v>
      </c>
      <c r="AE272" s="212">
        <f t="shared" si="274"/>
        <v>1494023.8768400764</v>
      </c>
      <c r="AF272" s="212">
        <f t="shared" si="274"/>
        <v>1532426.6860296265</v>
      </c>
      <c r="AG272" s="212">
        <f t="shared" si="274"/>
        <v>1571693.1250878477</v>
      </c>
      <c r="AH272" s="212">
        <f t="shared" si="274"/>
        <v>1611849.4763941863</v>
      </c>
      <c r="AI272" s="212">
        <f t="shared" si="274"/>
        <v>1652922.2014070947</v>
      </c>
      <c r="AJ272" s="212">
        <f t="shared" si="274"/>
        <v>1694937.9757702129</v>
      </c>
      <c r="AK272" s="212">
        <f t="shared" si="274"/>
        <v>1737923.7230292361</v>
      </c>
      <c r="AM272" s="205"/>
      <c r="AR272" s="212">
        <f t="shared" ref="AR272:BL272" si="275">$AN$239*AR231*$AN$241</f>
        <v>698894.88770701969</v>
      </c>
      <c r="AS272" s="212">
        <f t="shared" si="275"/>
        <v>761395.72328080318</v>
      </c>
      <c r="AT272" s="212">
        <f t="shared" si="275"/>
        <v>823835.36036703573</v>
      </c>
      <c r="AU272" s="212">
        <f t="shared" si="275"/>
        <v>896206.29559456662</v>
      </c>
      <c r="AV272" s="226">
        <f t="shared" si="275"/>
        <v>1007081.3645692433</v>
      </c>
      <c r="AW272" s="212">
        <f t="shared" si="275"/>
        <v>1121047.1862968719</v>
      </c>
      <c r="AX272" s="212">
        <f t="shared" si="275"/>
        <v>1179081.9052688016</v>
      </c>
      <c r="AY272" s="212">
        <f t="shared" si="275"/>
        <v>1173864.1081208084</v>
      </c>
      <c r="AZ272" s="212">
        <f t="shared" si="275"/>
        <v>1220608.8511649496</v>
      </c>
      <c r="BA272" s="212">
        <f t="shared" si="275"/>
        <v>1257194.9369837386</v>
      </c>
      <c r="BB272" s="212">
        <f t="shared" si="275"/>
        <v>1294743.3304824096</v>
      </c>
      <c r="BC272" s="212">
        <f t="shared" si="275"/>
        <v>1333286.7261604625</v>
      </c>
      <c r="BD272" s="212">
        <f t="shared" si="275"/>
        <v>1372858.3010803789</v>
      </c>
      <c r="BE272" s="212">
        <f t="shared" si="275"/>
        <v>1413491.755966434</v>
      </c>
      <c r="BF272" s="212">
        <f t="shared" si="275"/>
        <v>1455221.3555289146</v>
      </c>
      <c r="BG272" s="212">
        <f t="shared" si="275"/>
        <v>1492446.840223914</v>
      </c>
      <c r="BH272" s="212">
        <f t="shared" si="275"/>
        <v>1530525.8714262508</v>
      </c>
      <c r="BI272" s="212">
        <f t="shared" si="275"/>
        <v>1569483.0143532876</v>
      </c>
      <c r="BJ272" s="212">
        <f t="shared" si="275"/>
        <v>1609343.0830507374</v>
      </c>
      <c r="BK272" s="212">
        <f t="shared" si="275"/>
        <v>1650131.1692376789</v>
      </c>
      <c r="BL272" s="212">
        <f t="shared" si="275"/>
        <v>1691872.6701724795</v>
      </c>
      <c r="BN272" s="205"/>
      <c r="BQ272" s="212">
        <f t="shared" si="267"/>
        <v>0</v>
      </c>
      <c r="BR272" s="212">
        <f t="shared" si="262"/>
        <v>830.18226479645818</v>
      </c>
      <c r="BS272" s="212">
        <f t="shared" si="262"/>
        <v>3983.0135193673195</v>
      </c>
      <c r="BT272" s="212">
        <f t="shared" si="262"/>
        <v>5096.7979065102991</v>
      </c>
      <c r="BU272" s="226">
        <f t="shared" si="262"/>
        <v>5603.1252878946252</v>
      </c>
      <c r="BV272" s="212">
        <f t="shared" si="262"/>
        <v>18672.500046778936</v>
      </c>
      <c r="BW272" s="212">
        <f t="shared" si="262"/>
        <v>33216.263402293669</v>
      </c>
      <c r="BX272" s="212">
        <f t="shared" si="262"/>
        <v>29711.618443924934</v>
      </c>
      <c r="BY272" s="212">
        <f t="shared" si="262"/>
        <v>31198.259386367397</v>
      </c>
      <c r="BZ272" s="212">
        <f t="shared" si="262"/>
        <v>32438.428971671266</v>
      </c>
      <c r="CA272" s="212">
        <f t="shared" si="262"/>
        <v>33686.569503596518</v>
      </c>
      <c r="CB272" s="212">
        <f t="shared" si="262"/>
        <v>34944.922604720574</v>
      </c>
      <c r="CC272" s="212">
        <f t="shared" si="262"/>
        <v>36215.650147828972</v>
      </c>
      <c r="CD272" s="212">
        <f t="shared" si="262"/>
        <v>37500.841663667932</v>
      </c>
      <c r="CE272" s="212">
        <f t="shared" si="262"/>
        <v>38802.521311161807</v>
      </c>
      <c r="CF272" s="212">
        <f t="shared" si="262"/>
        <v>39979.84580571251</v>
      </c>
      <c r="CG272" s="212">
        <f t="shared" si="262"/>
        <v>41167.253661596915</v>
      </c>
      <c r="CH272" s="212">
        <f t="shared" si="262"/>
        <v>42366.462040898623</v>
      </c>
      <c r="CI272" s="212">
        <f t="shared" si="262"/>
        <v>43579.118356357329</v>
      </c>
      <c r="CJ272" s="212">
        <f t="shared" si="262"/>
        <v>44806.806532534072</v>
      </c>
      <c r="CK272" s="212">
        <f t="shared" si="262"/>
        <v>46051.052856756607</v>
      </c>
    </row>
    <row r="273" spans="4:89" s="193" customFormat="1" x14ac:dyDescent="0.2">
      <c r="E273" s="211"/>
      <c r="G273" s="196" t="s">
        <v>75</v>
      </c>
      <c r="L273" s="190" t="s">
        <v>175</v>
      </c>
      <c r="M273" s="195"/>
      <c r="Q273" s="212">
        <f t="shared" ref="Q273:AK273" si="276">$M$239*Q232*$M$241</f>
        <v>394578.54979055404</v>
      </c>
      <c r="R273" s="226">
        <f t="shared" si="276"/>
        <v>430333.65633811068</v>
      </c>
      <c r="S273" s="212">
        <f t="shared" si="276"/>
        <v>467365.5212012367</v>
      </c>
      <c r="T273" s="212">
        <f t="shared" si="276"/>
        <v>508853.15347231302</v>
      </c>
      <c r="U273" s="226">
        <f t="shared" si="276"/>
        <v>571736.30031004478</v>
      </c>
      <c r="V273" s="212">
        <f t="shared" si="276"/>
        <v>643457.19065231364</v>
      </c>
      <c r="W273" s="212">
        <f t="shared" si="276"/>
        <v>684433.18404771353</v>
      </c>
      <c r="X273" s="212">
        <f t="shared" si="276"/>
        <v>679508.71168785612</v>
      </c>
      <c r="Y273" s="212">
        <f t="shared" si="276"/>
        <v>706738.94313260762</v>
      </c>
      <c r="Z273" s="212">
        <f t="shared" si="276"/>
        <v>728094.69957593409</v>
      </c>
      <c r="AA273" s="212">
        <f t="shared" si="276"/>
        <v>749998.25103116455</v>
      </c>
      <c r="AB273" s="212">
        <f t="shared" si="276"/>
        <v>772469.32155787223</v>
      </c>
      <c r="AC273" s="212">
        <f t="shared" si="276"/>
        <v>795527.86263381841</v>
      </c>
      <c r="AD273" s="212">
        <f t="shared" si="276"/>
        <v>819194.08054065506</v>
      </c>
      <c r="AE273" s="212">
        <f t="shared" si="276"/>
        <v>843488.46306505275</v>
      </c>
      <c r="AF273" s="212">
        <f t="shared" si="276"/>
        <v>865169.72733587632</v>
      </c>
      <c r="AG273" s="212">
        <f t="shared" si="276"/>
        <v>887338.57540094131</v>
      </c>
      <c r="AH273" s="212">
        <f t="shared" si="276"/>
        <v>910009.84563345963</v>
      </c>
      <c r="AI273" s="212">
        <f t="shared" si="276"/>
        <v>933198.47751015658</v>
      </c>
      <c r="AJ273" s="212">
        <f t="shared" si="276"/>
        <v>956919.53143131174</v>
      </c>
      <c r="AK273" s="212">
        <f t="shared" si="276"/>
        <v>981188.20775657252</v>
      </c>
      <c r="AM273" s="205"/>
      <c r="AR273" s="212">
        <f t="shared" ref="AR273:BL273" si="277">$AN$239*AR232*$AN$241</f>
        <v>394578.54979055404</v>
      </c>
      <c r="AS273" s="212">
        <f t="shared" si="277"/>
        <v>429864.95622330514</v>
      </c>
      <c r="AT273" s="212">
        <f t="shared" si="277"/>
        <v>465116.8115226978</v>
      </c>
      <c r="AU273" s="212">
        <f t="shared" si="277"/>
        <v>505975.62902350136</v>
      </c>
      <c r="AV273" s="226">
        <f t="shared" si="277"/>
        <v>568572.91610266315</v>
      </c>
      <c r="AW273" s="212">
        <f t="shared" si="277"/>
        <v>632915.16477830173</v>
      </c>
      <c r="AX273" s="212">
        <f t="shared" si="277"/>
        <v>665680.11363144743</v>
      </c>
      <c r="AY273" s="212">
        <f t="shared" si="277"/>
        <v>662734.27604132029</v>
      </c>
      <c r="AZ273" s="212">
        <f t="shared" si="277"/>
        <v>689125.18724286254</v>
      </c>
      <c r="BA273" s="212">
        <f t="shared" si="277"/>
        <v>709780.77499834937</v>
      </c>
      <c r="BB273" s="212">
        <f t="shared" si="277"/>
        <v>730979.65756891016</v>
      </c>
      <c r="BC273" s="212">
        <f t="shared" si="277"/>
        <v>752740.2934501518</v>
      </c>
      <c r="BD273" s="212">
        <f t="shared" si="277"/>
        <v>775081.41358060588</v>
      </c>
      <c r="BE273" s="212">
        <f t="shared" si="277"/>
        <v>798022.04454519611</v>
      </c>
      <c r="BF273" s="212">
        <f t="shared" si="277"/>
        <v>821581.5313411603</v>
      </c>
      <c r="BG273" s="212">
        <f t="shared" si="277"/>
        <v>842598.1076884293</v>
      </c>
      <c r="BH273" s="212">
        <f t="shared" si="277"/>
        <v>864096.5750166683</v>
      </c>
      <c r="BI273" s="212">
        <f t="shared" si="277"/>
        <v>886090.80223238375</v>
      </c>
      <c r="BJ273" s="212">
        <f t="shared" si="277"/>
        <v>908594.79872432631</v>
      </c>
      <c r="BK273" s="212">
        <f t="shared" si="277"/>
        <v>931622.7306486388</v>
      </c>
      <c r="BL273" s="212">
        <f t="shared" si="277"/>
        <v>955188.93666136777</v>
      </c>
      <c r="BN273" s="205"/>
      <c r="BQ273" s="212">
        <f t="shared" si="267"/>
        <v>0</v>
      </c>
      <c r="BR273" s="212">
        <f t="shared" si="262"/>
        <v>468.7001148055424</v>
      </c>
      <c r="BS273" s="212">
        <f t="shared" si="262"/>
        <v>2248.7096785389003</v>
      </c>
      <c r="BT273" s="212">
        <f t="shared" si="262"/>
        <v>2877.5244488116587</v>
      </c>
      <c r="BU273" s="226">
        <f t="shared" si="262"/>
        <v>3163.384207381634</v>
      </c>
      <c r="BV273" s="212">
        <f t="shared" si="262"/>
        <v>10542.025874011917</v>
      </c>
      <c r="BW273" s="212">
        <f t="shared" si="262"/>
        <v>18753.070416266099</v>
      </c>
      <c r="BX273" s="212">
        <f t="shared" si="262"/>
        <v>16774.435646535829</v>
      </c>
      <c r="BY273" s="212">
        <f t="shared" si="262"/>
        <v>17613.75588974508</v>
      </c>
      <c r="BZ273" s="212">
        <f t="shared" si="262"/>
        <v>18313.924577584723</v>
      </c>
      <c r="CA273" s="212">
        <f t="shared" si="262"/>
        <v>19018.593462254386</v>
      </c>
      <c r="CB273" s="212">
        <f t="shared" si="262"/>
        <v>19729.028107720427</v>
      </c>
      <c r="CC273" s="212">
        <f t="shared" si="262"/>
        <v>20446.449053212535</v>
      </c>
      <c r="CD273" s="212">
        <f t="shared" si="262"/>
        <v>21172.035995458951</v>
      </c>
      <c r="CE273" s="212">
        <f t="shared" si="262"/>
        <v>21906.931723892456</v>
      </c>
      <c r="CF273" s="212">
        <f t="shared" si="262"/>
        <v>22571.61964744702</v>
      </c>
      <c r="CG273" s="212">
        <f t="shared" si="262"/>
        <v>23242.000384273008</v>
      </c>
      <c r="CH273" s="212">
        <f t="shared" si="262"/>
        <v>23919.043401075876</v>
      </c>
      <c r="CI273" s="212">
        <f t="shared" si="262"/>
        <v>24603.67878583027</v>
      </c>
      <c r="CJ273" s="212">
        <f t="shared" si="262"/>
        <v>25296.800782672944</v>
      </c>
      <c r="CK273" s="212">
        <f t="shared" si="262"/>
        <v>25999.271095204749</v>
      </c>
    </row>
    <row r="274" spans="4:89" s="193" customFormat="1" x14ac:dyDescent="0.2">
      <c r="E274" s="211"/>
      <c r="G274" s="196" t="s">
        <v>181</v>
      </c>
      <c r="L274" s="190" t="s">
        <v>175</v>
      </c>
      <c r="M274" s="195"/>
      <c r="Q274" s="212">
        <f t="shared" ref="Q274:AK274" si="278">$M$239*Q233*$M$241</f>
        <v>285992.4652931501</v>
      </c>
      <c r="R274" s="226">
        <f t="shared" si="278"/>
        <v>311907.94162551285</v>
      </c>
      <c r="S274" s="212">
        <f t="shared" si="278"/>
        <v>338748.81863778265</v>
      </c>
      <c r="T274" s="212">
        <f t="shared" si="278"/>
        <v>368819.25768896553</v>
      </c>
      <c r="U274" s="226">
        <f t="shared" si="278"/>
        <v>414397.27048023418</v>
      </c>
      <c r="V274" s="212">
        <f t="shared" si="278"/>
        <v>466380.92304546497</v>
      </c>
      <c r="W274" s="212">
        <f t="shared" si="278"/>
        <v>496080.5237338632</v>
      </c>
      <c r="X274" s="212">
        <f t="shared" si="278"/>
        <v>492511.24205037567</v>
      </c>
      <c r="Y274" s="212">
        <f t="shared" si="278"/>
        <v>512247.84715859214</v>
      </c>
      <c r="Z274" s="212">
        <f t="shared" si="278"/>
        <v>527726.60401617445</v>
      </c>
      <c r="AA274" s="212">
        <f t="shared" si="278"/>
        <v>543602.40538115776</v>
      </c>
      <c r="AB274" s="212">
        <f t="shared" si="278"/>
        <v>559889.54734850838</v>
      </c>
      <c r="AC274" s="212">
        <f t="shared" si="278"/>
        <v>576602.49084701505</v>
      </c>
      <c r="AD274" s="212">
        <f t="shared" si="278"/>
        <v>593755.88148858352</v>
      </c>
      <c r="AE274" s="212">
        <f t="shared" si="278"/>
        <v>611364.56892132841</v>
      </c>
      <c r="AF274" s="212">
        <f t="shared" si="278"/>
        <v>627079.25544641854</v>
      </c>
      <c r="AG274" s="212">
        <f t="shared" si="278"/>
        <v>643147.34509346727</v>
      </c>
      <c r="AH274" s="212">
        <f t="shared" si="278"/>
        <v>659579.59278805961</v>
      </c>
      <c r="AI274" s="212">
        <f t="shared" si="278"/>
        <v>676386.82673604111</v>
      </c>
      <c r="AJ274" s="212">
        <f t="shared" si="278"/>
        <v>693579.96278934972</v>
      </c>
      <c r="AK274" s="212">
        <f t="shared" si="278"/>
        <v>711170.01824305207</v>
      </c>
      <c r="AM274" s="205"/>
      <c r="AR274" s="212">
        <f t="shared" ref="AR274:BL274" si="279">$AN$239*AR233*$AN$241</f>
        <v>285992.4652931501</v>
      </c>
      <c r="AS274" s="212">
        <f t="shared" si="279"/>
        <v>311568.22548689472</v>
      </c>
      <c r="AT274" s="212">
        <f t="shared" si="279"/>
        <v>337118.94284996984</v>
      </c>
      <c r="AU274" s="212">
        <f t="shared" si="279"/>
        <v>366733.61387610808</v>
      </c>
      <c r="AV274" s="226">
        <f t="shared" si="279"/>
        <v>412104.43411439838</v>
      </c>
      <c r="AW274" s="212">
        <f t="shared" si="279"/>
        <v>458740.01106357138</v>
      </c>
      <c r="AX274" s="212">
        <f t="shared" si="279"/>
        <v>482488.20645505807</v>
      </c>
      <c r="AY274" s="212">
        <f t="shared" si="279"/>
        <v>480353.04894281679</v>
      </c>
      <c r="AZ274" s="212">
        <f t="shared" si="279"/>
        <v>499481.31062827678</v>
      </c>
      <c r="BA274" s="212">
        <f t="shared" si="279"/>
        <v>514452.58179191389</v>
      </c>
      <c r="BB274" s="212">
        <f t="shared" si="279"/>
        <v>529817.63569825049</v>
      </c>
      <c r="BC274" s="212">
        <f t="shared" si="279"/>
        <v>545589.85115529213</v>
      </c>
      <c r="BD274" s="212">
        <f t="shared" si="279"/>
        <v>561782.80443901615</v>
      </c>
      <c r="BE274" s="212">
        <f t="shared" si="279"/>
        <v>578410.28611136216</v>
      </c>
      <c r="BF274" s="212">
        <f t="shared" si="279"/>
        <v>595486.31752106769</v>
      </c>
      <c r="BG274" s="212">
        <f t="shared" si="279"/>
        <v>610719.23498392967</v>
      </c>
      <c r="BH274" s="212">
        <f t="shared" si="279"/>
        <v>626301.42938981124</v>
      </c>
      <c r="BI274" s="212">
        <f t="shared" si="279"/>
        <v>642242.95299008081</v>
      </c>
      <c r="BJ274" s="212">
        <f t="shared" si="279"/>
        <v>658553.9598582664</v>
      </c>
      <c r="BK274" s="212">
        <f t="shared" si="279"/>
        <v>675244.71769377473</v>
      </c>
      <c r="BL274" s="212">
        <f t="shared" si="279"/>
        <v>692325.6192246835</v>
      </c>
      <c r="BN274" s="205"/>
      <c r="BQ274" s="212">
        <f t="shared" si="267"/>
        <v>0</v>
      </c>
      <c r="BR274" s="212">
        <f t="shared" si="262"/>
        <v>339.71613861812511</v>
      </c>
      <c r="BS274" s="212">
        <f t="shared" si="262"/>
        <v>1629.875787812809</v>
      </c>
      <c r="BT274" s="212">
        <f t="shared" si="262"/>
        <v>2085.6438128574518</v>
      </c>
      <c r="BU274" s="226">
        <f t="shared" si="262"/>
        <v>2292.8363658357994</v>
      </c>
      <c r="BV274" s="212">
        <f t="shared" si="262"/>
        <v>7640.9119818935869</v>
      </c>
      <c r="BW274" s="212">
        <f t="shared" si="262"/>
        <v>13592.317278805131</v>
      </c>
      <c r="BX274" s="212">
        <f t="shared" si="262"/>
        <v>12158.19310755888</v>
      </c>
      <c r="BY274" s="212">
        <f t="shared" si="262"/>
        <v>12766.536530315352</v>
      </c>
      <c r="BZ274" s="212">
        <f t="shared" si="262"/>
        <v>13274.022224260552</v>
      </c>
      <c r="CA274" s="212">
        <f t="shared" si="262"/>
        <v>13784.769682907267</v>
      </c>
      <c r="CB274" s="212">
        <f t="shared" si="262"/>
        <v>14299.696193216252</v>
      </c>
      <c r="CC274" s="212">
        <f t="shared" si="262"/>
        <v>14819.686407998903</v>
      </c>
      <c r="CD274" s="212">
        <f t="shared" si="262"/>
        <v>15345.595377221354</v>
      </c>
      <c r="CE274" s="212">
        <f t="shared" si="262"/>
        <v>15878.25140026072</v>
      </c>
      <c r="CF274" s="212">
        <f t="shared" si="262"/>
        <v>16360.020462488872</v>
      </c>
      <c r="CG274" s="212">
        <f t="shared" si="262"/>
        <v>16845.915703656035</v>
      </c>
      <c r="CH274" s="212">
        <f t="shared" si="262"/>
        <v>17336.639797978802</v>
      </c>
      <c r="CI274" s="212">
        <f t="shared" si="262"/>
        <v>17832.866877774708</v>
      </c>
      <c r="CJ274" s="212">
        <f t="shared" si="262"/>
        <v>18335.245095574996</v>
      </c>
      <c r="CK274" s="212">
        <f t="shared" si="262"/>
        <v>18844.399018368567</v>
      </c>
    </row>
    <row r="275" spans="4:89" x14ac:dyDescent="0.2">
      <c r="E275" s="18"/>
      <c r="L275" s="4"/>
      <c r="M275" s="63"/>
    </row>
    <row r="276" spans="4:89" s="193" customFormat="1" x14ac:dyDescent="0.2">
      <c r="D276" s="193" t="s">
        <v>401</v>
      </c>
      <c r="E276" s="211"/>
      <c r="M276" s="195"/>
      <c r="R276" s="221"/>
      <c r="U276" s="221"/>
      <c r="AM276" s="205"/>
      <c r="AV276" s="221"/>
      <c r="BN276" s="205"/>
      <c r="BU276" s="221"/>
    </row>
    <row r="277" spans="4:89" s="193" customFormat="1" x14ac:dyDescent="0.2">
      <c r="E277" s="211"/>
      <c r="G277" s="196" t="s">
        <v>224</v>
      </c>
      <c r="L277" s="190" t="s">
        <v>175</v>
      </c>
      <c r="M277" s="195"/>
      <c r="Q277" s="212">
        <f>$M$244*Q225*$M$247</f>
        <v>4009503.5850346205</v>
      </c>
      <c r="R277" s="226">
        <f t="shared" ref="R277:AK277" si="280">$M$244*R225*$M$247</f>
        <v>4415910.5793604124</v>
      </c>
      <c r="S277" s="212">
        <f t="shared" si="280"/>
        <v>4843167.0650698841</v>
      </c>
      <c r="T277" s="212">
        <f t="shared" si="280"/>
        <v>5325042.4416448195</v>
      </c>
      <c r="U277" s="226">
        <f t="shared" si="280"/>
        <v>6042048.3103471193</v>
      </c>
      <c r="V277" s="212">
        <f t="shared" si="280"/>
        <v>6866981.9847155474</v>
      </c>
      <c r="W277" s="212">
        <f t="shared" si="280"/>
        <v>7376241.5544344569</v>
      </c>
      <c r="X277" s="212">
        <f t="shared" si="280"/>
        <v>7395319.2151636872</v>
      </c>
      <c r="Y277" s="212">
        <f t="shared" si="280"/>
        <v>7767454.9248426203</v>
      </c>
      <c r="Z277" s="212">
        <f t="shared" si="280"/>
        <v>8081005.6716837194</v>
      </c>
      <c r="AA277" s="212">
        <f t="shared" si="280"/>
        <v>8406120.5901155192</v>
      </c>
      <c r="AB277" s="212">
        <f t="shared" si="280"/>
        <v>8743280.8499327861</v>
      </c>
      <c r="AC277" s="212">
        <f t="shared" si="280"/>
        <v>9092983.5739978217</v>
      </c>
      <c r="AD277" s="212">
        <f t="shared" si="280"/>
        <v>9455742.5696984529</v>
      </c>
      <c r="AE277" s="212">
        <f t="shared" si="280"/>
        <v>9832089.0801749676</v>
      </c>
      <c r="AF277" s="212">
        <f t="shared" si="280"/>
        <v>10184173.650037844</v>
      </c>
      <c r="AG277" s="212">
        <f t="shared" si="280"/>
        <v>10548037.526187148</v>
      </c>
      <c r="AH277" s="212">
        <f t="shared" si="280"/>
        <v>10924113.867177496</v>
      </c>
      <c r="AI277" s="212">
        <f t="shared" si="280"/>
        <v>11312848.521442184</v>
      </c>
      <c r="AJ277" s="212">
        <f t="shared" si="280"/>
        <v>11714700.571575025</v>
      </c>
      <c r="AK277" s="212">
        <f t="shared" si="280"/>
        <v>12130142.889416123</v>
      </c>
      <c r="AM277" s="205"/>
      <c r="AR277" s="212">
        <f>$AN$244*AR225*$AN$247</f>
        <v>4009503.5850346205</v>
      </c>
      <c r="AS277" s="212">
        <f t="shared" ref="AS277:BL277" si="281">$AN$244*AS225*$AN$247</f>
        <v>4411100.967643938</v>
      </c>
      <c r="AT277" s="212">
        <f t="shared" si="281"/>
        <v>4819830.8458551923</v>
      </c>
      <c r="AU277" s="212">
        <f t="shared" si="281"/>
        <v>5294855.2712540086</v>
      </c>
      <c r="AV277" s="226">
        <f t="shared" si="281"/>
        <v>6008524.172318479</v>
      </c>
      <c r="AW277" s="212">
        <f t="shared" si="281"/>
        <v>6753931.6625428209</v>
      </c>
      <c r="AX277" s="212">
        <f t="shared" si="281"/>
        <v>7173255.674117187</v>
      </c>
      <c r="AY277" s="212">
        <f t="shared" si="281"/>
        <v>7212588.3363304269</v>
      </c>
      <c r="AZ277" s="212">
        <f t="shared" si="281"/>
        <v>7573679.349266123</v>
      </c>
      <c r="BA277" s="212">
        <f t="shared" si="281"/>
        <v>7877531.99348603</v>
      </c>
      <c r="BB277" s="212">
        <f t="shared" si="281"/>
        <v>8192728.0266597848</v>
      </c>
      <c r="BC277" s="212">
        <f t="shared" si="281"/>
        <v>8519730.2711854726</v>
      </c>
      <c r="BD277" s="212">
        <f t="shared" si="281"/>
        <v>8859017.395640118</v>
      </c>
      <c r="BE277" s="212">
        <f t="shared" si="281"/>
        <v>9211084.6083755586</v>
      </c>
      <c r="BF277" s="212">
        <f t="shared" si="281"/>
        <v>9576444.371379748</v>
      </c>
      <c r="BG277" s="212">
        <f t="shared" si="281"/>
        <v>9918177.3040865213</v>
      </c>
      <c r="BH277" s="212">
        <f t="shared" si="281"/>
        <v>10271444.034219719</v>
      </c>
      <c r="BI277" s="212">
        <f t="shared" si="281"/>
        <v>10636661.496652395</v>
      </c>
      <c r="BJ277" s="212">
        <f t="shared" si="281"/>
        <v>11014259.266123818</v>
      </c>
      <c r="BK277" s="212">
        <f t="shared" si="281"/>
        <v>11404680.069295952</v>
      </c>
      <c r="BL277" s="212">
        <f t="shared" si="281"/>
        <v>11808380.308382783</v>
      </c>
      <c r="BN277" s="205"/>
      <c r="BQ277" s="212">
        <f>Q277-AR277</f>
        <v>0</v>
      </c>
      <c r="BR277" s="212">
        <f t="shared" ref="BR277:CK285" si="282">R277-AS277</f>
        <v>4809.6117164744064</v>
      </c>
      <c r="BS277" s="212">
        <f t="shared" si="282"/>
        <v>23336.219214691781</v>
      </c>
      <c r="BT277" s="212">
        <f t="shared" si="282"/>
        <v>30187.170390810817</v>
      </c>
      <c r="BU277" s="226">
        <f t="shared" si="282"/>
        <v>33524.1380286403</v>
      </c>
      <c r="BV277" s="212">
        <f t="shared" si="282"/>
        <v>113050.3221727265</v>
      </c>
      <c r="BW277" s="212">
        <f t="shared" si="282"/>
        <v>202985.88031726982</v>
      </c>
      <c r="BX277" s="212">
        <f t="shared" si="282"/>
        <v>182730.87883326039</v>
      </c>
      <c r="BY277" s="212">
        <f t="shared" si="282"/>
        <v>193775.57557649724</v>
      </c>
      <c r="BZ277" s="212">
        <f t="shared" si="282"/>
        <v>203473.67819768935</v>
      </c>
      <c r="CA277" s="212">
        <f t="shared" si="282"/>
        <v>213392.5634557344</v>
      </c>
      <c r="CB277" s="212">
        <f t="shared" si="282"/>
        <v>223550.57874731347</v>
      </c>
      <c r="CC277" s="212">
        <f t="shared" si="282"/>
        <v>233966.17835770361</v>
      </c>
      <c r="CD277" s="212">
        <f t="shared" si="282"/>
        <v>244657.96132289432</v>
      </c>
      <c r="CE277" s="212">
        <f t="shared" si="282"/>
        <v>255644.70879521966</v>
      </c>
      <c r="CF277" s="212">
        <f t="shared" si="282"/>
        <v>265996.34595132247</v>
      </c>
      <c r="CG277" s="212">
        <f t="shared" si="282"/>
        <v>276593.49196742848</v>
      </c>
      <c r="CH277" s="212">
        <f t="shared" si="282"/>
        <v>287452.3705251012</v>
      </c>
      <c r="CI277" s="212">
        <f t="shared" si="282"/>
        <v>298589.25531836599</v>
      </c>
      <c r="CJ277" s="212">
        <f t="shared" si="282"/>
        <v>310020.502279073</v>
      </c>
      <c r="CK277" s="212">
        <f t="shared" si="282"/>
        <v>321762.58103333972</v>
      </c>
    </row>
    <row r="278" spans="4:89" s="193" customFormat="1" x14ac:dyDescent="0.2">
      <c r="E278" s="211"/>
      <c r="G278" s="196" t="s">
        <v>64</v>
      </c>
      <c r="L278" s="190" t="s">
        <v>175</v>
      </c>
      <c r="M278" s="195"/>
      <c r="Q278" s="212">
        <f t="shared" ref="Q278:AK278" si="283">$M$244*Q226*$M$247</f>
        <v>216167.35400774633</v>
      </c>
      <c r="R278" s="226">
        <f t="shared" si="283"/>
        <v>235755.56218265335</v>
      </c>
      <c r="S278" s="212">
        <f t="shared" si="283"/>
        <v>256043.23429682065</v>
      </c>
      <c r="T278" s="212">
        <f t="shared" si="283"/>
        <v>278771.97030349274</v>
      </c>
      <c r="U278" s="226">
        <f t="shared" si="283"/>
        <v>313222.10316248465</v>
      </c>
      <c r="V278" s="212">
        <f t="shared" si="283"/>
        <v>352513.93770492868</v>
      </c>
      <c r="W278" s="212">
        <f t="shared" si="283"/>
        <v>374962.37560106959</v>
      </c>
      <c r="X278" s="212">
        <f t="shared" si="283"/>
        <v>372264.5346756588</v>
      </c>
      <c r="Y278" s="212">
        <f t="shared" si="283"/>
        <v>387182.44413514202</v>
      </c>
      <c r="Z278" s="212">
        <f t="shared" si="283"/>
        <v>398882.05975195102</v>
      </c>
      <c r="AA278" s="212">
        <f t="shared" si="283"/>
        <v>410881.78138903534</v>
      </c>
      <c r="AB278" s="212">
        <f t="shared" si="283"/>
        <v>423192.41474722687</v>
      </c>
      <c r="AC278" s="212">
        <f t="shared" si="283"/>
        <v>435824.89011699433</v>
      </c>
      <c r="AD278" s="212">
        <f t="shared" si="283"/>
        <v>448790.27738147468</v>
      </c>
      <c r="AE278" s="212">
        <f t="shared" si="283"/>
        <v>462099.80064455094</v>
      </c>
      <c r="AF278" s="212">
        <f t="shared" si="283"/>
        <v>473977.74365857535</v>
      </c>
      <c r="AG278" s="212">
        <f t="shared" si="283"/>
        <v>486122.80635944672</v>
      </c>
      <c r="AH278" s="212">
        <f t="shared" si="283"/>
        <v>498543.11785575165</v>
      </c>
      <c r="AI278" s="212">
        <f t="shared" si="283"/>
        <v>511246.86264498398</v>
      </c>
      <c r="AJ278" s="212">
        <f t="shared" si="283"/>
        <v>524242.29147184594</v>
      </c>
      <c r="AK278" s="212">
        <f t="shared" si="283"/>
        <v>537537.73175689776</v>
      </c>
      <c r="AM278" s="205"/>
      <c r="AR278" s="212">
        <f t="shared" ref="AR278:BL278" si="284">$AN$244*AR226*$AN$247</f>
        <v>216167.35400774633</v>
      </c>
      <c r="AS278" s="212">
        <f t="shared" si="284"/>
        <v>235498.78779972147</v>
      </c>
      <c r="AT278" s="212">
        <f t="shared" si="284"/>
        <v>254811.29297259153</v>
      </c>
      <c r="AU278" s="212">
        <f t="shared" si="284"/>
        <v>277195.53679862438</v>
      </c>
      <c r="AV278" s="226">
        <f t="shared" si="284"/>
        <v>311489.06320331153</v>
      </c>
      <c r="AW278" s="212">
        <f t="shared" si="284"/>
        <v>346738.55574289348</v>
      </c>
      <c r="AX278" s="212">
        <f t="shared" si="284"/>
        <v>364688.62500424415</v>
      </c>
      <c r="AY278" s="212">
        <f t="shared" si="284"/>
        <v>363074.76657850901</v>
      </c>
      <c r="AZ278" s="212">
        <f t="shared" si="284"/>
        <v>377532.85977013898</v>
      </c>
      <c r="BA278" s="212">
        <f t="shared" si="284"/>
        <v>388848.89241547184</v>
      </c>
      <c r="BB278" s="212">
        <f t="shared" si="284"/>
        <v>400462.56567681069</v>
      </c>
      <c r="BC278" s="212">
        <f t="shared" si="284"/>
        <v>412383.99192380137</v>
      </c>
      <c r="BD278" s="212">
        <f t="shared" si="284"/>
        <v>424623.43278224242</v>
      </c>
      <c r="BE278" s="212">
        <f t="shared" si="284"/>
        <v>437191.31184590654</v>
      </c>
      <c r="BF278" s="212">
        <f t="shared" si="284"/>
        <v>450098.22714873921</v>
      </c>
      <c r="BG278" s="212">
        <f t="shared" si="284"/>
        <v>461612.02510279522</v>
      </c>
      <c r="BH278" s="212">
        <f t="shared" si="284"/>
        <v>473389.82397208136</v>
      </c>
      <c r="BI278" s="212">
        <f t="shared" si="284"/>
        <v>485439.22174900293</v>
      </c>
      <c r="BJ278" s="212">
        <f t="shared" si="284"/>
        <v>497767.89338826039</v>
      </c>
      <c r="BK278" s="212">
        <f t="shared" si="284"/>
        <v>510383.59972858173</v>
      </c>
      <c r="BL278" s="212">
        <f t="shared" si="284"/>
        <v>523294.19611167914</v>
      </c>
      <c r="BN278" s="205"/>
      <c r="BQ278" s="212">
        <f t="shared" ref="BQ278:BQ285" si="285">Q278-AR278</f>
        <v>0</v>
      </c>
      <c r="BR278" s="212">
        <f t="shared" si="282"/>
        <v>256.77438293187879</v>
      </c>
      <c r="BS278" s="212">
        <f t="shared" si="282"/>
        <v>1231.9413242291193</v>
      </c>
      <c r="BT278" s="212">
        <f t="shared" si="282"/>
        <v>1576.433504868357</v>
      </c>
      <c r="BU278" s="226">
        <f t="shared" si="282"/>
        <v>1733.0399591731257</v>
      </c>
      <c r="BV278" s="212">
        <f t="shared" si="282"/>
        <v>5775.3819620352006</v>
      </c>
      <c r="BW278" s="212">
        <f t="shared" si="282"/>
        <v>10273.750596825441</v>
      </c>
      <c r="BX278" s="212">
        <f t="shared" si="282"/>
        <v>9189.7680971497903</v>
      </c>
      <c r="BY278" s="212">
        <f t="shared" si="282"/>
        <v>9649.5843650030438</v>
      </c>
      <c r="BZ278" s="212">
        <f t="shared" si="282"/>
        <v>10033.167336479179</v>
      </c>
      <c r="CA278" s="212">
        <f t="shared" si="282"/>
        <v>10419.215712224657</v>
      </c>
      <c r="CB278" s="212">
        <f t="shared" si="282"/>
        <v>10808.422823425499</v>
      </c>
      <c r="CC278" s="212">
        <f t="shared" si="282"/>
        <v>11201.457334751904</v>
      </c>
      <c r="CD278" s="212">
        <f t="shared" si="282"/>
        <v>11598.965535568132</v>
      </c>
      <c r="CE278" s="212">
        <f t="shared" si="282"/>
        <v>12001.573495811725</v>
      </c>
      <c r="CF278" s="212">
        <f t="shared" si="282"/>
        <v>12365.718555780128</v>
      </c>
      <c r="CG278" s="212">
        <f t="shared" si="282"/>
        <v>12732.982387365366</v>
      </c>
      <c r="CH278" s="212">
        <f t="shared" si="282"/>
        <v>13103.896106748725</v>
      </c>
      <c r="CI278" s="212">
        <f t="shared" si="282"/>
        <v>13478.969256723591</v>
      </c>
      <c r="CJ278" s="212">
        <f t="shared" si="282"/>
        <v>13858.691743264208</v>
      </c>
      <c r="CK278" s="212">
        <f t="shared" si="282"/>
        <v>14243.535645218624</v>
      </c>
    </row>
    <row r="279" spans="4:89" s="193" customFormat="1" x14ac:dyDescent="0.2">
      <c r="E279" s="211"/>
      <c r="G279" s="196" t="s">
        <v>63</v>
      </c>
      <c r="L279" s="190" t="s">
        <v>175</v>
      </c>
      <c r="M279" s="195"/>
      <c r="Q279" s="212">
        <f t="shared" ref="Q279:AK279" si="286">$M$244*Q227*$M$247</f>
        <v>370126.75795256125</v>
      </c>
      <c r="R279" s="226">
        <f t="shared" si="286"/>
        <v>403666.1423760684</v>
      </c>
      <c r="S279" s="212">
        <f t="shared" si="286"/>
        <v>438403.16518179892</v>
      </c>
      <c r="T279" s="212">
        <f t="shared" si="286"/>
        <v>477319.83420948044</v>
      </c>
      <c r="U279" s="226">
        <f t="shared" si="286"/>
        <v>536306.15082820959</v>
      </c>
      <c r="V279" s="212">
        <f t="shared" si="286"/>
        <v>603582.54138199321</v>
      </c>
      <c r="W279" s="212">
        <f t="shared" si="286"/>
        <v>642019.27748276538</v>
      </c>
      <c r="X279" s="212">
        <f t="shared" si="286"/>
        <v>637399.9716686313</v>
      </c>
      <c r="Y279" s="212">
        <f t="shared" si="286"/>
        <v>662942.76229496696</v>
      </c>
      <c r="Z279" s="212">
        <f t="shared" si="286"/>
        <v>682975.11554930895</v>
      </c>
      <c r="AA279" s="212">
        <f t="shared" si="286"/>
        <v>703521.31729311612</v>
      </c>
      <c r="AB279" s="212">
        <f t="shared" si="286"/>
        <v>724599.86929799826</v>
      </c>
      <c r="AC279" s="212">
        <f t="shared" si="286"/>
        <v>746229.48666084977</v>
      </c>
      <c r="AD279" s="212">
        <f t="shared" si="286"/>
        <v>768429.12349236012</v>
      </c>
      <c r="AE279" s="212">
        <f t="shared" si="286"/>
        <v>791217.99796357728</v>
      </c>
      <c r="AF279" s="212">
        <f t="shared" si="286"/>
        <v>811555.68752408586</v>
      </c>
      <c r="AG279" s="212">
        <f t="shared" si="286"/>
        <v>832350.74560877145</v>
      </c>
      <c r="AH279" s="212">
        <f t="shared" si="286"/>
        <v>853617.09106591996</v>
      </c>
      <c r="AI279" s="212">
        <f t="shared" si="286"/>
        <v>875368.73758201185</v>
      </c>
      <c r="AJ279" s="212">
        <f t="shared" si="286"/>
        <v>897619.81227353239</v>
      </c>
      <c r="AK279" s="212">
        <f t="shared" si="286"/>
        <v>920384.57354306709</v>
      </c>
      <c r="AM279" s="205"/>
      <c r="AR279" s="212">
        <f t="shared" ref="AR279:BL279" si="287">$AN$244*AR227*$AN$247</f>
        <v>370126.75795256125</v>
      </c>
      <c r="AS279" s="212">
        <f t="shared" si="287"/>
        <v>403226.48732123326</v>
      </c>
      <c r="AT279" s="212">
        <f t="shared" si="287"/>
        <v>436293.80666918866</v>
      </c>
      <c r="AU279" s="212">
        <f t="shared" si="287"/>
        <v>474620.62819401606</v>
      </c>
      <c r="AV279" s="226">
        <f t="shared" si="287"/>
        <v>533338.79960889462</v>
      </c>
      <c r="AW279" s="212">
        <f t="shared" si="287"/>
        <v>593693.79841542488</v>
      </c>
      <c r="AX279" s="212">
        <f t="shared" si="287"/>
        <v>624428.32339133532</v>
      </c>
      <c r="AY279" s="212">
        <f t="shared" si="287"/>
        <v>621665.03755821951</v>
      </c>
      <c r="AZ279" s="212">
        <f t="shared" si="287"/>
        <v>646420.52010440757</v>
      </c>
      <c r="BA279" s="212">
        <f t="shared" si="287"/>
        <v>665796.09369703848</v>
      </c>
      <c r="BB279" s="212">
        <f t="shared" si="287"/>
        <v>685681.29445675411</v>
      </c>
      <c r="BC279" s="212">
        <f t="shared" si="287"/>
        <v>706093.43701742543</v>
      </c>
      <c r="BD279" s="212">
        <f t="shared" si="287"/>
        <v>727050.09157278715</v>
      </c>
      <c r="BE279" s="212">
        <f t="shared" si="287"/>
        <v>748569.10564188706</v>
      </c>
      <c r="BF279" s="212">
        <f t="shared" si="287"/>
        <v>770668.62542430381</v>
      </c>
      <c r="BG279" s="212">
        <f t="shared" si="287"/>
        <v>790382.81736608432</v>
      </c>
      <c r="BH279" s="212">
        <f t="shared" si="287"/>
        <v>810549.03779893368</v>
      </c>
      <c r="BI279" s="212">
        <f t="shared" si="287"/>
        <v>831180.29618169181</v>
      </c>
      <c r="BJ279" s="212">
        <f t="shared" si="287"/>
        <v>852289.73374984891</v>
      </c>
      <c r="BK279" s="212">
        <f t="shared" si="287"/>
        <v>873890.63879151561</v>
      </c>
      <c r="BL279" s="212">
        <f t="shared" si="287"/>
        <v>895996.46140492451</v>
      </c>
      <c r="BN279" s="205"/>
      <c r="BQ279" s="212">
        <f t="shared" si="285"/>
        <v>0</v>
      </c>
      <c r="BR279" s="212">
        <f t="shared" si="282"/>
        <v>439.65505483513698</v>
      </c>
      <c r="BS279" s="212">
        <f t="shared" si="282"/>
        <v>2109.3585126102553</v>
      </c>
      <c r="BT279" s="212">
        <f t="shared" si="282"/>
        <v>2699.2060154643841</v>
      </c>
      <c r="BU279" s="226">
        <f t="shared" si="282"/>
        <v>2967.3512193149654</v>
      </c>
      <c r="BV279" s="212">
        <f t="shared" si="282"/>
        <v>9888.7429665683303</v>
      </c>
      <c r="BW279" s="212">
        <f t="shared" si="282"/>
        <v>17590.95409143006</v>
      </c>
      <c r="BX279" s="212">
        <f t="shared" si="282"/>
        <v>15734.934110411792</v>
      </c>
      <c r="BY279" s="212">
        <f t="shared" si="282"/>
        <v>16522.242190559395</v>
      </c>
      <c r="BZ279" s="212">
        <f t="shared" si="282"/>
        <v>17179.021852270467</v>
      </c>
      <c r="CA279" s="212">
        <f t="shared" si="282"/>
        <v>17840.022836362012</v>
      </c>
      <c r="CB279" s="212">
        <f t="shared" si="282"/>
        <v>18506.43228057283</v>
      </c>
      <c r="CC279" s="212">
        <f t="shared" si="282"/>
        <v>19179.395088062622</v>
      </c>
      <c r="CD279" s="212">
        <f t="shared" si="282"/>
        <v>19860.017850473057</v>
      </c>
      <c r="CE279" s="212">
        <f t="shared" si="282"/>
        <v>20549.372539273463</v>
      </c>
      <c r="CF279" s="212">
        <f t="shared" si="282"/>
        <v>21172.870158001548</v>
      </c>
      <c r="CG279" s="212">
        <f t="shared" si="282"/>
        <v>21801.707809837768</v>
      </c>
      <c r="CH279" s="212">
        <f t="shared" si="282"/>
        <v>22436.794884228148</v>
      </c>
      <c r="CI279" s="212">
        <f t="shared" si="282"/>
        <v>23079.00383216294</v>
      </c>
      <c r="CJ279" s="212">
        <f t="shared" si="282"/>
        <v>23729.173482016777</v>
      </c>
      <c r="CK279" s="212">
        <f t="shared" si="282"/>
        <v>24388.112138142576</v>
      </c>
    </row>
    <row r="280" spans="4:89" s="193" customFormat="1" x14ac:dyDescent="0.2">
      <c r="E280" s="211"/>
      <c r="G280" s="196" t="s">
        <v>76</v>
      </c>
      <c r="L280" s="190" t="s">
        <v>175</v>
      </c>
      <c r="M280" s="195"/>
      <c r="Q280" s="212">
        <f t="shared" ref="Q280:AK280" si="288">$M$244*Q228*$M$247</f>
        <v>159581.88540046156</v>
      </c>
      <c r="R280" s="226">
        <f t="shared" si="288"/>
        <v>174042.54809634865</v>
      </c>
      <c r="S280" s="212">
        <f t="shared" si="288"/>
        <v>189019.57819058362</v>
      </c>
      <c r="T280" s="212">
        <f t="shared" si="288"/>
        <v>205798.68233127712</v>
      </c>
      <c r="U280" s="226">
        <f t="shared" si="288"/>
        <v>231230.90903900334</v>
      </c>
      <c r="V280" s="212">
        <f t="shared" si="288"/>
        <v>260237.43995532964</v>
      </c>
      <c r="W280" s="212">
        <f t="shared" si="288"/>
        <v>276809.61876653461</v>
      </c>
      <c r="X280" s="212">
        <f t="shared" si="288"/>
        <v>274817.98342749802</v>
      </c>
      <c r="Y280" s="212">
        <f t="shared" si="288"/>
        <v>285830.87725092337</v>
      </c>
      <c r="Z280" s="212">
        <f t="shared" si="288"/>
        <v>294467.92018999747</v>
      </c>
      <c r="AA280" s="212">
        <f t="shared" si="288"/>
        <v>303326.511312216</v>
      </c>
      <c r="AB280" s="212">
        <f t="shared" si="288"/>
        <v>312414.62774307909</v>
      </c>
      <c r="AC280" s="212">
        <f t="shared" si="288"/>
        <v>321740.33858427615</v>
      </c>
      <c r="AD280" s="212">
        <f t="shared" si="288"/>
        <v>331311.81598940643</v>
      </c>
      <c r="AE280" s="212">
        <f t="shared" si="288"/>
        <v>341137.34596294817</v>
      </c>
      <c r="AF280" s="212">
        <f t="shared" si="288"/>
        <v>349906.03608064429</v>
      </c>
      <c r="AG280" s="212">
        <f t="shared" si="288"/>
        <v>358871.92277990235</v>
      </c>
      <c r="AH280" s="212">
        <f t="shared" si="288"/>
        <v>368041.00723735942</v>
      </c>
      <c r="AI280" s="212">
        <f t="shared" si="288"/>
        <v>377419.33151956188</v>
      </c>
      <c r="AJ280" s="212">
        <f t="shared" si="288"/>
        <v>387012.9865989777</v>
      </c>
      <c r="AK280" s="212">
        <f t="shared" si="288"/>
        <v>396828.12005266879</v>
      </c>
      <c r="AM280" s="205"/>
      <c r="AR280" s="212">
        <f t="shared" ref="AR280:BL280" si="289">$AN$244*AR228*$AN$247</f>
        <v>159581.88540046156</v>
      </c>
      <c r="AS280" s="212">
        <f t="shared" si="289"/>
        <v>173852.98876007006</v>
      </c>
      <c r="AT280" s="212">
        <f t="shared" si="289"/>
        <v>188110.11838743417</v>
      </c>
      <c r="AU280" s="212">
        <f t="shared" si="289"/>
        <v>204634.90701436996</v>
      </c>
      <c r="AV280" s="226">
        <f t="shared" si="289"/>
        <v>229951.52166143811</v>
      </c>
      <c r="AW280" s="212">
        <f t="shared" si="289"/>
        <v>255973.86210547376</v>
      </c>
      <c r="AX280" s="212">
        <f t="shared" si="289"/>
        <v>269225.1965122993</v>
      </c>
      <c r="AY280" s="212">
        <f t="shared" si="289"/>
        <v>268033.79288185434</v>
      </c>
      <c r="AZ280" s="212">
        <f t="shared" si="289"/>
        <v>278707.23513869755</v>
      </c>
      <c r="BA280" s="212">
        <f t="shared" si="289"/>
        <v>287061.10445020592</v>
      </c>
      <c r="BB280" s="212">
        <f t="shared" si="289"/>
        <v>295634.7019019415</v>
      </c>
      <c r="BC280" s="212">
        <f t="shared" si="289"/>
        <v>304435.49277940736</v>
      </c>
      <c r="BD280" s="212">
        <f t="shared" si="289"/>
        <v>313471.05255393288</v>
      </c>
      <c r="BE280" s="212">
        <f t="shared" si="289"/>
        <v>322749.07626694755</v>
      </c>
      <c r="BF280" s="212">
        <f t="shared" si="289"/>
        <v>332277.3877374095</v>
      </c>
      <c r="BG280" s="212">
        <f t="shared" si="289"/>
        <v>340777.25393626851</v>
      </c>
      <c r="BH280" s="212">
        <f t="shared" si="289"/>
        <v>349472.0143364016</v>
      </c>
      <c r="BI280" s="212">
        <f t="shared" si="289"/>
        <v>358367.27802692633</v>
      </c>
      <c r="BJ280" s="212">
        <f t="shared" si="289"/>
        <v>367468.71091305849</v>
      </c>
      <c r="BK280" s="212">
        <f t="shared" si="289"/>
        <v>376782.04230248299</v>
      </c>
      <c r="BL280" s="212">
        <f t="shared" si="289"/>
        <v>386313.07126805332</v>
      </c>
      <c r="BN280" s="205"/>
      <c r="BQ280" s="212">
        <f t="shared" si="285"/>
        <v>0</v>
      </c>
      <c r="BR280" s="212">
        <f t="shared" si="282"/>
        <v>189.55933627858758</v>
      </c>
      <c r="BS280" s="212">
        <f t="shared" si="282"/>
        <v>909.45980314945336</v>
      </c>
      <c r="BT280" s="212">
        <f t="shared" si="282"/>
        <v>1163.7753169071511</v>
      </c>
      <c r="BU280" s="226">
        <f t="shared" si="282"/>
        <v>1279.3873775652319</v>
      </c>
      <c r="BV280" s="212">
        <f t="shared" si="282"/>
        <v>4263.5778498558793</v>
      </c>
      <c r="BW280" s="212">
        <f t="shared" si="282"/>
        <v>7584.4222542353091</v>
      </c>
      <c r="BX280" s="212">
        <f t="shared" si="282"/>
        <v>6784.1905456436798</v>
      </c>
      <c r="BY280" s="212">
        <f t="shared" si="282"/>
        <v>7123.642112225818</v>
      </c>
      <c r="BZ280" s="212">
        <f t="shared" si="282"/>
        <v>7406.8157397915493</v>
      </c>
      <c r="CA280" s="212">
        <f t="shared" si="282"/>
        <v>7691.8094102744944</v>
      </c>
      <c r="CB280" s="212">
        <f t="shared" si="282"/>
        <v>7979.134963671735</v>
      </c>
      <c r="CC280" s="212">
        <f t="shared" si="282"/>
        <v>8269.2860303432681</v>
      </c>
      <c r="CD280" s="212">
        <f t="shared" si="282"/>
        <v>8562.7397224588785</v>
      </c>
      <c r="CE280" s="212">
        <f t="shared" si="282"/>
        <v>8859.9582255386631</v>
      </c>
      <c r="CF280" s="212">
        <f t="shared" si="282"/>
        <v>9128.7821443757857</v>
      </c>
      <c r="CG280" s="212">
        <f t="shared" si="282"/>
        <v>9399.9084435007535</v>
      </c>
      <c r="CH280" s="212">
        <f t="shared" si="282"/>
        <v>9673.7292104330845</v>
      </c>
      <c r="CI280" s="212">
        <f t="shared" si="282"/>
        <v>9950.6206065033912</v>
      </c>
      <c r="CJ280" s="212">
        <f t="shared" si="282"/>
        <v>10230.944296494708</v>
      </c>
      <c r="CK280" s="212">
        <f t="shared" si="282"/>
        <v>10515.048784615472</v>
      </c>
    </row>
    <row r="281" spans="4:89" s="193" customFormat="1" x14ac:dyDescent="0.2">
      <c r="E281" s="211"/>
      <c r="G281" s="196" t="s">
        <v>72</v>
      </c>
      <c r="L281" s="190" t="s">
        <v>175</v>
      </c>
      <c r="M281" s="195"/>
      <c r="Q281" s="212">
        <f t="shared" ref="Q281:AK281" si="290">$M$244*Q229*$M$247</f>
        <v>220419.88174701319</v>
      </c>
      <c r="R281" s="226">
        <f t="shared" si="290"/>
        <v>240393.43672420952</v>
      </c>
      <c r="S281" s="212">
        <f t="shared" si="290"/>
        <v>261080.21576563164</v>
      </c>
      <c r="T281" s="212">
        <f t="shared" si="290"/>
        <v>284256.08025195042</v>
      </c>
      <c r="U281" s="226">
        <f t="shared" si="290"/>
        <v>319383.92943992617</v>
      </c>
      <c r="V281" s="212">
        <f t="shared" si="290"/>
        <v>359448.72813824576</v>
      </c>
      <c r="W281" s="212">
        <f t="shared" si="290"/>
        <v>382338.78038126515</v>
      </c>
      <c r="X281" s="212">
        <f t="shared" si="290"/>
        <v>379587.86648642155</v>
      </c>
      <c r="Y281" s="212">
        <f t="shared" si="290"/>
        <v>394799.24682674115</v>
      </c>
      <c r="Z281" s="212">
        <f t="shared" si="290"/>
        <v>406729.02180400293</v>
      </c>
      <c r="AA281" s="212">
        <f t="shared" si="290"/>
        <v>418964.80660316208</v>
      </c>
      <c r="AB281" s="212">
        <f t="shared" si="290"/>
        <v>431517.61949898268</v>
      </c>
      <c r="AC281" s="212">
        <f t="shared" si="290"/>
        <v>444398.60580682498</v>
      </c>
      <c r="AD281" s="212">
        <f t="shared" si="290"/>
        <v>457619.05318084802</v>
      </c>
      <c r="AE281" s="212">
        <f t="shared" si="290"/>
        <v>471190.4065298448</v>
      </c>
      <c r="AF281" s="212">
        <f t="shared" si="290"/>
        <v>483302.01702980022</v>
      </c>
      <c r="AG281" s="212">
        <f t="shared" si="290"/>
        <v>495686.00209833565</v>
      </c>
      <c r="AH281" s="212">
        <f t="shared" si="290"/>
        <v>508350.65076299454</v>
      </c>
      <c r="AI281" s="212">
        <f t="shared" si="290"/>
        <v>521304.30852985592</v>
      </c>
      <c r="AJ281" s="212">
        <f t="shared" si="290"/>
        <v>534555.38845550106</v>
      </c>
      <c r="AK281" s="212">
        <f t="shared" si="290"/>
        <v>548112.38178067922</v>
      </c>
      <c r="AM281" s="205"/>
      <c r="AR281" s="212">
        <f t="shared" ref="AR281:BL281" si="291">$AN$244*AR229*$AN$247</f>
        <v>220419.88174701319</v>
      </c>
      <c r="AS281" s="212">
        <f t="shared" si="291"/>
        <v>240131.61097637028</v>
      </c>
      <c r="AT281" s="212">
        <f t="shared" si="291"/>
        <v>259824.03921551252</v>
      </c>
      <c r="AU281" s="212">
        <f t="shared" si="291"/>
        <v>282648.63453786424</v>
      </c>
      <c r="AV281" s="226">
        <f t="shared" si="291"/>
        <v>317616.79644883587</v>
      </c>
      <c r="AW281" s="212">
        <f t="shared" si="291"/>
        <v>353559.73063000041</v>
      </c>
      <c r="AX281" s="212">
        <f t="shared" si="291"/>
        <v>371862.92059177352</v>
      </c>
      <c r="AY281" s="212">
        <f t="shared" si="291"/>
        <v>370217.31371931109</v>
      </c>
      <c r="AZ281" s="212">
        <f t="shared" si="291"/>
        <v>384959.83210843161</v>
      </c>
      <c r="BA281" s="212">
        <f t="shared" si="291"/>
        <v>396498.47812174319</v>
      </c>
      <c r="BB281" s="212">
        <f t="shared" si="291"/>
        <v>408340.62005229702</v>
      </c>
      <c r="BC281" s="212">
        <f t="shared" si="291"/>
        <v>420496.5692041922</v>
      </c>
      <c r="BD281" s="212">
        <f t="shared" si="291"/>
        <v>432976.78907388868</v>
      </c>
      <c r="BE281" s="212">
        <f t="shared" si="291"/>
        <v>445791.90831212734</v>
      </c>
      <c r="BF281" s="212">
        <f t="shared" si="291"/>
        <v>458952.73344147403</v>
      </c>
      <c r="BG281" s="212">
        <f t="shared" si="291"/>
        <v>470693.03527909506</v>
      </c>
      <c r="BH281" s="212">
        <f t="shared" si="291"/>
        <v>482702.5315599984</v>
      </c>
      <c r="BI281" s="212">
        <f t="shared" si="291"/>
        <v>494988.96974722354</v>
      </c>
      <c r="BJ281" s="212">
        <f t="shared" si="291"/>
        <v>507560.17578013393</v>
      </c>
      <c r="BK281" s="212">
        <f t="shared" si="291"/>
        <v>520424.06317171594</v>
      </c>
      <c r="BL281" s="212">
        <f t="shared" si="291"/>
        <v>533588.64179695351</v>
      </c>
      <c r="BN281" s="205"/>
      <c r="BQ281" s="212">
        <f t="shared" si="285"/>
        <v>0</v>
      </c>
      <c r="BR281" s="212">
        <f t="shared" si="282"/>
        <v>261.82574783923337</v>
      </c>
      <c r="BS281" s="212">
        <f t="shared" si="282"/>
        <v>1256.1765501191257</v>
      </c>
      <c r="BT281" s="212">
        <f t="shared" si="282"/>
        <v>1607.4457140861778</v>
      </c>
      <c r="BU281" s="226">
        <f t="shared" si="282"/>
        <v>1767.1329910903005</v>
      </c>
      <c r="BV281" s="212">
        <f t="shared" si="282"/>
        <v>5888.9975082453457</v>
      </c>
      <c r="BW281" s="212">
        <f t="shared" si="282"/>
        <v>10475.859789491631</v>
      </c>
      <c r="BX281" s="212">
        <f t="shared" si="282"/>
        <v>9370.5527671104646</v>
      </c>
      <c r="BY281" s="212">
        <f t="shared" si="282"/>
        <v>9839.4147183095338</v>
      </c>
      <c r="BZ281" s="212">
        <f t="shared" si="282"/>
        <v>10230.54368225974</v>
      </c>
      <c r="CA281" s="212">
        <f t="shared" si="282"/>
        <v>10624.186550865066</v>
      </c>
      <c r="CB281" s="212">
        <f t="shared" si="282"/>
        <v>11021.050294790475</v>
      </c>
      <c r="CC281" s="212">
        <f t="shared" si="282"/>
        <v>11421.816732936306</v>
      </c>
      <c r="CD281" s="212">
        <f t="shared" si="282"/>
        <v>11827.144868720672</v>
      </c>
      <c r="CE281" s="212">
        <f t="shared" si="282"/>
        <v>12237.673088370764</v>
      </c>
      <c r="CF281" s="212">
        <f t="shared" si="282"/>
        <v>12608.981750705163</v>
      </c>
      <c r="CG281" s="212">
        <f t="shared" si="282"/>
        <v>12983.470538337249</v>
      </c>
      <c r="CH281" s="212">
        <f t="shared" si="282"/>
        <v>13361.681015770999</v>
      </c>
      <c r="CI281" s="212">
        <f t="shared" si="282"/>
        <v>13744.13274972199</v>
      </c>
      <c r="CJ281" s="212">
        <f t="shared" si="282"/>
        <v>14131.325283785118</v>
      </c>
      <c r="CK281" s="212">
        <f t="shared" si="282"/>
        <v>14523.739983725711</v>
      </c>
    </row>
    <row r="282" spans="4:89" s="193" customFormat="1" x14ac:dyDescent="0.2">
      <c r="E282" s="211"/>
      <c r="G282" s="196" t="s">
        <v>73</v>
      </c>
      <c r="L282" s="190" t="s">
        <v>175</v>
      </c>
      <c r="M282" s="195"/>
      <c r="Q282" s="212">
        <f t="shared" ref="Q282:AK282" si="292">$M$244*Q230*$M$247</f>
        <v>21926.348485187995</v>
      </c>
      <c r="R282" s="226">
        <f t="shared" si="292"/>
        <v>23913.225183637252</v>
      </c>
      <c r="S282" s="212">
        <f t="shared" si="292"/>
        <v>25971.050107157051</v>
      </c>
      <c r="T282" s="212">
        <f t="shared" si="292"/>
        <v>28276.477717157137</v>
      </c>
      <c r="U282" s="226">
        <f t="shared" si="292"/>
        <v>31770.833383833062</v>
      </c>
      <c r="V282" s="212">
        <f t="shared" si="292"/>
        <v>35756.293911647444</v>
      </c>
      <c r="W282" s="212">
        <f t="shared" si="292"/>
        <v>38033.290244041207</v>
      </c>
      <c r="X282" s="212">
        <f t="shared" si="292"/>
        <v>37759.642076584372</v>
      </c>
      <c r="Y282" s="212">
        <f t="shared" si="292"/>
        <v>39272.799708460065</v>
      </c>
      <c r="Z282" s="212">
        <f t="shared" si="292"/>
        <v>40459.518444665024</v>
      </c>
      <c r="AA282" s="212">
        <f t="shared" si="292"/>
        <v>41676.67762000714</v>
      </c>
      <c r="AB282" s="212">
        <f t="shared" si="292"/>
        <v>42925.373281404143</v>
      </c>
      <c r="AC282" s="212">
        <f t="shared" si="292"/>
        <v>44206.714113184338</v>
      </c>
      <c r="AD282" s="212">
        <f t="shared" si="292"/>
        <v>45521.822958881079</v>
      </c>
      <c r="AE282" s="212">
        <f t="shared" si="292"/>
        <v>46871.838304988836</v>
      </c>
      <c r="AF282" s="212">
        <f t="shared" si="292"/>
        <v>48076.645196427431</v>
      </c>
      <c r="AG282" s="212">
        <f t="shared" si="292"/>
        <v>49308.546647857773</v>
      </c>
      <c r="AH282" s="212">
        <f t="shared" si="292"/>
        <v>50568.3672133285</v>
      </c>
      <c r="AI282" s="212">
        <f t="shared" si="292"/>
        <v>51856.937065118298</v>
      </c>
      <c r="AJ282" s="212">
        <f t="shared" si="292"/>
        <v>53175.093095109405</v>
      </c>
      <c r="AK282" s="212">
        <f t="shared" si="292"/>
        <v>54523.679972587313</v>
      </c>
      <c r="AM282" s="205"/>
      <c r="AR282" s="212">
        <f t="shared" ref="AR282:BL282" si="293">$AN$244*AR230*$AN$247</f>
        <v>21926.348485187995</v>
      </c>
      <c r="AS282" s="212">
        <f t="shared" si="293"/>
        <v>23887.179971453952</v>
      </c>
      <c r="AT282" s="212">
        <f t="shared" si="293"/>
        <v>25846.091484647462</v>
      </c>
      <c r="AU282" s="212">
        <f t="shared" si="293"/>
        <v>28116.576465878319</v>
      </c>
      <c r="AV282" s="226">
        <f t="shared" si="293"/>
        <v>31595.047182174581</v>
      </c>
      <c r="AW282" s="212">
        <f t="shared" si="293"/>
        <v>35170.483727145147</v>
      </c>
      <c r="AX282" s="212">
        <f t="shared" si="293"/>
        <v>36991.200253765288</v>
      </c>
      <c r="AY282" s="212">
        <f t="shared" si="293"/>
        <v>36827.502907276932</v>
      </c>
      <c r="AZ282" s="212">
        <f t="shared" si="293"/>
        <v>38294.020324794663</v>
      </c>
      <c r="BA282" s="212">
        <f t="shared" si="293"/>
        <v>39441.831364024882</v>
      </c>
      <c r="BB282" s="212">
        <f t="shared" si="293"/>
        <v>40619.832770805733</v>
      </c>
      <c r="BC282" s="212">
        <f t="shared" si="293"/>
        <v>41829.050265889069</v>
      </c>
      <c r="BD282" s="212">
        <f t="shared" si="293"/>
        <v>43070.524709418343</v>
      </c>
      <c r="BE282" s="212">
        <f t="shared" si="293"/>
        <v>44345.313390320407</v>
      </c>
      <c r="BF282" s="212">
        <f t="shared" si="293"/>
        <v>45654.491291385966</v>
      </c>
      <c r="BG282" s="212">
        <f t="shared" si="293"/>
        <v>46822.362117614</v>
      </c>
      <c r="BH282" s="212">
        <f t="shared" si="293"/>
        <v>48017.011159704765</v>
      </c>
      <c r="BI282" s="212">
        <f t="shared" si="293"/>
        <v>49239.209099379543</v>
      </c>
      <c r="BJ282" s="212">
        <f t="shared" si="293"/>
        <v>50489.734424827562</v>
      </c>
      <c r="BK282" s="212">
        <f t="shared" si="293"/>
        <v>51769.374335648972</v>
      </c>
      <c r="BL282" s="212">
        <f t="shared" si="293"/>
        <v>53078.925617093497</v>
      </c>
      <c r="BN282" s="205"/>
      <c r="BQ282" s="212">
        <f t="shared" si="285"/>
        <v>0</v>
      </c>
      <c r="BR282" s="212">
        <f t="shared" si="282"/>
        <v>26.045212183300464</v>
      </c>
      <c r="BS282" s="212">
        <f t="shared" si="282"/>
        <v>124.95862250958817</v>
      </c>
      <c r="BT282" s="212">
        <f t="shared" si="282"/>
        <v>159.90125127881765</v>
      </c>
      <c r="BU282" s="226">
        <f t="shared" si="282"/>
        <v>175.78620165848042</v>
      </c>
      <c r="BV282" s="212">
        <f t="shared" si="282"/>
        <v>585.81018450229749</v>
      </c>
      <c r="BW282" s="212">
        <f t="shared" si="282"/>
        <v>1042.0899902759193</v>
      </c>
      <c r="BX282" s="212">
        <f t="shared" si="282"/>
        <v>932.13916930744017</v>
      </c>
      <c r="BY282" s="212">
        <f t="shared" si="282"/>
        <v>978.77938366540184</v>
      </c>
      <c r="BZ282" s="212">
        <f t="shared" si="282"/>
        <v>1017.6870806401421</v>
      </c>
      <c r="CA282" s="212">
        <f t="shared" si="282"/>
        <v>1056.8448492014068</v>
      </c>
      <c r="CB282" s="212">
        <f t="shared" si="282"/>
        <v>1096.3230155150741</v>
      </c>
      <c r="CC282" s="212">
        <f t="shared" si="282"/>
        <v>1136.1894037659949</v>
      </c>
      <c r="CD282" s="212">
        <f t="shared" si="282"/>
        <v>1176.5095685606721</v>
      </c>
      <c r="CE282" s="212">
        <f t="shared" si="282"/>
        <v>1217.34701360287</v>
      </c>
      <c r="CF282" s="212">
        <f t="shared" si="282"/>
        <v>1254.2830788134306</v>
      </c>
      <c r="CG282" s="212">
        <f t="shared" si="282"/>
        <v>1291.5354881530075</v>
      </c>
      <c r="CH282" s="212">
        <f t="shared" si="282"/>
        <v>1329.1581139489572</v>
      </c>
      <c r="CI282" s="212">
        <f t="shared" si="282"/>
        <v>1367.2026402907359</v>
      </c>
      <c r="CJ282" s="212">
        <f t="shared" si="282"/>
        <v>1405.7187594604329</v>
      </c>
      <c r="CK282" s="212">
        <f t="shared" si="282"/>
        <v>1444.7543554938165</v>
      </c>
    </row>
    <row r="283" spans="4:89" s="193" customFormat="1" x14ac:dyDescent="0.2">
      <c r="E283" s="211"/>
      <c r="G283" s="196" t="s">
        <v>180</v>
      </c>
      <c r="L283" s="190" t="s">
        <v>175</v>
      </c>
      <c r="M283" s="195"/>
      <c r="Q283" s="212">
        <f t="shared" ref="Q283:AK283" si="294">$M$244*Q231*$M$247</f>
        <v>332126.86479873839</v>
      </c>
      <c r="R283" s="226">
        <f t="shared" si="294"/>
        <v>362222.85315007693</v>
      </c>
      <c r="S283" s="212">
        <f t="shared" si="294"/>
        <v>393393.52165491495</v>
      </c>
      <c r="T283" s="212">
        <f t="shared" si="294"/>
        <v>428314.7236346713</v>
      </c>
      <c r="U283" s="226">
        <f t="shared" si="294"/>
        <v>481245.07785433438</v>
      </c>
      <c r="V283" s="212">
        <f t="shared" si="294"/>
        <v>541614.38698833424</v>
      </c>
      <c r="W283" s="212">
        <f t="shared" si="294"/>
        <v>576104.92943077639</v>
      </c>
      <c r="X283" s="212">
        <f t="shared" si="294"/>
        <v>571959.87500109093</v>
      </c>
      <c r="Y283" s="212">
        <f t="shared" si="294"/>
        <v>594880.25777985761</v>
      </c>
      <c r="Z283" s="212">
        <f t="shared" si="294"/>
        <v>612855.94458972337</v>
      </c>
      <c r="AA283" s="212">
        <f t="shared" si="294"/>
        <v>631292.72448221152</v>
      </c>
      <c r="AB283" s="212">
        <f t="shared" si="294"/>
        <v>650207.1997030928</v>
      </c>
      <c r="AC283" s="212">
        <f t="shared" si="294"/>
        <v>669616.16392189055</v>
      </c>
      <c r="AD283" s="212">
        <f t="shared" si="294"/>
        <v>689536.62528303359</v>
      </c>
      <c r="AE283" s="212">
        <f t="shared" si="294"/>
        <v>709985.82888098445</v>
      </c>
      <c r="AF283" s="212">
        <f t="shared" si="294"/>
        <v>728235.50396078883</v>
      </c>
      <c r="AG283" s="212">
        <f t="shared" si="294"/>
        <v>746895.59080017742</v>
      </c>
      <c r="AH283" s="212">
        <f t="shared" si="294"/>
        <v>765978.57923766319</v>
      </c>
      <c r="AI283" s="212">
        <f t="shared" si="294"/>
        <v>785497.04421318113</v>
      </c>
      <c r="AJ283" s="212">
        <f t="shared" si="294"/>
        <v>805463.6624511492</v>
      </c>
      <c r="AK283" s="212">
        <f t="shared" si="294"/>
        <v>825891.22848330368</v>
      </c>
      <c r="AM283" s="205"/>
      <c r="AR283" s="212">
        <f t="shared" ref="AR283:BL283" si="295">$AN$244*AR231*$AN$247</f>
        <v>332126.86479873839</v>
      </c>
      <c r="AS283" s="212">
        <f t="shared" si="295"/>
        <v>361828.33626682573</v>
      </c>
      <c r="AT283" s="212">
        <f t="shared" si="295"/>
        <v>391500.72516161308</v>
      </c>
      <c r="AU283" s="212">
        <f t="shared" si="295"/>
        <v>425892.6376543949</v>
      </c>
      <c r="AV283" s="226">
        <f t="shared" si="295"/>
        <v>478582.37639854249</v>
      </c>
      <c r="AW283" s="212">
        <f t="shared" si="295"/>
        <v>532740.893981628</v>
      </c>
      <c r="AX283" s="212">
        <f t="shared" si="295"/>
        <v>560319.99006696523</v>
      </c>
      <c r="AY283" s="212">
        <f t="shared" si="295"/>
        <v>557840.40316713194</v>
      </c>
      <c r="AZ283" s="212">
        <f t="shared" si="295"/>
        <v>580054.30861435784</v>
      </c>
      <c r="BA283" s="212">
        <f t="shared" si="295"/>
        <v>597440.64551849302</v>
      </c>
      <c r="BB283" s="212">
        <f t="shared" si="295"/>
        <v>615284.28757439367</v>
      </c>
      <c r="BC283" s="212">
        <f t="shared" si="295"/>
        <v>633600.77177024784</v>
      </c>
      <c r="BD283" s="212">
        <f t="shared" si="295"/>
        <v>652405.86441646819</v>
      </c>
      <c r="BE283" s="212">
        <f t="shared" si="295"/>
        <v>671715.58067655307</v>
      </c>
      <c r="BF283" s="212">
        <f t="shared" si="295"/>
        <v>691546.20372984896</v>
      </c>
      <c r="BG283" s="212">
        <f t="shared" si="295"/>
        <v>709236.39397136983</v>
      </c>
      <c r="BH283" s="212">
        <f t="shared" si="295"/>
        <v>727332.20418583392</v>
      </c>
      <c r="BI283" s="212">
        <f t="shared" si="295"/>
        <v>745845.30818681372</v>
      </c>
      <c r="BJ283" s="212">
        <f t="shared" si="295"/>
        <v>764787.49803539086</v>
      </c>
      <c r="BK283" s="212">
        <f t="shared" si="295"/>
        <v>784170.69774780376</v>
      </c>
      <c r="BL283" s="212">
        <f t="shared" si="295"/>
        <v>804006.97653781343</v>
      </c>
      <c r="BN283" s="205"/>
      <c r="BQ283" s="212">
        <f t="shared" si="285"/>
        <v>0</v>
      </c>
      <c r="BR283" s="212">
        <f t="shared" si="282"/>
        <v>394.51688325119903</v>
      </c>
      <c r="BS283" s="212">
        <f t="shared" si="282"/>
        <v>1892.7964933018666</v>
      </c>
      <c r="BT283" s="212">
        <f t="shared" si="282"/>
        <v>2422.0859802764026</v>
      </c>
      <c r="BU283" s="226">
        <f t="shared" si="282"/>
        <v>2662.7014557918883</v>
      </c>
      <c r="BV283" s="212">
        <f t="shared" si="282"/>
        <v>8873.4930067062378</v>
      </c>
      <c r="BW283" s="212">
        <f t="shared" si="282"/>
        <v>15784.939363811165</v>
      </c>
      <c r="BX283" s="212">
        <f t="shared" si="282"/>
        <v>14119.471833958989</v>
      </c>
      <c r="BY283" s="212">
        <f t="shared" si="282"/>
        <v>14825.949165499769</v>
      </c>
      <c r="BZ283" s="212">
        <f t="shared" si="282"/>
        <v>15415.299071230344</v>
      </c>
      <c r="CA283" s="212">
        <f t="shared" si="282"/>
        <v>16008.436907817842</v>
      </c>
      <c r="CB283" s="212">
        <f t="shared" si="282"/>
        <v>16606.427932844963</v>
      </c>
      <c r="CC283" s="212">
        <f t="shared" si="282"/>
        <v>17210.299505422357</v>
      </c>
      <c r="CD283" s="212">
        <f t="shared" si="282"/>
        <v>17821.044606480515</v>
      </c>
      <c r="CE283" s="212">
        <f t="shared" si="282"/>
        <v>18439.625151135493</v>
      </c>
      <c r="CF283" s="212">
        <f t="shared" si="282"/>
        <v>18999.109989418997</v>
      </c>
      <c r="CG283" s="212">
        <f t="shared" si="282"/>
        <v>19563.386614343501</v>
      </c>
      <c r="CH283" s="212">
        <f t="shared" si="282"/>
        <v>20133.271050849464</v>
      </c>
      <c r="CI283" s="212">
        <f t="shared" si="282"/>
        <v>20709.546177790267</v>
      </c>
      <c r="CJ283" s="212">
        <f t="shared" si="282"/>
        <v>21292.964703345438</v>
      </c>
      <c r="CK283" s="212">
        <f t="shared" si="282"/>
        <v>21884.25194549025</v>
      </c>
    </row>
    <row r="284" spans="4:89" s="193" customFormat="1" x14ac:dyDescent="0.2">
      <c r="E284" s="211"/>
      <c r="G284" s="196" t="s">
        <v>75</v>
      </c>
      <c r="L284" s="190" t="s">
        <v>175</v>
      </c>
      <c r="M284" s="195"/>
      <c r="Q284" s="212">
        <f t="shared" ref="Q284:AK284" si="296">$M$244*Q232*$M$247</f>
        <v>187510.50975451758</v>
      </c>
      <c r="R284" s="226">
        <f t="shared" si="296"/>
        <v>204501.9510242425</v>
      </c>
      <c r="S284" s="212">
        <f t="shared" si="296"/>
        <v>222100.12979328871</v>
      </c>
      <c r="T284" s="212">
        <f t="shared" si="296"/>
        <v>241815.76583023713</v>
      </c>
      <c r="U284" s="226">
        <f t="shared" si="296"/>
        <v>271698.91818296938</v>
      </c>
      <c r="V284" s="212">
        <f t="shared" si="296"/>
        <v>305781.91817185684</v>
      </c>
      <c r="W284" s="212">
        <f t="shared" si="296"/>
        <v>325254.41461989644</v>
      </c>
      <c r="X284" s="212">
        <f t="shared" si="296"/>
        <v>322914.22070170438</v>
      </c>
      <c r="Y284" s="212">
        <f t="shared" si="296"/>
        <v>335854.49477805535</v>
      </c>
      <c r="Z284" s="212">
        <f t="shared" si="296"/>
        <v>346003.11735018209</v>
      </c>
      <c r="AA284" s="212">
        <f t="shared" si="296"/>
        <v>356412.06152868515</v>
      </c>
      <c r="AB284" s="212">
        <f t="shared" si="296"/>
        <v>367090.70052573469</v>
      </c>
      <c r="AC284" s="212">
        <f t="shared" si="296"/>
        <v>378048.51562653331</v>
      </c>
      <c r="AD284" s="212">
        <f t="shared" si="296"/>
        <v>389295.10920347256</v>
      </c>
      <c r="AE284" s="212">
        <f t="shared" si="296"/>
        <v>400840.21740496787</v>
      </c>
      <c r="AF284" s="212">
        <f t="shared" si="296"/>
        <v>411143.52689227404</v>
      </c>
      <c r="AG284" s="212">
        <f t="shared" si="296"/>
        <v>421678.54458027892</v>
      </c>
      <c r="AH284" s="212">
        <f t="shared" si="296"/>
        <v>432452.32191900769</v>
      </c>
      <c r="AI284" s="212">
        <f t="shared" si="296"/>
        <v>443471.95840461319</v>
      </c>
      <c r="AJ284" s="212">
        <f t="shared" si="296"/>
        <v>454744.61099820002</v>
      </c>
      <c r="AK284" s="212">
        <f t="shared" si="296"/>
        <v>466277.50317197014</v>
      </c>
      <c r="AM284" s="205"/>
      <c r="AR284" s="212">
        <f t="shared" ref="AR284:BL284" si="297">$AN$244*AR232*$AN$247</f>
        <v>187510.50975451758</v>
      </c>
      <c r="AS284" s="212">
        <f t="shared" si="297"/>
        <v>204279.2166726265</v>
      </c>
      <c r="AT284" s="212">
        <f t="shared" si="297"/>
        <v>221031.50429822173</v>
      </c>
      <c r="AU284" s="212">
        <f t="shared" si="297"/>
        <v>240448.31674686915</v>
      </c>
      <c r="AV284" s="226">
        <f t="shared" si="297"/>
        <v>270195.62362833536</v>
      </c>
      <c r="AW284" s="212">
        <f t="shared" si="297"/>
        <v>300772.16625672975</v>
      </c>
      <c r="AX284" s="212">
        <f t="shared" si="297"/>
        <v>316342.63318858715</v>
      </c>
      <c r="AY284" s="212">
        <f t="shared" si="297"/>
        <v>314942.72052614775</v>
      </c>
      <c r="AZ284" s="212">
        <f t="shared" si="297"/>
        <v>327484.13519482181</v>
      </c>
      <c r="BA284" s="212">
        <f t="shared" si="297"/>
        <v>337300.02557042992</v>
      </c>
      <c r="BB284" s="212">
        <f t="shared" si="297"/>
        <v>347374.09898152133</v>
      </c>
      <c r="BC284" s="212">
        <f t="shared" si="297"/>
        <v>357715.12722251401</v>
      </c>
      <c r="BD284" s="212">
        <f t="shared" si="297"/>
        <v>368332.0115573873</v>
      </c>
      <c r="BE284" s="212">
        <f t="shared" si="297"/>
        <v>379233.79374636826</v>
      </c>
      <c r="BF284" s="212">
        <f t="shared" si="297"/>
        <v>390429.66686468903</v>
      </c>
      <c r="BG284" s="212">
        <f t="shared" si="297"/>
        <v>400417.10522458714</v>
      </c>
      <c r="BH284" s="212">
        <f t="shared" si="297"/>
        <v>410633.54646245658</v>
      </c>
      <c r="BI284" s="212">
        <f t="shared" si="297"/>
        <v>421085.58132107888</v>
      </c>
      <c r="BJ284" s="212">
        <f t="shared" si="297"/>
        <v>431779.86730281275</v>
      </c>
      <c r="BK284" s="212">
        <f t="shared" si="297"/>
        <v>442723.13640857686</v>
      </c>
      <c r="BL284" s="212">
        <f t="shared" si="297"/>
        <v>453922.20261420915</v>
      </c>
      <c r="BN284" s="205"/>
      <c r="BQ284" s="212">
        <f t="shared" si="285"/>
        <v>0</v>
      </c>
      <c r="BR284" s="212">
        <f t="shared" si="282"/>
        <v>222.73435161600355</v>
      </c>
      <c r="BS284" s="212">
        <f t="shared" si="282"/>
        <v>1068.6254950669827</v>
      </c>
      <c r="BT284" s="212">
        <f t="shared" si="282"/>
        <v>1367.4490833679738</v>
      </c>
      <c r="BU284" s="226">
        <f t="shared" si="282"/>
        <v>1503.2945546340197</v>
      </c>
      <c r="BV284" s="212">
        <f t="shared" si="282"/>
        <v>5009.7519151270972</v>
      </c>
      <c r="BW284" s="212">
        <f t="shared" si="282"/>
        <v>8911.7814313092967</v>
      </c>
      <c r="BX284" s="212">
        <f t="shared" si="282"/>
        <v>7971.5001755566336</v>
      </c>
      <c r="BY284" s="212">
        <f t="shared" si="282"/>
        <v>8370.3595832335413</v>
      </c>
      <c r="BZ284" s="212">
        <f t="shared" si="282"/>
        <v>8703.0917797521688</v>
      </c>
      <c r="CA284" s="212">
        <f t="shared" si="282"/>
        <v>9037.9625471638283</v>
      </c>
      <c r="CB284" s="212">
        <f t="shared" si="282"/>
        <v>9375.5733032206772</v>
      </c>
      <c r="CC284" s="212">
        <f t="shared" si="282"/>
        <v>9716.5040691460017</v>
      </c>
      <c r="CD284" s="212">
        <f t="shared" si="282"/>
        <v>10061.315457104298</v>
      </c>
      <c r="CE284" s="212">
        <f t="shared" si="282"/>
        <v>10410.55054027884</v>
      </c>
      <c r="CF284" s="212">
        <f t="shared" si="282"/>
        <v>10726.421667686896</v>
      </c>
      <c r="CG284" s="212">
        <f t="shared" si="282"/>
        <v>11044.998117822339</v>
      </c>
      <c r="CH284" s="212">
        <f t="shared" si="282"/>
        <v>11366.740597928816</v>
      </c>
      <c r="CI284" s="212">
        <f t="shared" si="282"/>
        <v>11692.091101800441</v>
      </c>
      <c r="CJ284" s="212">
        <f t="shared" si="282"/>
        <v>12021.474589623162</v>
      </c>
      <c r="CK284" s="212">
        <f t="shared" si="282"/>
        <v>12355.300557760987</v>
      </c>
    </row>
    <row r="285" spans="4:89" s="193" customFormat="1" x14ac:dyDescent="0.2">
      <c r="E285" s="211"/>
      <c r="G285" s="196" t="s">
        <v>181</v>
      </c>
      <c r="L285" s="190" t="s">
        <v>175</v>
      </c>
      <c r="M285" s="195"/>
      <c r="Q285" s="212">
        <f t="shared" ref="Q285:AK285" si="298">$M$244*Q233*$M$247</f>
        <v>135908.53578212817</v>
      </c>
      <c r="R285" s="226">
        <f t="shared" si="298"/>
        <v>148224.01562813576</v>
      </c>
      <c r="S285" s="212">
        <f t="shared" si="298"/>
        <v>160979.26178508106</v>
      </c>
      <c r="T285" s="212">
        <f t="shared" si="298"/>
        <v>175269.25133981596</v>
      </c>
      <c r="U285" s="226">
        <f t="shared" si="298"/>
        <v>196928.70651452121</v>
      </c>
      <c r="V285" s="212">
        <f t="shared" si="298"/>
        <v>221632.23182420217</v>
      </c>
      <c r="W285" s="212">
        <f t="shared" si="298"/>
        <v>235745.9926141469</v>
      </c>
      <c r="X285" s="212">
        <f t="shared" si="298"/>
        <v>234049.80860139843</v>
      </c>
      <c r="Y285" s="212">
        <f t="shared" si="298"/>
        <v>243428.98262550522</v>
      </c>
      <c r="Z285" s="212">
        <f t="shared" si="298"/>
        <v>250784.75396754121</v>
      </c>
      <c r="AA285" s="212">
        <f t="shared" si="298"/>
        <v>258329.20768477864</v>
      </c>
      <c r="AB285" s="212">
        <f t="shared" si="298"/>
        <v>266069.13752729847</v>
      </c>
      <c r="AC285" s="212">
        <f t="shared" si="298"/>
        <v>274011.4155770478</v>
      </c>
      <c r="AD285" s="212">
        <f t="shared" si="298"/>
        <v>282163.00168056559</v>
      </c>
      <c r="AE285" s="212">
        <f t="shared" si="298"/>
        <v>290530.95264590462</v>
      </c>
      <c r="AF285" s="212">
        <f t="shared" si="298"/>
        <v>297998.84182162443</v>
      </c>
      <c r="AG285" s="212">
        <f t="shared" si="298"/>
        <v>305634.67423597816</v>
      </c>
      <c r="AH285" s="212">
        <f t="shared" si="298"/>
        <v>313443.56081448338</v>
      </c>
      <c r="AI285" s="212">
        <f t="shared" si="298"/>
        <v>321430.64730669721</v>
      </c>
      <c r="AJ285" s="212">
        <f t="shared" si="298"/>
        <v>329601.12111310643</v>
      </c>
      <c r="AK285" s="212">
        <f t="shared" si="298"/>
        <v>337960.2178417166</v>
      </c>
      <c r="AM285" s="205"/>
      <c r="AR285" s="212">
        <f t="shared" ref="AR285:BL285" si="299">$AN$244*AR233*$AN$247</f>
        <v>135908.53578212817</v>
      </c>
      <c r="AS285" s="212">
        <f t="shared" si="299"/>
        <v>148062.57667926757</v>
      </c>
      <c r="AT285" s="212">
        <f t="shared" si="299"/>
        <v>160204.71679278094</v>
      </c>
      <c r="AU285" s="212">
        <f t="shared" si="299"/>
        <v>174278.11754725972</v>
      </c>
      <c r="AV285" s="226">
        <f t="shared" si="299"/>
        <v>195839.11125910305</v>
      </c>
      <c r="AW285" s="212">
        <f t="shared" si="299"/>
        <v>218001.13910141028</v>
      </c>
      <c r="AX285" s="212">
        <f t="shared" si="299"/>
        <v>229286.68978826658</v>
      </c>
      <c r="AY285" s="212">
        <f t="shared" si="299"/>
        <v>228272.02623461152</v>
      </c>
      <c r="AZ285" s="212">
        <f t="shared" si="299"/>
        <v>237362.10500666409</v>
      </c>
      <c r="BA285" s="212">
        <f t="shared" si="299"/>
        <v>244476.7104231441</v>
      </c>
      <c r="BB285" s="212">
        <f t="shared" si="299"/>
        <v>251778.44816816883</v>
      </c>
      <c r="BC285" s="212">
        <f t="shared" si="299"/>
        <v>259273.67608128727</v>
      </c>
      <c r="BD285" s="212">
        <f t="shared" si="299"/>
        <v>266968.84584222309</v>
      </c>
      <c r="BE285" s="212">
        <f t="shared" si="299"/>
        <v>274870.51096307288</v>
      </c>
      <c r="BF285" s="212">
        <f t="shared" si="299"/>
        <v>282985.33462978678</v>
      </c>
      <c r="BG285" s="212">
        <f t="shared" si="299"/>
        <v>290224.27886541717</v>
      </c>
      <c r="BH285" s="212">
        <f t="shared" si="299"/>
        <v>297629.20550851978</v>
      </c>
      <c r="BI285" s="212">
        <f t="shared" si="299"/>
        <v>305204.8915617452</v>
      </c>
      <c r="BJ285" s="212">
        <f t="shared" si="299"/>
        <v>312956.16241538484</v>
      </c>
      <c r="BK285" s="212">
        <f t="shared" si="299"/>
        <v>320887.8974567008</v>
      </c>
      <c r="BL285" s="212">
        <f t="shared" si="299"/>
        <v>329005.03548872896</v>
      </c>
      <c r="BN285" s="205"/>
      <c r="BQ285" s="212">
        <f t="shared" si="285"/>
        <v>0</v>
      </c>
      <c r="BR285" s="212">
        <f t="shared" si="282"/>
        <v>161.4389488681918</v>
      </c>
      <c r="BS285" s="212">
        <f t="shared" si="282"/>
        <v>774.5449923001288</v>
      </c>
      <c r="BT285" s="212">
        <f t="shared" si="282"/>
        <v>991.13379255624022</v>
      </c>
      <c r="BU285" s="226">
        <f t="shared" si="282"/>
        <v>1089.5952554181567</v>
      </c>
      <c r="BV285" s="212">
        <f t="shared" si="282"/>
        <v>3631.0927227918874</v>
      </c>
      <c r="BW285" s="212">
        <f t="shared" si="282"/>
        <v>6459.3028258803242</v>
      </c>
      <c r="BX285" s="212">
        <f t="shared" si="282"/>
        <v>5777.7823667869088</v>
      </c>
      <c r="BY285" s="212">
        <f t="shared" si="282"/>
        <v>6066.8776188411284</v>
      </c>
      <c r="BZ285" s="212">
        <f t="shared" si="282"/>
        <v>6308.0435443971073</v>
      </c>
      <c r="CA285" s="212">
        <f t="shared" si="282"/>
        <v>6550.7595166098035</v>
      </c>
      <c r="CB285" s="212">
        <f t="shared" si="282"/>
        <v>6795.4614460112061</v>
      </c>
      <c r="CC285" s="212">
        <f t="shared" si="282"/>
        <v>7042.5697348247049</v>
      </c>
      <c r="CD285" s="212">
        <f t="shared" si="282"/>
        <v>7292.4907174927066</v>
      </c>
      <c r="CE285" s="212">
        <f t="shared" si="282"/>
        <v>7545.6180161178345</v>
      </c>
      <c r="CF285" s="212">
        <f t="shared" si="282"/>
        <v>7774.5629562072572</v>
      </c>
      <c r="CG285" s="212">
        <f t="shared" si="282"/>
        <v>8005.4687274583848</v>
      </c>
      <c r="CH285" s="212">
        <f t="shared" si="282"/>
        <v>8238.669252738182</v>
      </c>
      <c r="CI285" s="212">
        <f t="shared" si="282"/>
        <v>8474.4848913123715</v>
      </c>
      <c r="CJ285" s="212">
        <f t="shared" si="282"/>
        <v>8713.2236564056366</v>
      </c>
      <c r="CK285" s="212">
        <f t="shared" si="282"/>
        <v>8955.1823529876419</v>
      </c>
    </row>
    <row r="286" spans="4:89" x14ac:dyDescent="0.2">
      <c r="E286" s="18"/>
      <c r="L286" s="4"/>
      <c r="M286" s="63"/>
    </row>
    <row r="287" spans="4:89" x14ac:dyDescent="0.2">
      <c r="D287" t="s">
        <v>402</v>
      </c>
      <c r="E287" s="18"/>
      <c r="L287" s="4"/>
      <c r="M287" s="63"/>
    </row>
    <row r="288" spans="4:89" x14ac:dyDescent="0.2">
      <c r="E288" s="18"/>
      <c r="L288" s="4"/>
      <c r="M288" s="63"/>
    </row>
    <row r="289" spans="2:89" x14ac:dyDescent="0.2">
      <c r="E289" s="18"/>
      <c r="F289" t="s">
        <v>221</v>
      </c>
      <c r="G289" s="67"/>
      <c r="L289" s="64" t="s">
        <v>55</v>
      </c>
      <c r="M289" s="14">
        <f>'Data &amp; Assumptions'!D78</f>
        <v>8.9999999999999993E-3</v>
      </c>
      <c r="AN289" s="66">
        <f>M289</f>
        <v>8.9999999999999993E-3</v>
      </c>
    </row>
    <row r="290" spans="2:89" x14ac:dyDescent="0.2">
      <c r="E290" s="18"/>
      <c r="L290" s="4"/>
      <c r="M290" s="63"/>
    </row>
    <row r="291" spans="2:89" s="193" customFormat="1" ht="25.5" customHeight="1" x14ac:dyDescent="0.2">
      <c r="E291" s="211"/>
      <c r="F291" s="602" t="s">
        <v>396</v>
      </c>
      <c r="G291" s="602"/>
      <c r="H291" s="602"/>
      <c r="I291" s="602"/>
      <c r="J291" s="602"/>
      <c r="K291" s="602"/>
      <c r="M291" s="195"/>
      <c r="R291" s="221"/>
      <c r="U291" s="221"/>
      <c r="AM291" s="205"/>
      <c r="AV291" s="221"/>
      <c r="BN291" s="205"/>
      <c r="BU291" s="221"/>
    </row>
    <row r="292" spans="2:89" s="193" customFormat="1" x14ac:dyDescent="0.2">
      <c r="E292" s="211"/>
      <c r="G292" s="196" t="s">
        <v>224</v>
      </c>
      <c r="L292" s="190" t="s">
        <v>175</v>
      </c>
      <c r="M292" s="195"/>
      <c r="Q292" s="198">
        <f>Q253*$M$289</f>
        <v>36085.532265311587</v>
      </c>
      <c r="R292" s="248">
        <f t="shared" ref="R292:AK292" si="300">R253*$M$289</f>
        <v>39743.195214243715</v>
      </c>
      <c r="S292" s="198">
        <f t="shared" si="300"/>
        <v>43588.503585628961</v>
      </c>
      <c r="T292" s="198">
        <f t="shared" si="300"/>
        <v>47925.381974803386</v>
      </c>
      <c r="U292" s="248">
        <f t="shared" si="300"/>
        <v>54378.434793124085</v>
      </c>
      <c r="V292" s="198">
        <f t="shared" si="300"/>
        <v>61802.837862439934</v>
      </c>
      <c r="W292" s="198">
        <f t="shared" si="300"/>
        <v>66386.173989910109</v>
      </c>
      <c r="X292" s="198">
        <f t="shared" si="300"/>
        <v>66557.872936473199</v>
      </c>
      <c r="Y292" s="198">
        <f t="shared" si="300"/>
        <v>69907.094323583588</v>
      </c>
      <c r="Z292" s="198">
        <f t="shared" si="300"/>
        <v>72729.051045153479</v>
      </c>
      <c r="AA292" s="198">
        <f t="shared" si="300"/>
        <v>75655.085311039686</v>
      </c>
      <c r="AB292" s="198">
        <f t="shared" si="300"/>
        <v>78689.527649395081</v>
      </c>
      <c r="AC292" s="198">
        <f t="shared" si="300"/>
        <v>81836.85216598041</v>
      </c>
      <c r="AD292" s="198">
        <f t="shared" si="300"/>
        <v>85101.683127286087</v>
      </c>
      <c r="AE292" s="198">
        <f t="shared" si="300"/>
        <v>88488.801721574695</v>
      </c>
      <c r="AF292" s="198">
        <f t="shared" si="300"/>
        <v>91657.562850340604</v>
      </c>
      <c r="AG292" s="198">
        <f t="shared" si="300"/>
        <v>94932.337735684356</v>
      </c>
      <c r="AH292" s="198">
        <f t="shared" si="300"/>
        <v>98317.024804597473</v>
      </c>
      <c r="AI292" s="198">
        <f t="shared" si="300"/>
        <v>101815.63669297966</v>
      </c>
      <c r="AJ292" s="198">
        <f t="shared" si="300"/>
        <v>105432.30514417523</v>
      </c>
      <c r="AK292" s="198">
        <f t="shared" si="300"/>
        <v>109171.28600474511</v>
      </c>
      <c r="AM292" s="205"/>
      <c r="AR292" s="198">
        <f>AR253*$AN$289</f>
        <v>36085.532265311587</v>
      </c>
      <c r="AS292" s="198">
        <f t="shared" ref="AS292:BL292" si="301">AS253*$AN$289</f>
        <v>39699.908708795439</v>
      </c>
      <c r="AT292" s="198">
        <f t="shared" si="301"/>
        <v>43378.477612696734</v>
      </c>
      <c r="AU292" s="198">
        <f t="shared" si="301"/>
        <v>47653.697441286087</v>
      </c>
      <c r="AV292" s="248">
        <f t="shared" si="301"/>
        <v>54076.717550866313</v>
      </c>
      <c r="AW292" s="198">
        <f t="shared" si="301"/>
        <v>60785.384962885393</v>
      </c>
      <c r="AX292" s="198">
        <f t="shared" si="301"/>
        <v>64559.301067054694</v>
      </c>
      <c r="AY292" s="198">
        <f t="shared" si="301"/>
        <v>64913.295026973843</v>
      </c>
      <c r="AZ292" s="198">
        <f t="shared" si="301"/>
        <v>68163.114143395112</v>
      </c>
      <c r="BA292" s="198">
        <f t="shared" si="301"/>
        <v>70897.787941374278</v>
      </c>
      <c r="BB292" s="198">
        <f t="shared" si="301"/>
        <v>73734.552239938072</v>
      </c>
      <c r="BC292" s="198">
        <f t="shared" si="301"/>
        <v>76677.572440669261</v>
      </c>
      <c r="BD292" s="198">
        <f t="shared" si="301"/>
        <v>79731.156560761054</v>
      </c>
      <c r="BE292" s="198">
        <f t="shared" si="301"/>
        <v>82899.761475380044</v>
      </c>
      <c r="BF292" s="198">
        <f t="shared" si="301"/>
        <v>86187.999342417737</v>
      </c>
      <c r="BG292" s="198">
        <f t="shared" si="301"/>
        <v>89263.59573677869</v>
      </c>
      <c r="BH292" s="198">
        <f t="shared" si="301"/>
        <v>92442.99630797749</v>
      </c>
      <c r="BI292" s="198">
        <f t="shared" si="301"/>
        <v>95729.953469871558</v>
      </c>
      <c r="BJ292" s="198">
        <f t="shared" si="301"/>
        <v>99128.333395114372</v>
      </c>
      <c r="BK292" s="198">
        <f t="shared" si="301"/>
        <v>102642.12062366358</v>
      </c>
      <c r="BL292" s="198">
        <f t="shared" si="301"/>
        <v>106275.42277544505</v>
      </c>
      <c r="BN292" s="205"/>
      <c r="BQ292" s="212">
        <f>Q292-AR292</f>
        <v>0</v>
      </c>
      <c r="BR292" s="212">
        <f t="shared" ref="BR292:CK300" si="302">R292-AS292</f>
        <v>43.28650544827542</v>
      </c>
      <c r="BS292" s="212">
        <f t="shared" si="302"/>
        <v>210.02597293222789</v>
      </c>
      <c r="BT292" s="212">
        <f t="shared" si="302"/>
        <v>271.68453351729841</v>
      </c>
      <c r="BU292" s="226">
        <f t="shared" si="302"/>
        <v>301.71724225777143</v>
      </c>
      <c r="BV292" s="212">
        <f t="shared" si="302"/>
        <v>1017.4528995545406</v>
      </c>
      <c r="BW292" s="212">
        <f t="shared" si="302"/>
        <v>1826.8729228554148</v>
      </c>
      <c r="BX292" s="212">
        <f t="shared" si="302"/>
        <v>1644.5779094993559</v>
      </c>
      <c r="BY292" s="212">
        <f t="shared" si="302"/>
        <v>1743.9801801884751</v>
      </c>
      <c r="BZ292" s="212">
        <f t="shared" si="302"/>
        <v>1831.2631037792016</v>
      </c>
      <c r="CA292" s="212">
        <f t="shared" si="302"/>
        <v>1920.533071101614</v>
      </c>
      <c r="CB292" s="212">
        <f t="shared" si="302"/>
        <v>2011.9552087258198</v>
      </c>
      <c r="CC292" s="212">
        <f t="shared" si="302"/>
        <v>2105.6956052193564</v>
      </c>
      <c r="CD292" s="212">
        <f t="shared" si="302"/>
        <v>2201.9216519060428</v>
      </c>
      <c r="CE292" s="212">
        <f t="shared" si="302"/>
        <v>2300.8023791569576</v>
      </c>
      <c r="CF292" s="212">
        <f t="shared" si="302"/>
        <v>2393.9671135619137</v>
      </c>
      <c r="CG292" s="212">
        <f t="shared" si="302"/>
        <v>2489.3414277068659</v>
      </c>
      <c r="CH292" s="212">
        <f t="shared" si="302"/>
        <v>2587.0713347259152</v>
      </c>
      <c r="CI292" s="212">
        <f t="shared" si="302"/>
        <v>2687.3032978652918</v>
      </c>
      <c r="CJ292" s="212">
        <f t="shared" si="302"/>
        <v>2790.1845205116551</v>
      </c>
      <c r="CK292" s="212">
        <f t="shared" si="302"/>
        <v>2895.8632293000555</v>
      </c>
    </row>
    <row r="293" spans="2:89" s="193" customFormat="1" x14ac:dyDescent="0.2">
      <c r="E293" s="211"/>
      <c r="G293" s="196" t="s">
        <v>64</v>
      </c>
      <c r="L293" s="190" t="s">
        <v>175</v>
      </c>
      <c r="M293" s="195"/>
      <c r="Q293" s="198">
        <f t="shared" ref="Q293:AK293" si="303">Q254*$M$289</f>
        <v>1945.5061860697167</v>
      </c>
      <c r="R293" s="248">
        <f t="shared" si="303"/>
        <v>2121.8000596438801</v>
      </c>
      <c r="S293" s="198">
        <f t="shared" si="303"/>
        <v>2304.3891086713861</v>
      </c>
      <c r="T293" s="198">
        <f t="shared" si="303"/>
        <v>2508.9477327314348</v>
      </c>
      <c r="U293" s="248">
        <f t="shared" si="303"/>
        <v>2818.9989284623616</v>
      </c>
      <c r="V293" s="198">
        <f t="shared" si="303"/>
        <v>3172.6254393443578</v>
      </c>
      <c r="W293" s="198">
        <f t="shared" si="303"/>
        <v>3374.6613804096264</v>
      </c>
      <c r="X293" s="198">
        <f t="shared" si="303"/>
        <v>3350.3808120809299</v>
      </c>
      <c r="Y293" s="198">
        <f t="shared" si="303"/>
        <v>3484.6419972162785</v>
      </c>
      <c r="Z293" s="198">
        <f t="shared" si="303"/>
        <v>3589.9385377675599</v>
      </c>
      <c r="AA293" s="198">
        <f t="shared" si="303"/>
        <v>3697.9360325013186</v>
      </c>
      <c r="AB293" s="198">
        <f t="shared" si="303"/>
        <v>3808.7317327250421</v>
      </c>
      <c r="AC293" s="198">
        <f t="shared" si="303"/>
        <v>3922.424011052949</v>
      </c>
      <c r="AD293" s="198">
        <f t="shared" si="303"/>
        <v>4039.1124964332721</v>
      </c>
      <c r="AE293" s="198">
        <f t="shared" si="303"/>
        <v>4158.8982058009578</v>
      </c>
      <c r="AF293" s="198">
        <f t="shared" si="303"/>
        <v>4265.7996929271785</v>
      </c>
      <c r="AG293" s="198">
        <f t="shared" si="303"/>
        <v>4375.1052572350209</v>
      </c>
      <c r="AH293" s="198">
        <f t="shared" si="303"/>
        <v>4486.8880607017654</v>
      </c>
      <c r="AI293" s="198">
        <f t="shared" si="303"/>
        <v>4601.221763804856</v>
      </c>
      <c r="AJ293" s="198">
        <f t="shared" si="303"/>
        <v>4718.1806232466133</v>
      </c>
      <c r="AK293" s="198">
        <f t="shared" si="303"/>
        <v>4837.8395858120803</v>
      </c>
      <c r="AM293" s="205"/>
      <c r="AR293" s="198">
        <f t="shared" ref="AR293:BL293" si="304">AR254*$AN$289</f>
        <v>1945.5061860697167</v>
      </c>
      <c r="AS293" s="198">
        <f t="shared" si="304"/>
        <v>2119.4890901974932</v>
      </c>
      <c r="AT293" s="198">
        <f t="shared" si="304"/>
        <v>2293.3016367533241</v>
      </c>
      <c r="AU293" s="198">
        <f t="shared" si="304"/>
        <v>2494.75983118762</v>
      </c>
      <c r="AV293" s="248">
        <f t="shared" si="304"/>
        <v>2803.4015688298041</v>
      </c>
      <c r="AW293" s="198">
        <f t="shared" si="304"/>
        <v>3120.6470016860417</v>
      </c>
      <c r="AX293" s="198">
        <f t="shared" si="304"/>
        <v>3282.1976250381977</v>
      </c>
      <c r="AY293" s="198">
        <f t="shared" si="304"/>
        <v>3267.6728992065814</v>
      </c>
      <c r="AZ293" s="198">
        <f t="shared" si="304"/>
        <v>3397.7957379312506</v>
      </c>
      <c r="BA293" s="198">
        <f t="shared" si="304"/>
        <v>3499.6400317392463</v>
      </c>
      <c r="BB293" s="198">
        <f t="shared" si="304"/>
        <v>3604.1630910912963</v>
      </c>
      <c r="BC293" s="198">
        <f t="shared" si="304"/>
        <v>3711.4559273142122</v>
      </c>
      <c r="BD293" s="198">
        <f t="shared" si="304"/>
        <v>3821.6108950401822</v>
      </c>
      <c r="BE293" s="198">
        <f t="shared" si="304"/>
        <v>3934.7218066131586</v>
      </c>
      <c r="BF293" s="198">
        <f t="shared" si="304"/>
        <v>4050.884044338653</v>
      </c>
      <c r="BG293" s="198">
        <f t="shared" si="304"/>
        <v>4154.5082259251576</v>
      </c>
      <c r="BH293" s="198">
        <f t="shared" si="304"/>
        <v>4260.5084157487327</v>
      </c>
      <c r="BI293" s="198">
        <f t="shared" si="304"/>
        <v>4368.9529957410268</v>
      </c>
      <c r="BJ293" s="198">
        <f t="shared" si="304"/>
        <v>4479.911040494344</v>
      </c>
      <c r="BK293" s="198">
        <f t="shared" si="304"/>
        <v>4593.4523975572356</v>
      </c>
      <c r="BL293" s="198">
        <f t="shared" si="304"/>
        <v>4709.647765005112</v>
      </c>
      <c r="BN293" s="205"/>
      <c r="BQ293" s="212">
        <f t="shared" ref="BQ293:BQ300" si="305">Q293-AR293</f>
        <v>0</v>
      </c>
      <c r="BR293" s="212">
        <f t="shared" si="302"/>
        <v>2.3109694463869346</v>
      </c>
      <c r="BS293" s="212">
        <f t="shared" si="302"/>
        <v>11.087471918061965</v>
      </c>
      <c r="BT293" s="212">
        <f t="shared" si="302"/>
        <v>14.18790154381486</v>
      </c>
      <c r="BU293" s="226">
        <f t="shared" si="302"/>
        <v>15.597359632557527</v>
      </c>
      <c r="BV293" s="212">
        <f t="shared" si="302"/>
        <v>51.978437658316125</v>
      </c>
      <c r="BW293" s="212">
        <f t="shared" si="302"/>
        <v>92.463755371428761</v>
      </c>
      <c r="BX293" s="212">
        <f t="shared" si="302"/>
        <v>82.707912874348494</v>
      </c>
      <c r="BY293" s="212">
        <f t="shared" si="302"/>
        <v>86.846259285027827</v>
      </c>
      <c r="BZ293" s="212">
        <f t="shared" si="302"/>
        <v>90.298506028313568</v>
      </c>
      <c r="CA293" s="212">
        <f t="shared" si="302"/>
        <v>93.772941410022213</v>
      </c>
      <c r="CB293" s="212">
        <f t="shared" si="302"/>
        <v>97.275805410829889</v>
      </c>
      <c r="CC293" s="212">
        <f t="shared" si="302"/>
        <v>100.81311601276684</v>
      </c>
      <c r="CD293" s="212">
        <f t="shared" si="302"/>
        <v>104.39068982011349</v>
      </c>
      <c r="CE293" s="212">
        <f t="shared" si="302"/>
        <v>108.01416146230486</v>
      </c>
      <c r="CF293" s="212">
        <f t="shared" si="302"/>
        <v>111.29146700202091</v>
      </c>
      <c r="CG293" s="212">
        <f t="shared" si="302"/>
        <v>114.59684148628821</v>
      </c>
      <c r="CH293" s="212">
        <f t="shared" si="302"/>
        <v>117.9350649607386</v>
      </c>
      <c r="CI293" s="212">
        <f t="shared" si="302"/>
        <v>121.310723310512</v>
      </c>
      <c r="CJ293" s="212">
        <f t="shared" si="302"/>
        <v>124.72822568937772</v>
      </c>
      <c r="CK293" s="212">
        <f t="shared" si="302"/>
        <v>128.19182080696828</v>
      </c>
    </row>
    <row r="294" spans="2:89" s="193" customFormat="1" x14ac:dyDescent="0.2">
      <c r="E294" s="211"/>
      <c r="G294" s="196" t="s">
        <v>63</v>
      </c>
      <c r="L294" s="190" t="s">
        <v>175</v>
      </c>
      <c r="M294" s="195"/>
      <c r="Q294" s="198">
        <f t="shared" ref="Q294:AK294" si="306">Q255*$M$289</f>
        <v>3331.1408215730517</v>
      </c>
      <c r="R294" s="248">
        <f t="shared" si="306"/>
        <v>3632.9952813846157</v>
      </c>
      <c r="S294" s="198">
        <f t="shared" si="306"/>
        <v>3945.6284866361907</v>
      </c>
      <c r="T294" s="198">
        <f t="shared" si="306"/>
        <v>4295.8785078853243</v>
      </c>
      <c r="U294" s="248">
        <f t="shared" si="306"/>
        <v>4826.7553574538861</v>
      </c>
      <c r="V294" s="198">
        <f t="shared" si="306"/>
        <v>5432.2428724379388</v>
      </c>
      <c r="W294" s="198">
        <f t="shared" si="306"/>
        <v>5778.1734973448893</v>
      </c>
      <c r="X294" s="198">
        <f t="shared" si="306"/>
        <v>5736.599745017681</v>
      </c>
      <c r="Y294" s="198">
        <f t="shared" si="306"/>
        <v>5966.484860654703</v>
      </c>
      <c r="Z294" s="198">
        <f t="shared" si="306"/>
        <v>6146.7760399437821</v>
      </c>
      <c r="AA294" s="198">
        <f t="shared" si="306"/>
        <v>6331.691855638046</v>
      </c>
      <c r="AB294" s="198">
        <f t="shared" si="306"/>
        <v>6521.398823681985</v>
      </c>
      <c r="AC294" s="198">
        <f t="shared" si="306"/>
        <v>6716.0653799476486</v>
      </c>
      <c r="AD294" s="198">
        <f t="shared" si="306"/>
        <v>6915.8621114312418</v>
      </c>
      <c r="AE294" s="198">
        <f t="shared" si="306"/>
        <v>7120.961981672197</v>
      </c>
      <c r="AF294" s="198">
        <f t="shared" si="306"/>
        <v>7304.0011877167726</v>
      </c>
      <c r="AG294" s="198">
        <f t="shared" si="306"/>
        <v>7491.1567104789438</v>
      </c>
      <c r="AH294" s="198">
        <f t="shared" si="306"/>
        <v>7682.5538195932786</v>
      </c>
      <c r="AI294" s="198">
        <f t="shared" si="306"/>
        <v>7878.3186382381073</v>
      </c>
      <c r="AJ294" s="198">
        <f t="shared" si="306"/>
        <v>8078.5783104617931</v>
      </c>
      <c r="AK294" s="198">
        <f t="shared" si="306"/>
        <v>8283.4611618876024</v>
      </c>
      <c r="AM294" s="205"/>
      <c r="AR294" s="198">
        <f t="shared" ref="AR294:BL294" si="307">AR255*$AN$289</f>
        <v>3331.1408215730517</v>
      </c>
      <c r="AS294" s="198">
        <f t="shared" si="307"/>
        <v>3629.0383858910996</v>
      </c>
      <c r="AT294" s="198">
        <f t="shared" si="307"/>
        <v>3926.6442600226978</v>
      </c>
      <c r="AU294" s="198">
        <f t="shared" si="307"/>
        <v>4271.585653746145</v>
      </c>
      <c r="AV294" s="248">
        <f t="shared" si="307"/>
        <v>4800.0491964800513</v>
      </c>
      <c r="AW294" s="198">
        <f t="shared" si="307"/>
        <v>5343.2441857388249</v>
      </c>
      <c r="AX294" s="198">
        <f t="shared" si="307"/>
        <v>5619.8549105220181</v>
      </c>
      <c r="AY294" s="198">
        <f t="shared" si="307"/>
        <v>5594.9853380239765</v>
      </c>
      <c r="AZ294" s="198">
        <f t="shared" si="307"/>
        <v>5817.7846809396697</v>
      </c>
      <c r="BA294" s="198">
        <f t="shared" si="307"/>
        <v>5992.1648432733455</v>
      </c>
      <c r="BB294" s="198">
        <f t="shared" si="307"/>
        <v>6171.1316501107885</v>
      </c>
      <c r="BC294" s="198">
        <f t="shared" si="307"/>
        <v>6354.8409331568291</v>
      </c>
      <c r="BD294" s="198">
        <f t="shared" si="307"/>
        <v>6543.4508241550848</v>
      </c>
      <c r="BE294" s="198">
        <f t="shared" si="307"/>
        <v>6737.1219507769838</v>
      </c>
      <c r="BF294" s="198">
        <f t="shared" si="307"/>
        <v>6936.0176288187358</v>
      </c>
      <c r="BG294" s="198">
        <f t="shared" si="307"/>
        <v>7113.4453562947592</v>
      </c>
      <c r="BH294" s="198">
        <f t="shared" si="307"/>
        <v>7294.9413401904039</v>
      </c>
      <c r="BI294" s="198">
        <f t="shared" si="307"/>
        <v>7480.6226656352264</v>
      </c>
      <c r="BJ294" s="198">
        <f t="shared" si="307"/>
        <v>7670.6076037486409</v>
      </c>
      <c r="BK294" s="198">
        <f t="shared" si="307"/>
        <v>7865.0157491236405</v>
      </c>
      <c r="BL294" s="198">
        <f t="shared" si="307"/>
        <v>8063.9681526443219</v>
      </c>
      <c r="BN294" s="205"/>
      <c r="BQ294" s="212">
        <f t="shared" si="305"/>
        <v>0</v>
      </c>
      <c r="BR294" s="212">
        <f t="shared" si="302"/>
        <v>3.9568954935161855</v>
      </c>
      <c r="BS294" s="212">
        <f t="shared" si="302"/>
        <v>18.984226613492865</v>
      </c>
      <c r="BT294" s="212">
        <f t="shared" si="302"/>
        <v>24.292854139179326</v>
      </c>
      <c r="BU294" s="226">
        <f t="shared" si="302"/>
        <v>26.706160973834812</v>
      </c>
      <c r="BV294" s="212">
        <f t="shared" si="302"/>
        <v>88.998686699113932</v>
      </c>
      <c r="BW294" s="212">
        <f t="shared" si="302"/>
        <v>158.31858682287111</v>
      </c>
      <c r="BX294" s="212">
        <f t="shared" si="302"/>
        <v>141.61440699370451</v>
      </c>
      <c r="BY294" s="212">
        <f t="shared" si="302"/>
        <v>148.7001797150333</v>
      </c>
      <c r="BZ294" s="212">
        <f t="shared" si="302"/>
        <v>154.61119667043658</v>
      </c>
      <c r="CA294" s="212">
        <f t="shared" si="302"/>
        <v>160.56020552725749</v>
      </c>
      <c r="CB294" s="212">
        <f t="shared" si="302"/>
        <v>166.55789052515593</v>
      </c>
      <c r="CC294" s="212">
        <f t="shared" si="302"/>
        <v>172.61455579256381</v>
      </c>
      <c r="CD294" s="212">
        <f t="shared" si="302"/>
        <v>178.74016065425803</v>
      </c>
      <c r="CE294" s="212">
        <f t="shared" si="302"/>
        <v>184.94435285346117</v>
      </c>
      <c r="CF294" s="212">
        <f t="shared" si="302"/>
        <v>190.5558314220134</v>
      </c>
      <c r="CG294" s="212">
        <f t="shared" si="302"/>
        <v>196.21537028853982</v>
      </c>
      <c r="CH294" s="212">
        <f t="shared" si="302"/>
        <v>201.93115395805216</v>
      </c>
      <c r="CI294" s="212">
        <f t="shared" si="302"/>
        <v>207.71103448946633</v>
      </c>
      <c r="CJ294" s="212">
        <f t="shared" si="302"/>
        <v>213.56256133815259</v>
      </c>
      <c r="CK294" s="212">
        <f t="shared" si="302"/>
        <v>219.49300924328054</v>
      </c>
    </row>
    <row r="295" spans="2:89" s="193" customFormat="1" x14ac:dyDescent="0.2">
      <c r="E295" s="211"/>
      <c r="G295" s="196" t="s">
        <v>76</v>
      </c>
      <c r="L295" s="190" t="s">
        <v>175</v>
      </c>
      <c r="M295" s="195"/>
      <c r="Q295" s="198">
        <f t="shared" ref="Q295:AK295" si="308">Q256*$M$289</f>
        <v>1436.2369686041541</v>
      </c>
      <c r="R295" s="248">
        <f t="shared" si="308"/>
        <v>1566.3829328671379</v>
      </c>
      <c r="S295" s="198">
        <f t="shared" si="308"/>
        <v>1701.1762037152525</v>
      </c>
      <c r="T295" s="198">
        <f t="shared" si="308"/>
        <v>1852.1881409814944</v>
      </c>
      <c r="U295" s="248">
        <f t="shared" si="308"/>
        <v>2081.0781813510303</v>
      </c>
      <c r="V295" s="198">
        <f t="shared" si="308"/>
        <v>2342.1369595979668</v>
      </c>
      <c r="W295" s="198">
        <f t="shared" si="308"/>
        <v>2491.2865688988118</v>
      </c>
      <c r="X295" s="198">
        <f t="shared" si="308"/>
        <v>2473.3618508474824</v>
      </c>
      <c r="Y295" s="198">
        <f t="shared" si="308"/>
        <v>2572.4778952583106</v>
      </c>
      <c r="Z295" s="198">
        <f t="shared" si="308"/>
        <v>2650.2112817099774</v>
      </c>
      <c r="AA295" s="198">
        <f t="shared" si="308"/>
        <v>2729.938601809944</v>
      </c>
      <c r="AB295" s="198">
        <f t="shared" si="308"/>
        <v>2811.7316496877115</v>
      </c>
      <c r="AC295" s="198">
        <f t="shared" si="308"/>
        <v>2895.6630472584857</v>
      </c>
      <c r="AD295" s="198">
        <f t="shared" si="308"/>
        <v>2981.8063439046582</v>
      </c>
      <c r="AE295" s="198">
        <f t="shared" si="308"/>
        <v>3070.2361136665336</v>
      </c>
      <c r="AF295" s="198">
        <f t="shared" si="308"/>
        <v>3149.1543247257987</v>
      </c>
      <c r="AG295" s="198">
        <f t="shared" si="308"/>
        <v>3229.847305019121</v>
      </c>
      <c r="AH295" s="198">
        <f t="shared" si="308"/>
        <v>3312.3690651362344</v>
      </c>
      <c r="AI295" s="198">
        <f t="shared" si="308"/>
        <v>3396.773983676057</v>
      </c>
      <c r="AJ295" s="198">
        <f t="shared" si="308"/>
        <v>3483.1168793908</v>
      </c>
      <c r="AK295" s="198">
        <f t="shared" si="308"/>
        <v>3571.4530804740193</v>
      </c>
      <c r="AM295" s="205"/>
      <c r="AR295" s="198">
        <f t="shared" ref="AR295:BL295" si="309">AR256*$AN$289</f>
        <v>1436.2369686041541</v>
      </c>
      <c r="AS295" s="198">
        <f t="shared" si="309"/>
        <v>1564.6768988406307</v>
      </c>
      <c r="AT295" s="198">
        <f t="shared" si="309"/>
        <v>1692.9910654869077</v>
      </c>
      <c r="AU295" s="198">
        <f t="shared" si="309"/>
        <v>1841.7141631293296</v>
      </c>
      <c r="AV295" s="248">
        <f t="shared" si="309"/>
        <v>2069.5636949529435</v>
      </c>
      <c r="AW295" s="198">
        <f t="shared" si="309"/>
        <v>2303.764758949264</v>
      </c>
      <c r="AX295" s="198">
        <f t="shared" si="309"/>
        <v>2423.0267686106936</v>
      </c>
      <c r="AY295" s="198">
        <f t="shared" si="309"/>
        <v>2412.3041359366889</v>
      </c>
      <c r="AZ295" s="198">
        <f t="shared" si="309"/>
        <v>2508.3651162482779</v>
      </c>
      <c r="BA295" s="198">
        <f t="shared" si="309"/>
        <v>2583.5499400518538</v>
      </c>
      <c r="BB295" s="198">
        <f t="shared" si="309"/>
        <v>2660.7123171174735</v>
      </c>
      <c r="BC295" s="198">
        <f t="shared" si="309"/>
        <v>2739.9194350146659</v>
      </c>
      <c r="BD295" s="198">
        <f t="shared" si="309"/>
        <v>2821.2394729853959</v>
      </c>
      <c r="BE295" s="198">
        <f t="shared" si="309"/>
        <v>2904.741686402529</v>
      </c>
      <c r="BF295" s="198">
        <f t="shared" si="309"/>
        <v>2990.496489636686</v>
      </c>
      <c r="BG295" s="198">
        <f t="shared" si="309"/>
        <v>3066.9952854264175</v>
      </c>
      <c r="BH295" s="198">
        <f t="shared" si="309"/>
        <v>3145.2481290276141</v>
      </c>
      <c r="BI295" s="198">
        <f t="shared" si="309"/>
        <v>3225.3055022423373</v>
      </c>
      <c r="BJ295" s="198">
        <f t="shared" si="309"/>
        <v>3307.218398217527</v>
      </c>
      <c r="BK295" s="198">
        <f t="shared" si="309"/>
        <v>3391.0383807223466</v>
      </c>
      <c r="BL295" s="198">
        <f t="shared" si="309"/>
        <v>3476.81764141248</v>
      </c>
      <c r="BN295" s="205"/>
      <c r="BQ295" s="212">
        <f t="shared" si="305"/>
        <v>0</v>
      </c>
      <c r="BR295" s="212">
        <f t="shared" si="302"/>
        <v>1.7060340265072682</v>
      </c>
      <c r="BS295" s="212">
        <f t="shared" si="302"/>
        <v>8.1851382283448402</v>
      </c>
      <c r="BT295" s="212">
        <f t="shared" si="302"/>
        <v>10.473977852164808</v>
      </c>
      <c r="BU295" s="226">
        <f t="shared" si="302"/>
        <v>11.514486398086774</v>
      </c>
      <c r="BV295" s="212">
        <f t="shared" si="302"/>
        <v>38.372200648702801</v>
      </c>
      <c r="BW295" s="212">
        <f t="shared" si="302"/>
        <v>68.259800288118186</v>
      </c>
      <c r="BX295" s="212">
        <f t="shared" si="302"/>
        <v>61.057714910793493</v>
      </c>
      <c r="BY295" s="212">
        <f t="shared" si="302"/>
        <v>64.112779010032682</v>
      </c>
      <c r="BZ295" s="212">
        <f t="shared" si="302"/>
        <v>66.661341658123547</v>
      </c>
      <c r="CA295" s="212">
        <f t="shared" si="302"/>
        <v>69.226284692470472</v>
      </c>
      <c r="CB295" s="212">
        <f t="shared" si="302"/>
        <v>71.812214673045673</v>
      </c>
      <c r="CC295" s="212">
        <f t="shared" si="302"/>
        <v>74.423574273089798</v>
      </c>
      <c r="CD295" s="212">
        <f t="shared" si="302"/>
        <v>77.064657502129194</v>
      </c>
      <c r="CE295" s="212">
        <f t="shared" si="302"/>
        <v>79.739624029847619</v>
      </c>
      <c r="CF295" s="212">
        <f t="shared" si="302"/>
        <v>82.15903929938122</v>
      </c>
      <c r="CG295" s="212">
        <f t="shared" si="302"/>
        <v>84.599175991506854</v>
      </c>
      <c r="CH295" s="212">
        <f t="shared" si="302"/>
        <v>87.063562893897142</v>
      </c>
      <c r="CI295" s="212">
        <f t="shared" si="302"/>
        <v>89.555585458530004</v>
      </c>
      <c r="CJ295" s="212">
        <f t="shared" si="302"/>
        <v>92.078498668453449</v>
      </c>
      <c r="CK295" s="212">
        <f t="shared" si="302"/>
        <v>94.635439061539273</v>
      </c>
    </row>
    <row r="296" spans="2:89" s="193" customFormat="1" x14ac:dyDescent="0.2">
      <c r="E296" s="211"/>
      <c r="G296" s="196" t="s">
        <v>72</v>
      </c>
      <c r="L296" s="190" t="s">
        <v>175</v>
      </c>
      <c r="M296" s="195"/>
      <c r="Q296" s="198">
        <f t="shared" ref="Q296:AK296" si="310">Q257*$M$289</f>
        <v>1983.7789357231186</v>
      </c>
      <c r="R296" s="248">
        <f t="shared" si="310"/>
        <v>2163.540930517886</v>
      </c>
      <c r="S296" s="198">
        <f t="shared" si="310"/>
        <v>2349.7219418906848</v>
      </c>
      <c r="T296" s="198">
        <f t="shared" si="310"/>
        <v>2558.3047222675541</v>
      </c>
      <c r="U296" s="248">
        <f t="shared" si="310"/>
        <v>2874.4553649593363</v>
      </c>
      <c r="V296" s="198">
        <f t="shared" si="310"/>
        <v>3235.0385532442128</v>
      </c>
      <c r="W296" s="198">
        <f t="shared" si="310"/>
        <v>3441.0490234313866</v>
      </c>
      <c r="X296" s="198">
        <f t="shared" si="310"/>
        <v>3416.2907983777936</v>
      </c>
      <c r="Y296" s="198">
        <f t="shared" si="310"/>
        <v>3553.1932214406702</v>
      </c>
      <c r="Z296" s="198">
        <f t="shared" si="310"/>
        <v>3660.5611962360267</v>
      </c>
      <c r="AA296" s="198">
        <f t="shared" si="310"/>
        <v>3770.6832594284583</v>
      </c>
      <c r="AB296" s="198">
        <f t="shared" si="310"/>
        <v>3883.6585754908447</v>
      </c>
      <c r="AC296" s="198">
        <f t="shared" si="310"/>
        <v>3999.5874522614249</v>
      </c>
      <c r="AD296" s="198">
        <f t="shared" si="310"/>
        <v>4118.5714786276321</v>
      </c>
      <c r="AE296" s="198">
        <f t="shared" si="310"/>
        <v>4240.7136587686036</v>
      </c>
      <c r="AF296" s="198">
        <f t="shared" si="310"/>
        <v>4349.7181532682025</v>
      </c>
      <c r="AG296" s="198">
        <f t="shared" si="310"/>
        <v>4461.1740188850208</v>
      </c>
      <c r="AH296" s="198">
        <f t="shared" si="310"/>
        <v>4575.1558568669507</v>
      </c>
      <c r="AI296" s="198">
        <f t="shared" si="310"/>
        <v>4691.7387767687032</v>
      </c>
      <c r="AJ296" s="198">
        <f t="shared" si="310"/>
        <v>4810.9984960995098</v>
      </c>
      <c r="AK296" s="198">
        <f t="shared" si="310"/>
        <v>4933.0114360261123</v>
      </c>
      <c r="AM296" s="205"/>
      <c r="AR296" s="198">
        <f t="shared" ref="AR296:BL296" si="311">AR257*$AN$289</f>
        <v>1983.7789357231186</v>
      </c>
      <c r="AS296" s="198">
        <f t="shared" si="311"/>
        <v>2161.1844987873324</v>
      </c>
      <c r="AT296" s="198">
        <f t="shared" si="311"/>
        <v>2338.4163529396128</v>
      </c>
      <c r="AU296" s="198">
        <f t="shared" si="311"/>
        <v>2543.8377108407781</v>
      </c>
      <c r="AV296" s="248">
        <f t="shared" si="311"/>
        <v>2858.551168039523</v>
      </c>
      <c r="AW296" s="198">
        <f t="shared" si="311"/>
        <v>3182.0375756700041</v>
      </c>
      <c r="AX296" s="198">
        <f t="shared" si="311"/>
        <v>3346.7662853259621</v>
      </c>
      <c r="AY296" s="198">
        <f t="shared" si="311"/>
        <v>3331.9558234738001</v>
      </c>
      <c r="AZ296" s="198">
        <f t="shared" si="311"/>
        <v>3464.6384889758847</v>
      </c>
      <c r="BA296" s="198">
        <f t="shared" si="311"/>
        <v>3568.4863030956894</v>
      </c>
      <c r="BB296" s="198">
        <f t="shared" si="311"/>
        <v>3675.0655804706735</v>
      </c>
      <c r="BC296" s="198">
        <f t="shared" si="311"/>
        <v>3784.4691228377301</v>
      </c>
      <c r="BD296" s="198">
        <f t="shared" si="311"/>
        <v>3896.7911016649978</v>
      </c>
      <c r="BE296" s="198">
        <f t="shared" si="311"/>
        <v>4012.1271748091463</v>
      </c>
      <c r="BF296" s="198">
        <f t="shared" si="311"/>
        <v>4130.5746009732675</v>
      </c>
      <c r="BG296" s="198">
        <f t="shared" si="311"/>
        <v>4236.2373175118555</v>
      </c>
      <c r="BH296" s="198">
        <f t="shared" si="311"/>
        <v>4344.3227840399859</v>
      </c>
      <c r="BI296" s="198">
        <f t="shared" si="311"/>
        <v>4454.900727725013</v>
      </c>
      <c r="BJ296" s="198">
        <f t="shared" si="311"/>
        <v>4568.0415820212056</v>
      </c>
      <c r="BK296" s="198">
        <f t="shared" si="311"/>
        <v>4683.8165685454433</v>
      </c>
      <c r="BL296" s="198">
        <f t="shared" si="311"/>
        <v>4802.2977761725824</v>
      </c>
      <c r="BN296" s="205"/>
      <c r="BQ296" s="212">
        <f t="shared" si="305"/>
        <v>0</v>
      </c>
      <c r="BR296" s="212">
        <f t="shared" si="302"/>
        <v>2.3564317305535951</v>
      </c>
      <c r="BS296" s="212">
        <f t="shared" si="302"/>
        <v>11.305588951071968</v>
      </c>
      <c r="BT296" s="212">
        <f t="shared" si="302"/>
        <v>14.467011426776025</v>
      </c>
      <c r="BU296" s="226">
        <f t="shared" si="302"/>
        <v>15.90419691981333</v>
      </c>
      <c r="BV296" s="212">
        <f t="shared" si="302"/>
        <v>53.000977574208719</v>
      </c>
      <c r="BW296" s="212">
        <f t="shared" si="302"/>
        <v>94.282738105424414</v>
      </c>
      <c r="BX296" s="212">
        <f t="shared" si="302"/>
        <v>84.334974903993498</v>
      </c>
      <c r="BY296" s="212">
        <f t="shared" si="302"/>
        <v>88.554732464785502</v>
      </c>
      <c r="BZ296" s="212">
        <f t="shared" si="302"/>
        <v>92.074893140337281</v>
      </c>
      <c r="CA296" s="212">
        <f t="shared" si="302"/>
        <v>95.617678957784847</v>
      </c>
      <c r="CB296" s="212">
        <f t="shared" si="302"/>
        <v>99.189452653114586</v>
      </c>
      <c r="CC296" s="212">
        <f t="shared" si="302"/>
        <v>102.79635059642715</v>
      </c>
      <c r="CD296" s="212">
        <f t="shared" si="302"/>
        <v>106.44430381848588</v>
      </c>
      <c r="CE296" s="212">
        <f t="shared" si="302"/>
        <v>110.13905779533616</v>
      </c>
      <c r="CF296" s="212">
        <f t="shared" si="302"/>
        <v>113.48083575634701</v>
      </c>
      <c r="CG296" s="212">
        <f t="shared" si="302"/>
        <v>116.85123484503492</v>
      </c>
      <c r="CH296" s="212">
        <f t="shared" si="302"/>
        <v>120.25512914193769</v>
      </c>
      <c r="CI296" s="212">
        <f t="shared" si="302"/>
        <v>123.69719474749763</v>
      </c>
      <c r="CJ296" s="212">
        <f t="shared" si="302"/>
        <v>127.18192755406653</v>
      </c>
      <c r="CK296" s="212">
        <f t="shared" si="302"/>
        <v>130.71365985352986</v>
      </c>
    </row>
    <row r="297" spans="2:89" s="193" customFormat="1" x14ac:dyDescent="0.2">
      <c r="E297" s="211"/>
      <c r="G297" s="196" t="s">
        <v>73</v>
      </c>
      <c r="L297" s="190" t="s">
        <v>175</v>
      </c>
      <c r="M297" s="195"/>
      <c r="Q297" s="198">
        <f t="shared" ref="Q297:AK297" si="312">Q258*$M$289</f>
        <v>197.33713636669196</v>
      </c>
      <c r="R297" s="248">
        <f t="shared" si="312"/>
        <v>215.21902665273529</v>
      </c>
      <c r="S297" s="198">
        <f t="shared" si="312"/>
        <v>233.73945096441346</v>
      </c>
      <c r="T297" s="198">
        <f t="shared" si="312"/>
        <v>254.48829945441423</v>
      </c>
      <c r="U297" s="248">
        <f t="shared" si="312"/>
        <v>285.93750045449758</v>
      </c>
      <c r="V297" s="198">
        <f t="shared" si="312"/>
        <v>321.80664520482702</v>
      </c>
      <c r="W297" s="198">
        <f t="shared" si="312"/>
        <v>342.29961219637084</v>
      </c>
      <c r="X297" s="198">
        <f t="shared" si="312"/>
        <v>339.8367786892594</v>
      </c>
      <c r="Y297" s="198">
        <f t="shared" si="312"/>
        <v>353.45519737614063</v>
      </c>
      <c r="Z297" s="198">
        <f t="shared" si="312"/>
        <v>364.13566600198533</v>
      </c>
      <c r="AA297" s="198">
        <f t="shared" si="312"/>
        <v>375.09009858006431</v>
      </c>
      <c r="AB297" s="198">
        <f t="shared" si="312"/>
        <v>386.32835953263731</v>
      </c>
      <c r="AC297" s="198">
        <f t="shared" si="312"/>
        <v>397.86042701865904</v>
      </c>
      <c r="AD297" s="198">
        <f t="shared" si="312"/>
        <v>409.69640662992975</v>
      </c>
      <c r="AE297" s="198">
        <f t="shared" si="312"/>
        <v>421.84654474489952</v>
      </c>
      <c r="AF297" s="198">
        <f t="shared" si="312"/>
        <v>432.68980676784696</v>
      </c>
      <c r="AG297" s="198">
        <f t="shared" si="312"/>
        <v>443.77691983071998</v>
      </c>
      <c r="AH297" s="198">
        <f t="shared" si="312"/>
        <v>455.11530491995654</v>
      </c>
      <c r="AI297" s="198">
        <f t="shared" si="312"/>
        <v>466.71243358606472</v>
      </c>
      <c r="AJ297" s="198">
        <f t="shared" si="312"/>
        <v>478.57583785598473</v>
      </c>
      <c r="AK297" s="198">
        <f t="shared" si="312"/>
        <v>490.71311975328587</v>
      </c>
      <c r="AM297" s="205"/>
      <c r="AR297" s="198">
        <f t="shared" ref="AR297:BL297" si="313">AR258*$AN$289</f>
        <v>197.33713636669196</v>
      </c>
      <c r="AS297" s="198">
        <f t="shared" si="313"/>
        <v>214.98461974308557</v>
      </c>
      <c r="AT297" s="198">
        <f t="shared" si="313"/>
        <v>232.61482336182715</v>
      </c>
      <c r="AU297" s="198">
        <f t="shared" si="313"/>
        <v>253.04918819290489</v>
      </c>
      <c r="AV297" s="248">
        <f t="shared" si="313"/>
        <v>284.35542463957125</v>
      </c>
      <c r="AW297" s="198">
        <f t="shared" si="313"/>
        <v>316.53435354430627</v>
      </c>
      <c r="AX297" s="198">
        <f t="shared" si="313"/>
        <v>332.92080228388761</v>
      </c>
      <c r="AY297" s="198">
        <f t="shared" si="313"/>
        <v>331.44752616549238</v>
      </c>
      <c r="AZ297" s="198">
        <f t="shared" si="313"/>
        <v>344.64618292315203</v>
      </c>
      <c r="BA297" s="198">
        <f t="shared" si="313"/>
        <v>354.97648227622398</v>
      </c>
      <c r="BB297" s="198">
        <f t="shared" si="313"/>
        <v>365.57849493725166</v>
      </c>
      <c r="BC297" s="198">
        <f t="shared" si="313"/>
        <v>376.46145239300165</v>
      </c>
      <c r="BD297" s="198">
        <f t="shared" si="313"/>
        <v>387.6347223847651</v>
      </c>
      <c r="BE297" s="198">
        <f t="shared" si="313"/>
        <v>399.10782051288368</v>
      </c>
      <c r="BF297" s="198">
        <f t="shared" si="313"/>
        <v>410.89042162247375</v>
      </c>
      <c r="BG297" s="198">
        <f t="shared" si="313"/>
        <v>421.40125905852602</v>
      </c>
      <c r="BH297" s="198">
        <f t="shared" si="313"/>
        <v>432.15310043734291</v>
      </c>
      <c r="BI297" s="198">
        <f t="shared" si="313"/>
        <v>443.15288189441594</v>
      </c>
      <c r="BJ297" s="198">
        <f t="shared" si="313"/>
        <v>454.40760982344801</v>
      </c>
      <c r="BK297" s="198">
        <f t="shared" si="313"/>
        <v>465.9243690208408</v>
      </c>
      <c r="BL297" s="198">
        <f t="shared" si="313"/>
        <v>477.71033055384152</v>
      </c>
      <c r="BN297" s="205"/>
      <c r="BQ297" s="212">
        <f t="shared" si="305"/>
        <v>0</v>
      </c>
      <c r="BR297" s="212">
        <f t="shared" si="302"/>
        <v>0.23440690964972077</v>
      </c>
      <c r="BS297" s="212">
        <f t="shared" si="302"/>
        <v>1.1246276025863153</v>
      </c>
      <c r="BT297" s="212">
        <f t="shared" si="302"/>
        <v>1.4391112615093391</v>
      </c>
      <c r="BU297" s="226">
        <f t="shared" si="302"/>
        <v>1.582075814926327</v>
      </c>
      <c r="BV297" s="212">
        <f t="shared" si="302"/>
        <v>5.2722916605207502</v>
      </c>
      <c r="BW297" s="212">
        <f t="shared" si="302"/>
        <v>9.3788099124832343</v>
      </c>
      <c r="BX297" s="212">
        <f t="shared" si="302"/>
        <v>8.389252523767027</v>
      </c>
      <c r="BY297" s="212">
        <f t="shared" si="302"/>
        <v>8.8090144529886061</v>
      </c>
      <c r="BZ297" s="212">
        <f t="shared" si="302"/>
        <v>9.159183725761352</v>
      </c>
      <c r="CA297" s="212">
        <f t="shared" si="302"/>
        <v>9.5116036428126449</v>
      </c>
      <c r="CB297" s="212">
        <f t="shared" si="302"/>
        <v>9.8669071396356571</v>
      </c>
      <c r="CC297" s="212">
        <f t="shared" si="302"/>
        <v>10.22570463389394</v>
      </c>
      <c r="CD297" s="212">
        <f t="shared" si="302"/>
        <v>10.588586117046077</v>
      </c>
      <c r="CE297" s="212">
        <f t="shared" si="302"/>
        <v>10.956123122425765</v>
      </c>
      <c r="CF297" s="212">
        <f t="shared" si="302"/>
        <v>11.288547709320937</v>
      </c>
      <c r="CG297" s="212">
        <f t="shared" si="302"/>
        <v>11.623819393377062</v>
      </c>
      <c r="CH297" s="212">
        <f t="shared" si="302"/>
        <v>11.962423025540602</v>
      </c>
      <c r="CI297" s="212">
        <f t="shared" si="302"/>
        <v>12.304823762616707</v>
      </c>
      <c r="CJ297" s="212">
        <f t="shared" si="302"/>
        <v>12.65146883514393</v>
      </c>
      <c r="CK297" s="212">
        <f t="shared" si="302"/>
        <v>13.002789199444351</v>
      </c>
    </row>
    <row r="298" spans="2:89" s="193" customFormat="1" x14ac:dyDescent="0.2">
      <c r="E298" s="211"/>
      <c r="G298" s="196" t="s">
        <v>180</v>
      </c>
      <c r="L298" s="190" t="s">
        <v>175</v>
      </c>
      <c r="M298" s="195"/>
      <c r="Q298" s="198">
        <f t="shared" ref="Q298:AK298" si="314">Q259*$M$289</f>
        <v>2989.1417831886451</v>
      </c>
      <c r="R298" s="248">
        <f t="shared" si="314"/>
        <v>3260.0056783506925</v>
      </c>
      <c r="S298" s="198">
        <f t="shared" si="314"/>
        <v>3540.5416948942352</v>
      </c>
      <c r="T298" s="198">
        <f t="shared" si="314"/>
        <v>3854.832512712042</v>
      </c>
      <c r="U298" s="248">
        <f t="shared" si="314"/>
        <v>4331.2057006890091</v>
      </c>
      <c r="V298" s="198">
        <f t="shared" si="314"/>
        <v>4874.5294828950082</v>
      </c>
      <c r="W298" s="198">
        <f t="shared" si="314"/>
        <v>5184.9443648769884</v>
      </c>
      <c r="X298" s="198">
        <f t="shared" si="314"/>
        <v>5147.6388750098176</v>
      </c>
      <c r="Y298" s="198">
        <f t="shared" si="314"/>
        <v>5353.9223200187189</v>
      </c>
      <c r="Z298" s="198">
        <f t="shared" si="314"/>
        <v>5515.703501307511</v>
      </c>
      <c r="AA298" s="198">
        <f t="shared" si="314"/>
        <v>5681.6345203399051</v>
      </c>
      <c r="AB298" s="198">
        <f t="shared" si="314"/>
        <v>5851.8647973278357</v>
      </c>
      <c r="AC298" s="198">
        <f t="shared" si="314"/>
        <v>6026.5454752970163</v>
      </c>
      <c r="AD298" s="198">
        <f t="shared" si="314"/>
        <v>6205.8296275473022</v>
      </c>
      <c r="AE298" s="198">
        <f t="shared" si="314"/>
        <v>6389.8724599288607</v>
      </c>
      <c r="AF298" s="198">
        <f t="shared" si="314"/>
        <v>6554.1195356470998</v>
      </c>
      <c r="AG298" s="198">
        <f t="shared" si="314"/>
        <v>6722.0603172015972</v>
      </c>
      <c r="AH298" s="198">
        <f t="shared" si="314"/>
        <v>6893.8072131389681</v>
      </c>
      <c r="AI298" s="198">
        <f t="shared" si="314"/>
        <v>7069.4733979186321</v>
      </c>
      <c r="AJ298" s="198">
        <f t="shared" si="314"/>
        <v>7249.1729620603446</v>
      </c>
      <c r="AK298" s="198">
        <f t="shared" si="314"/>
        <v>7433.0210563497349</v>
      </c>
      <c r="AM298" s="205"/>
      <c r="AR298" s="198">
        <f t="shared" ref="AR298:BL298" si="315">AR259*$AN$289</f>
        <v>2989.1417831886451</v>
      </c>
      <c r="AS298" s="198">
        <f t="shared" si="315"/>
        <v>3256.455026401432</v>
      </c>
      <c r="AT298" s="198">
        <f t="shared" si="315"/>
        <v>3523.5065264545178</v>
      </c>
      <c r="AU298" s="198">
        <f t="shared" si="315"/>
        <v>3833.0337388895541</v>
      </c>
      <c r="AV298" s="248">
        <f t="shared" si="315"/>
        <v>4307.2413875868824</v>
      </c>
      <c r="AW298" s="198">
        <f t="shared" si="315"/>
        <v>4794.6680458346518</v>
      </c>
      <c r="AX298" s="198">
        <f t="shared" si="315"/>
        <v>5042.8799106026881</v>
      </c>
      <c r="AY298" s="198">
        <f t="shared" si="315"/>
        <v>5020.5636285041883</v>
      </c>
      <c r="AZ298" s="198">
        <f t="shared" si="315"/>
        <v>5220.48877752922</v>
      </c>
      <c r="BA298" s="198">
        <f t="shared" si="315"/>
        <v>5376.965809666438</v>
      </c>
      <c r="BB298" s="198">
        <f t="shared" si="315"/>
        <v>5537.5585881695424</v>
      </c>
      <c r="BC298" s="198">
        <f t="shared" si="315"/>
        <v>5702.4069459322309</v>
      </c>
      <c r="BD298" s="198">
        <f t="shared" si="315"/>
        <v>5871.652779748214</v>
      </c>
      <c r="BE298" s="198">
        <f t="shared" si="315"/>
        <v>6045.4402260889792</v>
      </c>
      <c r="BF298" s="198">
        <f t="shared" si="315"/>
        <v>6223.9158335686416</v>
      </c>
      <c r="BG298" s="198">
        <f t="shared" si="315"/>
        <v>6383.1275457423299</v>
      </c>
      <c r="BH298" s="198">
        <f t="shared" si="315"/>
        <v>6545.9898376725059</v>
      </c>
      <c r="BI298" s="198">
        <f t="shared" si="315"/>
        <v>6712.607773681324</v>
      </c>
      <c r="BJ298" s="198">
        <f t="shared" si="315"/>
        <v>6883.0874823185186</v>
      </c>
      <c r="BK298" s="198">
        <f t="shared" si="315"/>
        <v>7057.5362797302332</v>
      </c>
      <c r="BL298" s="198">
        <f t="shared" si="315"/>
        <v>7236.0627888403205</v>
      </c>
      <c r="BN298" s="205"/>
      <c r="BQ298" s="212">
        <f t="shared" si="305"/>
        <v>0</v>
      </c>
      <c r="BR298" s="212">
        <f t="shared" si="302"/>
        <v>3.5506519492605548</v>
      </c>
      <c r="BS298" s="212">
        <f t="shared" si="302"/>
        <v>17.035168439717381</v>
      </c>
      <c r="BT298" s="212">
        <f t="shared" si="302"/>
        <v>21.798773822487874</v>
      </c>
      <c r="BU298" s="226">
        <f t="shared" si="302"/>
        <v>23.964313102126653</v>
      </c>
      <c r="BV298" s="212">
        <f t="shared" si="302"/>
        <v>79.861437060356366</v>
      </c>
      <c r="BW298" s="212">
        <f t="shared" si="302"/>
        <v>142.06445427430026</v>
      </c>
      <c r="BX298" s="212">
        <f t="shared" si="302"/>
        <v>127.07524650562937</v>
      </c>
      <c r="BY298" s="212">
        <f t="shared" si="302"/>
        <v>133.4335424894989</v>
      </c>
      <c r="BZ298" s="212">
        <f t="shared" si="302"/>
        <v>138.73769164107307</v>
      </c>
      <c r="CA298" s="212">
        <f t="shared" si="302"/>
        <v>144.07593217036265</v>
      </c>
      <c r="CB298" s="212">
        <f t="shared" si="302"/>
        <v>149.45785139560485</v>
      </c>
      <c r="CC298" s="212">
        <f t="shared" si="302"/>
        <v>154.89269554880229</v>
      </c>
      <c r="CD298" s="212">
        <f t="shared" si="302"/>
        <v>160.38940145832294</v>
      </c>
      <c r="CE298" s="212">
        <f t="shared" si="302"/>
        <v>165.95662636021916</v>
      </c>
      <c r="CF298" s="212">
        <f t="shared" si="302"/>
        <v>170.99198990476998</v>
      </c>
      <c r="CG298" s="212">
        <f t="shared" si="302"/>
        <v>176.07047952909124</v>
      </c>
      <c r="CH298" s="212">
        <f t="shared" si="302"/>
        <v>181.19943945764408</v>
      </c>
      <c r="CI298" s="212">
        <f t="shared" si="302"/>
        <v>186.38591560011355</v>
      </c>
      <c r="CJ298" s="212">
        <f t="shared" si="302"/>
        <v>191.6366823301114</v>
      </c>
      <c r="CK298" s="212">
        <f t="shared" si="302"/>
        <v>196.95826750941433</v>
      </c>
    </row>
    <row r="299" spans="2:89" s="193" customFormat="1" x14ac:dyDescent="0.2">
      <c r="E299" s="211"/>
      <c r="G299" s="196" t="s">
        <v>75</v>
      </c>
      <c r="L299" s="190" t="s">
        <v>175</v>
      </c>
      <c r="M299" s="195"/>
      <c r="Q299" s="198">
        <f t="shared" ref="Q299:AK299" si="316">Q260*$M$289</f>
        <v>1687.5945877906584</v>
      </c>
      <c r="R299" s="248">
        <f t="shared" si="316"/>
        <v>1840.5175592181827</v>
      </c>
      <c r="S299" s="198">
        <f t="shared" si="316"/>
        <v>1998.9011681395987</v>
      </c>
      <c r="T299" s="198">
        <f t="shared" si="316"/>
        <v>2176.3418924721341</v>
      </c>
      <c r="U299" s="248">
        <f t="shared" si="316"/>
        <v>2445.2902636467247</v>
      </c>
      <c r="V299" s="198">
        <f t="shared" si="316"/>
        <v>2752.037263546712</v>
      </c>
      <c r="W299" s="198">
        <f t="shared" si="316"/>
        <v>2927.2897315790688</v>
      </c>
      <c r="X299" s="198">
        <f t="shared" si="316"/>
        <v>2906.2279863153399</v>
      </c>
      <c r="Y299" s="198">
        <f t="shared" si="316"/>
        <v>3022.6904530024985</v>
      </c>
      <c r="Z299" s="198">
        <f t="shared" si="316"/>
        <v>3114.0280561516392</v>
      </c>
      <c r="AA299" s="198">
        <f t="shared" si="316"/>
        <v>3207.708553758167</v>
      </c>
      <c r="AB299" s="198">
        <f t="shared" si="316"/>
        <v>3303.8163047316125</v>
      </c>
      <c r="AC299" s="198">
        <f t="shared" si="316"/>
        <v>3402.4366406388003</v>
      </c>
      <c r="AD299" s="198">
        <f t="shared" si="316"/>
        <v>3503.6559828312534</v>
      </c>
      <c r="AE299" s="198">
        <f t="shared" si="316"/>
        <v>3607.5619566447108</v>
      </c>
      <c r="AF299" s="198">
        <f t="shared" si="316"/>
        <v>3700.291742030467</v>
      </c>
      <c r="AG299" s="198">
        <f t="shared" si="316"/>
        <v>3795.1069012225098</v>
      </c>
      <c r="AH299" s="198">
        <f t="shared" si="316"/>
        <v>3892.070897271069</v>
      </c>
      <c r="AI299" s="198">
        <f t="shared" si="316"/>
        <v>3991.2476256415184</v>
      </c>
      <c r="AJ299" s="198">
        <f t="shared" si="316"/>
        <v>4092.7014989838003</v>
      </c>
      <c r="AK299" s="198">
        <f t="shared" si="316"/>
        <v>4196.4975285477312</v>
      </c>
      <c r="AM299" s="205"/>
      <c r="AR299" s="198">
        <f t="shared" ref="AR299:BL299" si="317">AR260*$AN$289</f>
        <v>1687.5945877906584</v>
      </c>
      <c r="AS299" s="198">
        <f t="shared" si="317"/>
        <v>1838.5129500536386</v>
      </c>
      <c r="AT299" s="198">
        <f t="shared" si="317"/>
        <v>1989.2835386839956</v>
      </c>
      <c r="AU299" s="198">
        <f t="shared" si="317"/>
        <v>2164.0348507218223</v>
      </c>
      <c r="AV299" s="248">
        <f t="shared" si="317"/>
        <v>2431.7606126550186</v>
      </c>
      <c r="AW299" s="198">
        <f t="shared" si="317"/>
        <v>2706.9494963105681</v>
      </c>
      <c r="AX299" s="198">
        <f t="shared" si="317"/>
        <v>2847.083698697284</v>
      </c>
      <c r="AY299" s="198">
        <f t="shared" si="317"/>
        <v>2834.4844847353306</v>
      </c>
      <c r="AZ299" s="198">
        <f t="shared" si="317"/>
        <v>2947.3572167533966</v>
      </c>
      <c r="BA299" s="198">
        <f t="shared" si="317"/>
        <v>3035.7002301338694</v>
      </c>
      <c r="BB299" s="198">
        <f t="shared" si="317"/>
        <v>3126.3668908336917</v>
      </c>
      <c r="BC299" s="198">
        <f t="shared" si="317"/>
        <v>3219.4361450026258</v>
      </c>
      <c r="BD299" s="198">
        <f t="shared" si="317"/>
        <v>3314.9881040164864</v>
      </c>
      <c r="BE299" s="198">
        <f t="shared" si="317"/>
        <v>3413.1041437173139</v>
      </c>
      <c r="BF299" s="198">
        <f t="shared" si="317"/>
        <v>3513.8670017822014</v>
      </c>
      <c r="BG299" s="198">
        <f t="shared" si="317"/>
        <v>3603.7539470212851</v>
      </c>
      <c r="BH299" s="198">
        <f t="shared" si="317"/>
        <v>3695.7019181621099</v>
      </c>
      <c r="BI299" s="198">
        <f t="shared" si="317"/>
        <v>3789.77023188971</v>
      </c>
      <c r="BJ299" s="198">
        <f t="shared" si="317"/>
        <v>3886.0188057253154</v>
      </c>
      <c r="BK299" s="198">
        <f t="shared" si="317"/>
        <v>3984.5082276771923</v>
      </c>
      <c r="BL299" s="198">
        <f t="shared" si="317"/>
        <v>4085.2998235278819</v>
      </c>
      <c r="BN299" s="205"/>
      <c r="BQ299" s="212">
        <f t="shared" si="305"/>
        <v>0</v>
      </c>
      <c r="BR299" s="212">
        <f t="shared" si="302"/>
        <v>2.0046091645440356</v>
      </c>
      <c r="BS299" s="212">
        <f t="shared" si="302"/>
        <v>9.6176294556030371</v>
      </c>
      <c r="BT299" s="212">
        <f t="shared" si="302"/>
        <v>12.307041750311782</v>
      </c>
      <c r="BU299" s="226">
        <f t="shared" si="302"/>
        <v>13.529650991706148</v>
      </c>
      <c r="BV299" s="212">
        <f t="shared" si="302"/>
        <v>45.087767236143918</v>
      </c>
      <c r="BW299" s="212">
        <f t="shared" si="302"/>
        <v>80.206032881784722</v>
      </c>
      <c r="BX299" s="212">
        <f t="shared" si="302"/>
        <v>71.743501580009251</v>
      </c>
      <c r="BY299" s="212">
        <f t="shared" si="302"/>
        <v>75.333236249101901</v>
      </c>
      <c r="BZ299" s="212">
        <f t="shared" si="302"/>
        <v>78.327826017769894</v>
      </c>
      <c r="CA299" s="212">
        <f t="shared" si="302"/>
        <v>81.341662924475258</v>
      </c>
      <c r="CB299" s="212">
        <f t="shared" si="302"/>
        <v>84.380159728986655</v>
      </c>
      <c r="CC299" s="212">
        <f t="shared" si="302"/>
        <v>87.448536622313895</v>
      </c>
      <c r="CD299" s="212">
        <f t="shared" si="302"/>
        <v>90.551839113939423</v>
      </c>
      <c r="CE299" s="212">
        <f t="shared" si="302"/>
        <v>93.694954862509348</v>
      </c>
      <c r="CF299" s="212">
        <f t="shared" si="302"/>
        <v>96.537795009181991</v>
      </c>
      <c r="CG299" s="212">
        <f t="shared" si="302"/>
        <v>99.4049830603999</v>
      </c>
      <c r="CH299" s="212">
        <f t="shared" si="302"/>
        <v>102.30066538135907</v>
      </c>
      <c r="CI299" s="212">
        <f t="shared" si="302"/>
        <v>105.22881991620307</v>
      </c>
      <c r="CJ299" s="212">
        <f t="shared" si="302"/>
        <v>108.19327130660804</v>
      </c>
      <c r="CK299" s="212">
        <f t="shared" si="302"/>
        <v>111.19770501984931</v>
      </c>
    </row>
    <row r="300" spans="2:89" s="193" customFormat="1" x14ac:dyDescent="0.2">
      <c r="E300" s="211"/>
      <c r="G300" s="196" t="s">
        <v>181</v>
      </c>
      <c r="L300" s="190" t="s">
        <v>175</v>
      </c>
      <c r="M300" s="195"/>
      <c r="Q300" s="198">
        <f t="shared" ref="Q300:AK300" si="318">Q261*$M$289</f>
        <v>1223.1768220391536</v>
      </c>
      <c r="R300" s="248">
        <f t="shared" si="318"/>
        <v>1334.016140653222</v>
      </c>
      <c r="S300" s="198">
        <f t="shared" si="318"/>
        <v>1448.81335606573</v>
      </c>
      <c r="T300" s="198">
        <f t="shared" si="318"/>
        <v>1577.4232620583441</v>
      </c>
      <c r="U300" s="248">
        <f t="shared" si="318"/>
        <v>1772.3583586306913</v>
      </c>
      <c r="V300" s="198">
        <f t="shared" si="318"/>
        <v>1994.6900864178197</v>
      </c>
      <c r="W300" s="198">
        <f t="shared" si="318"/>
        <v>2121.7139335273223</v>
      </c>
      <c r="X300" s="198">
        <f t="shared" si="318"/>
        <v>2106.4482774125859</v>
      </c>
      <c r="Y300" s="198">
        <f t="shared" si="318"/>
        <v>2190.8608436295472</v>
      </c>
      <c r="Z300" s="198">
        <f t="shared" si="318"/>
        <v>2257.0627857078712</v>
      </c>
      <c r="AA300" s="198">
        <f t="shared" si="318"/>
        <v>2324.9628691630078</v>
      </c>
      <c r="AB300" s="198">
        <f t="shared" si="318"/>
        <v>2394.6222377456866</v>
      </c>
      <c r="AC300" s="198">
        <f t="shared" si="318"/>
        <v>2466.1027401934307</v>
      </c>
      <c r="AD300" s="198">
        <f t="shared" si="318"/>
        <v>2539.4670151250907</v>
      </c>
      <c r="AE300" s="198">
        <f t="shared" si="318"/>
        <v>2614.778573813142</v>
      </c>
      <c r="AF300" s="198">
        <f t="shared" si="318"/>
        <v>2681.9895763946201</v>
      </c>
      <c r="AG300" s="198">
        <f t="shared" si="318"/>
        <v>2750.7120681238039</v>
      </c>
      <c r="AH300" s="198">
        <f t="shared" si="318"/>
        <v>2820.9920473303509</v>
      </c>
      <c r="AI300" s="198">
        <f t="shared" si="318"/>
        <v>2892.8758257602749</v>
      </c>
      <c r="AJ300" s="198">
        <f t="shared" si="318"/>
        <v>2966.4100900179583</v>
      </c>
      <c r="AK300" s="198">
        <f t="shared" si="318"/>
        <v>3041.6419605754495</v>
      </c>
      <c r="AM300" s="205"/>
      <c r="AR300" s="198">
        <f t="shared" ref="AR300:BL300" si="319">AR261*$AN$289</f>
        <v>1223.1768220391536</v>
      </c>
      <c r="AS300" s="198">
        <f t="shared" si="319"/>
        <v>1332.5631901134082</v>
      </c>
      <c r="AT300" s="198">
        <f t="shared" si="319"/>
        <v>1441.8424511350286</v>
      </c>
      <c r="AU300" s="198">
        <f t="shared" si="319"/>
        <v>1568.5030579253378</v>
      </c>
      <c r="AV300" s="248">
        <f t="shared" si="319"/>
        <v>1762.5520013319276</v>
      </c>
      <c r="AW300" s="198">
        <f t="shared" si="319"/>
        <v>1962.0102519126924</v>
      </c>
      <c r="AX300" s="198">
        <f t="shared" si="319"/>
        <v>2063.5802080943995</v>
      </c>
      <c r="AY300" s="198">
        <f t="shared" si="319"/>
        <v>2054.4482361115038</v>
      </c>
      <c r="AZ300" s="198">
        <f t="shared" si="319"/>
        <v>2136.2589450599771</v>
      </c>
      <c r="BA300" s="198">
        <f t="shared" si="319"/>
        <v>2200.2903938082973</v>
      </c>
      <c r="BB300" s="198">
        <f t="shared" si="319"/>
        <v>2266.0060335135199</v>
      </c>
      <c r="BC300" s="198">
        <f t="shared" si="319"/>
        <v>2333.4630847315857</v>
      </c>
      <c r="BD300" s="198">
        <f t="shared" si="319"/>
        <v>2402.7196125800078</v>
      </c>
      <c r="BE300" s="198">
        <f t="shared" si="319"/>
        <v>2473.8345986676563</v>
      </c>
      <c r="BF300" s="198">
        <f t="shared" si="319"/>
        <v>2546.8680116680812</v>
      </c>
      <c r="BG300" s="198">
        <f t="shared" si="319"/>
        <v>2612.0185097887543</v>
      </c>
      <c r="BH300" s="198">
        <f t="shared" si="319"/>
        <v>2678.6628495766781</v>
      </c>
      <c r="BI300" s="198">
        <f t="shared" si="319"/>
        <v>2746.844024055707</v>
      </c>
      <c r="BJ300" s="198">
        <f t="shared" si="319"/>
        <v>2816.6054617384639</v>
      </c>
      <c r="BK300" s="198">
        <f t="shared" si="319"/>
        <v>2887.9910771103073</v>
      </c>
      <c r="BL300" s="198">
        <f t="shared" si="319"/>
        <v>2961.0453193985609</v>
      </c>
      <c r="BN300" s="205"/>
      <c r="BQ300" s="212">
        <f t="shared" si="305"/>
        <v>0</v>
      </c>
      <c r="BR300" s="212">
        <f t="shared" si="302"/>
        <v>1.4529505398138554</v>
      </c>
      <c r="BS300" s="212">
        <f t="shared" si="302"/>
        <v>6.9709049307014084</v>
      </c>
      <c r="BT300" s="212">
        <f t="shared" si="302"/>
        <v>8.9202041330063366</v>
      </c>
      <c r="BU300" s="226">
        <f t="shared" si="302"/>
        <v>9.8063572987637144</v>
      </c>
      <c r="BV300" s="212">
        <f t="shared" si="302"/>
        <v>32.679834505127246</v>
      </c>
      <c r="BW300" s="212">
        <f t="shared" si="302"/>
        <v>58.133725432922802</v>
      </c>
      <c r="BX300" s="212">
        <f t="shared" si="302"/>
        <v>52.000041301082092</v>
      </c>
      <c r="BY300" s="212">
        <f t="shared" si="302"/>
        <v>54.601898569570039</v>
      </c>
      <c r="BZ300" s="212">
        <f t="shared" si="302"/>
        <v>56.772391899573904</v>
      </c>
      <c r="CA300" s="212">
        <f t="shared" si="302"/>
        <v>58.956835649487857</v>
      </c>
      <c r="CB300" s="212">
        <f t="shared" si="302"/>
        <v>61.159153014100866</v>
      </c>
      <c r="CC300" s="212">
        <f t="shared" si="302"/>
        <v>63.383127613422857</v>
      </c>
      <c r="CD300" s="212">
        <f t="shared" si="302"/>
        <v>65.632416457434374</v>
      </c>
      <c r="CE300" s="212">
        <f t="shared" si="302"/>
        <v>67.910562145060794</v>
      </c>
      <c r="CF300" s="212">
        <f t="shared" si="302"/>
        <v>69.971066605865872</v>
      </c>
      <c r="CG300" s="212">
        <f t="shared" si="302"/>
        <v>72.049218547125747</v>
      </c>
      <c r="CH300" s="212">
        <f t="shared" si="302"/>
        <v>74.148023274643947</v>
      </c>
      <c r="CI300" s="212">
        <f t="shared" si="302"/>
        <v>76.270364021811019</v>
      </c>
      <c r="CJ300" s="212">
        <f t="shared" si="302"/>
        <v>78.419012907650995</v>
      </c>
      <c r="CK300" s="212">
        <f t="shared" si="302"/>
        <v>80.596641176888625</v>
      </c>
    </row>
    <row r="301" spans="2:89" x14ac:dyDescent="0.2">
      <c r="E301" s="18"/>
      <c r="L301" s="4"/>
      <c r="M301" s="63"/>
    </row>
    <row r="302" spans="2:89" x14ac:dyDescent="0.2">
      <c r="E302" s="18"/>
      <c r="L302" s="4"/>
      <c r="M302" s="63"/>
    </row>
    <row r="303" spans="2:89" s="1" customFormat="1" x14ac:dyDescent="0.2">
      <c r="B303" s="1" t="s">
        <v>423</v>
      </c>
      <c r="E303" s="218"/>
      <c r="M303" s="124"/>
      <c r="R303" s="233"/>
      <c r="U303" s="233"/>
      <c r="AM303" s="207"/>
      <c r="AV303" s="233"/>
      <c r="BN303" s="207"/>
      <c r="BU303" s="233"/>
    </row>
    <row r="304" spans="2:89" s="1" customFormat="1" x14ac:dyDescent="0.2">
      <c r="E304" s="218"/>
      <c r="G304" s="122" t="s">
        <v>224</v>
      </c>
      <c r="L304" s="123" t="s">
        <v>175</v>
      </c>
      <c r="M304" s="124"/>
      <c r="Q304" s="217">
        <f t="shared" ref="Q304:AK304" si="320">Q73+Q150+Q266+Q277+Q292</f>
        <v>13597704.278977403</v>
      </c>
      <c r="R304" s="237">
        <f t="shared" si="320"/>
        <v>15007602.163408643</v>
      </c>
      <c r="S304" s="217">
        <f t="shared" si="320"/>
        <v>16476446.277811792</v>
      </c>
      <c r="T304" s="217">
        <f t="shared" si="320"/>
        <v>18128274.101721842</v>
      </c>
      <c r="U304" s="237">
        <f t="shared" si="320"/>
        <v>20489891.251526129</v>
      </c>
      <c r="V304" s="217">
        <f t="shared" si="320"/>
        <v>23510009.622507066</v>
      </c>
      <c r="W304" s="217">
        <f t="shared" si="320"/>
        <v>25620388.571962073</v>
      </c>
      <c r="X304" s="217">
        <f t="shared" si="320"/>
        <v>25787400.400745101</v>
      </c>
      <c r="Y304" s="217">
        <f t="shared" si="320"/>
        <v>27109233.408681996</v>
      </c>
      <c r="Z304" s="217">
        <f t="shared" si="320"/>
        <v>28238310.10168596</v>
      </c>
      <c r="AA304" s="217">
        <f t="shared" si="320"/>
        <v>29378008.192211978</v>
      </c>
      <c r="AB304" s="217">
        <f t="shared" si="320"/>
        <v>30538621.309221823</v>
      </c>
      <c r="AC304" s="217">
        <f t="shared" si="320"/>
        <v>31780674.874858376</v>
      </c>
      <c r="AD304" s="217">
        <f t="shared" si="320"/>
        <v>33056409.195308603</v>
      </c>
      <c r="AE304" s="217">
        <f t="shared" si="320"/>
        <v>34356263.459583551</v>
      </c>
      <c r="AF304" s="217">
        <f t="shared" si="320"/>
        <v>35569000.254175968</v>
      </c>
      <c r="AG304" s="217">
        <f t="shared" si="320"/>
        <v>36850965.520501241</v>
      </c>
      <c r="AH304" s="217">
        <f t="shared" si="320"/>
        <v>38166605.27776435</v>
      </c>
      <c r="AI304" s="217">
        <f t="shared" si="320"/>
        <v>39508939.738626197</v>
      </c>
      <c r="AJ304" s="217">
        <f t="shared" si="320"/>
        <v>40884356.717331767</v>
      </c>
      <c r="AK304" s="217">
        <f t="shared" si="320"/>
        <v>42327368.916927718</v>
      </c>
      <c r="AM304" s="207"/>
      <c r="AR304" s="217">
        <f t="shared" ref="AR304:BL304" si="321">AR73+AR150+AR266+AR277+AR292</f>
        <v>13597704.278977403</v>
      </c>
      <c r="AS304" s="217">
        <f t="shared" si="321"/>
        <v>14991301.306543853</v>
      </c>
      <c r="AT304" s="217">
        <f t="shared" si="321"/>
        <v>16374069.687363032</v>
      </c>
      <c r="AU304" s="217">
        <f t="shared" si="321"/>
        <v>17960107.514921688</v>
      </c>
      <c r="AV304" s="237">
        <f t="shared" si="321"/>
        <v>20286328.244178303</v>
      </c>
      <c r="AW304" s="217">
        <f t="shared" si="321"/>
        <v>22708886.482373912</v>
      </c>
      <c r="AX304" s="217">
        <f t="shared" si="321"/>
        <v>24114069.58385884</v>
      </c>
      <c r="AY304" s="217">
        <f t="shared" si="321"/>
        <v>24334322.99081219</v>
      </c>
      <c r="AZ304" s="217">
        <f t="shared" si="321"/>
        <v>25554664.695177455</v>
      </c>
      <c r="BA304" s="217">
        <f t="shared" si="321"/>
        <v>26595408.16898486</v>
      </c>
      <c r="BB304" s="217">
        <f t="shared" si="321"/>
        <v>27670298.952591665</v>
      </c>
      <c r="BC304" s="217">
        <f t="shared" si="321"/>
        <v>28780994.4981311</v>
      </c>
      <c r="BD304" s="217">
        <f t="shared" si="321"/>
        <v>29929189.27809659</v>
      </c>
      <c r="BE304" s="217">
        <f t="shared" si="321"/>
        <v>31116617.899690401</v>
      </c>
      <c r="BF304" s="217">
        <f t="shared" si="321"/>
        <v>32345058.215806101</v>
      </c>
      <c r="BG304" s="217">
        <f t="shared" si="321"/>
        <v>33499741.843938902</v>
      </c>
      <c r="BH304" s="217">
        <f t="shared" si="321"/>
        <v>34690298.288579836</v>
      </c>
      <c r="BI304" s="217">
        <f t="shared" si="321"/>
        <v>35918181.324114069</v>
      </c>
      <c r="BJ304" s="217">
        <f t="shared" si="321"/>
        <v>37184876.586898901</v>
      </c>
      <c r="BK304" s="217">
        <f t="shared" si="321"/>
        <v>38491903.791073114</v>
      </c>
      <c r="BL304" s="217">
        <f t="shared" si="321"/>
        <v>39840818.938028127</v>
      </c>
      <c r="BN304" s="207"/>
      <c r="BQ304" s="217">
        <f t="shared" ref="BQ304:CK304" si="322">BQ73+BQ150+BQ266+BQ277+BQ292</f>
        <v>0</v>
      </c>
      <c r="BR304" s="217">
        <f t="shared" si="322"/>
        <v>16300.856864790749</v>
      </c>
      <c r="BS304" s="217">
        <f t="shared" si="322"/>
        <v>102376.59044875682</v>
      </c>
      <c r="BT304" s="217">
        <f t="shared" si="322"/>
        <v>168166.58680015395</v>
      </c>
      <c r="BU304" s="217">
        <f t="shared" si="322"/>
        <v>203563.00734782312</v>
      </c>
      <c r="BV304" s="217">
        <f t="shared" si="322"/>
        <v>801123.14013315609</v>
      </c>
      <c r="BW304" s="217">
        <f t="shared" si="322"/>
        <v>1506318.9881032316</v>
      </c>
      <c r="BX304" s="217">
        <f t="shared" si="322"/>
        <v>1453077.4099329114</v>
      </c>
      <c r="BY304" s="217">
        <f t="shared" si="322"/>
        <v>1554568.713504541</v>
      </c>
      <c r="BZ304" s="217">
        <f t="shared" si="322"/>
        <v>1642901.9327010943</v>
      </c>
      <c r="CA304" s="217">
        <f t="shared" si="322"/>
        <v>1707709.2396203186</v>
      </c>
      <c r="CB304" s="217">
        <f t="shared" si="322"/>
        <v>1757626.8110907197</v>
      </c>
      <c r="CC304" s="217">
        <f t="shared" si="322"/>
        <v>1851485.5967617808</v>
      </c>
      <c r="CD304" s="217">
        <f t="shared" si="322"/>
        <v>1939791.2956182</v>
      </c>
      <c r="CE304" s="217">
        <f t="shared" si="322"/>
        <v>2011205.2437774502</v>
      </c>
      <c r="CF304" s="217">
        <f t="shared" si="322"/>
        <v>2069258.4102370678</v>
      </c>
      <c r="CG304" s="217">
        <f t="shared" si="322"/>
        <v>2160667.2319214069</v>
      </c>
      <c r="CH304" s="217">
        <f t="shared" si="322"/>
        <v>2248423.9536502752</v>
      </c>
      <c r="CI304" s="217">
        <f t="shared" si="322"/>
        <v>2324063.1517272978</v>
      </c>
      <c r="CJ304" s="217">
        <f t="shared" si="322"/>
        <v>2392452.9262586571</v>
      </c>
      <c r="CK304" s="217">
        <f t="shared" si="322"/>
        <v>2486549.9788996009</v>
      </c>
    </row>
    <row r="305" spans="2:89" s="1" customFormat="1" x14ac:dyDescent="0.2">
      <c r="E305" s="218"/>
      <c r="G305" s="122" t="s">
        <v>64</v>
      </c>
      <c r="L305" s="123" t="s">
        <v>175</v>
      </c>
      <c r="M305" s="124"/>
      <c r="Q305" s="217">
        <f t="shared" ref="Q305:AK305" si="323">Q74+Q151+Q267+Q278+Q293</f>
        <v>733103.16158277611</v>
      </c>
      <c r="R305" s="237">
        <f t="shared" si="323"/>
        <v>801284.26804727479</v>
      </c>
      <c r="S305" s="217">
        <f t="shared" si="323"/>
        <v>871116.55514229601</v>
      </c>
      <c r="T305" s="217">
        <f t="shared" si="323"/>
        <v>949187.24236940721</v>
      </c>
      <c r="U305" s="237">
        <f t="shared" si="323"/>
        <v>1062257.903208365</v>
      </c>
      <c r="V305" s="217">
        <f t="shared" si="323"/>
        <v>1207933.1841071658</v>
      </c>
      <c r="W305" s="217">
        <f t="shared" si="323"/>
        <v>1302858.3679653569</v>
      </c>
      <c r="X305" s="217">
        <f t="shared" si="323"/>
        <v>1296917.2467584943</v>
      </c>
      <c r="Y305" s="217">
        <f t="shared" si="323"/>
        <v>1351352.9878503627</v>
      </c>
      <c r="Z305" s="217">
        <f t="shared" si="323"/>
        <v>1394680.5919762836</v>
      </c>
      <c r="AA305" s="217">
        <f t="shared" si="323"/>
        <v>1436338.1003800055</v>
      </c>
      <c r="AB305" s="217">
        <f t="shared" si="323"/>
        <v>1477228.2524616926</v>
      </c>
      <c r="AC305" s="217">
        <f t="shared" si="323"/>
        <v>1523279.6759867659</v>
      </c>
      <c r="AD305" s="217">
        <f t="shared" si="323"/>
        <v>1569572.5643844814</v>
      </c>
      <c r="AE305" s="217">
        <f t="shared" si="323"/>
        <v>1615007.6078579677</v>
      </c>
      <c r="AF305" s="217">
        <f t="shared" si="323"/>
        <v>1654706.2847365199</v>
      </c>
      <c r="AG305" s="217">
        <f t="shared" si="323"/>
        <v>1698366.3551516035</v>
      </c>
      <c r="AH305" s="217">
        <f t="shared" si="323"/>
        <v>1742306.8448354695</v>
      </c>
      <c r="AI305" s="217">
        <f t="shared" si="323"/>
        <v>1785704.5598419076</v>
      </c>
      <c r="AJ305" s="217">
        <f t="shared" si="323"/>
        <v>1829071.1246917008</v>
      </c>
      <c r="AK305" s="217">
        <f t="shared" si="323"/>
        <v>1875730.6449420515</v>
      </c>
      <c r="AM305" s="207"/>
      <c r="AR305" s="217">
        <f t="shared" ref="AR305:BL305" si="324">AR74+AR151+AR267+AR278+AR293</f>
        <v>733103.16158277611</v>
      </c>
      <c r="AS305" s="217">
        <f t="shared" si="324"/>
        <v>800351.95547045849</v>
      </c>
      <c r="AT305" s="217">
        <f t="shared" si="324"/>
        <v>865686.65297987289</v>
      </c>
      <c r="AU305" s="217">
        <f t="shared" si="324"/>
        <v>940318.35967592162</v>
      </c>
      <c r="AV305" s="237">
        <f t="shared" si="324"/>
        <v>1051784.4788174215</v>
      </c>
      <c r="AW305" s="217">
        <f t="shared" si="324"/>
        <v>1166005.6599887209</v>
      </c>
      <c r="AX305" s="217">
        <f t="shared" si="324"/>
        <v>1226167.3016423965</v>
      </c>
      <c r="AY305" s="217">
        <f t="shared" si="324"/>
        <v>1225237.6766152959</v>
      </c>
      <c r="AZ305" s="217">
        <f t="shared" si="324"/>
        <v>1274178.9216268687</v>
      </c>
      <c r="BA305" s="217">
        <f t="shared" si="324"/>
        <v>1313187.6300859663</v>
      </c>
      <c r="BB305" s="217">
        <f t="shared" si="324"/>
        <v>1352987.0073452692</v>
      </c>
      <c r="BC305" s="217">
        <f t="shared" si="324"/>
        <v>1393621.7984444038</v>
      </c>
      <c r="BD305" s="217">
        <f t="shared" si="324"/>
        <v>1435136.184956925</v>
      </c>
      <c r="BE305" s="217">
        <f t="shared" si="324"/>
        <v>1477573.9073770866</v>
      </c>
      <c r="BF305" s="217">
        <f t="shared" si="324"/>
        <v>1520978.3801363495</v>
      </c>
      <c r="BG305" s="217">
        <f t="shared" si="324"/>
        <v>1559966.508276091</v>
      </c>
      <c r="BH305" s="217">
        <f t="shared" si="324"/>
        <v>1599706.2856552207</v>
      </c>
      <c r="BI305" s="217">
        <f t="shared" si="324"/>
        <v>1640229.5778151492</v>
      </c>
      <c r="BJ305" s="217">
        <f t="shared" si="324"/>
        <v>1681567.869254896</v>
      </c>
      <c r="BK305" s="217">
        <f t="shared" si="324"/>
        <v>1723752.3414305199</v>
      </c>
      <c r="BL305" s="217">
        <f t="shared" si="324"/>
        <v>1766813.9457977489</v>
      </c>
      <c r="BN305" s="207"/>
      <c r="BQ305" s="217">
        <f t="shared" ref="BQ305:CK305" si="325">BQ74+BQ151+BQ267+BQ278+BQ293</f>
        <v>0</v>
      </c>
      <c r="BR305" s="217">
        <f t="shared" si="325"/>
        <v>932.31257681628972</v>
      </c>
      <c r="BS305" s="217">
        <f t="shared" si="325"/>
        <v>5429.9021624232673</v>
      </c>
      <c r="BT305" s="217">
        <f t="shared" si="325"/>
        <v>8868.8826934855788</v>
      </c>
      <c r="BU305" s="217">
        <f t="shared" si="325"/>
        <v>10473.42439094351</v>
      </c>
      <c r="BV305" s="217">
        <f t="shared" si="325"/>
        <v>41927.524118445064</v>
      </c>
      <c r="BW305" s="217">
        <f t="shared" si="325"/>
        <v>76691.066322960454</v>
      </c>
      <c r="BX305" s="217">
        <f t="shared" si="325"/>
        <v>71679.570143198187</v>
      </c>
      <c r="BY305" s="217">
        <f t="shared" si="325"/>
        <v>77174.066223494141</v>
      </c>
      <c r="BZ305" s="217">
        <f t="shared" si="325"/>
        <v>81492.961890317121</v>
      </c>
      <c r="CA305" s="217">
        <f t="shared" si="325"/>
        <v>83351.093034736274</v>
      </c>
      <c r="CB305" s="217">
        <f t="shared" si="325"/>
        <v>83606.454017288648</v>
      </c>
      <c r="CC305" s="217">
        <f t="shared" si="325"/>
        <v>88143.491029840938</v>
      </c>
      <c r="CD305" s="217">
        <f t="shared" si="325"/>
        <v>91998.657007394882</v>
      </c>
      <c r="CE305" s="217">
        <f t="shared" si="325"/>
        <v>94029.227721618241</v>
      </c>
      <c r="CF305" s="217">
        <f t="shared" si="325"/>
        <v>94739.776460428824</v>
      </c>
      <c r="CG305" s="217">
        <f t="shared" si="325"/>
        <v>98660.069496382872</v>
      </c>
      <c r="CH305" s="217">
        <f t="shared" si="325"/>
        <v>102077.26702032008</v>
      </c>
      <c r="CI305" s="217">
        <f t="shared" si="325"/>
        <v>104136.69058701184</v>
      </c>
      <c r="CJ305" s="217">
        <f t="shared" si="325"/>
        <v>105318.78326118096</v>
      </c>
      <c r="CK305" s="217">
        <f t="shared" si="325"/>
        <v>108916.6991443024</v>
      </c>
    </row>
    <row r="306" spans="2:89" s="1" customFormat="1" x14ac:dyDescent="0.2">
      <c r="E306" s="218"/>
      <c r="G306" s="122" t="s">
        <v>63</v>
      </c>
      <c r="L306" s="123" t="s">
        <v>175</v>
      </c>
      <c r="M306" s="124"/>
      <c r="Q306" s="217">
        <f t="shared" ref="Q306:AK306" si="326">Q75+Q152+Q268+Q279+Q294</f>
        <v>1255236.2390099021</v>
      </c>
      <c r="R306" s="237">
        <f t="shared" si="326"/>
        <v>1371917.6093803702</v>
      </c>
      <c r="S306" s="217">
        <f t="shared" si="326"/>
        <v>1491490.6910359748</v>
      </c>
      <c r="T306" s="217">
        <f t="shared" si="326"/>
        <v>1625077.1612630903</v>
      </c>
      <c r="U306" s="237">
        <f t="shared" si="326"/>
        <v>1818772.0874267227</v>
      </c>
      <c r="V306" s="217">
        <f t="shared" si="326"/>
        <v>2067274.9006935554</v>
      </c>
      <c r="W306" s="217">
        <f t="shared" si="326"/>
        <v>2230347.9332325519</v>
      </c>
      <c r="X306" s="217">
        <f t="shared" si="326"/>
        <v>2221667.897222071</v>
      </c>
      <c r="Y306" s="217">
        <f t="shared" si="326"/>
        <v>2313777.0116312616</v>
      </c>
      <c r="Z306" s="217">
        <f t="shared" si="326"/>
        <v>2387271.1843289351</v>
      </c>
      <c r="AA306" s="217">
        <f t="shared" si="326"/>
        <v>2459002.1996686128</v>
      </c>
      <c r="AB306" s="217">
        <f t="shared" si="326"/>
        <v>2530131.88375491</v>
      </c>
      <c r="AC306" s="217">
        <f t="shared" si="326"/>
        <v>2608161.7166283643</v>
      </c>
      <c r="AD306" s="217">
        <f t="shared" si="326"/>
        <v>2686907.6956062173</v>
      </c>
      <c r="AE306" s="217">
        <f t="shared" si="326"/>
        <v>2765005.0233085365</v>
      </c>
      <c r="AF306" s="217">
        <f t="shared" si="326"/>
        <v>2833813.4310522336</v>
      </c>
      <c r="AG306" s="217">
        <f t="shared" si="326"/>
        <v>2907955.570157988</v>
      </c>
      <c r="AH306" s="217">
        <f t="shared" si="326"/>
        <v>2982804.2815708444</v>
      </c>
      <c r="AI306" s="217">
        <f t="shared" si="326"/>
        <v>3057337.1656455118</v>
      </c>
      <c r="AJ306" s="217">
        <f t="shared" si="326"/>
        <v>3132215.4344442263</v>
      </c>
      <c r="AK306" s="217">
        <f t="shared" si="326"/>
        <v>3211648.0011153896</v>
      </c>
      <c r="AM306" s="207"/>
      <c r="AR306" s="217">
        <f t="shared" ref="AR306:BL306" si="327">AR75+AR152+AR268+AR279+AR294</f>
        <v>1255236.2390099021</v>
      </c>
      <c r="AS306" s="217">
        <f t="shared" si="327"/>
        <v>1370381.1838704285</v>
      </c>
      <c r="AT306" s="217">
        <f t="shared" si="327"/>
        <v>1482248.7685109144</v>
      </c>
      <c r="AU306" s="217">
        <f t="shared" si="327"/>
        <v>1610034.9079428879</v>
      </c>
      <c r="AV306" s="237">
        <f t="shared" si="327"/>
        <v>1800889.7828095129</v>
      </c>
      <c r="AW306" s="217">
        <f t="shared" si="327"/>
        <v>1996461.9387925565</v>
      </c>
      <c r="AX306" s="217">
        <f t="shared" si="327"/>
        <v>2099472.0971977911</v>
      </c>
      <c r="AY306" s="217">
        <f t="shared" si="327"/>
        <v>2097880.3716619373</v>
      </c>
      <c r="AZ306" s="217">
        <f t="shared" si="327"/>
        <v>2181678.706657737</v>
      </c>
      <c r="BA306" s="217">
        <f t="shared" si="327"/>
        <v>2248470.3221639427</v>
      </c>
      <c r="BB306" s="217">
        <f t="shared" si="327"/>
        <v>2316615.7391309817</v>
      </c>
      <c r="BC306" s="217">
        <f t="shared" si="327"/>
        <v>2386191.5710536097</v>
      </c>
      <c r="BD306" s="217">
        <f t="shared" si="327"/>
        <v>2457273.4666469581</v>
      </c>
      <c r="BE306" s="217">
        <f t="shared" si="327"/>
        <v>2529936.319399918</v>
      </c>
      <c r="BF306" s="217">
        <f t="shared" si="327"/>
        <v>2604254.4645091654</v>
      </c>
      <c r="BG306" s="217">
        <f t="shared" si="327"/>
        <v>2671010.8419151837</v>
      </c>
      <c r="BH306" s="217">
        <f t="shared" si="327"/>
        <v>2739054.2105848389</v>
      </c>
      <c r="BI306" s="217">
        <f t="shared" si="327"/>
        <v>2808439.1314372988</v>
      </c>
      <c r="BJ306" s="217">
        <f t="shared" si="327"/>
        <v>2879219.5129621793</v>
      </c>
      <c r="BK306" s="217">
        <f t="shared" si="327"/>
        <v>2951448.7447718987</v>
      </c>
      <c r="BL306" s="217">
        <f t="shared" si="327"/>
        <v>3025179.8226667251</v>
      </c>
      <c r="BN306" s="207"/>
      <c r="BQ306" s="217">
        <f t="shared" ref="BQ306:CK306" si="328">BQ75+BQ152+BQ268+BQ279+BQ294</f>
        <v>0</v>
      </c>
      <c r="BR306" s="217">
        <f t="shared" si="328"/>
        <v>1536.4255099418567</v>
      </c>
      <c r="BS306" s="217">
        <f t="shared" si="328"/>
        <v>9241.9225250606287</v>
      </c>
      <c r="BT306" s="217">
        <f t="shared" si="328"/>
        <v>15042.253320202139</v>
      </c>
      <c r="BU306" s="217">
        <f t="shared" si="328"/>
        <v>17882.304617209942</v>
      </c>
      <c r="BV306" s="217">
        <f t="shared" si="328"/>
        <v>70812.961900998926</v>
      </c>
      <c r="BW306" s="217">
        <f t="shared" si="328"/>
        <v>130875.83603476101</v>
      </c>
      <c r="BX306" s="217">
        <f t="shared" si="328"/>
        <v>123787.52556013339</v>
      </c>
      <c r="BY306" s="217">
        <f t="shared" si="328"/>
        <v>132098.30497352505</v>
      </c>
      <c r="BZ306" s="217">
        <f t="shared" si="328"/>
        <v>138800.86216499255</v>
      </c>
      <c r="CA306" s="217">
        <f t="shared" si="328"/>
        <v>142386.46053763127</v>
      </c>
      <c r="CB306" s="217">
        <f t="shared" si="328"/>
        <v>143940.31270130037</v>
      </c>
      <c r="CC306" s="217">
        <f t="shared" si="328"/>
        <v>150888.24998140641</v>
      </c>
      <c r="CD306" s="217">
        <f t="shared" si="328"/>
        <v>156971.37620629932</v>
      </c>
      <c r="CE306" s="217">
        <f t="shared" si="328"/>
        <v>160750.55879937083</v>
      </c>
      <c r="CF306" s="217">
        <f t="shared" si="328"/>
        <v>162802.58913705029</v>
      </c>
      <c r="CG306" s="217">
        <f t="shared" si="328"/>
        <v>168901.35957314889</v>
      </c>
      <c r="CH306" s="217">
        <f t="shared" si="328"/>
        <v>174365.15013354499</v>
      </c>
      <c r="CI306" s="217">
        <f t="shared" si="328"/>
        <v>178117.65268333294</v>
      </c>
      <c r="CJ306" s="217">
        <f t="shared" si="328"/>
        <v>180766.68967232728</v>
      </c>
      <c r="CK306" s="217">
        <f t="shared" si="328"/>
        <v>186468.17844866353</v>
      </c>
    </row>
    <row r="307" spans="2:89" s="1" customFormat="1" x14ac:dyDescent="0.2">
      <c r="E307" s="218"/>
      <c r="G307" s="122" t="s">
        <v>76</v>
      </c>
      <c r="L307" s="123" t="s">
        <v>175</v>
      </c>
      <c r="M307" s="124"/>
      <c r="Q307" s="217">
        <f t="shared" ref="Q307:AK307" si="329">Q76+Q153+Q269+Q280+Q295</f>
        <v>541200.98409599031</v>
      </c>
      <c r="R307" s="237">
        <f t="shared" si="329"/>
        <v>591529.35541726067</v>
      </c>
      <c r="S307" s="217">
        <f t="shared" si="329"/>
        <v>643082.25692647416</v>
      </c>
      <c r="T307" s="217">
        <f t="shared" si="329"/>
        <v>700709.01866287983</v>
      </c>
      <c r="U307" s="237">
        <f t="shared" si="329"/>
        <v>784189.52763235243</v>
      </c>
      <c r="V307" s="217">
        <f t="shared" si="329"/>
        <v>891651.8556388173</v>
      </c>
      <c r="W307" s="217">
        <f t="shared" si="329"/>
        <v>961775.40890535421</v>
      </c>
      <c r="X307" s="217">
        <f t="shared" si="329"/>
        <v>957518.41441110731</v>
      </c>
      <c r="Y307" s="217">
        <f t="shared" si="329"/>
        <v>997609.90473965451</v>
      </c>
      <c r="Z307" s="217">
        <f t="shared" si="329"/>
        <v>1029535.9608659</v>
      </c>
      <c r="AA307" s="217">
        <f t="shared" si="329"/>
        <v>1060323.8178009123</v>
      </c>
      <c r="AB307" s="217">
        <f t="shared" si="329"/>
        <v>1090606.7451358647</v>
      </c>
      <c r="AC307" s="217">
        <f t="shared" si="329"/>
        <v>1124532.5457956556</v>
      </c>
      <c r="AD307" s="217">
        <f t="shared" si="329"/>
        <v>1158662.7547123367</v>
      </c>
      <c r="AE307" s="217">
        <f t="shared" si="329"/>
        <v>1192230.5294544562</v>
      </c>
      <c r="AF307" s="217">
        <f t="shared" si="329"/>
        <v>1221609.5768676356</v>
      </c>
      <c r="AG307" s="217">
        <f t="shared" si="329"/>
        <v>1253787.8704190971</v>
      </c>
      <c r="AH307" s="217">
        <f t="shared" si="329"/>
        <v>1286192.740405855</v>
      </c>
      <c r="AI307" s="217">
        <f t="shared" si="329"/>
        <v>1318249.9190937153</v>
      </c>
      <c r="AJ307" s="217">
        <f t="shared" si="329"/>
        <v>1350318.5475583992</v>
      </c>
      <c r="AK307" s="217">
        <f t="shared" si="329"/>
        <v>1384724.4987883468</v>
      </c>
      <c r="AM307" s="207"/>
      <c r="AR307" s="217">
        <f t="shared" ref="AR307:BL307" si="330">AR76+AR153+AR269+AR280+AR295</f>
        <v>541200.98409599031</v>
      </c>
      <c r="AS307" s="217">
        <f t="shared" si="330"/>
        <v>590846.26642256661</v>
      </c>
      <c r="AT307" s="217">
        <f t="shared" si="330"/>
        <v>639078.49953880056</v>
      </c>
      <c r="AU307" s="217">
        <f t="shared" si="330"/>
        <v>694174.09211742401</v>
      </c>
      <c r="AV307" s="237">
        <f t="shared" si="330"/>
        <v>776462.06539869751</v>
      </c>
      <c r="AW307" s="217">
        <f t="shared" si="330"/>
        <v>860783.9165295132</v>
      </c>
      <c r="AX307" s="217">
        <f t="shared" si="330"/>
        <v>905197.2288353882</v>
      </c>
      <c r="AY307" s="217">
        <f t="shared" si="330"/>
        <v>904510.94891480578</v>
      </c>
      <c r="AZ307" s="217">
        <f t="shared" si="330"/>
        <v>940640.99356768141</v>
      </c>
      <c r="BA307" s="217">
        <f t="shared" si="330"/>
        <v>969438.51145151677</v>
      </c>
      <c r="BB307" s="217">
        <f t="shared" si="330"/>
        <v>998819.72717651376</v>
      </c>
      <c r="BC307" s="217">
        <f t="shared" si="330"/>
        <v>1028817.673009821</v>
      </c>
      <c r="BD307" s="217">
        <f t="shared" si="330"/>
        <v>1059464.9652493137</v>
      </c>
      <c r="BE307" s="217">
        <f t="shared" si="330"/>
        <v>1090793.8945735123</v>
      </c>
      <c r="BF307" s="217">
        <f t="shared" si="330"/>
        <v>1122836.510950692</v>
      </c>
      <c r="BG307" s="217">
        <f t="shared" si="330"/>
        <v>1151618.8357625538</v>
      </c>
      <c r="BH307" s="217">
        <f t="shared" si="330"/>
        <v>1180956.0528861387</v>
      </c>
      <c r="BI307" s="217">
        <f t="shared" si="330"/>
        <v>1210871.6865173178</v>
      </c>
      <c r="BJ307" s="217">
        <f t="shared" si="330"/>
        <v>1241388.9795538373</v>
      </c>
      <c r="BK307" s="217">
        <f t="shared" si="330"/>
        <v>1272530.9511772436</v>
      </c>
      <c r="BL307" s="217">
        <f t="shared" si="330"/>
        <v>1304320.4507750564</v>
      </c>
      <c r="BN307" s="207"/>
      <c r="BQ307" s="217">
        <f t="shared" ref="BQ307:CK307" si="331">BQ76+BQ153+BQ269+BQ280+BQ295</f>
        <v>0</v>
      </c>
      <c r="BR307" s="217">
        <f t="shared" si="331"/>
        <v>683.08899469397522</v>
      </c>
      <c r="BS307" s="217">
        <f t="shared" si="331"/>
        <v>4003.7573876735914</v>
      </c>
      <c r="BT307" s="217">
        <f t="shared" si="331"/>
        <v>6534.9265454558627</v>
      </c>
      <c r="BU307" s="217">
        <f t="shared" si="331"/>
        <v>7727.4622336549792</v>
      </c>
      <c r="BV307" s="217">
        <f t="shared" si="331"/>
        <v>30867.939109304265</v>
      </c>
      <c r="BW307" s="217">
        <f t="shared" si="331"/>
        <v>56578.180069965914</v>
      </c>
      <c r="BX307" s="217">
        <f t="shared" si="331"/>
        <v>53007.465496301484</v>
      </c>
      <c r="BY307" s="217">
        <f t="shared" si="331"/>
        <v>56968.911171972955</v>
      </c>
      <c r="BZ307" s="217">
        <f t="shared" si="331"/>
        <v>60097.44941438338</v>
      </c>
      <c r="CA307" s="217">
        <f t="shared" si="331"/>
        <v>61504.090624398712</v>
      </c>
      <c r="CB307" s="217">
        <f t="shared" si="331"/>
        <v>61789.072126043793</v>
      </c>
      <c r="CC307" s="217">
        <f t="shared" si="331"/>
        <v>65067.580546341924</v>
      </c>
      <c r="CD307" s="217">
        <f t="shared" si="331"/>
        <v>67868.860138824224</v>
      </c>
      <c r="CE307" s="217">
        <f t="shared" si="331"/>
        <v>69394.018503764208</v>
      </c>
      <c r="CF307" s="217">
        <f t="shared" si="331"/>
        <v>69990.741105081921</v>
      </c>
      <c r="CG307" s="217">
        <f t="shared" si="331"/>
        <v>72831.817532958434</v>
      </c>
      <c r="CH307" s="217">
        <f t="shared" si="331"/>
        <v>75321.053888537266</v>
      </c>
      <c r="CI307" s="217">
        <f t="shared" si="331"/>
        <v>76860.939539877872</v>
      </c>
      <c r="CJ307" s="217">
        <f t="shared" si="331"/>
        <v>77787.596381155556</v>
      </c>
      <c r="CK307" s="217">
        <f t="shared" si="331"/>
        <v>80404.048013290318</v>
      </c>
    </row>
    <row r="308" spans="2:89" s="1" customFormat="1" x14ac:dyDescent="0.2">
      <c r="E308" s="218"/>
      <c r="G308" s="122" t="s">
        <v>72</v>
      </c>
      <c r="L308" s="123" t="s">
        <v>175</v>
      </c>
      <c r="M308" s="124"/>
      <c r="Q308" s="217">
        <f t="shared" ref="Q308:AK308" si="332">Q77+Q154+Q270+Q281+Q296</f>
        <v>747525.0503304326</v>
      </c>
      <c r="R308" s="237">
        <f t="shared" si="332"/>
        <v>817081.22143578588</v>
      </c>
      <c r="S308" s="217">
        <f t="shared" si="332"/>
        <v>888284.67109427298</v>
      </c>
      <c r="T308" s="217">
        <f t="shared" si="332"/>
        <v>967940.8036023915</v>
      </c>
      <c r="U308" s="237">
        <f t="shared" si="332"/>
        <v>1083183.5490995613</v>
      </c>
      <c r="V308" s="217">
        <f t="shared" si="332"/>
        <v>1232246.6741004542</v>
      </c>
      <c r="W308" s="217">
        <f t="shared" si="332"/>
        <v>1328734.7870119447</v>
      </c>
      <c r="X308" s="217">
        <f t="shared" si="332"/>
        <v>1321835.1503334087</v>
      </c>
      <c r="Y308" s="217">
        <f t="shared" si="332"/>
        <v>1377960.4024020506</v>
      </c>
      <c r="Z308" s="217">
        <f t="shared" si="332"/>
        <v>1422530.7949454798</v>
      </c>
      <c r="AA308" s="217">
        <f t="shared" si="332"/>
        <v>1464779.9481026672</v>
      </c>
      <c r="AB308" s="217">
        <f t="shared" si="332"/>
        <v>1505844.8282438412</v>
      </c>
      <c r="AC308" s="217">
        <f t="shared" si="332"/>
        <v>1553264.8769059719</v>
      </c>
      <c r="AD308" s="217">
        <f t="shared" si="332"/>
        <v>1600760.4406618231</v>
      </c>
      <c r="AE308" s="217">
        <f t="shared" si="332"/>
        <v>1646918.7758641958</v>
      </c>
      <c r="AF308" s="217">
        <f t="shared" si="332"/>
        <v>1686927.3176957776</v>
      </c>
      <c r="AG308" s="217">
        <f t="shared" si="332"/>
        <v>1731792.3311155359</v>
      </c>
      <c r="AH308" s="217">
        <f t="shared" si="332"/>
        <v>1776815.5916242276</v>
      </c>
      <c r="AI308" s="217">
        <f t="shared" si="332"/>
        <v>1820939.4234592598</v>
      </c>
      <c r="AJ308" s="217">
        <f t="shared" si="332"/>
        <v>1864806.6471426366</v>
      </c>
      <c r="AK308" s="217">
        <f t="shared" si="332"/>
        <v>1912642.8788669002</v>
      </c>
      <c r="AM308" s="207"/>
      <c r="AR308" s="217">
        <f t="shared" ref="AR308:BL308" si="333">AR77+AR154+AR270+AR281+AR296</f>
        <v>747525.0503304326</v>
      </c>
      <c r="AS308" s="217">
        <f t="shared" si="333"/>
        <v>816096.78848392225</v>
      </c>
      <c r="AT308" s="217">
        <f t="shared" si="333"/>
        <v>882716.7754153742</v>
      </c>
      <c r="AU308" s="217">
        <f t="shared" si="333"/>
        <v>958816.665891579</v>
      </c>
      <c r="AV308" s="237">
        <f t="shared" si="333"/>
        <v>1072475.5896117971</v>
      </c>
      <c r="AW308" s="217">
        <f t="shared" si="333"/>
        <v>1188943.7740069299</v>
      </c>
      <c r="AX308" s="217">
        <f t="shared" si="333"/>
        <v>1250288.9387283991</v>
      </c>
      <c r="AY308" s="217">
        <f t="shared" si="333"/>
        <v>1249341.025758452</v>
      </c>
      <c r="AZ308" s="217">
        <f t="shared" si="333"/>
        <v>1299245.0618582645</v>
      </c>
      <c r="BA308" s="217">
        <f t="shared" si="333"/>
        <v>1339021.1647074944</v>
      </c>
      <c r="BB308" s="217">
        <f t="shared" si="333"/>
        <v>1379603.4906991592</v>
      </c>
      <c r="BC308" s="217">
        <f t="shared" si="333"/>
        <v>1421037.6651146277</v>
      </c>
      <c r="BD308" s="217">
        <f t="shared" si="333"/>
        <v>1463368.7386844226</v>
      </c>
      <c r="BE308" s="217">
        <f t="shared" si="333"/>
        <v>1506641.3123827158</v>
      </c>
      <c r="BF308" s="217">
        <f t="shared" si="333"/>
        <v>1550899.6547064446</v>
      </c>
      <c r="BG308" s="217">
        <f t="shared" si="333"/>
        <v>1590654.7723723045</v>
      </c>
      <c r="BH308" s="217">
        <f t="shared" si="333"/>
        <v>1631176.3260119364</v>
      </c>
      <c r="BI308" s="217">
        <f t="shared" si="333"/>
        <v>1672496.8080379707</v>
      </c>
      <c r="BJ308" s="217">
        <f t="shared" si="333"/>
        <v>1714648.3223246208</v>
      </c>
      <c r="BK308" s="217">
        <f t="shared" si="333"/>
        <v>1757662.6637417253</v>
      </c>
      <c r="BL308" s="217">
        <f t="shared" si="333"/>
        <v>1801571.3926338663</v>
      </c>
      <c r="BN308" s="207"/>
      <c r="BQ308" s="217">
        <f t="shared" ref="BQ308:CK308" si="334">BQ77+BQ154+BQ270+BQ281+BQ296</f>
        <v>0</v>
      </c>
      <c r="BR308" s="217">
        <f t="shared" si="334"/>
        <v>984.43295186354089</v>
      </c>
      <c r="BS308" s="217">
        <f t="shared" si="334"/>
        <v>5567.8956788988107</v>
      </c>
      <c r="BT308" s="217">
        <f t="shared" si="334"/>
        <v>9124.1377108124288</v>
      </c>
      <c r="BU308" s="217">
        <f t="shared" si="334"/>
        <v>10707.959487764207</v>
      </c>
      <c r="BV308" s="217">
        <f t="shared" si="334"/>
        <v>43302.900093524375</v>
      </c>
      <c r="BW308" s="217">
        <f t="shared" si="334"/>
        <v>78445.848283545405</v>
      </c>
      <c r="BX308" s="217">
        <f t="shared" si="334"/>
        <v>72494.124574956819</v>
      </c>
      <c r="BY308" s="217">
        <f t="shared" si="334"/>
        <v>78715.340543786078</v>
      </c>
      <c r="BZ308" s="217">
        <f t="shared" si="334"/>
        <v>83509.630237985315</v>
      </c>
      <c r="CA308" s="217">
        <f t="shared" si="334"/>
        <v>85176.457403507957</v>
      </c>
      <c r="CB308" s="217">
        <f t="shared" si="334"/>
        <v>84807.163129213644</v>
      </c>
      <c r="CC308" s="217">
        <f t="shared" si="334"/>
        <v>89896.138221549321</v>
      </c>
      <c r="CD308" s="217">
        <f t="shared" si="334"/>
        <v>94119.128279107128</v>
      </c>
      <c r="CE308" s="217">
        <f t="shared" si="334"/>
        <v>96019.121157750924</v>
      </c>
      <c r="CF308" s="217">
        <f t="shared" si="334"/>
        <v>96272.545323473198</v>
      </c>
      <c r="CG308" s="217">
        <f t="shared" si="334"/>
        <v>100616.00510359953</v>
      </c>
      <c r="CH308" s="217">
        <f t="shared" si="334"/>
        <v>104318.78358625701</v>
      </c>
      <c r="CI308" s="217">
        <f t="shared" si="334"/>
        <v>106291.10113463869</v>
      </c>
      <c r="CJ308" s="217">
        <f t="shared" si="334"/>
        <v>107143.98340091128</v>
      </c>
      <c r="CK308" s="217">
        <f t="shared" si="334"/>
        <v>111071.486233034</v>
      </c>
    </row>
    <row r="309" spans="2:89" s="1" customFormat="1" x14ac:dyDescent="0.2">
      <c r="E309" s="218"/>
      <c r="G309" s="122" t="s">
        <v>73</v>
      </c>
      <c r="L309" s="123" t="s">
        <v>175</v>
      </c>
      <c r="M309" s="124"/>
      <c r="Q309" s="217">
        <f t="shared" ref="Q309:AK309" si="335">Q78+Q155+Q271+Q282+Q297</f>
        <v>74360.328229215476</v>
      </c>
      <c r="R309" s="237">
        <f t="shared" si="335"/>
        <v>81286.821437748717</v>
      </c>
      <c r="S309" s="217">
        <f t="shared" si="335"/>
        <v>88369.242465604795</v>
      </c>
      <c r="T309" s="217">
        <f t="shared" si="335"/>
        <v>96303.885469520625</v>
      </c>
      <c r="U309" s="237">
        <f t="shared" si="335"/>
        <v>107756.29597871362</v>
      </c>
      <c r="V309" s="217">
        <f t="shared" si="335"/>
        <v>122698.27142609315</v>
      </c>
      <c r="W309" s="217">
        <f t="shared" si="335"/>
        <v>132230.05305929785</v>
      </c>
      <c r="X309" s="217">
        <f t="shared" si="335"/>
        <v>131360.14052832042</v>
      </c>
      <c r="Y309" s="217">
        <f t="shared" si="335"/>
        <v>137078.14895631024</v>
      </c>
      <c r="Z309" s="217">
        <f t="shared" si="335"/>
        <v>141596.96137863267</v>
      </c>
      <c r="AA309" s="217">
        <f t="shared" si="335"/>
        <v>145750.0136511047</v>
      </c>
      <c r="AB309" s="217">
        <f t="shared" si="335"/>
        <v>149697.61939757457</v>
      </c>
      <c r="AC309" s="217">
        <f t="shared" si="335"/>
        <v>154515.661326339</v>
      </c>
      <c r="AD309" s="217">
        <f t="shared" si="335"/>
        <v>159303.98404683842</v>
      </c>
      <c r="AE309" s="217">
        <f t="shared" si="335"/>
        <v>163858.40862954731</v>
      </c>
      <c r="AF309" s="217">
        <f t="shared" si="335"/>
        <v>167735.52150768758</v>
      </c>
      <c r="AG309" s="217">
        <f t="shared" si="335"/>
        <v>172273.96052912535</v>
      </c>
      <c r="AH309" s="217">
        <f t="shared" si="335"/>
        <v>176800.29125847181</v>
      </c>
      <c r="AI309" s="217">
        <f t="shared" si="335"/>
        <v>181161.69064328866</v>
      </c>
      <c r="AJ309" s="217">
        <f t="shared" si="335"/>
        <v>185448.52320843836</v>
      </c>
      <c r="AK309" s="217">
        <f t="shared" si="335"/>
        <v>190263.4979461648</v>
      </c>
      <c r="AM309" s="207"/>
      <c r="AR309" s="217">
        <f t="shared" ref="AR309:BL309" si="336">AR78+AR155+AR271+AR282+AR297</f>
        <v>74360.328229215476</v>
      </c>
      <c r="AS309" s="217">
        <f t="shared" si="336"/>
        <v>81181.527002537521</v>
      </c>
      <c r="AT309" s="217">
        <f t="shared" si="336"/>
        <v>87808.57460804435</v>
      </c>
      <c r="AU309" s="217">
        <f t="shared" si="336"/>
        <v>95378.639091524237</v>
      </c>
      <c r="AV309" s="237">
        <f t="shared" si="336"/>
        <v>106684.9021662923</v>
      </c>
      <c r="AW309" s="217">
        <f t="shared" si="336"/>
        <v>118270.61747583847</v>
      </c>
      <c r="AX309" s="217">
        <f t="shared" si="336"/>
        <v>124372.95020963444</v>
      </c>
      <c r="AY309" s="217">
        <f t="shared" si="336"/>
        <v>124278.65621969098</v>
      </c>
      <c r="AZ309" s="217">
        <f t="shared" si="336"/>
        <v>129242.87849251622</v>
      </c>
      <c r="BA309" s="217">
        <f t="shared" si="336"/>
        <v>133199.6208949812</v>
      </c>
      <c r="BB309" s="217">
        <f t="shared" si="336"/>
        <v>137236.56263989265</v>
      </c>
      <c r="BC309" s="217">
        <f t="shared" si="336"/>
        <v>141358.24231882644</v>
      </c>
      <c r="BD309" s="217">
        <f t="shared" si="336"/>
        <v>145569.14136970488</v>
      </c>
      <c r="BE309" s="217">
        <f t="shared" si="336"/>
        <v>149873.69649077501</v>
      </c>
      <c r="BF309" s="217">
        <f t="shared" si="336"/>
        <v>154276.31130698574</v>
      </c>
      <c r="BG309" s="217">
        <f t="shared" si="336"/>
        <v>158230.96620064805</v>
      </c>
      <c r="BH309" s="217">
        <f t="shared" si="336"/>
        <v>162261.86259357919</v>
      </c>
      <c r="BI309" s="217">
        <f t="shared" si="336"/>
        <v>166372.23268042019</v>
      </c>
      <c r="BJ309" s="217">
        <f t="shared" si="336"/>
        <v>170565.27000583219</v>
      </c>
      <c r="BK309" s="217">
        <f t="shared" si="336"/>
        <v>174844.13737612998</v>
      </c>
      <c r="BL309" s="217">
        <f t="shared" si="336"/>
        <v>179211.97426815698</v>
      </c>
      <c r="BN309" s="207"/>
      <c r="BQ309" s="217">
        <f t="shared" ref="BQ309:CK309" si="337">BQ78+BQ155+BQ271+BQ282+BQ297</f>
        <v>0</v>
      </c>
      <c r="BR309" s="217">
        <f t="shared" si="337"/>
        <v>105.29443521120047</v>
      </c>
      <c r="BS309" s="217">
        <f t="shared" si="337"/>
        <v>560.66785756045977</v>
      </c>
      <c r="BT309" s="217">
        <f t="shared" si="337"/>
        <v>925.24637799637719</v>
      </c>
      <c r="BU309" s="217">
        <f t="shared" si="337"/>
        <v>1071.3938124213171</v>
      </c>
      <c r="BV309" s="217">
        <f t="shared" si="337"/>
        <v>4427.6539502546939</v>
      </c>
      <c r="BW309" s="217">
        <f t="shared" si="337"/>
        <v>7857.1028496634008</v>
      </c>
      <c r="BX309" s="217">
        <f t="shared" si="337"/>
        <v>7081.4843086294395</v>
      </c>
      <c r="BY309" s="217">
        <f t="shared" si="337"/>
        <v>7835.2704637940315</v>
      </c>
      <c r="BZ309" s="217">
        <f t="shared" si="337"/>
        <v>8397.3404836514437</v>
      </c>
      <c r="CA309" s="217">
        <f t="shared" si="337"/>
        <v>8513.451011212037</v>
      </c>
      <c r="CB309" s="217">
        <f t="shared" si="337"/>
        <v>8339.3770787481117</v>
      </c>
      <c r="CC309" s="217">
        <f t="shared" si="337"/>
        <v>8946.5199566341344</v>
      </c>
      <c r="CD309" s="217">
        <f t="shared" si="337"/>
        <v>9430.2875560634384</v>
      </c>
      <c r="CE309" s="217">
        <f t="shared" si="337"/>
        <v>9582.0973225615344</v>
      </c>
      <c r="CF309" s="217">
        <f t="shared" si="337"/>
        <v>9504.5553070395126</v>
      </c>
      <c r="CG309" s="217">
        <f t="shared" si="337"/>
        <v>10012.097935546162</v>
      </c>
      <c r="CH309" s="217">
        <f t="shared" si="337"/>
        <v>10428.058578051625</v>
      </c>
      <c r="CI309" s="217">
        <f t="shared" si="337"/>
        <v>10596.420637456475</v>
      </c>
      <c r="CJ309" s="217">
        <f t="shared" si="337"/>
        <v>10604.38583230839</v>
      </c>
      <c r="CK309" s="217">
        <f t="shared" si="337"/>
        <v>11051.523678007843</v>
      </c>
    </row>
    <row r="310" spans="2:89" s="1" customFormat="1" x14ac:dyDescent="0.2">
      <c r="E310" s="218"/>
      <c r="G310" s="122" t="s">
        <v>180</v>
      </c>
      <c r="L310" s="123" t="s">
        <v>175</v>
      </c>
      <c r="M310" s="124"/>
      <c r="Q310" s="217">
        <f t="shared" ref="Q310:AK310" si="338">Q79+Q156+Q272+Q283+Q298</f>
        <v>1126364.5972268558</v>
      </c>
      <c r="R310" s="237">
        <f t="shared" si="338"/>
        <v>1231095.7059156115</v>
      </c>
      <c r="S310" s="217">
        <f t="shared" si="338"/>
        <v>1338390.3054329723</v>
      </c>
      <c r="T310" s="217">
        <f t="shared" si="338"/>
        <v>1458304.5467602669</v>
      </c>
      <c r="U310" s="237">
        <f t="shared" si="338"/>
        <v>1632068.3185676639</v>
      </c>
      <c r="V310" s="217">
        <f t="shared" si="338"/>
        <v>1855507.6620113477</v>
      </c>
      <c r="W310" s="217">
        <f t="shared" si="338"/>
        <v>2001576.2056931234</v>
      </c>
      <c r="X310" s="217">
        <f t="shared" si="338"/>
        <v>1993062.4612573783</v>
      </c>
      <c r="Y310" s="217">
        <f t="shared" si="338"/>
        <v>2076247.7834460207</v>
      </c>
      <c r="Z310" s="217">
        <f t="shared" si="338"/>
        <v>2142532.7717593177</v>
      </c>
      <c r="AA310" s="217">
        <f t="shared" si="338"/>
        <v>2206703.1185758216</v>
      </c>
      <c r="AB310" s="217">
        <f t="shared" si="338"/>
        <v>2269987.8019907544</v>
      </c>
      <c r="AC310" s="217">
        <f t="shared" si="338"/>
        <v>2340405.0145482519</v>
      </c>
      <c r="AD310" s="217">
        <f t="shared" si="338"/>
        <v>2411317.8327497356</v>
      </c>
      <c r="AE310" s="217">
        <f t="shared" si="338"/>
        <v>2481250.2590993522</v>
      </c>
      <c r="AF310" s="217">
        <f t="shared" si="338"/>
        <v>2542588.5591776278</v>
      </c>
      <c r="AG310" s="217">
        <f t="shared" si="338"/>
        <v>2609416.7615941227</v>
      </c>
      <c r="AH310" s="217">
        <f t="shared" si="338"/>
        <v>2676769.0223241625</v>
      </c>
      <c r="AI310" s="217">
        <f t="shared" si="338"/>
        <v>2743539.9079854744</v>
      </c>
      <c r="AJ310" s="217">
        <f t="shared" si="338"/>
        <v>2810427.0702645285</v>
      </c>
      <c r="AK310" s="217">
        <f t="shared" si="338"/>
        <v>2881927.4128425098</v>
      </c>
      <c r="AM310" s="207"/>
      <c r="AR310" s="217">
        <f t="shared" ref="AR310:BL310" si="339">AR79+AR156+AR272+AR283+AR298</f>
        <v>1126364.5972268558</v>
      </c>
      <c r="AS310" s="217">
        <f t="shared" si="339"/>
        <v>1229687.9282540372</v>
      </c>
      <c r="AT310" s="217">
        <f t="shared" si="339"/>
        <v>1330070.3765935721</v>
      </c>
      <c r="AU310" s="217">
        <f t="shared" si="339"/>
        <v>1444737.0656193758</v>
      </c>
      <c r="AV310" s="237">
        <f t="shared" si="339"/>
        <v>1615997.3970032874</v>
      </c>
      <c r="AW310" s="217">
        <f t="shared" si="339"/>
        <v>1791490.6992651639</v>
      </c>
      <c r="AX310" s="217">
        <f t="shared" si="339"/>
        <v>1883925.0888856468</v>
      </c>
      <c r="AY310" s="217">
        <f t="shared" si="339"/>
        <v>1882496.7814193836</v>
      </c>
      <c r="AZ310" s="217">
        <f t="shared" si="339"/>
        <v>1957691.7725393709</v>
      </c>
      <c r="BA310" s="217">
        <f t="shared" si="339"/>
        <v>2017626.0771425655</v>
      </c>
      <c r="BB310" s="217">
        <f t="shared" si="339"/>
        <v>2078775.1921453825</v>
      </c>
      <c r="BC310" s="217">
        <f t="shared" si="339"/>
        <v>2141207.8653464615</v>
      </c>
      <c r="BD310" s="217">
        <f t="shared" si="339"/>
        <v>2204991.9788160357</v>
      </c>
      <c r="BE310" s="217">
        <f t="shared" si="339"/>
        <v>2270194.7369350884</v>
      </c>
      <c r="BF310" s="217">
        <f t="shared" si="339"/>
        <v>2336882.8431107779</v>
      </c>
      <c r="BG310" s="217">
        <f t="shared" si="339"/>
        <v>2396785.5274122609</v>
      </c>
      <c r="BH310" s="217">
        <f t="shared" si="339"/>
        <v>2457843.0711348895</v>
      </c>
      <c r="BI310" s="217">
        <f t="shared" si="339"/>
        <v>2520104.433578724</v>
      </c>
      <c r="BJ310" s="217">
        <f t="shared" si="339"/>
        <v>2583617.9885974266</v>
      </c>
      <c r="BK310" s="217">
        <f t="shared" si="339"/>
        <v>2648431.644439226</v>
      </c>
      <c r="BL310" s="217">
        <f t="shared" si="339"/>
        <v>2714592.9559718063</v>
      </c>
      <c r="BN310" s="207"/>
      <c r="BQ310" s="217">
        <f t="shared" ref="BQ310:CK310" si="340">BQ79+BQ156+BQ272+BQ283+BQ298</f>
        <v>0</v>
      </c>
      <c r="BR310" s="217">
        <f t="shared" si="340"/>
        <v>1407.7776615740354</v>
      </c>
      <c r="BS310" s="217">
        <f t="shared" si="340"/>
        <v>8319.9288394000851</v>
      </c>
      <c r="BT310" s="217">
        <f t="shared" si="340"/>
        <v>13567.481140891106</v>
      </c>
      <c r="BU310" s="217">
        <f t="shared" si="340"/>
        <v>16070.921564376244</v>
      </c>
      <c r="BV310" s="217">
        <f t="shared" si="340"/>
        <v>64016.962746183461</v>
      </c>
      <c r="BW310" s="217">
        <f t="shared" si="340"/>
        <v>117651.11680747646</v>
      </c>
      <c r="BX310" s="217">
        <f t="shared" si="340"/>
        <v>110565.67983799496</v>
      </c>
      <c r="BY310" s="217">
        <f t="shared" si="340"/>
        <v>118556.01090664961</v>
      </c>
      <c r="BZ310" s="217">
        <f t="shared" si="340"/>
        <v>124906.69461675257</v>
      </c>
      <c r="CA310" s="217">
        <f t="shared" si="340"/>
        <v>127927.92643043892</v>
      </c>
      <c r="CB310" s="217">
        <f t="shared" si="340"/>
        <v>128779.93664429327</v>
      </c>
      <c r="CC310" s="217">
        <f t="shared" si="340"/>
        <v>135413.035732216</v>
      </c>
      <c r="CD310" s="217">
        <f t="shared" si="340"/>
        <v>141123.09581464782</v>
      </c>
      <c r="CE310" s="217">
        <f t="shared" si="340"/>
        <v>144367.41598857427</v>
      </c>
      <c r="CF310" s="217">
        <f t="shared" si="340"/>
        <v>145803.03176536714</v>
      </c>
      <c r="CG310" s="217">
        <f t="shared" si="340"/>
        <v>151573.6904592333</v>
      </c>
      <c r="CH310" s="217">
        <f t="shared" si="340"/>
        <v>156664.58874543846</v>
      </c>
      <c r="CI310" s="217">
        <f t="shared" si="340"/>
        <v>159921.91938804847</v>
      </c>
      <c r="CJ310" s="217">
        <f t="shared" si="340"/>
        <v>161995.42582530255</v>
      </c>
      <c r="CK310" s="217">
        <f t="shared" si="340"/>
        <v>167334.45687070343</v>
      </c>
    </row>
    <row r="311" spans="2:89" s="1" customFormat="1" x14ac:dyDescent="0.2">
      <c r="E311" s="218"/>
      <c r="G311" s="122" t="s">
        <v>75</v>
      </c>
      <c r="L311" s="123" t="s">
        <v>175</v>
      </c>
      <c r="M311" s="124"/>
      <c r="Q311" s="217">
        <f t="shared" ref="Q311:AK311" si="341">Q80+Q157+Q273+Q284+Q299</f>
        <v>635917.24181491719</v>
      </c>
      <c r="R311" s="237">
        <f t="shared" si="341"/>
        <v>695096.85435221286</v>
      </c>
      <c r="S311" s="217">
        <f t="shared" si="341"/>
        <v>755668.76080190251</v>
      </c>
      <c r="T311" s="217">
        <f t="shared" si="341"/>
        <v>823444.3123489517</v>
      </c>
      <c r="U311" s="237">
        <f t="shared" si="341"/>
        <v>921467.96676498186</v>
      </c>
      <c r="V311" s="217">
        <f t="shared" si="341"/>
        <v>1048405.226726076</v>
      </c>
      <c r="W311" s="217">
        <f t="shared" si="341"/>
        <v>1130411.7092634351</v>
      </c>
      <c r="X311" s="217">
        <f t="shared" si="341"/>
        <v>1124333.0800248412</v>
      </c>
      <c r="Y311" s="217">
        <f t="shared" si="341"/>
        <v>1172232.3744488817</v>
      </c>
      <c r="Z311" s="217">
        <f t="shared" si="341"/>
        <v>1210245.2830576324</v>
      </c>
      <c r="AA311" s="217">
        <f t="shared" si="341"/>
        <v>1246129.8887210912</v>
      </c>
      <c r="AB311" s="217">
        <f t="shared" si="341"/>
        <v>1280907.1929365764</v>
      </c>
      <c r="AC311" s="217">
        <f t="shared" si="341"/>
        <v>1321362.2484427423</v>
      </c>
      <c r="AD311" s="217">
        <f t="shared" si="341"/>
        <v>1361839.1290493628</v>
      </c>
      <c r="AE311" s="217">
        <f t="shared" si="341"/>
        <v>1401063.5100099563</v>
      </c>
      <c r="AF311" s="217">
        <f t="shared" si="341"/>
        <v>1434981.5933192293</v>
      </c>
      <c r="AG311" s="217">
        <f t="shared" si="341"/>
        <v>1473234.106050499</v>
      </c>
      <c r="AH311" s="217">
        <f t="shared" si="341"/>
        <v>1511589.5111315541</v>
      </c>
      <c r="AI311" s="217">
        <f t="shared" si="341"/>
        <v>1549093.8071830953</v>
      </c>
      <c r="AJ311" s="217">
        <f t="shared" si="341"/>
        <v>1586323.9381688482</v>
      </c>
      <c r="AK311" s="217">
        <f t="shared" si="341"/>
        <v>1627082.3803193977</v>
      </c>
      <c r="AM311" s="207"/>
      <c r="AR311" s="217">
        <f t="shared" ref="AR311:BL311" si="342">AR80+AR157+AR273+AR284+AR299</f>
        <v>635917.24181491719</v>
      </c>
      <c r="AS311" s="217">
        <f t="shared" si="342"/>
        <v>694251.0067820549</v>
      </c>
      <c r="AT311" s="217">
        <f t="shared" si="342"/>
        <v>750924.42303809361</v>
      </c>
      <c r="AU311" s="217">
        <f t="shared" si="342"/>
        <v>815662.36383707344</v>
      </c>
      <c r="AV311" s="237">
        <f t="shared" si="342"/>
        <v>912351.65772476979</v>
      </c>
      <c r="AW311" s="217">
        <f t="shared" si="342"/>
        <v>1011430.7809554957</v>
      </c>
      <c r="AX311" s="217">
        <f t="shared" si="342"/>
        <v>1063616.9223177335</v>
      </c>
      <c r="AY311" s="217">
        <f t="shared" si="342"/>
        <v>1062810.5356942168</v>
      </c>
      <c r="AZ311" s="217">
        <f t="shared" si="342"/>
        <v>1105263.7444234726</v>
      </c>
      <c r="BA311" s="217">
        <f t="shared" si="342"/>
        <v>1139101.1517489529</v>
      </c>
      <c r="BB311" s="217">
        <f t="shared" si="342"/>
        <v>1173624.4106011421</v>
      </c>
      <c r="BC311" s="217">
        <f t="shared" si="342"/>
        <v>1208872.3342653976</v>
      </c>
      <c r="BD311" s="217">
        <f t="shared" si="342"/>
        <v>1244883.2472584285</v>
      </c>
      <c r="BE311" s="217">
        <f t="shared" si="342"/>
        <v>1281695.0914906526</v>
      </c>
      <c r="BF311" s="217">
        <f t="shared" si="342"/>
        <v>1319345.5260351209</v>
      </c>
      <c r="BG311" s="217">
        <f t="shared" si="342"/>
        <v>1353165.0813301937</v>
      </c>
      <c r="BH311" s="217">
        <f t="shared" si="342"/>
        <v>1387636.6413309888</v>
      </c>
      <c r="BI311" s="217">
        <f t="shared" si="342"/>
        <v>1422787.8472321625</v>
      </c>
      <c r="BJ311" s="217">
        <f t="shared" si="342"/>
        <v>1458646.0096999833</v>
      </c>
      <c r="BK311" s="217">
        <f t="shared" si="342"/>
        <v>1495238.1765314997</v>
      </c>
      <c r="BL311" s="217">
        <f t="shared" si="342"/>
        <v>1532591.1960140632</v>
      </c>
      <c r="BN311" s="207"/>
      <c r="BQ311" s="217">
        <f t="shared" ref="BQ311:CK311" si="343">BQ80+BQ157+BQ273+BQ284+BQ299</f>
        <v>0</v>
      </c>
      <c r="BR311" s="217">
        <f t="shared" si="343"/>
        <v>845.84757015803359</v>
      </c>
      <c r="BS311" s="217">
        <f t="shared" si="343"/>
        <v>4744.3377638087786</v>
      </c>
      <c r="BT311" s="217">
        <f t="shared" si="343"/>
        <v>7781.9485118782995</v>
      </c>
      <c r="BU311" s="217">
        <f t="shared" si="343"/>
        <v>9116.3090402119706</v>
      </c>
      <c r="BV311" s="217">
        <f t="shared" si="343"/>
        <v>36974.4457705803</v>
      </c>
      <c r="BW311" s="217">
        <f t="shared" si="343"/>
        <v>66794.786945701431</v>
      </c>
      <c r="BX311" s="217">
        <f t="shared" si="343"/>
        <v>61522.544330624536</v>
      </c>
      <c r="BY311" s="217">
        <f t="shared" si="343"/>
        <v>66968.630025408842</v>
      </c>
      <c r="BZ311" s="217">
        <f t="shared" si="343"/>
        <v>71144.131308679483</v>
      </c>
      <c r="CA311" s="217">
        <f t="shared" si="343"/>
        <v>72505.478119949141</v>
      </c>
      <c r="CB311" s="217">
        <f t="shared" si="343"/>
        <v>72034.858671179041</v>
      </c>
      <c r="CC311" s="217">
        <f t="shared" si="343"/>
        <v>76479.001184313762</v>
      </c>
      <c r="CD311" s="217">
        <f t="shared" si="343"/>
        <v>80144.037558710261</v>
      </c>
      <c r="CE311" s="217">
        <f t="shared" si="343"/>
        <v>81717.983974835326</v>
      </c>
      <c r="CF311" s="217">
        <f t="shared" si="343"/>
        <v>81816.511989035411</v>
      </c>
      <c r="CG311" s="217">
        <f t="shared" si="343"/>
        <v>85597.464719509968</v>
      </c>
      <c r="CH311" s="217">
        <f t="shared" si="343"/>
        <v>88801.663899391599</v>
      </c>
      <c r="CI311" s="217">
        <f t="shared" si="343"/>
        <v>90447.797483111819</v>
      </c>
      <c r="CJ311" s="217">
        <f t="shared" si="343"/>
        <v>91085.761637348245</v>
      </c>
      <c r="CK311" s="217">
        <f t="shared" si="343"/>
        <v>94491.184305334464</v>
      </c>
    </row>
    <row r="312" spans="2:89" s="1" customFormat="1" x14ac:dyDescent="0.2">
      <c r="E312" s="218"/>
      <c r="G312" s="122" t="s">
        <v>181</v>
      </c>
      <c r="L312" s="123" t="s">
        <v>175</v>
      </c>
      <c r="M312" s="124"/>
      <c r="Q312" s="217">
        <f t="shared" ref="Q312:AK312" si="344">Q81+Q158+Q274+Q285+Q300</f>
        <v>460915.93120205204</v>
      </c>
      <c r="R312" s="237">
        <f t="shared" si="344"/>
        <v>503813.46175235196</v>
      </c>
      <c r="S312" s="217">
        <f t="shared" si="344"/>
        <v>547715.97868511721</v>
      </c>
      <c r="T312" s="217">
        <f t="shared" si="344"/>
        <v>596845.69556542393</v>
      </c>
      <c r="U312" s="237">
        <f t="shared" si="344"/>
        <v>667887.74949523131</v>
      </c>
      <c r="V312" s="217">
        <f t="shared" si="344"/>
        <v>759952.11579182371</v>
      </c>
      <c r="W312" s="217">
        <f t="shared" si="344"/>
        <v>819356.04542585951</v>
      </c>
      <c r="X312" s="217">
        <f t="shared" si="344"/>
        <v>814854.11166227807</v>
      </c>
      <c r="Y312" s="217">
        <f t="shared" si="344"/>
        <v>849642.40114172781</v>
      </c>
      <c r="Z312" s="217">
        <f t="shared" si="344"/>
        <v>877238.92990092817</v>
      </c>
      <c r="AA312" s="217">
        <f t="shared" si="344"/>
        <v>903222.24692065886</v>
      </c>
      <c r="AB312" s="217">
        <f t="shared" si="344"/>
        <v>928357.09928647242</v>
      </c>
      <c r="AC312" s="217">
        <f t="shared" si="344"/>
        <v>957731.95918833627</v>
      </c>
      <c r="AD312" s="217">
        <f t="shared" si="344"/>
        <v>987103.14443859039</v>
      </c>
      <c r="AE312" s="217">
        <f t="shared" si="344"/>
        <v>1015513.6943590759</v>
      </c>
      <c r="AF312" s="217">
        <f t="shared" si="344"/>
        <v>1040043.8882688552</v>
      </c>
      <c r="AG312" s="217">
        <f t="shared" si="344"/>
        <v>1067809.0144988145</v>
      </c>
      <c r="AH312" s="217">
        <f t="shared" si="344"/>
        <v>1095634.1358169361</v>
      </c>
      <c r="AI312" s="217">
        <f t="shared" si="344"/>
        <v>1122802.859345732</v>
      </c>
      <c r="AJ312" s="217">
        <f t="shared" si="344"/>
        <v>1149747.1898253383</v>
      </c>
      <c r="AK312" s="217">
        <f t="shared" si="344"/>
        <v>1179318.6635828542</v>
      </c>
      <c r="AM312" s="207"/>
      <c r="AR312" s="217">
        <f t="shared" ref="AR312:BL312" si="345">AR81+AR158+AR274+AR285+AR300</f>
        <v>460915.93120205204</v>
      </c>
      <c r="AS312" s="217">
        <f t="shared" si="345"/>
        <v>503196.52973341825</v>
      </c>
      <c r="AT312" s="217">
        <f t="shared" si="345"/>
        <v>544273.69938760402</v>
      </c>
      <c r="AU312" s="217">
        <f t="shared" si="345"/>
        <v>591196.07592563506</v>
      </c>
      <c r="AV312" s="237">
        <f t="shared" si="345"/>
        <v>661276.9496605969</v>
      </c>
      <c r="AW312" s="217">
        <f t="shared" si="345"/>
        <v>733089.98340731103</v>
      </c>
      <c r="AX312" s="217">
        <f t="shared" si="345"/>
        <v>770914.75424253801</v>
      </c>
      <c r="AY312" s="217">
        <f t="shared" si="345"/>
        <v>770330.28126862028</v>
      </c>
      <c r="AZ312" s="217">
        <f t="shared" si="345"/>
        <v>801100.57486550033</v>
      </c>
      <c r="BA312" s="217">
        <f t="shared" si="345"/>
        <v>825626.09340997518</v>
      </c>
      <c r="BB312" s="217">
        <f t="shared" si="345"/>
        <v>850648.72049990157</v>
      </c>
      <c r="BC312" s="217">
        <f t="shared" si="345"/>
        <v>876196.58819457807</v>
      </c>
      <c r="BD312" s="217">
        <f t="shared" si="345"/>
        <v>902297.47429140052</v>
      </c>
      <c r="BE312" s="217">
        <f t="shared" si="345"/>
        <v>928978.87927286548</v>
      </c>
      <c r="BF312" s="217">
        <f t="shared" si="345"/>
        <v>956268.0986195507</v>
      </c>
      <c r="BG312" s="217">
        <f t="shared" si="345"/>
        <v>980780.67792495678</v>
      </c>
      <c r="BH312" s="217">
        <f t="shared" si="345"/>
        <v>1005765.8334341983</v>
      </c>
      <c r="BI312" s="217">
        <f t="shared" si="345"/>
        <v>1031243.5996205483</v>
      </c>
      <c r="BJ312" s="217">
        <f t="shared" si="345"/>
        <v>1057233.7713885985</v>
      </c>
      <c r="BK312" s="217">
        <f t="shared" si="345"/>
        <v>1083755.9531141976</v>
      </c>
      <c r="BL312" s="217">
        <f t="shared" si="345"/>
        <v>1110829.6045674351</v>
      </c>
      <c r="BN312" s="207"/>
      <c r="BQ312" s="217">
        <f t="shared" ref="BQ312:CK312" si="346">BQ81+BQ158+BQ274+BQ285+BQ300</f>
        <v>0</v>
      </c>
      <c r="BR312" s="217">
        <f t="shared" si="346"/>
        <v>616.93201893366427</v>
      </c>
      <c r="BS312" s="217">
        <f t="shared" si="346"/>
        <v>3442.2792975131661</v>
      </c>
      <c r="BT312" s="217">
        <f t="shared" si="346"/>
        <v>5649.6196397889171</v>
      </c>
      <c r="BU312" s="217">
        <f t="shared" si="346"/>
        <v>6610.7998346344848</v>
      </c>
      <c r="BV312" s="217">
        <f t="shared" si="346"/>
        <v>26862.132384512624</v>
      </c>
      <c r="BW312" s="217">
        <f t="shared" si="346"/>
        <v>48441.291183321475</v>
      </c>
      <c r="BX312" s="217">
        <f t="shared" si="346"/>
        <v>44523.830393657874</v>
      </c>
      <c r="BY312" s="217">
        <f t="shared" si="346"/>
        <v>48541.826276227403</v>
      </c>
      <c r="BZ312" s="217">
        <f t="shared" si="346"/>
        <v>51612.836490953094</v>
      </c>
      <c r="CA312" s="217">
        <f t="shared" si="346"/>
        <v>52573.526420757116</v>
      </c>
      <c r="CB312" s="217">
        <f t="shared" si="346"/>
        <v>52160.511091894383</v>
      </c>
      <c r="CC312" s="217">
        <f t="shared" si="346"/>
        <v>55434.484896935784</v>
      </c>
      <c r="CD312" s="217">
        <f t="shared" si="346"/>
        <v>58124.265165725003</v>
      </c>
      <c r="CE312" s="217">
        <f t="shared" si="346"/>
        <v>59245.595739525161</v>
      </c>
      <c r="CF312" s="217">
        <f t="shared" si="346"/>
        <v>59263.21034389839</v>
      </c>
      <c r="CG312" s="217">
        <f t="shared" si="346"/>
        <v>62043.181064616161</v>
      </c>
      <c r="CH312" s="217">
        <f t="shared" si="346"/>
        <v>64390.536196387904</v>
      </c>
      <c r="CI312" s="217">
        <f t="shared" si="346"/>
        <v>65569.087957133772</v>
      </c>
      <c r="CJ312" s="217">
        <f t="shared" si="346"/>
        <v>65991.23671114062</v>
      </c>
      <c r="CK312" s="217">
        <f t="shared" si="346"/>
        <v>68489.059015419203</v>
      </c>
    </row>
    <row r="313" spans="2:89" s="1" customFormat="1" x14ac:dyDescent="0.2">
      <c r="E313" s="218"/>
      <c r="G313" s="122" t="s">
        <v>374</v>
      </c>
      <c r="L313" s="123" t="s">
        <v>175</v>
      </c>
      <c r="M313" s="124"/>
      <c r="Q313" s="217">
        <f>SUM(Q304:Q312)</f>
        <v>19172327.812469542</v>
      </c>
      <c r="R313" s="237">
        <f>SUM(R304:R312)</f>
        <v>21100707.46114726</v>
      </c>
      <c r="S313" s="217">
        <f t="shared" ref="S313:AK313" si="347">SUM(S304:S312)</f>
        <v>23100564.739396404</v>
      </c>
      <c r="T313" s="217">
        <f t="shared" si="347"/>
        <v>25346086.767763775</v>
      </c>
      <c r="U313" s="237">
        <f t="shared" si="347"/>
        <v>28567474.649699718</v>
      </c>
      <c r="V313" s="217">
        <f t="shared" si="347"/>
        <v>32695679.513002399</v>
      </c>
      <c r="W313" s="217">
        <f t="shared" si="347"/>
        <v>35527679.082519002</v>
      </c>
      <c r="X313" s="217">
        <f t="shared" si="347"/>
        <v>35648948.902943</v>
      </c>
      <c r="Y313" s="217">
        <f t="shared" si="347"/>
        <v>37385134.423298262</v>
      </c>
      <c r="Z313" s="217">
        <f t="shared" si="347"/>
        <v>38843942.579899073</v>
      </c>
      <c r="AA313" s="217">
        <f t="shared" si="347"/>
        <v>40300257.52603285</v>
      </c>
      <c r="AB313" s="217">
        <f t="shared" si="347"/>
        <v>41771382.732429519</v>
      </c>
      <c r="AC313" s="217">
        <f t="shared" si="347"/>
        <v>43363928.573680796</v>
      </c>
      <c r="AD313" s="217">
        <f t="shared" si="347"/>
        <v>44991876.740957983</v>
      </c>
      <c r="AE313" s="217">
        <f t="shared" si="347"/>
        <v>46637111.268166639</v>
      </c>
      <c r="AF313" s="217">
        <f t="shared" si="347"/>
        <v>48151406.426801533</v>
      </c>
      <c r="AG313" s="217">
        <f t="shared" si="347"/>
        <v>49765601.490018032</v>
      </c>
      <c r="AH313" s="217">
        <f t="shared" si="347"/>
        <v>51415517.696731873</v>
      </c>
      <c r="AI313" s="217">
        <f t="shared" si="347"/>
        <v>53087769.071824178</v>
      </c>
      <c r="AJ313" s="217">
        <f t="shared" si="347"/>
        <v>54792715.192635879</v>
      </c>
      <c r="AK313" s="217">
        <f t="shared" si="347"/>
        <v>56590706.895331338</v>
      </c>
      <c r="AM313" s="207"/>
      <c r="AR313" s="217">
        <f t="shared" ref="AR313:BL313" si="348">SUM(AR304:AR312)</f>
        <v>19172327.812469542</v>
      </c>
      <c r="AS313" s="217">
        <f t="shared" si="348"/>
        <v>21077294.492563274</v>
      </c>
      <c r="AT313" s="217">
        <f t="shared" si="348"/>
        <v>22956877.45743531</v>
      </c>
      <c r="AU313" s="217">
        <f t="shared" si="348"/>
        <v>25110425.68502311</v>
      </c>
      <c r="AV313" s="237">
        <f t="shared" si="348"/>
        <v>28284251.067370679</v>
      </c>
      <c r="AW313" s="217">
        <f t="shared" si="348"/>
        <v>31575363.852795441</v>
      </c>
      <c r="AX313" s="217">
        <f t="shared" si="348"/>
        <v>33438024.865918368</v>
      </c>
      <c r="AY313" s="217">
        <f t="shared" si="348"/>
        <v>33651209.268364601</v>
      </c>
      <c r="AZ313" s="217">
        <f t="shared" si="348"/>
        <v>35243707.349208862</v>
      </c>
      <c r="BA313" s="217">
        <f t="shared" si="348"/>
        <v>36581078.740590259</v>
      </c>
      <c r="BB313" s="217">
        <f t="shared" si="348"/>
        <v>37958609.802829906</v>
      </c>
      <c r="BC313" s="217">
        <f t="shared" si="348"/>
        <v>39378298.235878825</v>
      </c>
      <c r="BD313" s="217">
        <f t="shared" si="348"/>
        <v>40842174.475369781</v>
      </c>
      <c r="BE313" s="217">
        <f t="shared" si="348"/>
        <v>42352305.737613007</v>
      </c>
      <c r="BF313" s="217">
        <f t="shared" si="348"/>
        <v>43910800.005181193</v>
      </c>
      <c r="BG313" s="217">
        <f t="shared" si="348"/>
        <v>45361955.055133089</v>
      </c>
      <c r="BH313" s="217">
        <f t="shared" si="348"/>
        <v>46854698.572211623</v>
      </c>
      <c r="BI313" s="217">
        <f t="shared" si="348"/>
        <v>48390726.641033672</v>
      </c>
      <c r="BJ313" s="217">
        <f t="shared" si="348"/>
        <v>49971764.310686268</v>
      </c>
      <c r="BK313" s="217">
        <f t="shared" si="348"/>
        <v>51599568.403655559</v>
      </c>
      <c r="BL313" s="217">
        <f t="shared" si="348"/>
        <v>53275930.280722983</v>
      </c>
      <c r="BN313" s="207"/>
      <c r="BQ313" s="217">
        <f>SUM(BQ304:BQ312)</f>
        <v>0</v>
      </c>
      <c r="BR313" s="217">
        <f>(SUM(BR304:BR312))*$K$332</f>
        <v>23412.968583983344</v>
      </c>
      <c r="BS313" s="217">
        <f t="shared" ref="BS313:CK313" si="349">(SUM(BS304:BS312))*$K$332</f>
        <v>143687.28196109561</v>
      </c>
      <c r="BT313" s="217">
        <f t="shared" si="349"/>
        <v>235661.08274066469</v>
      </c>
      <c r="BU313" s="217">
        <f t="shared" si="349"/>
        <v>283223.58232903975</v>
      </c>
      <c r="BV313" s="217">
        <f t="shared" si="349"/>
        <v>1120315.6602069598</v>
      </c>
      <c r="BW313" s="217">
        <f t="shared" si="349"/>
        <v>2089654.2166006272</v>
      </c>
      <c r="BX313" s="217">
        <f t="shared" si="349"/>
        <v>1997739.634578408</v>
      </c>
      <c r="BY313" s="217">
        <f t="shared" si="349"/>
        <v>2141427.0740893991</v>
      </c>
      <c r="BZ313" s="217">
        <f>(SUM(BZ304:BZ312))*$K$332</f>
        <v>2262863.839308809</v>
      </c>
      <c r="CA313" s="217">
        <f t="shared" si="349"/>
        <v>2341647.7232029508</v>
      </c>
      <c r="CB313" s="217">
        <f t="shared" si="349"/>
        <v>2393084.4965506811</v>
      </c>
      <c r="CC313" s="217">
        <f t="shared" si="349"/>
        <v>2521754.0983110191</v>
      </c>
      <c r="CD313" s="217">
        <f t="shared" si="349"/>
        <v>2639571.0033449717</v>
      </c>
      <c r="CE313" s="217">
        <f t="shared" si="349"/>
        <v>2726311.2629854502</v>
      </c>
      <c r="CF313" s="217">
        <f t="shared" si="349"/>
        <v>2789451.3716684431</v>
      </c>
      <c r="CG313" s="217">
        <f t="shared" si="349"/>
        <v>2910902.9178064023</v>
      </c>
      <c r="CH313" s="217">
        <f t="shared" si="349"/>
        <v>3024791.0556982043</v>
      </c>
      <c r="CI313" s="217">
        <f t="shared" si="349"/>
        <v>3116004.7611379093</v>
      </c>
      <c r="CJ313" s="217">
        <f t="shared" si="349"/>
        <v>3193146.7889803317</v>
      </c>
      <c r="CK313" s="217">
        <f t="shared" si="349"/>
        <v>3314776.6146083567</v>
      </c>
    </row>
    <row r="314" spans="2:89" x14ac:dyDescent="0.2">
      <c r="B314" s="4"/>
      <c r="E314" s="18"/>
      <c r="L314" s="4"/>
      <c r="M314" s="63"/>
    </row>
    <row r="315" spans="2:89" x14ac:dyDescent="0.2">
      <c r="B315" s="4"/>
      <c r="E315" s="18"/>
      <c r="L315" s="4"/>
      <c r="M315" s="63"/>
    </row>
    <row r="316" spans="2:89" s="193" customFormat="1" x14ac:dyDescent="0.2">
      <c r="B316" s="193" t="s">
        <v>231</v>
      </c>
      <c r="L316" s="184"/>
      <c r="M316" s="195"/>
      <c r="Q316" s="189" t="s">
        <v>451</v>
      </c>
      <c r="R316" s="299" t="s">
        <v>452</v>
      </c>
      <c r="S316" s="315">
        <v>1</v>
      </c>
      <c r="T316" s="315">
        <f>S316+1</f>
        <v>2</v>
      </c>
      <c r="U316" s="315">
        <f>T316+1</f>
        <v>3</v>
      </c>
      <c r="V316" s="315">
        <f>U316+1</f>
        <v>4</v>
      </c>
      <c r="W316" s="315">
        <f>V316+1</f>
        <v>5</v>
      </c>
      <c r="AM316" s="205"/>
      <c r="AV316" s="221"/>
      <c r="BN316" s="205"/>
      <c r="BU316" s="221"/>
    </row>
    <row r="317" spans="2:89" s="193" customFormat="1" x14ac:dyDescent="0.2">
      <c r="D317" s="193" t="s">
        <v>441</v>
      </c>
      <c r="L317" s="184" t="s">
        <v>175</v>
      </c>
      <c r="M317" s="195"/>
      <c r="R317" s="250">
        <v>124288.83116476896</v>
      </c>
      <c r="S317" s="250">
        <v>1796639.2377394894</v>
      </c>
      <c r="T317" s="250">
        <v>5675709.3354098378</v>
      </c>
      <c r="U317" s="250">
        <v>4692096.1760405516</v>
      </c>
      <c r="V317" s="250">
        <v>3365654.336093341</v>
      </c>
      <c r="W317" s="250">
        <v>991282.0976473355</v>
      </c>
      <c r="X317" s="193">
        <v>0</v>
      </c>
      <c r="Y317" s="193">
        <v>0</v>
      </c>
      <c r="Z317" s="193">
        <v>0</v>
      </c>
      <c r="AA317" s="193">
        <v>0</v>
      </c>
      <c r="AB317" s="193">
        <v>0</v>
      </c>
      <c r="AC317" s="193">
        <v>0</v>
      </c>
      <c r="AD317" s="193">
        <v>0</v>
      </c>
      <c r="AE317" s="193">
        <v>0</v>
      </c>
      <c r="AF317" s="193">
        <v>0</v>
      </c>
      <c r="AG317" s="193">
        <v>0</v>
      </c>
      <c r="AH317" s="193">
        <v>0</v>
      </c>
      <c r="AI317" s="193">
        <v>0</v>
      </c>
      <c r="AJ317" s="193">
        <v>0</v>
      </c>
      <c r="AK317" s="193">
        <v>0</v>
      </c>
      <c r="AM317" s="205"/>
      <c r="AV317" s="221"/>
      <c r="BN317" s="205"/>
      <c r="BR317" s="215">
        <f>R317-AS317</f>
        <v>124288.83116476896</v>
      </c>
      <c r="BS317" s="215">
        <f t="shared" ref="BS317:CK318" si="350">S317-AT317</f>
        <v>1796639.2377394894</v>
      </c>
      <c r="BT317" s="215">
        <f t="shared" si="350"/>
        <v>5675709.3354098378</v>
      </c>
      <c r="BU317" s="215">
        <f t="shared" si="350"/>
        <v>4692096.1760405516</v>
      </c>
      <c r="BV317" s="215">
        <f t="shared" si="350"/>
        <v>3365654.336093341</v>
      </c>
      <c r="BW317" s="215">
        <f t="shared" si="350"/>
        <v>991282.0976473355</v>
      </c>
      <c r="BX317" s="215">
        <f t="shared" si="350"/>
        <v>0</v>
      </c>
      <c r="BY317" s="215">
        <f t="shared" si="350"/>
        <v>0</v>
      </c>
      <c r="BZ317" s="215">
        <f t="shared" si="350"/>
        <v>0</v>
      </c>
      <c r="CA317" s="215">
        <f t="shared" si="350"/>
        <v>0</v>
      </c>
      <c r="CB317" s="215">
        <f t="shared" si="350"/>
        <v>0</v>
      </c>
      <c r="CC317" s="215">
        <f t="shared" si="350"/>
        <v>0</v>
      </c>
      <c r="CD317" s="215">
        <f t="shared" si="350"/>
        <v>0</v>
      </c>
      <c r="CE317" s="215">
        <f t="shared" si="350"/>
        <v>0</v>
      </c>
      <c r="CF317" s="215">
        <f t="shared" si="350"/>
        <v>0</v>
      </c>
      <c r="CG317" s="215">
        <f t="shared" si="350"/>
        <v>0</v>
      </c>
      <c r="CH317" s="215">
        <f t="shared" si="350"/>
        <v>0</v>
      </c>
      <c r="CI317" s="215">
        <f t="shared" si="350"/>
        <v>0</v>
      </c>
      <c r="CJ317" s="215">
        <f t="shared" si="350"/>
        <v>0</v>
      </c>
      <c r="CK317" s="215">
        <f t="shared" si="350"/>
        <v>0</v>
      </c>
    </row>
    <row r="318" spans="2:89" s="193" customFormat="1" x14ac:dyDescent="0.2">
      <c r="D318" s="193" t="s">
        <v>453</v>
      </c>
      <c r="L318" s="184" t="s">
        <v>175</v>
      </c>
      <c r="M318" s="195"/>
      <c r="R318" s="250">
        <v>236206.65312249935</v>
      </c>
      <c r="S318" s="250">
        <v>298894.9242928967</v>
      </c>
      <c r="T318" s="250">
        <v>255857.73849930899</v>
      </c>
      <c r="U318" s="250">
        <v>243572.97032407238</v>
      </c>
      <c r="V318" s="250">
        <v>220083.94671599899</v>
      </c>
      <c r="W318" s="250">
        <v>379349.05209907744</v>
      </c>
      <c r="AM318" s="205"/>
      <c r="AV318" s="221"/>
      <c r="BN318" s="205"/>
      <c r="BR318" s="215">
        <f>R318-AS318</f>
        <v>236206.65312249935</v>
      </c>
      <c r="BS318" s="215">
        <f t="shared" si="350"/>
        <v>298894.9242928967</v>
      </c>
      <c r="BT318" s="215">
        <f t="shared" si="350"/>
        <v>255857.73849930899</v>
      </c>
      <c r="BU318" s="215">
        <f t="shared" si="350"/>
        <v>243572.97032407238</v>
      </c>
      <c r="BV318" s="215">
        <f t="shared" si="350"/>
        <v>220083.94671599899</v>
      </c>
      <c r="BW318" s="215">
        <f t="shared" si="350"/>
        <v>379349.05209907744</v>
      </c>
      <c r="BX318" s="215">
        <f t="shared" si="350"/>
        <v>0</v>
      </c>
      <c r="BY318" s="215">
        <f t="shared" si="350"/>
        <v>0</v>
      </c>
      <c r="BZ318" s="215">
        <f t="shared" si="350"/>
        <v>0</v>
      </c>
      <c r="CA318" s="215">
        <f t="shared" si="350"/>
        <v>0</v>
      </c>
      <c r="CB318" s="215">
        <f t="shared" si="350"/>
        <v>0</v>
      </c>
      <c r="CC318" s="215">
        <f t="shared" si="350"/>
        <v>0</v>
      </c>
      <c r="CD318" s="215">
        <f t="shared" si="350"/>
        <v>0</v>
      </c>
      <c r="CE318" s="215">
        <f t="shared" si="350"/>
        <v>0</v>
      </c>
      <c r="CF318" s="215">
        <f t="shared" si="350"/>
        <v>0</v>
      </c>
      <c r="CG318" s="215">
        <f t="shared" si="350"/>
        <v>0</v>
      </c>
      <c r="CH318" s="215">
        <f t="shared" si="350"/>
        <v>0</v>
      </c>
      <c r="CI318" s="215">
        <f t="shared" si="350"/>
        <v>0</v>
      </c>
      <c r="CJ318" s="215">
        <f t="shared" si="350"/>
        <v>0</v>
      </c>
      <c r="CK318" s="215">
        <f t="shared" si="350"/>
        <v>0</v>
      </c>
    </row>
    <row r="319" spans="2:89" s="193" customFormat="1" x14ac:dyDescent="0.2">
      <c r="D319" s="193" t="s">
        <v>374</v>
      </c>
      <c r="L319" s="184"/>
      <c r="M319" s="195"/>
      <c r="R319" s="251">
        <f>SUM(R317:R318)</f>
        <v>360495.48428726831</v>
      </c>
      <c r="S319" s="219">
        <f>SUM(S317:S318)</f>
        <v>2095534.1620323861</v>
      </c>
      <c r="T319" s="219">
        <f t="shared" ref="T319:AK319" si="351">SUM(T317:T318)</f>
        <v>5931567.0739091467</v>
      </c>
      <c r="U319" s="251">
        <f t="shared" si="351"/>
        <v>4935669.1463646237</v>
      </c>
      <c r="V319" s="219">
        <f t="shared" si="351"/>
        <v>3585738.2828093399</v>
      </c>
      <c r="W319" s="219">
        <f t="shared" si="351"/>
        <v>1370631.1497464129</v>
      </c>
      <c r="X319" s="219">
        <f t="shared" si="351"/>
        <v>0</v>
      </c>
      <c r="Y319" s="219">
        <f t="shared" si="351"/>
        <v>0</v>
      </c>
      <c r="Z319" s="219">
        <f t="shared" si="351"/>
        <v>0</v>
      </c>
      <c r="AA319" s="219">
        <f t="shared" si="351"/>
        <v>0</v>
      </c>
      <c r="AB319" s="219">
        <f t="shared" si="351"/>
        <v>0</v>
      </c>
      <c r="AC319" s="219">
        <f t="shared" si="351"/>
        <v>0</v>
      </c>
      <c r="AD319" s="219">
        <f t="shared" si="351"/>
        <v>0</v>
      </c>
      <c r="AE319" s="219">
        <f t="shared" si="351"/>
        <v>0</v>
      </c>
      <c r="AF319" s="219">
        <f t="shared" si="351"/>
        <v>0</v>
      </c>
      <c r="AG319" s="219">
        <f t="shared" si="351"/>
        <v>0</v>
      </c>
      <c r="AH319" s="219">
        <f t="shared" si="351"/>
        <v>0</v>
      </c>
      <c r="AI319" s="219">
        <f t="shared" si="351"/>
        <v>0</v>
      </c>
      <c r="AJ319" s="219">
        <f t="shared" si="351"/>
        <v>0</v>
      </c>
      <c r="AK319" s="219">
        <f t="shared" si="351"/>
        <v>0</v>
      </c>
      <c r="AM319" s="205"/>
      <c r="AV319" s="221"/>
      <c r="BN319" s="205"/>
      <c r="BR319" s="215">
        <f t="shared" ref="BR319:CK319" si="352">(BR317+BR318)*$K$329</f>
        <v>360495.48428726831</v>
      </c>
      <c r="BS319" s="215">
        <f t="shared" si="352"/>
        <v>2095534.1620323861</v>
      </c>
      <c r="BT319" s="215">
        <f t="shared" si="352"/>
        <v>5931567.0739091467</v>
      </c>
      <c r="BU319" s="215">
        <f t="shared" si="352"/>
        <v>4935669.1463646237</v>
      </c>
      <c r="BV319" s="215">
        <f t="shared" si="352"/>
        <v>3585738.2828093399</v>
      </c>
      <c r="BW319" s="215">
        <f t="shared" si="352"/>
        <v>1370631.1497464129</v>
      </c>
      <c r="BX319" s="215">
        <f t="shared" si="352"/>
        <v>0</v>
      </c>
      <c r="BY319" s="215">
        <f t="shared" si="352"/>
        <v>0</v>
      </c>
      <c r="BZ319" s="215">
        <f t="shared" si="352"/>
        <v>0</v>
      </c>
      <c r="CA319" s="215">
        <f t="shared" si="352"/>
        <v>0</v>
      </c>
      <c r="CB319" s="215">
        <f t="shared" si="352"/>
        <v>0</v>
      </c>
      <c r="CC319" s="215">
        <f t="shared" si="352"/>
        <v>0</v>
      </c>
      <c r="CD319" s="215">
        <f t="shared" si="352"/>
        <v>0</v>
      </c>
      <c r="CE319" s="215">
        <f t="shared" si="352"/>
        <v>0</v>
      </c>
      <c r="CF319" s="215">
        <f t="shared" si="352"/>
        <v>0</v>
      </c>
      <c r="CG319" s="215">
        <f t="shared" si="352"/>
        <v>0</v>
      </c>
      <c r="CH319" s="215">
        <f t="shared" si="352"/>
        <v>0</v>
      </c>
      <c r="CI319" s="215">
        <f t="shared" si="352"/>
        <v>0</v>
      </c>
      <c r="CJ319" s="215">
        <f t="shared" si="352"/>
        <v>0</v>
      </c>
      <c r="CK319" s="215">
        <f t="shared" si="352"/>
        <v>0</v>
      </c>
    </row>
    <row r="320" spans="2:89" s="193" customFormat="1" x14ac:dyDescent="0.2">
      <c r="L320" s="184"/>
      <c r="M320" s="195"/>
      <c r="R320" s="221"/>
      <c r="S320" s="184"/>
      <c r="T320" s="184"/>
      <c r="U320" s="254"/>
      <c r="V320" s="184"/>
      <c r="W320" s="184"/>
      <c r="AM320" s="205"/>
      <c r="AV320" s="221"/>
      <c r="BN320" s="205"/>
      <c r="BU320" s="221"/>
    </row>
    <row r="321" spans="1:89" x14ac:dyDescent="0.2">
      <c r="L321" s="4"/>
      <c r="M321" s="63"/>
    </row>
    <row r="322" spans="1:89" s="1" customFormat="1" ht="13.5" thickBot="1" x14ac:dyDescent="0.25">
      <c r="B322" s="1" t="s">
        <v>424</v>
      </c>
      <c r="L322" s="193"/>
      <c r="M322" s="124"/>
      <c r="R322" s="237"/>
      <c r="S322" s="217"/>
      <c r="T322" s="217"/>
      <c r="U322" s="237"/>
      <c r="V322" s="217"/>
      <c r="W322" s="217"/>
      <c r="X322" s="217"/>
      <c r="Y322" s="217"/>
      <c r="Z322" s="217"/>
      <c r="AA322" s="217"/>
      <c r="AB322" s="217"/>
      <c r="AC322" s="217"/>
      <c r="AD322" s="217"/>
      <c r="AE322" s="217"/>
      <c r="AF322" s="217"/>
      <c r="AG322" s="217"/>
      <c r="AH322" s="217"/>
      <c r="AI322" s="217"/>
      <c r="AJ322" s="217"/>
      <c r="AK322" s="217"/>
      <c r="AM322" s="207"/>
      <c r="AV322" s="233"/>
      <c r="BN322" s="207"/>
      <c r="BR322" s="217">
        <f>BR313-BR319</f>
        <v>-337082.51570328494</v>
      </c>
      <c r="BS322" s="217">
        <f t="shared" ref="BS322:CK322" si="353">BS313-BS319</f>
        <v>-1951846.8800712905</v>
      </c>
      <c r="BT322" s="217">
        <f t="shared" si="353"/>
        <v>-5695905.9911684822</v>
      </c>
      <c r="BU322" s="217">
        <f t="shared" si="353"/>
        <v>-4652445.5640355842</v>
      </c>
      <c r="BV322" s="217">
        <f t="shared" si="353"/>
        <v>-2465422.6226023799</v>
      </c>
      <c r="BW322" s="217">
        <f t="shared" si="353"/>
        <v>719023.0668542143</v>
      </c>
      <c r="BX322" s="217">
        <f t="shared" si="353"/>
        <v>1997739.634578408</v>
      </c>
      <c r="BY322" s="217">
        <f t="shared" si="353"/>
        <v>2141427.0740893991</v>
      </c>
      <c r="BZ322" s="217">
        <f t="shared" si="353"/>
        <v>2262863.839308809</v>
      </c>
      <c r="CA322" s="217">
        <f t="shared" si="353"/>
        <v>2341647.7232029508</v>
      </c>
      <c r="CB322" s="217">
        <f t="shared" si="353"/>
        <v>2393084.4965506811</v>
      </c>
      <c r="CC322" s="217">
        <f t="shared" si="353"/>
        <v>2521754.0983110191</v>
      </c>
      <c r="CD322" s="217">
        <f t="shared" si="353"/>
        <v>2639571.0033449717</v>
      </c>
      <c r="CE322" s="217">
        <f t="shared" si="353"/>
        <v>2726311.2629854502</v>
      </c>
      <c r="CF322" s="217">
        <f t="shared" si="353"/>
        <v>2789451.3716684431</v>
      </c>
      <c r="CG322" s="217">
        <f t="shared" si="353"/>
        <v>2910902.9178064023</v>
      </c>
      <c r="CH322" s="217">
        <f t="shared" si="353"/>
        <v>3024791.0556982043</v>
      </c>
      <c r="CI322" s="217">
        <f t="shared" si="353"/>
        <v>3116004.7611379093</v>
      </c>
      <c r="CJ322" s="217">
        <f t="shared" si="353"/>
        <v>3193146.7889803317</v>
      </c>
      <c r="CK322" s="217">
        <f t="shared" si="353"/>
        <v>3314776.6146083567</v>
      </c>
    </row>
    <row r="323" spans="1:89" ht="13.5" thickBot="1" x14ac:dyDescent="0.25">
      <c r="B323" s="257" t="s">
        <v>434</v>
      </c>
      <c r="C323" s="258"/>
      <c r="D323" s="598">
        <f>IRR(BR322:CK322)</f>
        <v>9.9828750914081832E-2</v>
      </c>
      <c r="E323" s="599"/>
      <c r="F323" t="s">
        <v>439</v>
      </c>
      <c r="M323" s="63"/>
    </row>
    <row r="324" spans="1:89" x14ac:dyDescent="0.2">
      <c r="F324" t="s">
        <v>454</v>
      </c>
      <c r="M324" s="63"/>
    </row>
    <row r="325" spans="1:89" x14ac:dyDescent="0.2">
      <c r="M325" s="63"/>
    </row>
    <row r="326" spans="1:89" s="1" customFormat="1" x14ac:dyDescent="0.2">
      <c r="B326" s="1" t="s">
        <v>455</v>
      </c>
      <c r="M326" s="124"/>
      <c r="R326" s="233"/>
      <c r="U326" s="233"/>
      <c r="AM326" s="207"/>
      <c r="AV326" s="233"/>
      <c r="BN326" s="207"/>
      <c r="BR326" s="316">
        <f>BR322+BR319</f>
        <v>23412.968583983369</v>
      </c>
      <c r="BS326" s="316">
        <f t="shared" ref="BS326:CK326" si="354">BS322+BS319</f>
        <v>143687.28196109552</v>
      </c>
      <c r="BT326" s="316">
        <f t="shared" si="354"/>
        <v>235661.08274066448</v>
      </c>
      <c r="BU326" s="316">
        <f t="shared" si="354"/>
        <v>283223.58232903946</v>
      </c>
      <c r="BV326" s="316">
        <f t="shared" si="354"/>
        <v>1120315.66020696</v>
      </c>
      <c r="BW326" s="316">
        <f t="shared" si="354"/>
        <v>2089654.2166006272</v>
      </c>
      <c r="BX326" s="316">
        <f t="shared" si="354"/>
        <v>1997739.634578408</v>
      </c>
      <c r="BY326" s="316">
        <f t="shared" si="354"/>
        <v>2141427.0740893991</v>
      </c>
      <c r="BZ326" s="316">
        <f t="shared" si="354"/>
        <v>2262863.839308809</v>
      </c>
      <c r="CA326" s="316">
        <f t="shared" si="354"/>
        <v>2341647.7232029508</v>
      </c>
      <c r="CB326" s="316">
        <f t="shared" si="354"/>
        <v>2393084.4965506811</v>
      </c>
      <c r="CC326" s="316">
        <f t="shared" si="354"/>
        <v>2521754.0983110191</v>
      </c>
      <c r="CD326" s="316">
        <f t="shared" si="354"/>
        <v>2639571.0033449717</v>
      </c>
      <c r="CE326" s="316">
        <f t="shared" si="354"/>
        <v>2726311.2629854502</v>
      </c>
      <c r="CF326" s="316">
        <f t="shared" si="354"/>
        <v>2789451.3716684431</v>
      </c>
      <c r="CG326" s="316">
        <f t="shared" si="354"/>
        <v>2910902.9178064023</v>
      </c>
      <c r="CH326" s="316">
        <f t="shared" si="354"/>
        <v>3024791.0556982043</v>
      </c>
      <c r="CI326" s="316">
        <f t="shared" si="354"/>
        <v>3116004.7611379093</v>
      </c>
      <c r="CJ326" s="316">
        <f t="shared" si="354"/>
        <v>3193146.7889803317</v>
      </c>
      <c r="CK326" s="316">
        <f t="shared" si="354"/>
        <v>3314776.6146083567</v>
      </c>
    </row>
    <row r="327" spans="1:89" x14ac:dyDescent="0.2">
      <c r="B327" s="15"/>
      <c r="C327" s="15"/>
      <c r="D327" s="15"/>
      <c r="E327" s="15"/>
      <c r="F327" s="15"/>
      <c r="G327" s="15"/>
      <c r="H327" s="15"/>
      <c r="I327" s="15"/>
      <c r="J327" s="15"/>
      <c r="M327" s="63"/>
      <c r="BQ327" s="506" t="s">
        <v>549</v>
      </c>
      <c r="BR327" s="505">
        <f>NPV(0.1,BR326:CK326)</f>
        <v>12872105.8852931</v>
      </c>
      <c r="BS327" s="505" t="s">
        <v>550</v>
      </c>
      <c r="BT327" s="297"/>
      <c r="BU327" s="298"/>
      <c r="BV327" s="297"/>
      <c r="BW327" s="297"/>
      <c r="BX327" s="297"/>
      <c r="BY327" s="297"/>
      <c r="BZ327" s="297"/>
      <c r="CA327" s="297"/>
      <c r="CB327" s="297"/>
      <c r="CC327" s="297"/>
      <c r="CD327" s="297"/>
      <c r="CE327" s="297"/>
      <c r="CF327" s="297"/>
      <c r="CG327" s="297"/>
      <c r="CH327" s="297"/>
      <c r="CI327" s="297"/>
      <c r="CJ327" s="297"/>
      <c r="CK327" s="297"/>
    </row>
    <row r="328" spans="1:89" x14ac:dyDescent="0.2">
      <c r="A328" s="302"/>
      <c r="B328" s="355" t="s">
        <v>34</v>
      </c>
      <c r="C328" s="303"/>
      <c r="D328" s="303"/>
      <c r="E328" s="303"/>
      <c r="F328" s="303"/>
      <c r="G328" s="303"/>
      <c r="H328" s="303"/>
      <c r="I328" s="303"/>
      <c r="J328" s="303"/>
      <c r="K328" s="304"/>
      <c r="L328" s="304"/>
      <c r="M328" s="305"/>
      <c r="N328" s="304"/>
      <c r="O328" s="304"/>
      <c r="P328" s="304"/>
      <c r="Q328" s="304"/>
      <c r="R328" s="306"/>
      <c r="S328" s="304"/>
      <c r="T328" s="304"/>
      <c r="U328" s="306"/>
      <c r="V328" s="304"/>
      <c r="W328" s="304"/>
      <c r="X328" s="304"/>
      <c r="BR328" s="502"/>
      <c r="BS328" s="304"/>
      <c r="BT328" s="304"/>
      <c r="BU328" s="306"/>
      <c r="BV328" s="304"/>
      <c r="BW328" s="304"/>
      <c r="BX328" s="302"/>
    </row>
    <row r="329" spans="1:89" x14ac:dyDescent="0.2">
      <c r="A329" s="304"/>
      <c r="B329" s="595" t="s">
        <v>32</v>
      </c>
      <c r="C329" s="595"/>
      <c r="D329" s="595"/>
      <c r="E329" s="595"/>
      <c r="F329" s="595"/>
      <c r="G329" s="595"/>
      <c r="H329" s="595"/>
      <c r="I329" s="595"/>
      <c r="J329" s="595"/>
      <c r="K329" s="356">
        <f>'ERR &amp; Sensitivity Analysis'!G11</f>
        <v>1</v>
      </c>
      <c r="L329" s="304"/>
      <c r="M329" s="304"/>
      <c r="N329" s="304"/>
      <c r="O329" s="304"/>
      <c r="P329" s="304"/>
      <c r="Q329" s="304"/>
      <c r="R329" s="306"/>
      <c r="S329" s="304"/>
      <c r="T329" s="304"/>
      <c r="U329" s="306"/>
      <c r="V329" s="304"/>
      <c r="W329" s="304"/>
      <c r="X329" s="302"/>
      <c r="BS329" s="309"/>
      <c r="BT329" s="309"/>
      <c r="BU329" s="309"/>
      <c r="BV329" s="309"/>
      <c r="BW329" s="309"/>
      <c r="BX329" s="310"/>
    </row>
    <row r="330" spans="1:89" x14ac:dyDescent="0.2">
      <c r="A330" s="304"/>
      <c r="B330" s="12"/>
      <c r="C330" s="308"/>
      <c r="D330" s="303"/>
      <c r="E330" s="303"/>
      <c r="F330" s="303"/>
      <c r="G330" s="303"/>
      <c r="H330" s="303"/>
      <c r="I330" s="303"/>
      <c r="J330" s="303"/>
      <c r="K330" s="304"/>
      <c r="L330" s="304"/>
      <c r="M330" s="305"/>
      <c r="N330" s="304"/>
      <c r="O330" s="304"/>
      <c r="P330" s="304"/>
      <c r="Q330" s="304"/>
      <c r="R330" s="306"/>
      <c r="S330" s="309"/>
      <c r="T330" s="309"/>
      <c r="U330" s="309"/>
      <c r="V330" s="309"/>
      <c r="W330" s="309"/>
      <c r="X330" s="310"/>
      <c r="BS330" s="309"/>
      <c r="BT330" s="309"/>
      <c r="BU330" s="309"/>
      <c r="BV330" s="309"/>
      <c r="BW330" s="309"/>
      <c r="BX330" s="310"/>
    </row>
    <row r="331" spans="1:89" x14ac:dyDescent="0.2">
      <c r="A331" s="304"/>
      <c r="B331" s="1" t="s">
        <v>35</v>
      </c>
      <c r="C331" s="311"/>
      <c r="D331" s="304"/>
      <c r="E331" s="304"/>
      <c r="F331" s="304"/>
      <c r="G331" s="304"/>
      <c r="H331" s="304"/>
      <c r="I331" s="304"/>
      <c r="J331" s="304"/>
      <c r="K331" s="304"/>
      <c r="L331" s="304"/>
      <c r="M331" s="305"/>
      <c r="N331" s="304"/>
      <c r="O331" s="304"/>
      <c r="P331" s="304"/>
      <c r="Q331" s="304"/>
      <c r="R331" s="306"/>
      <c r="S331" s="309"/>
      <c r="T331" s="309"/>
      <c r="U331" s="309"/>
      <c r="V331" s="309"/>
      <c r="W331" s="309"/>
      <c r="X331" s="310"/>
      <c r="BS331" s="309"/>
      <c r="BT331" s="309"/>
      <c r="BU331" s="309"/>
      <c r="BV331" s="309"/>
      <c r="BW331" s="309"/>
      <c r="BX331" s="310"/>
    </row>
    <row r="332" spans="1:89" x14ac:dyDescent="0.2">
      <c r="A332" s="304"/>
      <c r="B332" s="597" t="s">
        <v>33</v>
      </c>
      <c r="C332" s="597"/>
      <c r="D332" s="597"/>
      <c r="E332" s="597"/>
      <c r="F332" s="597"/>
      <c r="G332" s="597"/>
      <c r="H332" s="597"/>
      <c r="I332" s="597"/>
      <c r="J332" s="597"/>
      <c r="K332" s="356">
        <f>'ERR &amp; Sensitivity Analysis'!G12</f>
        <v>1</v>
      </c>
      <c r="L332" s="304"/>
      <c r="M332" s="305"/>
      <c r="N332" s="304"/>
      <c r="O332" s="304"/>
      <c r="P332" s="304"/>
      <c r="Q332" s="304"/>
      <c r="R332" s="306"/>
      <c r="S332" s="309"/>
      <c r="T332" s="309"/>
      <c r="U332" s="309"/>
      <c r="V332" s="309"/>
      <c r="W332" s="309"/>
      <c r="X332" s="310"/>
      <c r="BS332" s="309"/>
      <c r="BT332" s="309"/>
      <c r="BU332" s="309"/>
      <c r="BV332" s="309"/>
      <c r="BW332" s="309"/>
      <c r="BX332" s="310"/>
    </row>
    <row r="333" spans="1:89" x14ac:dyDescent="0.2">
      <c r="A333" s="304"/>
      <c r="B333" s="304"/>
      <c r="C333" s="308"/>
      <c r="D333" s="304"/>
      <c r="E333" s="304"/>
      <c r="F333" s="304"/>
      <c r="G333" s="304"/>
      <c r="H333" s="304"/>
      <c r="I333" s="304"/>
      <c r="J333" s="304"/>
      <c r="K333" s="304"/>
      <c r="L333" s="304"/>
      <c r="M333" s="305"/>
      <c r="N333" s="304"/>
      <c r="O333" s="304"/>
      <c r="P333" s="304"/>
      <c r="Q333" s="304"/>
      <c r="R333" s="306"/>
      <c r="S333" s="309"/>
      <c r="T333" s="309"/>
      <c r="U333" s="309"/>
      <c r="V333" s="309"/>
      <c r="W333" s="309"/>
      <c r="X333" s="310"/>
      <c r="BS333" s="309"/>
      <c r="BT333" s="309"/>
      <c r="BU333" s="309"/>
      <c r="BV333" s="309"/>
      <c r="BW333" s="309"/>
      <c r="BX333" s="310"/>
    </row>
    <row r="334" spans="1:89" x14ac:dyDescent="0.2">
      <c r="A334" s="304"/>
      <c r="B334" s="304"/>
      <c r="C334" s="308"/>
      <c r="D334" s="304"/>
      <c r="E334" s="304"/>
      <c r="F334" s="304"/>
      <c r="G334" s="304"/>
      <c r="H334" s="304"/>
      <c r="I334" s="304"/>
      <c r="J334" s="304"/>
      <c r="K334" s="304"/>
      <c r="L334" s="304"/>
      <c r="M334" s="305"/>
      <c r="N334" s="304"/>
      <c r="O334" s="304"/>
      <c r="P334" s="304"/>
      <c r="Q334" s="304"/>
      <c r="R334" s="306"/>
      <c r="S334" s="309"/>
      <c r="T334" s="309"/>
      <c r="U334" s="309"/>
      <c r="V334" s="309"/>
      <c r="W334" s="309"/>
      <c r="X334" s="310"/>
      <c r="BS334" s="309"/>
      <c r="BT334" s="309"/>
      <c r="BU334" s="309"/>
      <c r="BV334" s="309"/>
      <c r="BW334" s="309"/>
      <c r="BX334" s="310"/>
    </row>
    <row r="335" spans="1:89" x14ac:dyDescent="0.2">
      <c r="A335" s="304"/>
      <c r="B335" s="304"/>
      <c r="C335" s="308"/>
      <c r="D335" s="304"/>
      <c r="E335" s="304"/>
      <c r="F335" s="304"/>
      <c r="G335" s="304"/>
      <c r="H335" s="304"/>
      <c r="I335" s="304"/>
      <c r="J335" s="304"/>
      <c r="K335" s="304"/>
      <c r="L335" s="304"/>
      <c r="M335" s="305"/>
      <c r="N335" s="304"/>
      <c r="O335" s="304"/>
      <c r="P335" s="304"/>
      <c r="Q335" s="304"/>
      <c r="R335" s="306"/>
      <c r="S335" s="309"/>
      <c r="T335" s="309"/>
      <c r="U335" s="309"/>
      <c r="V335" s="309"/>
      <c r="W335" s="309"/>
      <c r="X335" s="310"/>
      <c r="BS335" s="309"/>
      <c r="BT335" s="309"/>
      <c r="BU335" s="309"/>
      <c r="BV335" s="309"/>
      <c r="BW335" s="309"/>
      <c r="BX335" s="310"/>
    </row>
    <row r="336" spans="1:89" x14ac:dyDescent="0.2">
      <c r="A336" s="304"/>
      <c r="B336" s="304"/>
      <c r="C336" s="308"/>
      <c r="D336" s="304"/>
      <c r="E336" s="304"/>
      <c r="F336" s="304"/>
      <c r="G336" s="304"/>
      <c r="H336" s="304"/>
      <c r="I336" s="304"/>
      <c r="J336" s="304"/>
      <c r="K336" s="304"/>
      <c r="L336" s="304"/>
      <c r="M336" s="305"/>
      <c r="N336" s="304"/>
      <c r="O336" s="304"/>
      <c r="P336" s="304"/>
      <c r="Q336" s="304"/>
      <c r="R336" s="306"/>
      <c r="S336" s="309"/>
      <c r="T336" s="309"/>
      <c r="U336" s="309"/>
      <c r="V336" s="309"/>
      <c r="W336" s="309"/>
      <c r="X336" s="310"/>
      <c r="BS336" s="309"/>
      <c r="BT336" s="309"/>
      <c r="BU336" s="309"/>
      <c r="BV336" s="309"/>
      <c r="BW336" s="309"/>
      <c r="BX336" s="310"/>
    </row>
    <row r="337" spans="1:76" x14ac:dyDescent="0.2">
      <c r="A337" s="304"/>
      <c r="B337" s="304"/>
      <c r="C337" s="308"/>
      <c r="D337" s="304"/>
      <c r="E337" s="304"/>
      <c r="F337" s="304"/>
      <c r="G337" s="304"/>
      <c r="H337" s="304"/>
      <c r="I337" s="304"/>
      <c r="J337" s="304"/>
      <c r="K337" s="304"/>
      <c r="L337" s="304"/>
      <c r="M337" s="304"/>
      <c r="N337" s="304"/>
      <c r="O337" s="304"/>
      <c r="P337" s="304"/>
      <c r="Q337" s="304"/>
      <c r="R337" s="306"/>
      <c r="S337" s="309"/>
      <c r="T337" s="309"/>
      <c r="U337" s="309"/>
      <c r="V337" s="309"/>
      <c r="W337" s="309"/>
      <c r="X337" s="310"/>
      <c r="BS337" s="309"/>
      <c r="BT337" s="309"/>
      <c r="BU337" s="309"/>
      <c r="BV337" s="309"/>
      <c r="BW337" s="309"/>
      <c r="BX337" s="310"/>
    </row>
    <row r="338" spans="1:76" x14ac:dyDescent="0.2">
      <c r="A338" s="304"/>
      <c r="B338" s="304"/>
      <c r="C338" s="308"/>
      <c r="D338" s="304"/>
      <c r="E338" s="304"/>
      <c r="F338" s="304"/>
      <c r="G338" s="304"/>
      <c r="H338" s="304"/>
      <c r="I338" s="304"/>
      <c r="J338" s="304"/>
      <c r="K338" s="304"/>
      <c r="L338" s="304"/>
      <c r="M338" s="305"/>
      <c r="N338" s="304"/>
      <c r="O338" s="304"/>
      <c r="P338" s="304"/>
      <c r="Q338" s="304"/>
      <c r="R338" s="306"/>
      <c r="S338" s="309"/>
      <c r="T338" s="309"/>
      <c r="U338" s="309"/>
      <c r="V338" s="309"/>
      <c r="W338" s="309"/>
      <c r="X338" s="310"/>
      <c r="BS338" s="309"/>
      <c r="BT338" s="309"/>
      <c r="BU338" s="312"/>
      <c r="BV338" s="309"/>
      <c r="BW338" s="309"/>
      <c r="BX338" s="302"/>
    </row>
    <row r="339" spans="1:76" x14ac:dyDescent="0.2">
      <c r="A339" s="304"/>
      <c r="B339" s="304"/>
      <c r="C339" s="304"/>
      <c r="D339" s="304"/>
      <c r="E339" s="304"/>
      <c r="F339" s="304"/>
      <c r="G339" s="304"/>
      <c r="H339" s="304"/>
      <c r="I339" s="304"/>
      <c r="J339" s="304"/>
      <c r="K339" s="304"/>
      <c r="L339" s="304"/>
      <c r="M339" s="304"/>
      <c r="N339" s="304"/>
      <c r="O339" s="304"/>
      <c r="P339" s="304"/>
      <c r="Q339" s="304"/>
      <c r="R339" s="306"/>
      <c r="S339" s="309"/>
      <c r="T339" s="309"/>
      <c r="U339" s="312"/>
      <c r="V339" s="309"/>
      <c r="W339" s="309"/>
      <c r="X339" s="302"/>
      <c r="BS339" s="309"/>
      <c r="BT339" s="309"/>
      <c r="BU339" s="312"/>
      <c r="BV339" s="309"/>
      <c r="BW339" s="309"/>
      <c r="BX339" s="302"/>
    </row>
    <row r="340" spans="1:76" x14ac:dyDescent="0.2">
      <c r="A340" s="304"/>
      <c r="B340" s="307"/>
      <c r="C340" s="304"/>
      <c r="D340" s="304"/>
      <c r="E340" s="304"/>
      <c r="F340" s="304"/>
      <c r="G340" s="304"/>
      <c r="H340" s="304"/>
      <c r="I340" s="304"/>
      <c r="J340" s="304"/>
      <c r="K340" s="304"/>
      <c r="L340" s="304"/>
      <c r="M340" s="304"/>
      <c r="N340" s="304"/>
      <c r="O340" s="304"/>
      <c r="P340" s="304"/>
      <c r="Q340" s="304"/>
      <c r="R340" s="306"/>
      <c r="S340" s="309"/>
      <c r="T340" s="309"/>
      <c r="U340" s="312"/>
      <c r="V340" s="309"/>
      <c r="W340" s="309"/>
      <c r="X340" s="302"/>
      <c r="BS340" s="309"/>
      <c r="BT340" s="309"/>
      <c r="BU340" s="309"/>
      <c r="BV340" s="309"/>
      <c r="BW340" s="309"/>
      <c r="BX340" s="310"/>
    </row>
    <row r="341" spans="1:76" x14ac:dyDescent="0.2">
      <c r="A341" s="304"/>
      <c r="B341" s="304"/>
      <c r="C341" s="311"/>
      <c r="D341" s="313"/>
      <c r="E341" s="303"/>
      <c r="F341" s="303"/>
      <c r="G341" s="303"/>
      <c r="H341" s="303"/>
      <c r="I341" s="303"/>
      <c r="J341" s="303"/>
      <c r="K341" s="304"/>
      <c r="L341" s="304"/>
      <c r="M341" s="305"/>
      <c r="N341" s="304"/>
      <c r="O341" s="304"/>
      <c r="P341" s="304"/>
      <c r="Q341" s="304"/>
      <c r="R341" s="306"/>
      <c r="S341" s="309"/>
      <c r="T341" s="309"/>
      <c r="U341" s="309"/>
      <c r="V341" s="309"/>
      <c r="W341" s="309"/>
      <c r="X341" s="310"/>
      <c r="BS341" s="309"/>
      <c r="BT341" s="309"/>
      <c r="BU341" s="309"/>
      <c r="BV341" s="309"/>
      <c r="BW341" s="309"/>
      <c r="BX341" s="310"/>
    </row>
    <row r="342" spans="1:76" x14ac:dyDescent="0.2">
      <c r="A342" s="304"/>
      <c r="B342" s="304"/>
      <c r="C342" s="308"/>
      <c r="D342" s="304"/>
      <c r="E342" s="304"/>
      <c r="F342" s="304"/>
      <c r="G342" s="304"/>
      <c r="H342" s="304"/>
      <c r="I342" s="304"/>
      <c r="J342" s="304"/>
      <c r="K342" s="304"/>
      <c r="L342" s="304"/>
      <c r="M342" s="305"/>
      <c r="N342" s="304"/>
      <c r="O342" s="304"/>
      <c r="P342" s="304"/>
      <c r="Q342" s="304"/>
      <c r="R342" s="306"/>
      <c r="S342" s="309"/>
      <c r="T342" s="309"/>
      <c r="U342" s="309"/>
      <c r="V342" s="309"/>
      <c r="W342" s="309"/>
      <c r="X342" s="310"/>
      <c r="BS342" s="309"/>
      <c r="BT342" s="309"/>
      <c r="BU342" s="309"/>
      <c r="BV342" s="309"/>
      <c r="BW342" s="309"/>
      <c r="BX342" s="310"/>
    </row>
    <row r="343" spans="1:76" x14ac:dyDescent="0.2">
      <c r="A343" s="304"/>
      <c r="B343" s="304"/>
      <c r="C343" s="308"/>
      <c r="D343" s="304"/>
      <c r="E343" s="304"/>
      <c r="F343" s="304"/>
      <c r="G343" s="304"/>
      <c r="H343" s="304"/>
      <c r="I343" s="304"/>
      <c r="J343" s="304"/>
      <c r="K343" s="304"/>
      <c r="L343" s="304"/>
      <c r="M343" s="305"/>
      <c r="N343" s="304"/>
      <c r="O343" s="304"/>
      <c r="P343" s="304"/>
      <c r="Q343" s="304"/>
      <c r="R343" s="306"/>
      <c r="S343" s="309"/>
      <c r="T343" s="309"/>
      <c r="U343" s="309"/>
      <c r="V343" s="309"/>
      <c r="W343" s="309"/>
      <c r="X343" s="310"/>
      <c r="BS343" s="309"/>
      <c r="BT343" s="309"/>
      <c r="BU343" s="309"/>
      <c r="BV343" s="309"/>
      <c r="BW343" s="309"/>
      <c r="BX343" s="310"/>
    </row>
    <row r="344" spans="1:76" x14ac:dyDescent="0.2">
      <c r="A344" s="304"/>
      <c r="B344" s="304"/>
      <c r="C344" s="308"/>
      <c r="D344" s="304"/>
      <c r="E344" s="304"/>
      <c r="F344" s="304"/>
      <c r="G344" s="304"/>
      <c r="H344" s="304"/>
      <c r="I344" s="304"/>
      <c r="J344" s="304"/>
      <c r="K344" s="304"/>
      <c r="L344" s="304"/>
      <c r="M344" s="304"/>
      <c r="N344" s="304"/>
      <c r="O344" s="304"/>
      <c r="P344" s="304"/>
      <c r="Q344" s="304"/>
      <c r="R344" s="306"/>
      <c r="S344" s="309"/>
      <c r="T344" s="309"/>
      <c r="U344" s="309"/>
      <c r="V344" s="309"/>
      <c r="W344" s="309"/>
      <c r="X344" s="310"/>
      <c r="BS344" s="309"/>
      <c r="BT344" s="309"/>
      <c r="BU344" s="309"/>
      <c r="BV344" s="309"/>
      <c r="BW344" s="309"/>
      <c r="BX344" s="310"/>
    </row>
    <row r="345" spans="1:76" x14ac:dyDescent="0.2">
      <c r="A345" s="304"/>
      <c r="B345" s="304"/>
      <c r="C345" s="308"/>
      <c r="D345" s="304"/>
      <c r="E345" s="304"/>
      <c r="F345" s="304"/>
      <c r="G345" s="304"/>
      <c r="H345" s="304"/>
      <c r="I345" s="304"/>
      <c r="J345" s="304"/>
      <c r="K345" s="304"/>
      <c r="L345" s="304"/>
      <c r="M345" s="304"/>
      <c r="N345" s="304"/>
      <c r="O345" s="304"/>
      <c r="P345" s="304"/>
      <c r="Q345" s="304"/>
      <c r="R345" s="306"/>
      <c r="S345" s="309"/>
      <c r="T345" s="309"/>
      <c r="U345" s="309"/>
      <c r="V345" s="309"/>
      <c r="W345" s="309"/>
      <c r="X345" s="310"/>
      <c r="BS345" s="309"/>
      <c r="BT345" s="309"/>
      <c r="BU345" s="309"/>
      <c r="BV345" s="309"/>
      <c r="BW345" s="309"/>
      <c r="BX345" s="310"/>
    </row>
    <row r="346" spans="1:76" x14ac:dyDescent="0.2">
      <c r="A346" s="304"/>
      <c r="B346" s="304"/>
      <c r="C346" s="308"/>
      <c r="D346" s="304"/>
      <c r="E346" s="304"/>
      <c r="F346" s="304"/>
      <c r="G346" s="304"/>
      <c r="H346" s="304"/>
      <c r="I346" s="304"/>
      <c r="J346" s="304"/>
      <c r="K346" s="304"/>
      <c r="L346" s="304"/>
      <c r="M346" s="304"/>
      <c r="N346" s="304"/>
      <c r="O346" s="304"/>
      <c r="P346" s="304"/>
      <c r="Q346" s="304"/>
      <c r="R346" s="306"/>
      <c r="S346" s="309"/>
      <c r="T346" s="309"/>
      <c r="U346" s="309"/>
      <c r="V346" s="309"/>
      <c r="W346" s="309"/>
      <c r="X346" s="310"/>
      <c r="BS346" s="309"/>
      <c r="BT346" s="309"/>
      <c r="BU346" s="309"/>
      <c r="BV346" s="309"/>
      <c r="BW346" s="309"/>
      <c r="BX346" s="310"/>
    </row>
    <row r="347" spans="1:76" x14ac:dyDescent="0.2">
      <c r="A347" s="304"/>
      <c r="B347" s="304"/>
      <c r="C347" s="308"/>
      <c r="D347" s="304"/>
      <c r="E347" s="304"/>
      <c r="F347" s="304"/>
      <c r="G347" s="304"/>
      <c r="H347" s="304"/>
      <c r="I347" s="304"/>
      <c r="J347" s="304"/>
      <c r="K347" s="304"/>
      <c r="L347" s="304"/>
      <c r="M347" s="304"/>
      <c r="N347" s="304"/>
      <c r="O347" s="304"/>
      <c r="P347" s="304"/>
      <c r="Q347" s="304"/>
      <c r="R347" s="306"/>
      <c r="S347" s="309"/>
      <c r="T347" s="309"/>
      <c r="U347" s="309"/>
      <c r="V347" s="309"/>
      <c r="W347" s="309"/>
      <c r="X347" s="310"/>
      <c r="BS347" s="309"/>
      <c r="BT347" s="309"/>
      <c r="BU347" s="309"/>
      <c r="BV347" s="309"/>
      <c r="BW347" s="309"/>
      <c r="BX347" s="310"/>
    </row>
    <row r="348" spans="1:76" x14ac:dyDescent="0.2">
      <c r="A348" s="304"/>
      <c r="B348" s="304"/>
      <c r="C348" s="308"/>
      <c r="D348" s="304"/>
      <c r="E348" s="304"/>
      <c r="F348" s="304"/>
      <c r="G348" s="304"/>
      <c r="H348" s="304"/>
      <c r="I348" s="304"/>
      <c r="J348" s="304"/>
      <c r="K348" s="304"/>
      <c r="L348" s="304"/>
      <c r="M348" s="304"/>
      <c r="N348" s="304"/>
      <c r="O348" s="304"/>
      <c r="P348" s="304"/>
      <c r="Q348" s="304"/>
      <c r="R348" s="306"/>
      <c r="S348" s="309"/>
      <c r="T348" s="309"/>
      <c r="U348" s="309"/>
      <c r="V348" s="309"/>
      <c r="W348" s="309"/>
      <c r="X348" s="310"/>
      <c r="BS348" s="309"/>
      <c r="BT348" s="309"/>
      <c r="BU348" s="309"/>
      <c r="BV348" s="309"/>
      <c r="BW348" s="309"/>
      <c r="BX348" s="310"/>
    </row>
    <row r="349" spans="1:76" x14ac:dyDescent="0.2">
      <c r="A349" s="304"/>
      <c r="B349" s="304"/>
      <c r="C349" s="308"/>
      <c r="D349" s="304"/>
      <c r="E349" s="304"/>
      <c r="F349" s="304"/>
      <c r="G349" s="304"/>
      <c r="H349" s="304"/>
      <c r="I349" s="304"/>
      <c r="J349" s="304"/>
      <c r="K349" s="304"/>
      <c r="L349" s="304"/>
      <c r="M349" s="304"/>
      <c r="N349" s="304"/>
      <c r="O349" s="304"/>
      <c r="P349" s="304"/>
      <c r="Q349" s="304"/>
      <c r="R349" s="306"/>
      <c r="S349" s="309"/>
      <c r="T349" s="309"/>
      <c r="U349" s="309"/>
      <c r="V349" s="309"/>
      <c r="W349" s="309"/>
      <c r="X349" s="310"/>
    </row>
    <row r="352" spans="1:76" x14ac:dyDescent="0.2">
      <c r="M352" s="63"/>
    </row>
    <row r="353" spans="13:13" x14ac:dyDescent="0.2">
      <c r="M353" s="63"/>
    </row>
    <row r="354" spans="13:13" x14ac:dyDescent="0.2">
      <c r="M354" s="63"/>
    </row>
    <row r="355" spans="13:13" x14ac:dyDescent="0.2">
      <c r="M355" s="63"/>
    </row>
    <row r="356" spans="13:13" x14ac:dyDescent="0.2">
      <c r="M356" s="63"/>
    </row>
    <row r="357" spans="13:13" x14ac:dyDescent="0.2">
      <c r="M357" s="63"/>
    </row>
    <row r="358" spans="13:13" x14ac:dyDescent="0.2">
      <c r="M358" s="63"/>
    </row>
    <row r="359" spans="13:13" x14ac:dyDescent="0.2">
      <c r="M359" s="63"/>
    </row>
    <row r="360" spans="13:13" x14ac:dyDescent="0.2">
      <c r="M360" s="63"/>
    </row>
    <row r="361" spans="13:13" x14ac:dyDescent="0.2">
      <c r="M361" s="63"/>
    </row>
    <row r="362" spans="13:13" x14ac:dyDescent="0.2">
      <c r="M362" s="63"/>
    </row>
    <row r="363" spans="13:13" x14ac:dyDescent="0.2">
      <c r="M363" s="63"/>
    </row>
    <row r="364" spans="13:13" x14ac:dyDescent="0.2">
      <c r="M364" s="63"/>
    </row>
    <row r="365" spans="13:13" x14ac:dyDescent="0.2">
      <c r="M365" s="63"/>
    </row>
    <row r="366" spans="13:13" x14ac:dyDescent="0.2">
      <c r="M366" s="63"/>
    </row>
    <row r="367" spans="13:13" x14ac:dyDescent="0.2">
      <c r="M367" s="63"/>
    </row>
    <row r="368" spans="13:13" x14ac:dyDescent="0.2">
      <c r="M368" s="63"/>
    </row>
    <row r="369" spans="13:13" x14ac:dyDescent="0.2">
      <c r="M369" s="63"/>
    </row>
    <row r="370" spans="13:13" x14ac:dyDescent="0.2">
      <c r="M370" s="63"/>
    </row>
    <row r="371" spans="13:13" x14ac:dyDescent="0.2">
      <c r="M371" s="63"/>
    </row>
    <row r="372" spans="13:13" x14ac:dyDescent="0.2">
      <c r="M372" s="63"/>
    </row>
    <row r="373" spans="13:13" x14ac:dyDescent="0.2">
      <c r="M373" s="63"/>
    </row>
    <row r="374" spans="13:13" x14ac:dyDescent="0.2">
      <c r="M374" s="63"/>
    </row>
    <row r="375" spans="13:13" x14ac:dyDescent="0.2">
      <c r="M375" s="63"/>
    </row>
    <row r="376" spans="13:13" x14ac:dyDescent="0.2">
      <c r="M376" s="63"/>
    </row>
    <row r="377" spans="13:13" x14ac:dyDescent="0.2">
      <c r="M377" s="63"/>
    </row>
    <row r="378" spans="13:13" x14ac:dyDescent="0.2">
      <c r="M378" s="63"/>
    </row>
    <row r="379" spans="13:13" x14ac:dyDescent="0.2">
      <c r="M379" s="63"/>
    </row>
    <row r="380" spans="13:13" x14ac:dyDescent="0.2">
      <c r="M380" s="63"/>
    </row>
    <row r="381" spans="13:13" x14ac:dyDescent="0.2">
      <c r="M381" s="63"/>
    </row>
    <row r="382" spans="13:13" x14ac:dyDescent="0.2">
      <c r="M382" s="63"/>
    </row>
    <row r="383" spans="13:13" x14ac:dyDescent="0.2">
      <c r="M383" s="63"/>
    </row>
    <row r="384" spans="13:13" x14ac:dyDescent="0.2">
      <c r="M384" s="63"/>
    </row>
    <row r="385" spans="13:13" x14ac:dyDescent="0.2">
      <c r="M385" s="63"/>
    </row>
    <row r="386" spans="13:13" x14ac:dyDescent="0.2">
      <c r="M386" s="63"/>
    </row>
    <row r="387" spans="13:13" x14ac:dyDescent="0.2">
      <c r="M387" s="63"/>
    </row>
    <row r="388" spans="13:13" x14ac:dyDescent="0.2">
      <c r="M388" s="63"/>
    </row>
    <row r="389" spans="13:13" x14ac:dyDescent="0.2">
      <c r="M389" s="63"/>
    </row>
    <row r="390" spans="13:13" x14ac:dyDescent="0.2">
      <c r="M390" s="63"/>
    </row>
    <row r="391" spans="13:13" x14ac:dyDescent="0.2">
      <c r="M391" s="63"/>
    </row>
    <row r="392" spans="13:13" x14ac:dyDescent="0.2">
      <c r="M392" s="63"/>
    </row>
    <row r="393" spans="13:13" x14ac:dyDescent="0.2">
      <c r="M393" s="63"/>
    </row>
    <row r="394" spans="13:13" x14ac:dyDescent="0.2">
      <c r="M394" s="63"/>
    </row>
    <row r="395" spans="13:13" x14ac:dyDescent="0.2">
      <c r="M395" s="63"/>
    </row>
    <row r="396" spans="13:13" x14ac:dyDescent="0.2">
      <c r="M396" s="63"/>
    </row>
    <row r="397" spans="13:13" x14ac:dyDescent="0.2">
      <c r="M397" s="63"/>
    </row>
    <row r="398" spans="13:13" x14ac:dyDescent="0.2">
      <c r="M398" s="63"/>
    </row>
    <row r="399" spans="13:13" x14ac:dyDescent="0.2">
      <c r="M399" s="63"/>
    </row>
    <row r="400" spans="13:13" x14ac:dyDescent="0.2">
      <c r="M400" s="63"/>
    </row>
    <row r="401" spans="13:13" x14ac:dyDescent="0.2">
      <c r="M401" s="63"/>
    </row>
    <row r="402" spans="13:13" x14ac:dyDescent="0.2">
      <c r="M402" s="63"/>
    </row>
    <row r="403" spans="13:13" x14ac:dyDescent="0.2">
      <c r="M403" s="63"/>
    </row>
    <row r="404" spans="13:13" x14ac:dyDescent="0.2">
      <c r="M404" s="63"/>
    </row>
    <row r="405" spans="13:13" x14ac:dyDescent="0.2">
      <c r="M405" s="63"/>
    </row>
    <row r="406" spans="13:13" x14ac:dyDescent="0.2">
      <c r="M406" s="63"/>
    </row>
    <row r="407" spans="13:13" x14ac:dyDescent="0.2">
      <c r="M407" s="63"/>
    </row>
    <row r="408" spans="13:13" x14ac:dyDescent="0.2">
      <c r="M408" s="63"/>
    </row>
    <row r="409" spans="13:13" x14ac:dyDescent="0.2">
      <c r="M409" s="63"/>
    </row>
    <row r="410" spans="13:13" x14ac:dyDescent="0.2">
      <c r="M410" s="63"/>
    </row>
    <row r="411" spans="13:13" x14ac:dyDescent="0.2">
      <c r="M411" s="63"/>
    </row>
    <row r="412" spans="13:13" x14ac:dyDescent="0.2">
      <c r="M412" s="63"/>
    </row>
    <row r="413" spans="13:13" x14ac:dyDescent="0.2">
      <c r="M413" s="63"/>
    </row>
    <row r="414" spans="13:13" x14ac:dyDescent="0.2">
      <c r="M414" s="63"/>
    </row>
    <row r="415" spans="13:13" x14ac:dyDescent="0.2">
      <c r="M415" s="63"/>
    </row>
    <row r="416" spans="13:13" x14ac:dyDescent="0.2">
      <c r="M416" s="63"/>
    </row>
    <row r="417" spans="13:13" x14ac:dyDescent="0.2">
      <c r="M417" s="63"/>
    </row>
    <row r="418" spans="13:13" x14ac:dyDescent="0.2">
      <c r="M418" s="63"/>
    </row>
    <row r="419" spans="13:13" x14ac:dyDescent="0.2">
      <c r="M419" s="63"/>
    </row>
    <row r="420" spans="13:13" x14ac:dyDescent="0.2">
      <c r="M420" s="63"/>
    </row>
    <row r="421" spans="13:13" x14ac:dyDescent="0.2">
      <c r="M421" s="63"/>
    </row>
    <row r="422" spans="13:13" x14ac:dyDescent="0.2">
      <c r="M422" s="63"/>
    </row>
    <row r="423" spans="13:13" x14ac:dyDescent="0.2">
      <c r="M423" s="63"/>
    </row>
    <row r="424" spans="13:13" x14ac:dyDescent="0.2">
      <c r="M424" s="63"/>
    </row>
    <row r="425" spans="13:13" x14ac:dyDescent="0.2">
      <c r="M425" s="63"/>
    </row>
    <row r="426" spans="13:13" x14ac:dyDescent="0.2">
      <c r="M426" s="63"/>
    </row>
    <row r="427" spans="13:13" x14ac:dyDescent="0.2">
      <c r="M427" s="63"/>
    </row>
    <row r="428" spans="13:13" x14ac:dyDescent="0.2">
      <c r="M428" s="63"/>
    </row>
    <row r="429" spans="13:13" x14ac:dyDescent="0.2">
      <c r="M429" s="63"/>
    </row>
    <row r="430" spans="13:13" x14ac:dyDescent="0.2">
      <c r="M430" s="63"/>
    </row>
    <row r="431" spans="13:13" x14ac:dyDescent="0.2">
      <c r="M431" s="63"/>
    </row>
    <row r="432" spans="13:13" x14ac:dyDescent="0.2">
      <c r="M432" s="63"/>
    </row>
    <row r="433" spans="13:13" x14ac:dyDescent="0.2">
      <c r="M433" s="63"/>
    </row>
    <row r="434" spans="13:13" x14ac:dyDescent="0.2">
      <c r="M434" s="63"/>
    </row>
    <row r="435" spans="13:13" x14ac:dyDescent="0.2">
      <c r="M435" s="63"/>
    </row>
    <row r="436" spans="13:13" x14ac:dyDescent="0.2">
      <c r="M436" s="63"/>
    </row>
    <row r="437" spans="13:13" x14ac:dyDescent="0.2">
      <c r="M437" s="63"/>
    </row>
    <row r="438" spans="13:13" x14ac:dyDescent="0.2">
      <c r="M438" s="63"/>
    </row>
    <row r="439" spans="13:13" x14ac:dyDescent="0.2">
      <c r="M439" s="63"/>
    </row>
    <row r="440" spans="13:13" x14ac:dyDescent="0.2">
      <c r="M440" s="63"/>
    </row>
    <row r="441" spans="13:13" x14ac:dyDescent="0.2">
      <c r="M441" s="63"/>
    </row>
    <row r="442" spans="13:13" x14ac:dyDescent="0.2">
      <c r="M442" s="63"/>
    </row>
    <row r="443" spans="13:13" x14ac:dyDescent="0.2">
      <c r="M443" s="63"/>
    </row>
    <row r="444" spans="13:13" x14ac:dyDescent="0.2">
      <c r="M444" s="63"/>
    </row>
    <row r="445" spans="13:13" x14ac:dyDescent="0.2">
      <c r="M445" s="63"/>
    </row>
    <row r="446" spans="13:13" x14ac:dyDescent="0.2">
      <c r="M446" s="63"/>
    </row>
    <row r="447" spans="13:13" x14ac:dyDescent="0.2">
      <c r="M447" s="63"/>
    </row>
    <row r="448" spans="13:13" x14ac:dyDescent="0.2">
      <c r="M448" s="63"/>
    </row>
    <row r="449" spans="13:13" x14ac:dyDescent="0.2">
      <c r="M449" s="63"/>
    </row>
    <row r="450" spans="13:13" x14ac:dyDescent="0.2">
      <c r="M450" s="63"/>
    </row>
    <row r="451" spans="13:13" x14ac:dyDescent="0.2">
      <c r="M451" s="63"/>
    </row>
    <row r="452" spans="13:13" x14ac:dyDescent="0.2">
      <c r="M452" s="63"/>
    </row>
    <row r="453" spans="13:13" x14ac:dyDescent="0.2">
      <c r="M453" s="63"/>
    </row>
    <row r="454" spans="13:13" x14ac:dyDescent="0.2">
      <c r="M454" s="63"/>
    </row>
    <row r="455" spans="13:13" x14ac:dyDescent="0.2">
      <c r="M455" s="63"/>
    </row>
    <row r="456" spans="13:13" x14ac:dyDescent="0.2">
      <c r="M456" s="63"/>
    </row>
    <row r="457" spans="13:13" x14ac:dyDescent="0.2">
      <c r="M457" s="63"/>
    </row>
    <row r="458" spans="13:13" x14ac:dyDescent="0.2">
      <c r="M458" s="63"/>
    </row>
    <row r="459" spans="13:13" x14ac:dyDescent="0.2">
      <c r="M459" s="63"/>
    </row>
    <row r="460" spans="13:13" x14ac:dyDescent="0.2">
      <c r="M460" s="63"/>
    </row>
    <row r="461" spans="13:13" x14ac:dyDescent="0.2">
      <c r="M461" s="63"/>
    </row>
    <row r="462" spans="13:13" x14ac:dyDescent="0.2">
      <c r="M462" s="63"/>
    </row>
    <row r="463" spans="13:13" x14ac:dyDescent="0.2">
      <c r="M463" s="63"/>
    </row>
    <row r="464" spans="13:13" x14ac:dyDescent="0.2">
      <c r="M464" s="63"/>
    </row>
    <row r="465" spans="13:13" x14ac:dyDescent="0.2">
      <c r="M465" s="63"/>
    </row>
    <row r="466" spans="13:13" x14ac:dyDescent="0.2">
      <c r="M466" s="63"/>
    </row>
    <row r="467" spans="13:13" x14ac:dyDescent="0.2">
      <c r="M467" s="63"/>
    </row>
    <row r="468" spans="13:13" x14ac:dyDescent="0.2">
      <c r="M468" s="63"/>
    </row>
    <row r="469" spans="13:13" x14ac:dyDescent="0.2">
      <c r="M469" s="63"/>
    </row>
    <row r="470" spans="13:13" x14ac:dyDescent="0.2">
      <c r="M470" s="63"/>
    </row>
    <row r="471" spans="13:13" x14ac:dyDescent="0.2">
      <c r="M471" s="63"/>
    </row>
    <row r="472" spans="13:13" x14ac:dyDescent="0.2">
      <c r="M472" s="63"/>
    </row>
    <row r="473" spans="13:13" x14ac:dyDescent="0.2">
      <c r="M473" s="63"/>
    </row>
    <row r="474" spans="13:13" x14ac:dyDescent="0.2">
      <c r="M474" s="63"/>
    </row>
    <row r="475" spans="13:13" x14ac:dyDescent="0.2">
      <c r="M475" s="63"/>
    </row>
    <row r="476" spans="13:13" x14ac:dyDescent="0.2">
      <c r="M476" s="63"/>
    </row>
    <row r="477" spans="13:13" x14ac:dyDescent="0.2">
      <c r="M477" s="63"/>
    </row>
    <row r="478" spans="13:13" x14ac:dyDescent="0.2">
      <c r="M478" s="63"/>
    </row>
    <row r="479" spans="13:13" x14ac:dyDescent="0.2">
      <c r="M479" s="63"/>
    </row>
    <row r="480" spans="13:13" x14ac:dyDescent="0.2">
      <c r="M480" s="63"/>
    </row>
    <row r="481" spans="13:13" x14ac:dyDescent="0.2">
      <c r="M481" s="63"/>
    </row>
    <row r="482" spans="13:13" x14ac:dyDescent="0.2">
      <c r="M482" s="63"/>
    </row>
    <row r="483" spans="13:13" x14ac:dyDescent="0.2">
      <c r="M483" s="63"/>
    </row>
    <row r="484" spans="13:13" x14ac:dyDescent="0.2">
      <c r="M484" s="63"/>
    </row>
    <row r="485" spans="13:13" x14ac:dyDescent="0.2">
      <c r="M485" s="63"/>
    </row>
    <row r="486" spans="13:13" x14ac:dyDescent="0.2">
      <c r="M486" s="63"/>
    </row>
    <row r="487" spans="13:13" x14ac:dyDescent="0.2">
      <c r="M487" s="63"/>
    </row>
    <row r="488" spans="13:13" x14ac:dyDescent="0.2">
      <c r="M488" s="63"/>
    </row>
    <row r="489" spans="13:13" x14ac:dyDescent="0.2">
      <c r="M489" s="63"/>
    </row>
    <row r="490" spans="13:13" x14ac:dyDescent="0.2">
      <c r="M490" s="63"/>
    </row>
    <row r="491" spans="13:13" x14ac:dyDescent="0.2">
      <c r="M491" s="63"/>
    </row>
    <row r="492" spans="13:13" x14ac:dyDescent="0.2">
      <c r="M492" s="63"/>
    </row>
    <row r="493" spans="13:13" x14ac:dyDescent="0.2">
      <c r="M493" s="63"/>
    </row>
    <row r="494" spans="13:13" x14ac:dyDescent="0.2">
      <c r="M494" s="63"/>
    </row>
    <row r="495" spans="13:13" x14ac:dyDescent="0.2">
      <c r="M495" s="63"/>
    </row>
    <row r="496" spans="13:13" x14ac:dyDescent="0.2">
      <c r="M496" s="63"/>
    </row>
    <row r="497" spans="13:13" x14ac:dyDescent="0.2">
      <c r="M497" s="63"/>
    </row>
    <row r="498" spans="13:13" x14ac:dyDescent="0.2">
      <c r="M498" s="63"/>
    </row>
    <row r="499" spans="13:13" x14ac:dyDescent="0.2">
      <c r="M499" s="63"/>
    </row>
    <row r="500" spans="13:13" x14ac:dyDescent="0.2">
      <c r="M500" s="63"/>
    </row>
    <row r="501" spans="13:13" x14ac:dyDescent="0.2">
      <c r="M501" s="63"/>
    </row>
    <row r="502" spans="13:13" x14ac:dyDescent="0.2">
      <c r="M502" s="63"/>
    </row>
    <row r="503" spans="13:13" x14ac:dyDescent="0.2">
      <c r="M503" s="63"/>
    </row>
    <row r="504" spans="13:13" x14ac:dyDescent="0.2">
      <c r="M504" s="63"/>
    </row>
    <row r="505" spans="13:13" x14ac:dyDescent="0.2">
      <c r="M505" s="63"/>
    </row>
    <row r="506" spans="13:13" x14ac:dyDescent="0.2">
      <c r="M506" s="63"/>
    </row>
    <row r="507" spans="13:13" x14ac:dyDescent="0.2">
      <c r="M507" s="63"/>
    </row>
    <row r="508" spans="13:13" x14ac:dyDescent="0.2">
      <c r="M508" s="63"/>
    </row>
    <row r="509" spans="13:13" x14ac:dyDescent="0.2">
      <c r="M509" s="63"/>
    </row>
    <row r="510" spans="13:13" x14ac:dyDescent="0.2">
      <c r="M510" s="63"/>
    </row>
    <row r="511" spans="13:13" x14ac:dyDescent="0.2">
      <c r="M511" s="63"/>
    </row>
    <row r="512" spans="13:13" x14ac:dyDescent="0.2">
      <c r="M512" s="63"/>
    </row>
    <row r="513" spans="13:13" x14ac:dyDescent="0.2">
      <c r="M513" s="63"/>
    </row>
    <row r="514" spans="13:13" x14ac:dyDescent="0.2">
      <c r="M514" s="63"/>
    </row>
    <row r="515" spans="13:13" x14ac:dyDescent="0.2">
      <c r="M515" s="63"/>
    </row>
    <row r="516" spans="13:13" x14ac:dyDescent="0.2">
      <c r="M516" s="63"/>
    </row>
    <row r="517" spans="13:13" x14ac:dyDescent="0.2">
      <c r="M517" s="63"/>
    </row>
    <row r="518" spans="13:13" x14ac:dyDescent="0.2">
      <c r="M518" s="63"/>
    </row>
    <row r="519" spans="13:13" x14ac:dyDescent="0.2">
      <c r="M519" s="63"/>
    </row>
    <row r="520" spans="13:13" x14ac:dyDescent="0.2">
      <c r="M520" s="63"/>
    </row>
    <row r="521" spans="13:13" x14ac:dyDescent="0.2">
      <c r="M521" s="63"/>
    </row>
    <row r="522" spans="13:13" x14ac:dyDescent="0.2">
      <c r="M522" s="63"/>
    </row>
    <row r="523" spans="13:13" x14ac:dyDescent="0.2">
      <c r="M523" s="63"/>
    </row>
    <row r="524" spans="13:13" x14ac:dyDescent="0.2">
      <c r="M524" s="63"/>
    </row>
    <row r="525" spans="13:13" x14ac:dyDescent="0.2">
      <c r="M525" s="63"/>
    </row>
    <row r="526" spans="13:13" x14ac:dyDescent="0.2">
      <c r="M526" s="63"/>
    </row>
    <row r="527" spans="13:13" x14ac:dyDescent="0.2">
      <c r="M527" s="63"/>
    </row>
    <row r="528" spans="13:13" x14ac:dyDescent="0.2">
      <c r="M528" s="63"/>
    </row>
    <row r="529" spans="13:13" x14ac:dyDescent="0.2">
      <c r="M529" s="63"/>
    </row>
    <row r="530" spans="13:13" x14ac:dyDescent="0.2">
      <c r="M530" s="63"/>
    </row>
    <row r="531" spans="13:13" x14ac:dyDescent="0.2">
      <c r="M531" s="63"/>
    </row>
    <row r="532" spans="13:13" x14ac:dyDescent="0.2">
      <c r="M532" s="63"/>
    </row>
    <row r="533" spans="13:13" x14ac:dyDescent="0.2">
      <c r="M533" s="63"/>
    </row>
    <row r="534" spans="13:13" x14ac:dyDescent="0.2">
      <c r="M534" s="63"/>
    </row>
    <row r="535" spans="13:13" x14ac:dyDescent="0.2">
      <c r="M535" s="63"/>
    </row>
    <row r="536" spans="13:13" x14ac:dyDescent="0.2">
      <c r="M536" s="63"/>
    </row>
    <row r="537" spans="13:13" x14ac:dyDescent="0.2">
      <c r="M537" s="63"/>
    </row>
    <row r="538" spans="13:13" x14ac:dyDescent="0.2">
      <c r="M538" s="63"/>
    </row>
    <row r="539" spans="13:13" x14ac:dyDescent="0.2">
      <c r="M539" s="63"/>
    </row>
    <row r="540" spans="13:13" x14ac:dyDescent="0.2">
      <c r="M540" s="63"/>
    </row>
    <row r="541" spans="13:13" x14ac:dyDescent="0.2">
      <c r="M541" s="63"/>
    </row>
    <row r="542" spans="13:13" x14ac:dyDescent="0.2">
      <c r="M542" s="63"/>
    </row>
    <row r="543" spans="13:13" x14ac:dyDescent="0.2">
      <c r="M543" s="63"/>
    </row>
    <row r="544" spans="13:13" x14ac:dyDescent="0.2">
      <c r="M544" s="63"/>
    </row>
    <row r="545" spans="13:13" x14ac:dyDescent="0.2">
      <c r="M545" s="63"/>
    </row>
    <row r="546" spans="13:13" x14ac:dyDescent="0.2">
      <c r="M546" s="63"/>
    </row>
    <row r="547" spans="13:13" x14ac:dyDescent="0.2">
      <c r="M547" s="63"/>
    </row>
    <row r="548" spans="13:13" x14ac:dyDescent="0.2">
      <c r="M548" s="63"/>
    </row>
    <row r="549" spans="13:13" x14ac:dyDescent="0.2">
      <c r="M549" s="63"/>
    </row>
    <row r="550" spans="13:13" x14ac:dyDescent="0.2">
      <c r="M550" s="63"/>
    </row>
    <row r="551" spans="13:13" x14ac:dyDescent="0.2">
      <c r="M551" s="63"/>
    </row>
    <row r="552" spans="13:13" x14ac:dyDescent="0.2">
      <c r="M552" s="63"/>
    </row>
    <row r="553" spans="13:13" x14ac:dyDescent="0.2">
      <c r="M553" s="63"/>
    </row>
    <row r="554" spans="13:13" x14ac:dyDescent="0.2">
      <c r="M554" s="63"/>
    </row>
    <row r="555" spans="13:13" x14ac:dyDescent="0.2">
      <c r="M555" s="63"/>
    </row>
    <row r="556" spans="13:13" x14ac:dyDescent="0.2">
      <c r="M556" s="63"/>
    </row>
    <row r="557" spans="13:13" x14ac:dyDescent="0.2">
      <c r="M557" s="63"/>
    </row>
    <row r="558" spans="13:13" x14ac:dyDescent="0.2">
      <c r="M558" s="63"/>
    </row>
    <row r="559" spans="13:13" x14ac:dyDescent="0.2">
      <c r="M559" s="63"/>
    </row>
    <row r="560" spans="13:13" x14ac:dyDescent="0.2">
      <c r="M560" s="63"/>
    </row>
    <row r="561" spans="13:13" x14ac:dyDescent="0.2">
      <c r="M561" s="63"/>
    </row>
    <row r="562" spans="13:13" x14ac:dyDescent="0.2">
      <c r="M562" s="63"/>
    </row>
    <row r="563" spans="13:13" x14ac:dyDescent="0.2">
      <c r="M563" s="63"/>
    </row>
    <row r="564" spans="13:13" x14ac:dyDescent="0.2">
      <c r="M564" s="63"/>
    </row>
    <row r="565" spans="13:13" x14ac:dyDescent="0.2">
      <c r="M565" s="63"/>
    </row>
    <row r="566" spans="13:13" x14ac:dyDescent="0.2">
      <c r="M566" s="63"/>
    </row>
    <row r="567" spans="13:13" x14ac:dyDescent="0.2">
      <c r="M567" s="63"/>
    </row>
    <row r="568" spans="13:13" x14ac:dyDescent="0.2">
      <c r="M568" s="63"/>
    </row>
    <row r="569" spans="13:13" x14ac:dyDescent="0.2">
      <c r="M569" s="63"/>
    </row>
    <row r="570" spans="13:13" x14ac:dyDescent="0.2">
      <c r="M570" s="63"/>
    </row>
    <row r="571" spans="13:13" x14ac:dyDescent="0.2">
      <c r="M571" s="63"/>
    </row>
    <row r="572" spans="13:13" x14ac:dyDescent="0.2">
      <c r="M572" s="63"/>
    </row>
    <row r="573" spans="13:13" x14ac:dyDescent="0.2">
      <c r="M573" s="63"/>
    </row>
    <row r="574" spans="13:13" x14ac:dyDescent="0.2">
      <c r="M574" s="63"/>
    </row>
    <row r="575" spans="13:13" x14ac:dyDescent="0.2">
      <c r="M575" s="63"/>
    </row>
    <row r="576" spans="13:13" x14ac:dyDescent="0.2">
      <c r="M576" s="63"/>
    </row>
    <row r="577" spans="13:13" x14ac:dyDescent="0.2">
      <c r="M577" s="63"/>
    </row>
    <row r="578" spans="13:13" x14ac:dyDescent="0.2">
      <c r="M578" s="63"/>
    </row>
    <row r="579" spans="13:13" x14ac:dyDescent="0.2">
      <c r="M579" s="63"/>
    </row>
    <row r="580" spans="13:13" x14ac:dyDescent="0.2">
      <c r="M580" s="63"/>
    </row>
    <row r="581" spans="13:13" x14ac:dyDescent="0.2">
      <c r="M581" s="63"/>
    </row>
    <row r="582" spans="13:13" x14ac:dyDescent="0.2">
      <c r="M582" s="63"/>
    </row>
    <row r="583" spans="13:13" x14ac:dyDescent="0.2">
      <c r="M583" s="63"/>
    </row>
  </sheetData>
  <mergeCells count="17">
    <mergeCell ref="F99:K99"/>
    <mergeCell ref="A3:N3"/>
    <mergeCell ref="B329:J329"/>
    <mergeCell ref="C6:D6"/>
    <mergeCell ref="B332:J332"/>
    <mergeCell ref="D323:E323"/>
    <mergeCell ref="C7:D7"/>
    <mergeCell ref="D209:K209"/>
    <mergeCell ref="C72:J72"/>
    <mergeCell ref="F291:K291"/>
    <mergeCell ref="D104:E104"/>
    <mergeCell ref="F175:K175"/>
    <mergeCell ref="F174:J174"/>
    <mergeCell ref="D105:E105"/>
    <mergeCell ref="F149:K149"/>
    <mergeCell ref="D102:E102"/>
    <mergeCell ref="D103:E103"/>
  </mergeCells>
  <phoneticPr fontId="4" type="noConversion"/>
  <conditionalFormatting sqref="A3">
    <cfRule type="cellIs" dxfId="3" priority="1" stopIfTrue="1" operator="equal">
      <formula>0</formula>
    </cfRule>
    <cfRule type="cellIs" dxfId="2" priority="2" stopIfTrue="1" operator="notEqual">
      <formula>0</formula>
    </cfRule>
  </conditionalFormatting>
  <pageMargins left="0.2" right="0.24" top="1" bottom="1" header="0.5" footer="0.5"/>
  <pageSetup scale="10" orientation="landscape" r:id="rId1"/>
  <headerFooter alignWithMargins="0"/>
  <ignoredErrors>
    <ignoredError sqref="U17 Y16 AE16:AE17" formula="1"/>
    <ignoredError sqref="CL31 X319:AK319 BQ150:BQ159 Q304 AR304:AS304 AR305:AS312 AT305:BL312 AT304:BL304 Q305:Q312 BR317:CK318" emptyCellReference="1"/>
    <ignoredError sqref="S319" formulaRange="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B143"/>
  <sheetViews>
    <sheetView view="pageBreakPreview" zoomScale="93" zoomScaleNormal="100" zoomScaleSheetLayoutView="93" workbookViewId="0">
      <selection activeCell="K12" sqref="K12"/>
    </sheetView>
  </sheetViews>
  <sheetFormatPr defaultRowHeight="12.75" x14ac:dyDescent="0.2"/>
  <cols>
    <col min="2" max="2" width="9.42578125" bestFit="1" customWidth="1"/>
    <col min="3" max="3" width="26.85546875" bestFit="1" customWidth="1"/>
    <col min="4" max="5" width="10.42578125" bestFit="1" customWidth="1"/>
    <col min="6" max="6" width="10.85546875" bestFit="1" customWidth="1"/>
    <col min="7" max="8" width="11.28515625" bestFit="1" customWidth="1"/>
    <col min="9" max="9" width="10.42578125" bestFit="1" customWidth="1"/>
    <col min="10" max="10" width="27.5703125" customWidth="1"/>
    <col min="12" max="12" width="37.42578125" customWidth="1"/>
    <col min="13" max="13" width="9.28515625" bestFit="1" customWidth="1"/>
    <col min="15" max="15" width="9.28515625" bestFit="1" customWidth="1"/>
    <col min="16" max="16" width="14.28515625" customWidth="1"/>
    <col min="17" max="17" width="21" customWidth="1"/>
    <col min="18" max="18" width="18.7109375" customWidth="1"/>
    <col min="19" max="19" width="25.28515625" customWidth="1"/>
    <col min="20" max="20" width="17.140625" customWidth="1"/>
    <col min="21" max="21" width="23.7109375" customWidth="1"/>
    <col min="22" max="22" width="22.28515625" customWidth="1"/>
    <col min="24" max="24" width="10.85546875" bestFit="1" customWidth="1"/>
    <col min="25" max="25" width="11.140625" bestFit="1" customWidth="1"/>
    <col min="26" max="27" width="9.85546875" bestFit="1" customWidth="1"/>
    <col min="28" max="28" width="10.85546875" bestFit="1" customWidth="1"/>
    <col min="30" max="30" width="18.28515625" customWidth="1"/>
    <col min="31" max="31" width="10.28515625" bestFit="1" customWidth="1"/>
    <col min="32" max="37" width="12.7109375" customWidth="1"/>
    <col min="38" max="39" width="18.28515625" customWidth="1"/>
    <col min="41" max="41" width="15" customWidth="1"/>
    <col min="42" max="45" width="9.28515625" bestFit="1" customWidth="1"/>
  </cols>
  <sheetData>
    <row r="1" spans="1:10" s="512" customFormat="1" ht="20.25" x14ac:dyDescent="0.3">
      <c r="B1" s="382" t="s">
        <v>554</v>
      </c>
    </row>
    <row r="2" spans="1:10" s="512" customFormat="1" ht="15" x14ac:dyDescent="0.2">
      <c r="B2" s="529" t="s">
        <v>555</v>
      </c>
      <c r="C2" s="529"/>
      <c r="D2" s="529"/>
      <c r="E2" s="529"/>
      <c r="F2" s="529"/>
    </row>
    <row r="3" spans="1:10" ht="12.75" customHeight="1" x14ac:dyDescent="0.2">
      <c r="A3" s="582">
        <f>IF('ERR &amp; Sensitivity Analysis'!$I$11="N","Note: Current calculations are based on user input and are not the original MCC estimates.",IF('ERR &amp; Sensitivity Analysis'!$I$12="N","Note: Current calculations are based on user input and are not the original MCC estimates.",0))</f>
        <v>0</v>
      </c>
      <c r="B3" s="582"/>
      <c r="C3" s="582"/>
      <c r="D3" s="582"/>
      <c r="E3" s="582"/>
      <c r="F3" s="582"/>
      <c r="G3" s="582"/>
      <c r="H3" s="582"/>
      <c r="I3" s="330"/>
      <c r="J3" s="378"/>
    </row>
    <row r="4" spans="1:10" ht="15.75" x14ac:dyDescent="0.2">
      <c r="B4" s="658" t="s">
        <v>127</v>
      </c>
      <c r="C4" s="658"/>
      <c r="D4" s="658"/>
      <c r="E4" s="658"/>
    </row>
    <row r="5" spans="1:10" ht="13.5" thickBot="1" x14ac:dyDescent="0.25">
      <c r="B5" t="s">
        <v>146</v>
      </c>
    </row>
    <row r="6" spans="1:10" ht="16.5" thickBot="1" x14ac:dyDescent="0.3">
      <c r="B6" s="606" t="s">
        <v>106</v>
      </c>
      <c r="C6" s="606" t="s">
        <v>107</v>
      </c>
      <c r="D6" s="22">
        <v>2002</v>
      </c>
      <c r="E6" s="22">
        <v>2003</v>
      </c>
      <c r="F6" s="22">
        <v>2004</v>
      </c>
      <c r="G6" s="23">
        <v>2005</v>
      </c>
      <c r="H6" s="608" t="s">
        <v>108</v>
      </c>
    </row>
    <row r="7" spans="1:10" ht="16.5" thickBot="1" x14ac:dyDescent="0.3">
      <c r="B7" s="607"/>
      <c r="C7" s="607"/>
      <c r="D7" s="24" t="s">
        <v>109</v>
      </c>
      <c r="E7" s="24" t="s">
        <v>109</v>
      </c>
      <c r="F7" s="24" t="s">
        <v>109</v>
      </c>
      <c r="G7" s="24" t="s">
        <v>109</v>
      </c>
      <c r="H7" s="609"/>
    </row>
    <row r="8" spans="1:10" ht="16.5" thickBot="1" x14ac:dyDescent="0.3">
      <c r="B8" s="610" t="s">
        <v>110</v>
      </c>
      <c r="C8" s="611"/>
      <c r="D8" s="25">
        <v>73532</v>
      </c>
      <c r="E8" s="25">
        <v>111827</v>
      </c>
      <c r="F8" s="25">
        <v>141974</v>
      </c>
      <c r="G8" s="25">
        <v>170777</v>
      </c>
      <c r="H8" s="25">
        <v>498110</v>
      </c>
    </row>
    <row r="9" spans="1:10" ht="48" thickBot="1" x14ac:dyDescent="0.3">
      <c r="B9" s="26">
        <v>1</v>
      </c>
      <c r="C9" s="27" t="s">
        <v>111</v>
      </c>
      <c r="D9" s="28">
        <v>13224</v>
      </c>
      <c r="E9" s="28">
        <v>15335</v>
      </c>
      <c r="F9" s="28">
        <v>26793</v>
      </c>
      <c r="G9" s="28">
        <v>41543</v>
      </c>
      <c r="H9" s="28">
        <v>96895</v>
      </c>
    </row>
    <row r="10" spans="1:10" ht="32.25" thickBot="1" x14ac:dyDescent="0.3">
      <c r="B10" s="616" t="s">
        <v>112</v>
      </c>
      <c r="C10" s="24" t="s">
        <v>113</v>
      </c>
      <c r="D10" s="24" t="s">
        <v>114</v>
      </c>
      <c r="E10" s="24" t="s">
        <v>114</v>
      </c>
      <c r="F10" s="29">
        <v>8747</v>
      </c>
      <c r="G10" s="29">
        <v>23278</v>
      </c>
      <c r="H10" s="25">
        <v>32025</v>
      </c>
    </row>
    <row r="11" spans="1:10" ht="32.25" thickBot="1" x14ac:dyDescent="0.3">
      <c r="B11" s="617"/>
      <c r="C11" s="24" t="s">
        <v>115</v>
      </c>
      <c r="D11" s="29">
        <v>5408</v>
      </c>
      <c r="E11" s="29">
        <v>4539</v>
      </c>
      <c r="F11" s="29">
        <v>5747</v>
      </c>
      <c r="G11" s="29">
        <v>3369</v>
      </c>
      <c r="H11" s="25">
        <v>19063</v>
      </c>
    </row>
    <row r="12" spans="1:10" ht="16.5" thickBot="1" x14ac:dyDescent="0.3">
      <c r="B12" s="618"/>
      <c r="C12" s="24" t="s">
        <v>116</v>
      </c>
      <c r="D12" s="29">
        <v>7816</v>
      </c>
      <c r="E12" s="29">
        <v>10796</v>
      </c>
      <c r="F12" s="29">
        <v>12245</v>
      </c>
      <c r="G12" s="29">
        <v>14896</v>
      </c>
      <c r="H12" s="25">
        <v>45753</v>
      </c>
    </row>
    <row r="13" spans="1:10" ht="16.5" thickBot="1" x14ac:dyDescent="0.3">
      <c r="B13" s="5">
        <v>2</v>
      </c>
      <c r="C13" s="24" t="s">
        <v>117</v>
      </c>
      <c r="D13" s="29">
        <v>7196</v>
      </c>
      <c r="E13" s="29">
        <v>15176</v>
      </c>
      <c r="F13" s="29">
        <v>19940</v>
      </c>
      <c r="G13" s="29">
        <v>21761</v>
      </c>
      <c r="H13" s="25">
        <v>64073</v>
      </c>
    </row>
    <row r="14" spans="1:10" ht="48" thickBot="1" x14ac:dyDescent="0.3">
      <c r="B14" s="5">
        <v>3</v>
      </c>
      <c r="C14" s="24" t="s">
        <v>118</v>
      </c>
      <c r="D14" s="29">
        <v>5271</v>
      </c>
      <c r="E14" s="29">
        <v>7710</v>
      </c>
      <c r="F14" s="29">
        <v>1584</v>
      </c>
      <c r="G14" s="29">
        <v>2096</v>
      </c>
      <c r="H14" s="25">
        <v>16661</v>
      </c>
    </row>
    <row r="15" spans="1:10" ht="17.25" thickBot="1" x14ac:dyDescent="0.3">
      <c r="B15" s="30">
        <v>4</v>
      </c>
      <c r="C15" s="31" t="s">
        <v>119</v>
      </c>
      <c r="D15" s="32">
        <v>47841</v>
      </c>
      <c r="E15" s="32">
        <v>73606</v>
      </c>
      <c r="F15" s="32">
        <v>93657</v>
      </c>
      <c r="G15" s="32">
        <v>105377</v>
      </c>
      <c r="H15" s="28">
        <v>320481</v>
      </c>
    </row>
    <row r="16" spans="1:10" ht="16.5" thickBot="1" x14ac:dyDescent="0.3">
      <c r="B16" s="616" t="s">
        <v>120</v>
      </c>
      <c r="C16" s="24" t="s">
        <v>121</v>
      </c>
      <c r="D16" s="29">
        <v>23690</v>
      </c>
      <c r="E16" s="29">
        <v>42061</v>
      </c>
      <c r="F16" s="29">
        <v>52846</v>
      </c>
      <c r="G16" s="29">
        <v>54403</v>
      </c>
      <c r="H16" s="25">
        <v>173000</v>
      </c>
    </row>
    <row r="17" spans="2:13" ht="32.25" thickBot="1" x14ac:dyDescent="0.3">
      <c r="B17" s="617"/>
      <c r="C17" s="24" t="s">
        <v>122</v>
      </c>
      <c r="D17" s="29">
        <v>3312</v>
      </c>
      <c r="E17" s="29">
        <v>3313</v>
      </c>
      <c r="F17" s="29">
        <v>4665</v>
      </c>
      <c r="G17" s="29">
        <v>6451</v>
      </c>
      <c r="H17" s="25">
        <v>17741</v>
      </c>
    </row>
    <row r="18" spans="2:13" ht="16.5" thickBot="1" x14ac:dyDescent="0.3">
      <c r="B18" s="617"/>
      <c r="C18" s="24" t="s">
        <v>123</v>
      </c>
      <c r="D18" s="29">
        <v>7919</v>
      </c>
      <c r="E18" s="29">
        <v>8621</v>
      </c>
      <c r="F18" s="29">
        <v>10843</v>
      </c>
      <c r="G18" s="29">
        <v>13426</v>
      </c>
      <c r="H18" s="25">
        <v>40809</v>
      </c>
    </row>
    <row r="19" spans="2:13" ht="16.5" thickBot="1" x14ac:dyDescent="0.3">
      <c r="B19" s="617"/>
      <c r="C19" s="24" t="s">
        <v>124</v>
      </c>
      <c r="D19" s="24" t="s">
        <v>114</v>
      </c>
      <c r="E19" s="29">
        <v>1030</v>
      </c>
      <c r="F19" s="29">
        <v>1158</v>
      </c>
      <c r="G19" s="29">
        <v>1365</v>
      </c>
      <c r="H19" s="25">
        <v>3553</v>
      </c>
    </row>
    <row r="20" spans="2:13" ht="18" customHeight="1" thickBot="1" x14ac:dyDescent="0.3">
      <c r="B20" s="618"/>
      <c r="C20" s="24" t="s">
        <v>125</v>
      </c>
      <c r="D20" s="29">
        <v>12920</v>
      </c>
      <c r="E20" s="29">
        <v>18581</v>
      </c>
      <c r="F20" s="29">
        <v>24145</v>
      </c>
      <c r="G20" s="29">
        <v>29732</v>
      </c>
      <c r="H20" s="25">
        <v>85378</v>
      </c>
    </row>
    <row r="21" spans="2:13" ht="16.5" thickBot="1" x14ac:dyDescent="0.3">
      <c r="B21" s="5">
        <v>5</v>
      </c>
      <c r="C21" s="33" t="s">
        <v>126</v>
      </c>
      <c r="D21" s="25">
        <v>13218</v>
      </c>
      <c r="E21" s="25">
        <v>15394</v>
      </c>
      <c r="F21" s="25">
        <v>26248</v>
      </c>
      <c r="G21" s="25">
        <v>42694</v>
      </c>
      <c r="H21" s="25">
        <v>192474</v>
      </c>
    </row>
    <row r="23" spans="2:13" ht="48.75" customHeight="1" x14ac:dyDescent="0.25">
      <c r="J23" s="34" t="s">
        <v>128</v>
      </c>
    </row>
    <row r="24" spans="2:13" ht="32.25" thickBot="1" x14ac:dyDescent="0.3">
      <c r="J24" s="35" t="s">
        <v>147</v>
      </c>
    </row>
    <row r="25" spans="2:13" s="3" customFormat="1" ht="35.25" customHeight="1" thickBot="1" x14ac:dyDescent="0.3">
      <c r="J25" s="40" t="s">
        <v>106</v>
      </c>
      <c r="K25" s="41" t="s">
        <v>129</v>
      </c>
      <c r="L25" s="41" t="s">
        <v>130</v>
      </c>
      <c r="M25" s="41" t="s">
        <v>131</v>
      </c>
    </row>
    <row r="26" spans="2:13" ht="15.75" x14ac:dyDescent="0.25">
      <c r="J26" s="619">
        <v>1</v>
      </c>
      <c r="K26" s="622" t="s">
        <v>132</v>
      </c>
      <c r="L26" s="36" t="s">
        <v>133</v>
      </c>
      <c r="M26" s="36">
        <v>8</v>
      </c>
    </row>
    <row r="27" spans="2:13" ht="18" customHeight="1" x14ac:dyDescent="0.25">
      <c r="J27" s="620"/>
      <c r="K27" s="623"/>
      <c r="L27" s="36" t="s">
        <v>134</v>
      </c>
      <c r="M27" s="36">
        <v>25</v>
      </c>
    </row>
    <row r="28" spans="2:13" ht="17.25" customHeight="1" thickBot="1" x14ac:dyDescent="0.3">
      <c r="J28" s="621"/>
      <c r="K28" s="624"/>
      <c r="L28" s="37" t="s">
        <v>135</v>
      </c>
      <c r="M28" s="37">
        <v>60</v>
      </c>
    </row>
    <row r="29" spans="2:13" ht="18.75" customHeight="1" x14ac:dyDescent="0.25">
      <c r="J29" s="619">
        <v>2</v>
      </c>
      <c r="K29" s="622" t="s">
        <v>136</v>
      </c>
      <c r="L29" s="36" t="s">
        <v>133</v>
      </c>
      <c r="M29" s="36">
        <v>8</v>
      </c>
    </row>
    <row r="30" spans="2:13" ht="15.75" x14ac:dyDescent="0.25">
      <c r="J30" s="620"/>
      <c r="K30" s="623"/>
      <c r="L30" s="36" t="s">
        <v>134</v>
      </c>
      <c r="M30" s="36">
        <v>25</v>
      </c>
    </row>
    <row r="31" spans="2:13" ht="16.5" thickBot="1" x14ac:dyDescent="0.3">
      <c r="J31" s="621"/>
      <c r="K31" s="624"/>
      <c r="L31" s="37" t="s">
        <v>135</v>
      </c>
      <c r="M31" s="37">
        <v>60</v>
      </c>
    </row>
    <row r="32" spans="2:13" ht="51" customHeight="1" thickBot="1" x14ac:dyDescent="0.3">
      <c r="J32" s="38">
        <v>3</v>
      </c>
      <c r="K32" s="39" t="s">
        <v>137</v>
      </c>
      <c r="L32" s="37" t="s">
        <v>138</v>
      </c>
      <c r="M32" s="37">
        <v>15</v>
      </c>
    </row>
    <row r="33" spans="10:22" ht="36" customHeight="1" thickBot="1" x14ac:dyDescent="0.3">
      <c r="J33" s="38">
        <v>4</v>
      </c>
      <c r="K33" s="39" t="s">
        <v>139</v>
      </c>
      <c r="L33" s="37" t="s">
        <v>140</v>
      </c>
      <c r="M33" s="37">
        <v>5</v>
      </c>
    </row>
    <row r="34" spans="10:22" ht="39" customHeight="1" thickBot="1" x14ac:dyDescent="0.3">
      <c r="J34" s="38">
        <v>5</v>
      </c>
      <c r="K34" s="39" t="s">
        <v>141</v>
      </c>
      <c r="L34" s="37" t="s">
        <v>142</v>
      </c>
      <c r="M34" s="37">
        <v>5</v>
      </c>
    </row>
    <row r="35" spans="10:22" ht="42.75" customHeight="1" thickBot="1" x14ac:dyDescent="0.3">
      <c r="J35" s="38">
        <v>6</v>
      </c>
      <c r="K35" s="39" t="s">
        <v>143</v>
      </c>
      <c r="L35" s="37" t="s">
        <v>142</v>
      </c>
      <c r="M35" s="37">
        <v>5</v>
      </c>
    </row>
    <row r="36" spans="10:22" ht="16.5" customHeight="1" x14ac:dyDescent="0.25">
      <c r="J36" s="619">
        <v>7</v>
      </c>
      <c r="K36" s="622" t="s">
        <v>144</v>
      </c>
      <c r="L36" s="36" t="s">
        <v>133</v>
      </c>
      <c r="M36" s="36">
        <v>8</v>
      </c>
    </row>
    <row r="37" spans="10:22" ht="15.75" x14ac:dyDescent="0.25">
      <c r="J37" s="620"/>
      <c r="K37" s="623"/>
      <c r="L37" s="36" t="s">
        <v>134</v>
      </c>
      <c r="M37" s="36">
        <v>25</v>
      </c>
    </row>
    <row r="38" spans="10:22" ht="16.5" thickBot="1" x14ac:dyDescent="0.3">
      <c r="J38" s="621"/>
      <c r="K38" s="624"/>
      <c r="L38" s="37" t="s">
        <v>135</v>
      </c>
      <c r="M38" s="37">
        <v>60</v>
      </c>
    </row>
    <row r="39" spans="10:22" s="44" customFormat="1" ht="28.5" customHeight="1" thickBot="1" x14ac:dyDescent="0.25">
      <c r="O39" s="654"/>
      <c r="P39" s="606" t="s">
        <v>68</v>
      </c>
      <c r="Q39" s="646" t="s">
        <v>152</v>
      </c>
      <c r="R39" s="613"/>
      <c r="S39" s="612" t="s">
        <v>153</v>
      </c>
      <c r="T39" s="613"/>
      <c r="U39" s="612" t="s">
        <v>156</v>
      </c>
      <c r="V39" s="613"/>
    </row>
    <row r="40" spans="10:22" s="3" customFormat="1" ht="41.25" customHeight="1" thickBot="1" x14ac:dyDescent="0.25">
      <c r="O40" s="655"/>
      <c r="P40" s="607"/>
      <c r="Q40" s="42" t="s">
        <v>150</v>
      </c>
      <c r="R40" s="42" t="s">
        <v>151</v>
      </c>
      <c r="S40" s="43" t="s">
        <v>69</v>
      </c>
      <c r="T40" s="43" t="s">
        <v>70</v>
      </c>
      <c r="U40" s="45" t="s">
        <v>154</v>
      </c>
      <c r="V40" s="43" t="s">
        <v>155</v>
      </c>
    </row>
    <row r="41" spans="10:22" ht="16.5" thickBot="1" x14ac:dyDescent="0.3">
      <c r="O41" s="5">
        <v>1</v>
      </c>
      <c r="P41" s="6" t="s">
        <v>71</v>
      </c>
      <c r="Q41" s="7">
        <v>7128</v>
      </c>
      <c r="R41" s="7">
        <v>5660</v>
      </c>
      <c r="S41" s="7">
        <v>3026</v>
      </c>
      <c r="T41" s="7">
        <v>3026</v>
      </c>
      <c r="U41" s="7">
        <v>4102</v>
      </c>
      <c r="V41" s="7">
        <v>2634</v>
      </c>
    </row>
    <row r="42" spans="10:22" ht="32.25" customHeight="1" thickBot="1" x14ac:dyDescent="0.3">
      <c r="O42" s="5">
        <v>2</v>
      </c>
      <c r="P42" s="6" t="s">
        <v>72</v>
      </c>
      <c r="Q42" s="7">
        <v>7289</v>
      </c>
      <c r="R42" s="7">
        <v>7210</v>
      </c>
      <c r="S42" s="7">
        <v>3931</v>
      </c>
      <c r="T42" s="7">
        <v>3809</v>
      </c>
      <c r="U42" s="7">
        <v>3358</v>
      </c>
      <c r="V42" s="7">
        <v>3401</v>
      </c>
    </row>
    <row r="43" spans="10:22" ht="16.5" thickBot="1" x14ac:dyDescent="0.3">
      <c r="O43" s="5">
        <v>3</v>
      </c>
      <c r="P43" s="6" t="s">
        <v>73</v>
      </c>
      <c r="Q43" s="7">
        <v>1155</v>
      </c>
      <c r="R43" s="7">
        <v>1031</v>
      </c>
      <c r="S43" s="7">
        <v>1068</v>
      </c>
      <c r="T43" s="7">
        <v>951</v>
      </c>
      <c r="U43" s="7">
        <v>80</v>
      </c>
      <c r="V43" s="7">
        <v>80</v>
      </c>
    </row>
    <row r="44" spans="10:22" ht="16.5" thickBot="1" x14ac:dyDescent="0.3">
      <c r="O44" s="5">
        <v>4</v>
      </c>
      <c r="P44" s="6" t="s">
        <v>63</v>
      </c>
      <c r="Q44" s="7">
        <v>13039</v>
      </c>
      <c r="R44" s="7">
        <v>7140</v>
      </c>
      <c r="S44" s="7">
        <v>8333</v>
      </c>
      <c r="T44" s="7">
        <v>5940</v>
      </c>
      <c r="U44" s="7">
        <v>4706</v>
      </c>
      <c r="V44" s="7">
        <v>1200</v>
      </c>
    </row>
    <row r="45" spans="10:22" ht="32.25" customHeight="1" thickBot="1" x14ac:dyDescent="0.3">
      <c r="O45" s="5">
        <v>5</v>
      </c>
      <c r="P45" s="6" t="s">
        <v>74</v>
      </c>
      <c r="Q45" s="7">
        <v>7883</v>
      </c>
      <c r="R45" s="7">
        <v>7646</v>
      </c>
      <c r="S45" s="7">
        <v>7415</v>
      </c>
      <c r="T45" s="7">
        <v>7178</v>
      </c>
      <c r="U45" s="7">
        <v>455</v>
      </c>
      <c r="V45" s="7">
        <v>455</v>
      </c>
    </row>
    <row r="46" spans="10:22" ht="16.5" thickBot="1" x14ac:dyDescent="0.3">
      <c r="O46" s="5">
        <v>6</v>
      </c>
      <c r="P46" s="6" t="s">
        <v>75</v>
      </c>
      <c r="Q46" s="7">
        <v>7444</v>
      </c>
      <c r="R46" s="7">
        <v>6491</v>
      </c>
      <c r="S46" s="7">
        <v>4661</v>
      </c>
      <c r="T46" s="7">
        <v>4263</v>
      </c>
      <c r="U46" s="7">
        <v>2702</v>
      </c>
      <c r="V46" s="7">
        <v>2228</v>
      </c>
    </row>
    <row r="47" spans="10:22" ht="16.5" thickBot="1" x14ac:dyDescent="0.3">
      <c r="O47" s="5">
        <v>7</v>
      </c>
      <c r="P47" s="6" t="s">
        <v>76</v>
      </c>
      <c r="Q47" s="7">
        <v>4876</v>
      </c>
      <c r="R47" s="7">
        <v>3958</v>
      </c>
      <c r="S47" s="7">
        <v>4861</v>
      </c>
      <c r="T47" s="7">
        <v>3958</v>
      </c>
      <c r="U47" s="7"/>
      <c r="V47" s="7"/>
    </row>
    <row r="48" spans="10:22" ht="32.25" customHeight="1" thickBot="1" x14ac:dyDescent="0.3">
      <c r="O48" s="5">
        <v>8</v>
      </c>
      <c r="P48" s="6" t="s">
        <v>77</v>
      </c>
      <c r="Q48" s="7">
        <v>5012</v>
      </c>
      <c r="R48" s="7">
        <v>4869</v>
      </c>
      <c r="S48" s="7">
        <v>3264</v>
      </c>
      <c r="T48" s="7">
        <v>3251</v>
      </c>
      <c r="U48" s="7">
        <v>1741</v>
      </c>
      <c r="V48" s="7">
        <v>1617</v>
      </c>
    </row>
    <row r="49" spans="15:22" ht="16.5" thickBot="1" x14ac:dyDescent="0.3">
      <c r="O49" s="8"/>
      <c r="P49" s="9" t="s">
        <v>78</v>
      </c>
      <c r="Q49" s="10">
        <v>53826</v>
      </c>
      <c r="R49" s="10">
        <v>44005</v>
      </c>
      <c r="S49" s="10">
        <v>36559</v>
      </c>
      <c r="T49" s="10">
        <v>32376</v>
      </c>
      <c r="U49" s="10">
        <v>17144</v>
      </c>
      <c r="V49" s="10">
        <v>11615</v>
      </c>
    </row>
    <row r="51" spans="15:22" ht="13.5" thickBot="1" x14ac:dyDescent="0.25"/>
    <row r="52" spans="15:22" s="52" customFormat="1" ht="25.5" customHeight="1" thickBot="1" x14ac:dyDescent="0.25">
      <c r="O52" s="656"/>
      <c r="P52" s="650" t="s">
        <v>157</v>
      </c>
      <c r="Q52" s="652" t="s">
        <v>168</v>
      </c>
      <c r="R52" s="653"/>
      <c r="S52" s="614" t="s">
        <v>169</v>
      </c>
      <c r="T52" s="615"/>
      <c r="U52" s="614" t="s">
        <v>170</v>
      </c>
      <c r="V52" s="615"/>
    </row>
    <row r="53" spans="15:22" s="50" customFormat="1" ht="47.25" customHeight="1" thickBot="1" x14ac:dyDescent="0.25">
      <c r="O53" s="657"/>
      <c r="P53" s="651"/>
      <c r="Q53" s="54" t="s">
        <v>167</v>
      </c>
      <c r="R53" s="55" t="s">
        <v>232</v>
      </c>
      <c r="S53" s="56" t="s">
        <v>69</v>
      </c>
      <c r="T53" s="57" t="s">
        <v>70</v>
      </c>
      <c r="U53" s="56" t="s">
        <v>154</v>
      </c>
      <c r="V53" s="57" t="s">
        <v>155</v>
      </c>
    </row>
    <row r="54" spans="15:22" ht="16.5" thickBot="1" x14ac:dyDescent="0.3">
      <c r="O54" s="5">
        <v>1</v>
      </c>
      <c r="P54" s="6" t="s">
        <v>158</v>
      </c>
      <c r="Q54" s="7">
        <v>4490</v>
      </c>
      <c r="R54" s="7">
        <v>4461</v>
      </c>
      <c r="S54" s="7">
        <v>4490</v>
      </c>
      <c r="T54" s="7">
        <v>4461</v>
      </c>
      <c r="U54" s="53"/>
      <c r="V54" s="53"/>
    </row>
    <row r="55" spans="15:22" ht="16.5" thickBot="1" x14ac:dyDescent="0.3">
      <c r="O55" s="5">
        <v>2</v>
      </c>
      <c r="P55" s="6" t="s">
        <v>159</v>
      </c>
      <c r="Q55" s="7">
        <v>11400</v>
      </c>
      <c r="R55" s="7">
        <v>11007</v>
      </c>
      <c r="S55" s="7">
        <v>11400</v>
      </c>
      <c r="T55" s="7">
        <v>11007</v>
      </c>
      <c r="U55" s="53"/>
      <c r="V55" s="53"/>
    </row>
    <row r="56" spans="15:22" s="49" customFormat="1" ht="16.5" thickBot="1" x14ac:dyDescent="0.3">
      <c r="O56" s="46">
        <v>3</v>
      </c>
      <c r="P56" s="47" t="s">
        <v>160</v>
      </c>
      <c r="Q56" s="48">
        <v>6240</v>
      </c>
      <c r="R56" s="48">
        <v>6188</v>
      </c>
      <c r="S56" s="7">
        <v>6240</v>
      </c>
      <c r="T56" s="7">
        <v>6188</v>
      </c>
      <c r="U56" s="53"/>
      <c r="V56" s="53"/>
    </row>
    <row r="57" spans="15:22" s="49" customFormat="1" ht="16.5" thickBot="1" x14ac:dyDescent="0.3">
      <c r="O57" s="46">
        <v>4</v>
      </c>
      <c r="P57" s="47" t="s">
        <v>161</v>
      </c>
      <c r="Q57" s="48">
        <v>14215</v>
      </c>
      <c r="R57" s="48">
        <v>13551</v>
      </c>
      <c r="S57" s="7">
        <v>13500</v>
      </c>
      <c r="T57" s="7">
        <v>13322</v>
      </c>
      <c r="U57" s="7">
        <v>715</v>
      </c>
      <c r="V57" s="7">
        <v>229</v>
      </c>
    </row>
    <row r="58" spans="15:22" ht="16.5" thickBot="1" x14ac:dyDescent="0.3">
      <c r="O58" s="5">
        <v>5</v>
      </c>
      <c r="P58" s="6" t="s">
        <v>162</v>
      </c>
      <c r="Q58" s="7">
        <v>7452</v>
      </c>
      <c r="R58" s="7">
        <v>7312</v>
      </c>
      <c r="S58" s="7">
        <v>6310</v>
      </c>
      <c r="T58" s="7">
        <v>6281</v>
      </c>
      <c r="U58" s="7">
        <v>1142</v>
      </c>
      <c r="V58" s="7">
        <v>1031</v>
      </c>
    </row>
    <row r="59" spans="15:22" ht="16.5" thickBot="1" x14ac:dyDescent="0.3">
      <c r="O59" s="5">
        <v>6</v>
      </c>
      <c r="P59" s="6" t="s">
        <v>163</v>
      </c>
      <c r="Q59" s="7">
        <v>9960</v>
      </c>
      <c r="R59" s="7">
        <v>9760</v>
      </c>
      <c r="S59" s="7">
        <v>9960</v>
      </c>
      <c r="T59" s="7">
        <v>9760</v>
      </c>
      <c r="U59" s="7"/>
      <c r="V59" s="7"/>
    </row>
    <row r="60" spans="15:22" ht="16.5" thickBot="1" x14ac:dyDescent="0.3">
      <c r="O60" s="5">
        <v>7</v>
      </c>
      <c r="P60" s="6" t="s">
        <v>164</v>
      </c>
      <c r="Q60" s="7">
        <v>1810</v>
      </c>
      <c r="R60" s="7">
        <v>1807</v>
      </c>
      <c r="S60" s="7">
        <v>1810</v>
      </c>
      <c r="T60" s="7">
        <v>1807</v>
      </c>
      <c r="U60" s="7"/>
      <c r="V60" s="7"/>
    </row>
    <row r="61" spans="15:22" s="49" customFormat="1" ht="16.5" thickBot="1" x14ac:dyDescent="0.3">
      <c r="O61" s="46">
        <v>8</v>
      </c>
      <c r="P61" s="47" t="s">
        <v>165</v>
      </c>
      <c r="Q61" s="48">
        <v>149</v>
      </c>
      <c r="R61" s="48">
        <v>143</v>
      </c>
      <c r="S61" s="7">
        <v>149</v>
      </c>
      <c r="T61" s="7">
        <v>143</v>
      </c>
      <c r="U61" s="7"/>
      <c r="V61" s="7"/>
    </row>
    <row r="62" spans="15:22" ht="16.5" thickBot="1" x14ac:dyDescent="0.3">
      <c r="O62" s="5">
        <v>9</v>
      </c>
      <c r="P62" s="6" t="s">
        <v>166</v>
      </c>
      <c r="Q62" s="7">
        <v>2291</v>
      </c>
      <c r="R62" s="7">
        <v>2291</v>
      </c>
      <c r="S62" s="51">
        <v>2291</v>
      </c>
      <c r="T62" s="51">
        <v>2291</v>
      </c>
      <c r="U62" s="7"/>
      <c r="V62" s="7"/>
    </row>
    <row r="63" spans="15:22" ht="16.5" thickBot="1" x14ac:dyDescent="0.3">
      <c r="O63" s="8"/>
      <c r="P63" s="9" t="s">
        <v>78</v>
      </c>
      <c r="Q63" s="10">
        <v>58007</v>
      </c>
      <c r="R63" s="10">
        <v>56520</v>
      </c>
      <c r="S63" s="10">
        <v>56150</v>
      </c>
      <c r="T63" s="10">
        <v>55260</v>
      </c>
      <c r="U63" s="10">
        <v>1857</v>
      </c>
      <c r="V63" s="10">
        <v>1260</v>
      </c>
    </row>
    <row r="65" spans="24:31" ht="13.5" thickBot="1" x14ac:dyDescent="0.25"/>
    <row r="66" spans="24:31" ht="26.25" customHeight="1" thickBot="1" x14ac:dyDescent="0.25">
      <c r="X66" s="612"/>
      <c r="Y66" s="646"/>
      <c r="Z66" s="646"/>
      <c r="AA66" s="646"/>
      <c r="AB66" s="613"/>
      <c r="AC66" s="130"/>
    </row>
    <row r="67" spans="24:31" ht="13.5" thickBot="1" x14ac:dyDescent="0.25">
      <c r="X67" s="647"/>
      <c r="Y67" s="648"/>
      <c r="Z67" s="648"/>
      <c r="AA67" s="648"/>
      <c r="AB67" s="649"/>
      <c r="AC67" s="130"/>
    </row>
    <row r="68" spans="24:31" ht="26.25" customHeight="1" x14ac:dyDescent="0.2">
      <c r="X68" s="640" t="s">
        <v>391</v>
      </c>
      <c r="Y68" s="641"/>
      <c r="Z68" s="642" t="s">
        <v>203</v>
      </c>
      <c r="AA68" s="644" t="s">
        <v>204</v>
      </c>
      <c r="AB68" s="626" t="s">
        <v>392</v>
      </c>
      <c r="AC68" s="130"/>
    </row>
    <row r="69" spans="24:31" ht="13.5" thickBot="1" x14ac:dyDescent="0.25">
      <c r="X69" s="396" t="s">
        <v>202</v>
      </c>
      <c r="Y69" s="62" t="s">
        <v>66</v>
      </c>
      <c r="Z69" s="643"/>
      <c r="AA69" s="645"/>
      <c r="AB69" s="627"/>
      <c r="AC69" s="15"/>
    </row>
    <row r="70" spans="24:31" x14ac:dyDescent="0.2">
      <c r="X70" s="628"/>
      <c r="Y70" s="628"/>
      <c r="Z70" s="628"/>
      <c r="AA70" s="628"/>
      <c r="AB70" s="629"/>
      <c r="AC70" s="164"/>
    </row>
    <row r="71" spans="24:31" x14ac:dyDescent="0.2">
      <c r="X71" s="165">
        <f>3250000/'Data &amp; Assumptions'!$D$8</f>
        <v>2792.0962199312717</v>
      </c>
      <c r="Y71" s="165"/>
      <c r="Z71" s="165">
        <f>500000/'Data &amp; Assumptions'!$D$8</f>
        <v>429.55326460481098</v>
      </c>
      <c r="AA71" s="166"/>
      <c r="AB71" s="167">
        <f>Z71+AA79</f>
        <v>933.56242840778918</v>
      </c>
      <c r="AC71" s="15"/>
      <c r="AE71" s="115"/>
    </row>
    <row r="72" spans="24:31" x14ac:dyDescent="0.2">
      <c r="X72" s="165">
        <f>2250000/'Data &amp; Assumptions'!$D$8</f>
        <v>1932.9896907216496</v>
      </c>
      <c r="Y72" s="165">
        <f>850000/'Data &amp; Assumptions'!$D$8</f>
        <v>730.2405498281787</v>
      </c>
      <c r="Z72" s="165">
        <f>900000/'Data &amp; Assumptions'!$D$8</f>
        <v>773.19587628865975</v>
      </c>
      <c r="AA72" s="166">
        <f>700000/'Data &amp; Assumptions'!$D$8</f>
        <v>601.37457044673545</v>
      </c>
      <c r="AB72" s="167">
        <f>SUM(Z72:AA72)</f>
        <v>1374.5704467353953</v>
      </c>
      <c r="AC72" s="15"/>
      <c r="AE72" s="115"/>
    </row>
    <row r="73" spans="24:31" x14ac:dyDescent="0.2">
      <c r="X73" s="165"/>
      <c r="Y73" s="165">
        <f>4000000/'Data &amp; Assumptions'!$D$8</f>
        <v>3436.4261168384878</v>
      </c>
      <c r="Z73" s="165">
        <f>600000/'Data &amp; Assumptions'!$D$8</f>
        <v>515.46391752577324</v>
      </c>
      <c r="AA73" s="166">
        <f>750000/'Data &amp; Assumptions'!$D$8</f>
        <v>644.32989690721649</v>
      </c>
      <c r="AB73" s="167">
        <f t="shared" ref="AB73:AB79" si="0">SUM(Z73:AA73)</f>
        <v>1159.7938144329896</v>
      </c>
      <c r="AC73" s="15"/>
      <c r="AE73" s="115"/>
    </row>
    <row r="74" spans="24:31" x14ac:dyDescent="0.2">
      <c r="X74" s="165">
        <f>1000000/'Data &amp; Assumptions'!$D$8</f>
        <v>859.10652920962195</v>
      </c>
      <c r="Y74" s="165"/>
      <c r="Z74" s="165">
        <f>650000/'Data &amp; Assumptions'!$D$8</f>
        <v>558.41924398625429</v>
      </c>
      <c r="AA74" s="166">
        <f>250000/'Data &amp; Assumptions'!$D$8</f>
        <v>214.77663230240549</v>
      </c>
      <c r="AB74" s="167">
        <f t="shared" si="0"/>
        <v>773.19587628865975</v>
      </c>
      <c r="AC74" s="15"/>
    </row>
    <row r="75" spans="24:31" x14ac:dyDescent="0.2">
      <c r="X75" s="165">
        <f>3750000/'Data &amp; Assumptions'!$D$8</f>
        <v>3221.6494845360826</v>
      </c>
      <c r="Y75" s="165">
        <f>1750000/'Data &amp; Assumptions'!$D$8</f>
        <v>1503.4364261168384</v>
      </c>
      <c r="Z75" s="165">
        <f>450000/'Data &amp; Assumptions'!$D$8</f>
        <v>386.59793814432987</v>
      </c>
      <c r="AA75" s="166">
        <f>650000/'Data &amp; Assumptions'!$D$8</f>
        <v>558.41924398625429</v>
      </c>
      <c r="AB75" s="167">
        <f t="shared" si="0"/>
        <v>945.01718213058416</v>
      </c>
      <c r="AC75" s="15"/>
    </row>
    <row r="76" spans="24:31" x14ac:dyDescent="0.2">
      <c r="X76" s="165">
        <f>4000000/'Data &amp; Assumptions'!$D$8</f>
        <v>3436.4261168384878</v>
      </c>
      <c r="Y76" s="165">
        <f>2000000/'Data &amp; Assumptions'!$D$8</f>
        <v>1718.2130584192439</v>
      </c>
      <c r="Z76" s="165">
        <f>500000/'Data &amp; Assumptions'!$D$8</f>
        <v>429.55326460481098</v>
      </c>
      <c r="AA76" s="166">
        <f>620000/'Data &amp; Assumptions'!$D$8</f>
        <v>532.64604810996559</v>
      </c>
      <c r="AB76" s="167">
        <f t="shared" si="0"/>
        <v>962.19931271477662</v>
      </c>
      <c r="AC76" s="15"/>
    </row>
    <row r="77" spans="24:31" x14ac:dyDescent="0.2">
      <c r="X77" s="165">
        <f>4300000/'Data &amp; Assumptions'!$D$8</f>
        <v>3694.1580756013745</v>
      </c>
      <c r="Y77" s="165"/>
      <c r="Z77" s="165">
        <f>1400000/'Data &amp; Assumptions'!$D$8</f>
        <v>1202.7491408934709</v>
      </c>
      <c r="AA77" s="166">
        <f>550000/'Data &amp; Assumptions'!$D$8</f>
        <v>472.50859106529208</v>
      </c>
      <c r="AB77" s="167">
        <f t="shared" si="0"/>
        <v>1675.2577319587631</v>
      </c>
      <c r="AC77" s="15"/>
    </row>
    <row r="78" spans="24:31" x14ac:dyDescent="0.2">
      <c r="X78" s="165"/>
      <c r="Y78" s="165"/>
      <c r="Z78" s="165">
        <f>850000/'Data &amp; Assumptions'!$D$8</f>
        <v>730.2405498281787</v>
      </c>
      <c r="AA78" s="166"/>
      <c r="AB78" s="167">
        <f>Z78+AA79</f>
        <v>1234.249713631157</v>
      </c>
      <c r="AC78" s="15"/>
    </row>
    <row r="79" spans="24:31" x14ac:dyDescent="0.2">
      <c r="X79" s="168">
        <f>AVERAGE(X71:X78)</f>
        <v>2656.0710194730814</v>
      </c>
      <c r="Y79" s="168">
        <f>AVERAGE(Y71:Y78)</f>
        <v>1847.079037800687</v>
      </c>
      <c r="Z79" s="168">
        <f>AVERAGE(Z71:Z78)</f>
        <v>628.2216494845361</v>
      </c>
      <c r="AA79" s="169">
        <f>AVERAGE(AA71:AA78)</f>
        <v>504.00916380297821</v>
      </c>
      <c r="AB79" s="177">
        <f t="shared" si="0"/>
        <v>1132.2308132875144</v>
      </c>
      <c r="AC79" s="15"/>
    </row>
    <row r="80" spans="24:31" x14ac:dyDescent="0.2">
      <c r="X80" s="630"/>
      <c r="Y80" s="630"/>
      <c r="Z80" s="630"/>
      <c r="AA80" s="630"/>
      <c r="AB80" s="631"/>
      <c r="AC80" s="164"/>
    </row>
    <row r="81" spans="24:29" x14ac:dyDescent="0.2">
      <c r="X81" s="165">
        <f>3500000/'Data &amp; Assumptions'!$D$8</f>
        <v>3006.8728522336769</v>
      </c>
      <c r="Y81" s="165"/>
      <c r="Z81" s="165">
        <f>600000/'Data &amp; Assumptions'!$D$8</f>
        <v>515.46391752577324</v>
      </c>
      <c r="AA81" s="166">
        <f>800000/'Data &amp; Assumptions'!$D$8</f>
        <v>687.28522336769754</v>
      </c>
      <c r="AB81" s="167">
        <f>SUM(Z81:AA81)</f>
        <v>1202.7491408934707</v>
      </c>
      <c r="AC81" s="15"/>
    </row>
    <row r="82" spans="24:29" x14ac:dyDescent="0.2">
      <c r="X82" s="165"/>
      <c r="Y82" s="165"/>
      <c r="Z82" s="165"/>
      <c r="AA82" s="166"/>
      <c r="AB82" s="167"/>
      <c r="AC82" s="15"/>
    </row>
    <row r="83" spans="24:29" x14ac:dyDescent="0.2">
      <c r="X83" s="165">
        <f>2750000/'Data &amp; Assumptions'!$D$8</f>
        <v>2362.5429553264603</v>
      </c>
      <c r="Y83" s="165">
        <f>1750000/'Data &amp; Assumptions'!$D$8</f>
        <v>1503.4364261168384</v>
      </c>
      <c r="Z83" s="165">
        <f>800000/'Data &amp; Assumptions'!$D$8</f>
        <v>687.28522336769754</v>
      </c>
      <c r="AA83" s="166"/>
      <c r="AB83" s="167">
        <f>Z83+AA86</f>
        <v>1302.9782359679266</v>
      </c>
      <c r="AC83" s="15"/>
    </row>
    <row r="84" spans="24:29" x14ac:dyDescent="0.2">
      <c r="X84" s="165">
        <f>1500000/'Data &amp; Assumptions'!$D$8</f>
        <v>1288.659793814433</v>
      </c>
      <c r="Y84" s="165">
        <f>800000/'Data &amp; Assumptions'!$D$8</f>
        <v>687.28522336769754</v>
      </c>
      <c r="Z84" s="165">
        <f>600000/'Data &amp; Assumptions'!$D$8</f>
        <v>515.46391752577324</v>
      </c>
      <c r="AA84" s="166">
        <f>800000/'Data &amp; Assumptions'!$D$8</f>
        <v>687.28522336769754</v>
      </c>
      <c r="AB84" s="167">
        <f>SUM(Z84:AA84)</f>
        <v>1202.7491408934707</v>
      </c>
      <c r="AC84" s="15"/>
    </row>
    <row r="85" spans="24:29" x14ac:dyDescent="0.2">
      <c r="X85" s="170"/>
      <c r="Y85" s="170">
        <f>1950000/'Data &amp; Assumptions'!$D$8</f>
        <v>1675.2577319587629</v>
      </c>
      <c r="Z85" s="170">
        <f>250000/'Data &amp; Assumptions'!$D$8</f>
        <v>214.77663230240549</v>
      </c>
      <c r="AA85" s="171">
        <f>550000/'Data &amp; Assumptions'!$D$8</f>
        <v>472.50859106529208</v>
      </c>
      <c r="AB85" s="167">
        <f>SUM(Z85:AA85)</f>
        <v>687.28522336769754</v>
      </c>
      <c r="AC85" s="15"/>
    </row>
    <row r="86" spans="24:29" x14ac:dyDescent="0.2">
      <c r="X86" s="172">
        <f>AVERAGE(X81:X85)</f>
        <v>2219.3585337915233</v>
      </c>
      <c r="Y86" s="172">
        <f>AVERAGE(Y81:Y85)</f>
        <v>1288.659793814433</v>
      </c>
      <c r="Z86" s="172">
        <f>AVERAGE(Z81:Z85)</f>
        <v>483.24742268041234</v>
      </c>
      <c r="AA86" s="173">
        <f>AVERAGE(AA81:AA85)</f>
        <v>615.69301260022905</v>
      </c>
      <c r="AB86" s="177">
        <f>SUM(Z86:AA86)</f>
        <v>1098.9404352806414</v>
      </c>
      <c r="AC86" s="15"/>
    </row>
    <row r="87" spans="24:29" x14ac:dyDescent="0.2">
      <c r="X87" s="632"/>
      <c r="Y87" s="632"/>
      <c r="Z87" s="632"/>
      <c r="AA87" s="632"/>
      <c r="AB87" s="633"/>
      <c r="AC87" s="164"/>
    </row>
    <row r="88" spans="24:29" x14ac:dyDescent="0.2">
      <c r="X88" s="165">
        <f>1900000/'Data &amp; Assumptions'!$D$8</f>
        <v>1632.3024054982818</v>
      </c>
      <c r="Y88" s="165"/>
      <c r="Z88" s="165">
        <f>450000/'Data &amp; Assumptions'!$D$8</f>
        <v>386.59793814432987</v>
      </c>
      <c r="AA88" s="166">
        <f>500000/'Data &amp; Assumptions'!$D$8</f>
        <v>429.55326460481098</v>
      </c>
      <c r="AB88" s="167">
        <f>SUM(Z88:AA88)</f>
        <v>816.15120274914079</v>
      </c>
      <c r="AC88" s="15"/>
    </row>
    <row r="89" spans="24:29" x14ac:dyDescent="0.2">
      <c r="X89" s="165"/>
      <c r="Y89" s="165"/>
      <c r="Z89" s="165"/>
      <c r="AA89" s="166"/>
      <c r="AB89" s="167">
        <f>AB91</f>
        <v>902.06185567010311</v>
      </c>
      <c r="AC89" s="15"/>
    </row>
    <row r="90" spans="24:29" x14ac:dyDescent="0.2">
      <c r="X90" s="165">
        <f>4500000/'Data &amp; Assumptions'!$D$8</f>
        <v>3865.9793814432992</v>
      </c>
      <c r="Y90" s="165">
        <f>2650000/'Data &amp; Assumptions'!$D$8</f>
        <v>2276.6323024054982</v>
      </c>
      <c r="Z90" s="165">
        <f>850000/'Data &amp; Assumptions'!$D$8</f>
        <v>730.2405498281787</v>
      </c>
      <c r="AA90" s="166">
        <f>300000/'Data &amp; Assumptions'!$D$8</f>
        <v>257.73195876288662</v>
      </c>
      <c r="AB90" s="167">
        <f>SUM(Z90:AA90)</f>
        <v>987.97250859106532</v>
      </c>
      <c r="AC90" s="15"/>
    </row>
    <row r="91" spans="24:29" x14ac:dyDescent="0.2">
      <c r="X91" s="168">
        <f>AVERAGE(X88:X90)</f>
        <v>2749.1408934707906</v>
      </c>
      <c r="Y91" s="168">
        <f>AVERAGE(Y88:Y90)</f>
        <v>2276.6323024054982</v>
      </c>
      <c r="Z91" s="168">
        <f>AVERAGE(Z88:Z90)</f>
        <v>558.41924398625429</v>
      </c>
      <c r="AA91" s="169">
        <f>AVERAGE(AA88:AA90)</f>
        <v>343.64261168384883</v>
      </c>
      <c r="AB91" s="177">
        <f>SUM(Z91:AA91)</f>
        <v>902.06185567010311</v>
      </c>
      <c r="AC91" s="15"/>
    </row>
    <row r="92" spans="24:29" x14ac:dyDescent="0.2">
      <c r="X92" s="632"/>
      <c r="Y92" s="632"/>
      <c r="Z92" s="632"/>
      <c r="AA92" s="632"/>
      <c r="AB92" s="633"/>
      <c r="AC92" s="164"/>
    </row>
    <row r="93" spans="24:29" x14ac:dyDescent="0.2">
      <c r="X93" s="165">
        <f>4000000/'Data &amp; Assumptions'!$D$8</f>
        <v>3436.4261168384878</v>
      </c>
      <c r="Y93" s="165">
        <f>3000000/'Data &amp; Assumptions'!$D$8</f>
        <v>2577.319587628866</v>
      </c>
      <c r="Z93" s="165">
        <f>500000/'Data &amp; Assumptions'!$D$8</f>
        <v>429.55326460481098</v>
      </c>
      <c r="AA93" s="166">
        <f>370000/'Data &amp; Assumptions'!$D$8</f>
        <v>317.86941580756013</v>
      </c>
      <c r="AB93" s="167">
        <f t="shared" ref="AB93:AB98" si="1">SUM(Z93:AA93)</f>
        <v>747.42268041237116</v>
      </c>
      <c r="AC93" s="15"/>
    </row>
    <row r="94" spans="24:29" x14ac:dyDescent="0.2">
      <c r="X94" s="165">
        <f>3500000/'Data &amp; Assumptions'!$D$8</f>
        <v>3006.8728522336769</v>
      </c>
      <c r="Y94" s="165">
        <f>2750000/'Data &amp; Assumptions'!$D$8</f>
        <v>2362.5429553264603</v>
      </c>
      <c r="Z94" s="165">
        <f>1050000/'Data &amp; Assumptions'!$D$8</f>
        <v>902.06185567010311</v>
      </c>
      <c r="AA94" s="166">
        <f>750000/'Data &amp; Assumptions'!$D$8</f>
        <v>644.32989690721649</v>
      </c>
      <c r="AB94" s="167">
        <f t="shared" si="1"/>
        <v>1546.3917525773195</v>
      </c>
      <c r="AC94" s="15"/>
    </row>
    <row r="95" spans="24:29" x14ac:dyDescent="0.2">
      <c r="X95" s="165"/>
      <c r="Y95" s="165">
        <f>2400000/'Data &amp; Assumptions'!$D$8</f>
        <v>2061.855670103093</v>
      </c>
      <c r="Z95" s="165">
        <f>200000/'Data &amp; Assumptions'!$D$8</f>
        <v>171.82130584192439</v>
      </c>
      <c r="AA95" s="166">
        <f>750000/'Data &amp; Assumptions'!$D$8</f>
        <v>644.32989690721649</v>
      </c>
      <c r="AB95" s="167">
        <f t="shared" si="1"/>
        <v>816.15120274914091</v>
      </c>
      <c r="AC95" s="130"/>
    </row>
    <row r="96" spans="24:29" x14ac:dyDescent="0.2">
      <c r="X96" s="165">
        <f>5000000/'Data &amp; Assumptions'!$D$8</f>
        <v>4295.5326460481101</v>
      </c>
      <c r="Y96" s="165"/>
      <c r="Z96" s="165">
        <f>1500000/'Data &amp; Assumptions'!$D$8</f>
        <v>1288.659793814433</v>
      </c>
      <c r="AA96" s="166">
        <f>1200000/'Data &amp; Assumptions'!$D$8</f>
        <v>1030.9278350515465</v>
      </c>
      <c r="AB96" s="167">
        <f t="shared" si="1"/>
        <v>2319.5876288659792</v>
      </c>
      <c r="AC96" s="130"/>
    </row>
    <row r="97" spans="24:45" x14ac:dyDescent="0.2">
      <c r="X97" s="165">
        <f>2350000/'Data &amp; Assumptions'!$D$8</f>
        <v>2018.9003436426117</v>
      </c>
      <c r="Y97" s="165">
        <f>1750000/'Data &amp; Assumptions'!$D$8</f>
        <v>1503.4364261168384</v>
      </c>
      <c r="Z97" s="165">
        <f>600000/'Data &amp; Assumptions'!$D$8</f>
        <v>515.46391752577324</v>
      </c>
      <c r="AA97" s="166">
        <f>1250000/'Data &amp; Assumptions'!$D$8</f>
        <v>1073.8831615120275</v>
      </c>
      <c r="AB97" s="167">
        <f t="shared" si="1"/>
        <v>1589.3470790378008</v>
      </c>
      <c r="AC97" s="130"/>
    </row>
    <row r="98" spans="24:45" ht="13.5" thickBot="1" x14ac:dyDescent="0.25">
      <c r="X98" s="174">
        <f>AVERAGE(X93:X97)</f>
        <v>3189.4329896907216</v>
      </c>
      <c r="Y98" s="174">
        <f>AVERAGE(Y93:Y97)</f>
        <v>2126.2886597938145</v>
      </c>
      <c r="Z98" s="174">
        <f>AVERAGE(Z93:Z97)</f>
        <v>661.51202749140907</v>
      </c>
      <c r="AA98" s="175">
        <f>AVERAGE(AA93:AA97)</f>
        <v>742.26804123711349</v>
      </c>
      <c r="AB98" s="178">
        <f t="shared" si="1"/>
        <v>1403.7800687285226</v>
      </c>
      <c r="AC98" s="130"/>
    </row>
    <row r="99" spans="24:45" x14ac:dyDescent="0.2">
      <c r="AD99" s="113" t="s">
        <v>241</v>
      </c>
      <c r="AE99" s="107"/>
      <c r="AF99" s="107"/>
      <c r="AG99" s="107"/>
      <c r="AH99" s="107"/>
      <c r="AI99" s="107"/>
      <c r="AJ99" s="107"/>
      <c r="AK99" s="107"/>
      <c r="AL99" s="108"/>
      <c r="AM99" s="109"/>
    </row>
    <row r="100" spans="24:45" ht="13.5" thickBot="1" x14ac:dyDescent="0.25">
      <c r="AD100" s="114" t="s">
        <v>251</v>
      </c>
      <c r="AE100" s="110"/>
      <c r="AF100" s="110"/>
      <c r="AG100" s="110"/>
      <c r="AH100" s="110"/>
      <c r="AI100" s="110"/>
      <c r="AJ100" s="110"/>
      <c r="AK100" s="110"/>
      <c r="AL100" s="111"/>
      <c r="AM100" s="112"/>
    </row>
    <row r="101" spans="24:45" ht="25.5" customHeight="1" thickBot="1" x14ac:dyDescent="0.25">
      <c r="AD101" s="90" t="s">
        <v>242</v>
      </c>
      <c r="AE101" s="91" t="s">
        <v>57</v>
      </c>
      <c r="AF101" s="93">
        <v>2001</v>
      </c>
      <c r="AG101" s="91">
        <v>2002</v>
      </c>
      <c r="AH101" s="91">
        <v>2003</v>
      </c>
      <c r="AI101" s="91">
        <v>2004</v>
      </c>
      <c r="AJ101" s="91">
        <v>2005</v>
      </c>
      <c r="AK101" s="92" t="s">
        <v>244</v>
      </c>
      <c r="AL101" s="99" t="s">
        <v>248</v>
      </c>
      <c r="AM101" s="103" t="s">
        <v>250</v>
      </c>
    </row>
    <row r="102" spans="24:45" ht="25.5" customHeight="1" x14ac:dyDescent="0.2">
      <c r="AD102" s="82" t="s">
        <v>243</v>
      </c>
      <c r="AE102" s="81" t="s">
        <v>175</v>
      </c>
      <c r="AF102" s="94">
        <f>124200000000/'Data &amp; Assumptions'!$D$8</f>
        <v>106701030.92783505</v>
      </c>
      <c r="AG102" s="83">
        <f>214900000000/'Data &amp; Assumptions'!$D$8</f>
        <v>184621993.12714776</v>
      </c>
      <c r="AH102" s="83">
        <f>409900000000/'Data &amp; Assumptions'!$D$8</f>
        <v>352147766.32302403</v>
      </c>
      <c r="AI102" s="83">
        <f>547700000000/'Data &amp; Assumptions'!$D$8</f>
        <v>470532646.04810995</v>
      </c>
      <c r="AJ102" s="83">
        <f>789200000000/'Data &amp; Assumptions'!$D$8</f>
        <v>678006872.85223365</v>
      </c>
      <c r="AK102" s="83">
        <f>966200000000/'Data &amp; Assumptions'!$D$8</f>
        <v>830068728.52233672</v>
      </c>
      <c r="AL102" s="100">
        <f>(AK102/AF102)^(1/4.5)-1</f>
        <v>0.57756722507743663</v>
      </c>
      <c r="AM102" s="104">
        <f>(AK102/AH102)^(1/2.5)-1</f>
        <v>0.40914487649854525</v>
      </c>
    </row>
    <row r="103" spans="24:45" ht="25.5" x14ac:dyDescent="0.2">
      <c r="AD103" s="82" t="s">
        <v>246</v>
      </c>
      <c r="AE103" s="81" t="s">
        <v>193</v>
      </c>
      <c r="AF103" s="95">
        <v>8.0000000000000002E-3</v>
      </c>
      <c r="AG103" s="84">
        <v>1.0999999999999999E-2</v>
      </c>
      <c r="AH103" s="84">
        <v>2.3E-2</v>
      </c>
      <c r="AI103" s="84">
        <v>2.8000000000000001E-2</v>
      </c>
      <c r="AJ103" s="84">
        <v>2.5999999999999999E-2</v>
      </c>
      <c r="AK103" s="84">
        <v>2.5000000000000001E-2</v>
      </c>
      <c r="AL103" s="101" t="s">
        <v>247</v>
      </c>
      <c r="AM103" s="105" t="s">
        <v>247</v>
      </c>
    </row>
    <row r="104" spans="24:45" ht="38.25" customHeight="1" x14ac:dyDescent="0.2">
      <c r="AD104" s="82" t="s">
        <v>245</v>
      </c>
      <c r="AE104" s="81" t="s">
        <v>175</v>
      </c>
      <c r="AF104" s="96">
        <f t="shared" ref="AF104:AK104" si="2">AF102*AF103</f>
        <v>853608.24742268038</v>
      </c>
      <c r="AG104" s="85">
        <f t="shared" si="2"/>
        <v>2030841.9243986253</v>
      </c>
      <c r="AH104" s="85">
        <f t="shared" si="2"/>
        <v>8099398.625429553</v>
      </c>
      <c r="AI104" s="85">
        <f t="shared" si="2"/>
        <v>13174914.089347079</v>
      </c>
      <c r="AJ104" s="85">
        <f t="shared" si="2"/>
        <v>17628178.694158074</v>
      </c>
      <c r="AK104" s="85">
        <f t="shared" si="2"/>
        <v>20751718.21305842</v>
      </c>
      <c r="AL104" s="100">
        <f>(AK104/AF104)^(1/4.5)-1</f>
        <v>1.0321443141909041</v>
      </c>
      <c r="AM104" s="104">
        <f>(AK104/AH104)^(1/2.5)-1</f>
        <v>0.4569361355626762</v>
      </c>
    </row>
    <row r="105" spans="24:45" ht="39.75" customHeight="1" x14ac:dyDescent="0.2">
      <c r="AD105" s="82" t="s">
        <v>252</v>
      </c>
      <c r="AE105" s="81" t="s">
        <v>193</v>
      </c>
      <c r="AF105" s="97">
        <v>0.19</v>
      </c>
      <c r="AG105" s="86">
        <v>0.27900000000000003</v>
      </c>
      <c r="AH105" s="86">
        <v>0.30099999999999999</v>
      </c>
      <c r="AI105" s="86">
        <v>0.35899999999999999</v>
      </c>
      <c r="AJ105" s="86">
        <v>0.38600000000000001</v>
      </c>
      <c r="AK105" s="86">
        <v>0.40500000000000003</v>
      </c>
      <c r="AL105" s="101" t="s">
        <v>247</v>
      </c>
      <c r="AM105" s="105" t="s">
        <v>247</v>
      </c>
    </row>
    <row r="106" spans="24:45" ht="51.75" thickBot="1" x14ac:dyDescent="0.25">
      <c r="AD106" s="87" t="s">
        <v>249</v>
      </c>
      <c r="AE106" s="88" t="s">
        <v>175</v>
      </c>
      <c r="AF106" s="98">
        <f t="shared" ref="AF106:AK106" si="3">AF104*AF105</f>
        <v>162185.56701030929</v>
      </c>
      <c r="AG106" s="89">
        <f t="shared" si="3"/>
        <v>566604.89690721652</v>
      </c>
      <c r="AH106" s="89">
        <f t="shared" si="3"/>
        <v>2437918.9862542953</v>
      </c>
      <c r="AI106" s="89">
        <f t="shared" si="3"/>
        <v>4729794.1580756009</v>
      </c>
      <c r="AJ106" s="89">
        <f t="shared" si="3"/>
        <v>6804476.9759450164</v>
      </c>
      <c r="AK106" s="89">
        <f t="shared" si="3"/>
        <v>8404445.8762886599</v>
      </c>
      <c r="AL106" s="102">
        <f>(AK106/AF106)^(1/4.5)-1</f>
        <v>1.4043589630835207</v>
      </c>
      <c r="AM106" s="106">
        <f>(AK106/AH106)^(1/2.5)-1</f>
        <v>0.64057438350439089</v>
      </c>
    </row>
    <row r="107" spans="24:45" ht="13.5" thickBot="1" x14ac:dyDescent="0.25"/>
    <row r="108" spans="24:45" x14ac:dyDescent="0.2">
      <c r="AO108" s="634" t="s">
        <v>298</v>
      </c>
      <c r="AP108" s="635"/>
      <c r="AQ108" s="635"/>
      <c r="AR108" s="636"/>
    </row>
    <row r="109" spans="24:45" x14ac:dyDescent="0.2">
      <c r="AO109" s="128" t="s">
        <v>242</v>
      </c>
      <c r="AP109" s="126">
        <v>2003</v>
      </c>
      <c r="AQ109" s="126">
        <v>2004</v>
      </c>
      <c r="AR109" s="129">
        <v>2005</v>
      </c>
    </row>
    <row r="110" spans="24:45" ht="12.75" customHeight="1" x14ac:dyDescent="0.2">
      <c r="AO110" s="61" t="s">
        <v>293</v>
      </c>
      <c r="AP110" s="127">
        <v>742</v>
      </c>
      <c r="AQ110" s="130">
        <v>1107</v>
      </c>
      <c r="AR110" s="118">
        <v>1802</v>
      </c>
    </row>
    <row r="111" spans="24:45" ht="13.5" thickBot="1" x14ac:dyDescent="0.25">
      <c r="AO111" s="133" t="s">
        <v>292</v>
      </c>
      <c r="AP111" s="134">
        <v>2935</v>
      </c>
      <c r="AQ111" s="126">
        <v>3888</v>
      </c>
      <c r="AR111" s="129">
        <v>3509</v>
      </c>
    </row>
    <row r="112" spans="24:45" x14ac:dyDescent="0.2">
      <c r="AO112" s="637" t="s">
        <v>299</v>
      </c>
      <c r="AP112" s="638"/>
      <c r="AQ112" s="638"/>
      <c r="AR112" s="639"/>
      <c r="AS112" s="150" t="s">
        <v>306</v>
      </c>
    </row>
    <row r="113" spans="41:54" x14ac:dyDescent="0.2">
      <c r="AO113" s="128" t="s">
        <v>242</v>
      </c>
      <c r="AP113" s="126">
        <v>2003</v>
      </c>
      <c r="AQ113" s="126">
        <v>2004</v>
      </c>
      <c r="AR113" s="129">
        <v>2005</v>
      </c>
      <c r="AS113" s="151" t="s">
        <v>307</v>
      </c>
    </row>
    <row r="114" spans="41:54" x14ac:dyDescent="0.2">
      <c r="AO114" s="61" t="s">
        <v>293</v>
      </c>
      <c r="AP114" s="137">
        <f>AP110*'Data &amp; Assumptions'!$D$13</f>
        <v>946.76172120599983</v>
      </c>
      <c r="AQ114" s="77">
        <f>AQ110*'Data &amp; Assumptions'!$D$14</f>
        <v>1343.9456009999999</v>
      </c>
      <c r="AR114" s="140">
        <f>AR110*'Data &amp; Assumptions'!$D$15</f>
        <v>2020.0419999999999</v>
      </c>
      <c r="AS114" s="148">
        <f>(AR114/AP114)^(1/2)-1</f>
        <v>0.46069604832833866</v>
      </c>
    </row>
    <row r="115" spans="41:54" ht="13.5" thickBot="1" x14ac:dyDescent="0.25">
      <c r="AO115" s="133" t="s">
        <v>292</v>
      </c>
      <c r="AP115" s="141">
        <f>AP111*'Data &amp; Assumptions'!$D$13</f>
        <v>3744.9402314549993</v>
      </c>
      <c r="AQ115" s="73">
        <f>AQ111*'Data &amp; Assumptions'!$D$14</f>
        <v>4720.1991840000001</v>
      </c>
      <c r="AR115" s="142">
        <f>AR111*'Data &amp; Assumptions'!$D$15</f>
        <v>3933.5889999999999</v>
      </c>
      <c r="AS115" s="149">
        <f>(AR115/AP115)^(1/2)-1</f>
        <v>2.4877703387551575E-2</v>
      </c>
    </row>
    <row r="116" spans="41:54" ht="14.25" x14ac:dyDescent="0.2">
      <c r="AO116" s="637" t="s">
        <v>297</v>
      </c>
      <c r="AP116" s="638"/>
      <c r="AQ116" s="638"/>
      <c r="AR116" s="639"/>
    </row>
    <row r="117" spans="41:54" x14ac:dyDescent="0.2">
      <c r="AO117" s="128" t="s">
        <v>242</v>
      </c>
      <c r="AP117" s="126">
        <v>2003</v>
      </c>
      <c r="AQ117" s="126">
        <v>2004</v>
      </c>
      <c r="AR117" s="129">
        <v>2005</v>
      </c>
    </row>
    <row r="118" spans="41:54" x14ac:dyDescent="0.2">
      <c r="AO118" s="61" t="s">
        <v>293</v>
      </c>
      <c r="AP118" s="127">
        <v>527</v>
      </c>
      <c r="AQ118" s="130">
        <v>384</v>
      </c>
      <c r="AR118" s="118">
        <v>547</v>
      </c>
    </row>
    <row r="119" spans="41:54" x14ac:dyDescent="0.2">
      <c r="AO119" s="133" t="s">
        <v>292</v>
      </c>
      <c r="AP119" s="134">
        <v>533</v>
      </c>
      <c r="AQ119" s="126">
        <v>744</v>
      </c>
      <c r="AR119" s="129">
        <v>524</v>
      </c>
    </row>
    <row r="120" spans="41:54" ht="14.25" x14ac:dyDescent="0.2">
      <c r="AO120" s="637" t="s">
        <v>300</v>
      </c>
      <c r="AP120" s="638"/>
      <c r="AQ120" s="638"/>
      <c r="AR120" s="639"/>
    </row>
    <row r="121" spans="41:54" x14ac:dyDescent="0.2">
      <c r="AO121" s="128" t="s">
        <v>242</v>
      </c>
      <c r="AP121" s="126">
        <v>2003</v>
      </c>
      <c r="AQ121" s="126">
        <v>2004</v>
      </c>
      <c r="AR121" s="129">
        <v>2005</v>
      </c>
    </row>
    <row r="122" spans="41:54" x14ac:dyDescent="0.2">
      <c r="AO122" s="61" t="s">
        <v>293</v>
      </c>
      <c r="AP122" s="127">
        <v>1.97</v>
      </c>
      <c r="AQ122" s="15">
        <v>2.34</v>
      </c>
      <c r="AR122" s="131">
        <v>4.63</v>
      </c>
    </row>
    <row r="123" spans="41:54" x14ac:dyDescent="0.2">
      <c r="AO123" s="133" t="s">
        <v>292</v>
      </c>
      <c r="AP123" s="134">
        <v>7.79</v>
      </c>
      <c r="AQ123" s="126">
        <v>6.93</v>
      </c>
      <c r="AR123" s="135">
        <v>7.96</v>
      </c>
    </row>
    <row r="124" spans="41:54" ht="14.25" x14ac:dyDescent="0.2">
      <c r="AO124" s="637" t="s">
        <v>301</v>
      </c>
      <c r="AP124" s="638"/>
      <c r="AQ124" s="638"/>
      <c r="AR124" s="639"/>
    </row>
    <row r="125" spans="41:54" x14ac:dyDescent="0.2">
      <c r="AO125" s="128" t="s">
        <v>242</v>
      </c>
      <c r="AP125" s="126">
        <v>2003</v>
      </c>
      <c r="AQ125" s="126">
        <v>2004</v>
      </c>
      <c r="AR125" s="129">
        <v>2005</v>
      </c>
    </row>
    <row r="126" spans="41:54" x14ac:dyDescent="0.2">
      <c r="AO126" s="61" t="s">
        <v>293</v>
      </c>
      <c r="AP126" s="136">
        <f>AP122*'Data &amp; Assumptions'!$D$13</f>
        <v>2.5136396102099998</v>
      </c>
      <c r="AQ126" s="138">
        <f>AQ122*'Data &amp; Assumptions'!$D$14</f>
        <v>2.8408606199999999</v>
      </c>
      <c r="AR126" s="139">
        <f>AR122*'Data &amp; Assumptions'!$D$15</f>
        <v>5.1902299999999997</v>
      </c>
    </row>
    <row r="127" spans="41:54" ht="13.5" thickBot="1" x14ac:dyDescent="0.25">
      <c r="AO127" s="132" t="s">
        <v>292</v>
      </c>
      <c r="AP127" s="143">
        <f>AP123*'Data &amp; Assumptions'!$D$13</f>
        <v>9.9397221134699993</v>
      </c>
      <c r="AQ127" s="144">
        <f>AQ123*'Data &amp; Assumptions'!$D$14</f>
        <v>8.4133179899999995</v>
      </c>
      <c r="AR127" s="145">
        <f>AR123*'Data &amp; Assumptions'!$D$15</f>
        <v>8.9231599999999993</v>
      </c>
    </row>
    <row r="128" spans="41:54" x14ac:dyDescent="0.2">
      <c r="AO128" s="161"/>
      <c r="AP128" s="138"/>
      <c r="AQ128" s="138"/>
      <c r="AR128" s="138"/>
      <c r="AT128" s="146"/>
      <c r="AU128" s="146"/>
      <c r="AV128" s="146"/>
      <c r="AW128" s="146"/>
      <c r="AX128" s="146"/>
      <c r="AY128" s="146"/>
      <c r="AZ128" s="146"/>
      <c r="BA128" s="146"/>
      <c r="BB128" s="146"/>
    </row>
    <row r="129" spans="43:54" ht="12.75" customHeight="1" x14ac:dyDescent="0.2">
      <c r="AT129" s="146"/>
      <c r="AU129" s="146"/>
      <c r="AV129" s="625"/>
      <c r="AW129" s="625"/>
      <c r="AX129" s="625"/>
      <c r="AY129" s="625"/>
      <c r="AZ129" s="625"/>
      <c r="BA129" s="625"/>
      <c r="BB129" s="146"/>
    </row>
    <row r="130" spans="43:54" ht="12.75" customHeight="1" x14ac:dyDescent="0.2">
      <c r="AT130" s="146"/>
      <c r="AU130" s="146"/>
      <c r="AV130" s="146"/>
      <c r="AW130" s="146"/>
      <c r="AX130" s="146"/>
      <c r="AY130" s="146"/>
      <c r="AZ130" s="146"/>
      <c r="BA130" s="146"/>
      <c r="BB130" s="146"/>
    </row>
    <row r="131" spans="43:54" ht="12.75" customHeight="1" x14ac:dyDescent="0.2">
      <c r="AT131" s="238"/>
      <c r="AU131" s="238"/>
      <c r="AV131" s="146"/>
      <c r="AW131" s="146"/>
      <c r="AX131" s="146"/>
      <c r="AY131" s="146"/>
      <c r="AZ131" s="146"/>
      <c r="BA131" s="146"/>
      <c r="BB131" s="146"/>
    </row>
    <row r="132" spans="43:54" ht="12.75" customHeight="1" x14ac:dyDescent="0.2">
      <c r="AT132" s="238"/>
      <c r="AU132" s="238"/>
      <c r="AV132" s="245"/>
      <c r="AW132" s="245"/>
      <c r="AX132" s="245"/>
      <c r="AY132" s="245"/>
      <c r="AZ132" s="245"/>
      <c r="BA132" s="245"/>
      <c r="BB132" s="146"/>
    </row>
    <row r="133" spans="43:54" ht="12.75" customHeight="1" x14ac:dyDescent="0.2">
      <c r="AT133" s="238"/>
      <c r="AU133" s="238"/>
      <c r="AV133" s="245"/>
      <c r="AW133" s="245"/>
      <c r="AX133" s="245"/>
      <c r="AY133" s="245"/>
      <c r="AZ133" s="245"/>
      <c r="BA133" s="245"/>
      <c r="BB133" s="146"/>
    </row>
    <row r="134" spans="43:54" ht="12.75" customHeight="1" x14ac:dyDescent="0.2">
      <c r="AT134" s="238"/>
      <c r="AU134" s="238"/>
      <c r="AV134" s="147"/>
      <c r="AW134" s="147"/>
      <c r="AX134" s="147"/>
      <c r="AY134" s="147"/>
      <c r="AZ134" s="147"/>
      <c r="BA134" s="147"/>
      <c r="BB134" s="146"/>
    </row>
    <row r="135" spans="43:54" ht="12.75" customHeight="1" x14ac:dyDescent="0.2">
      <c r="AQ135" s="13"/>
      <c r="AR135" s="162"/>
      <c r="AS135" s="49"/>
      <c r="AT135" s="238"/>
      <c r="AU135" s="238"/>
      <c r="AV135" s="259"/>
      <c r="AW135" s="259"/>
      <c r="AX135" s="259"/>
      <c r="AY135" s="259"/>
      <c r="AZ135" s="259"/>
      <c r="BA135" s="259"/>
      <c r="BB135" s="146"/>
    </row>
    <row r="136" spans="43:54" ht="12.75" customHeight="1" x14ac:dyDescent="0.2">
      <c r="AT136" s="238"/>
      <c r="AU136" s="146"/>
      <c r="AV136" s="146"/>
      <c r="AW136" s="146"/>
      <c r="AX136" s="146"/>
      <c r="AY136" s="146"/>
      <c r="AZ136" s="146"/>
      <c r="BA136" s="146"/>
      <c r="BB136" s="146"/>
    </row>
    <row r="137" spans="43:54" ht="12.75" customHeight="1" x14ac:dyDescent="0.2">
      <c r="AT137" s="238"/>
      <c r="AU137" s="146"/>
      <c r="AV137" s="146"/>
      <c r="AW137" s="146"/>
      <c r="AX137" s="146"/>
      <c r="AY137" s="146"/>
      <c r="AZ137" s="146"/>
      <c r="BA137" s="146"/>
      <c r="BB137" s="146"/>
    </row>
    <row r="138" spans="43:54" ht="12.75" customHeight="1" x14ac:dyDescent="0.2">
      <c r="AT138" s="238"/>
      <c r="AU138" s="146"/>
      <c r="AV138" s="146"/>
      <c r="AW138" s="146"/>
      <c r="AX138" s="146"/>
      <c r="AY138" s="146"/>
      <c r="AZ138" s="146"/>
      <c r="BA138" s="146"/>
      <c r="BB138" s="146"/>
    </row>
    <row r="139" spans="43:54" ht="12.75" customHeight="1" x14ac:dyDescent="0.2">
      <c r="AT139" s="146"/>
      <c r="AU139" s="146"/>
      <c r="AV139" s="146"/>
      <c r="AW139" s="146"/>
      <c r="AX139" s="146"/>
      <c r="AY139" s="146"/>
      <c r="AZ139" s="146"/>
      <c r="BA139" s="146"/>
      <c r="BB139" s="146"/>
    </row>
    <row r="140" spans="43:54" ht="12.75" customHeight="1" x14ac:dyDescent="0.2">
      <c r="AT140" s="146"/>
      <c r="AU140" s="146"/>
      <c r="AV140" s="146"/>
      <c r="AW140" s="146"/>
      <c r="AX140" s="146"/>
      <c r="AY140" s="146"/>
      <c r="AZ140" s="146"/>
      <c r="BA140" s="146"/>
      <c r="BB140" s="146"/>
    </row>
    <row r="141" spans="43:54" ht="12.75" customHeight="1" x14ac:dyDescent="0.2">
      <c r="AT141" s="146"/>
      <c r="AU141" s="146"/>
      <c r="AV141" s="146"/>
      <c r="AW141" s="146"/>
      <c r="AX141" s="146"/>
      <c r="AY141" s="146"/>
      <c r="AZ141" s="146"/>
      <c r="BA141" s="146"/>
      <c r="BB141" s="146"/>
    </row>
    <row r="142" spans="43:54" ht="12.75" customHeight="1" x14ac:dyDescent="0.2">
      <c r="AT142" s="146"/>
      <c r="AU142" s="146"/>
      <c r="AV142" s="245"/>
      <c r="AW142" s="245"/>
      <c r="AX142" s="245"/>
      <c r="AY142" s="245"/>
      <c r="AZ142" s="245"/>
      <c r="BA142" s="245"/>
      <c r="BB142" s="146"/>
    </row>
    <row r="143" spans="43:54" x14ac:dyDescent="0.2">
      <c r="AT143" s="146"/>
      <c r="AU143" s="146"/>
      <c r="AV143" s="146"/>
      <c r="AW143" s="146"/>
      <c r="AX143" s="146"/>
      <c r="AY143" s="146"/>
      <c r="AZ143" s="146"/>
      <c r="BA143" s="146"/>
      <c r="BB143" s="146"/>
    </row>
  </sheetData>
  <mergeCells count="40">
    <mergeCell ref="A3:H3"/>
    <mergeCell ref="X66:AB66"/>
    <mergeCell ref="X67:AB67"/>
    <mergeCell ref="S39:T39"/>
    <mergeCell ref="P52:P53"/>
    <mergeCell ref="Q52:R52"/>
    <mergeCell ref="S52:T52"/>
    <mergeCell ref="K36:K38"/>
    <mergeCell ref="K26:K28"/>
    <mergeCell ref="O39:O40"/>
    <mergeCell ref="O52:O53"/>
    <mergeCell ref="P39:P40"/>
    <mergeCell ref="Q39:R39"/>
    <mergeCell ref="B4:E4"/>
    <mergeCell ref="J26:J28"/>
    <mergeCell ref="B6:B7"/>
    <mergeCell ref="AV129:BA129"/>
    <mergeCell ref="AB68:AB69"/>
    <mergeCell ref="X70:AB70"/>
    <mergeCell ref="X80:AB80"/>
    <mergeCell ref="X87:AB87"/>
    <mergeCell ref="AO108:AR108"/>
    <mergeCell ref="AO112:AR112"/>
    <mergeCell ref="X92:AB92"/>
    <mergeCell ref="X68:Y68"/>
    <mergeCell ref="Z68:Z69"/>
    <mergeCell ref="AA68:AA69"/>
    <mergeCell ref="AO124:AR124"/>
    <mergeCell ref="AO116:AR116"/>
    <mergeCell ref="AO120:AR120"/>
    <mergeCell ref="C6:C7"/>
    <mergeCell ref="H6:H7"/>
    <mergeCell ref="B8:C8"/>
    <mergeCell ref="U39:V39"/>
    <mergeCell ref="U52:V52"/>
    <mergeCell ref="B10:B12"/>
    <mergeCell ref="B16:B20"/>
    <mergeCell ref="J29:J31"/>
    <mergeCell ref="K29:K31"/>
    <mergeCell ref="J36:J38"/>
  </mergeCells>
  <phoneticPr fontId="4" type="noConversion"/>
  <conditionalFormatting sqref="A3">
    <cfRule type="cellIs" dxfId="1" priority="1" stopIfTrue="1" operator="equal">
      <formula>0</formula>
    </cfRule>
    <cfRule type="cellIs" dxfId="0" priority="2" stopIfTrue="1" operator="notEqual">
      <formula>0</formula>
    </cfRule>
  </conditionalFormatting>
  <pageMargins left="0.75" right="0.75" top="1" bottom="1" header="0.5" footer="0.5"/>
  <pageSetup scale="18" orientation="landscape" r:id="rId1"/>
  <headerFooter alignWithMargins="0"/>
  <ignoredErrors>
    <ignoredError sqref="AB90:AB98 Z85:Z98 Z79:Z83 AA79:AA98 AB79:AB88 X79:Y98" emptyCellReference="1"/>
    <ignoredError sqref="AB78 AB89" formula="1"/>
    <ignoredError sqref="Z84" formula="1" emptyCellReferenc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
  <sheetViews>
    <sheetView workbookViewId="0">
      <selection activeCell="N6" activeCellId="1" sqref="A1 N6"/>
    </sheetView>
  </sheetViews>
  <sheetFormatPr defaultColWidth="9.140625" defaultRowHeight="15" x14ac:dyDescent="0.25"/>
  <cols>
    <col min="1" max="1" width="2.5703125" style="400" customWidth="1"/>
    <col min="2" max="2" width="3.140625" style="401" bestFit="1" customWidth="1"/>
    <col min="3" max="3" width="16.85546875" style="400" customWidth="1"/>
    <col min="4" max="4" width="14.85546875" style="400" customWidth="1"/>
    <col min="5" max="5" width="10.7109375" style="400" customWidth="1"/>
    <col min="6" max="6" width="12.42578125" style="400" customWidth="1"/>
    <col min="7" max="7" width="10.42578125" style="400" customWidth="1"/>
    <col min="8" max="8" width="10" style="400" customWidth="1"/>
    <col min="9" max="9" width="13.7109375" style="400" customWidth="1"/>
    <col min="10" max="10" width="15.42578125" style="400" customWidth="1"/>
    <col min="11" max="11" width="7.140625" style="400" bestFit="1" customWidth="1"/>
    <col min="12" max="12" width="8" style="400" customWidth="1"/>
    <col min="13" max="13" width="13.140625" style="400" customWidth="1"/>
    <col min="14" max="14" width="14.7109375" style="400" customWidth="1"/>
    <col min="15" max="16384" width="9.140625" style="400"/>
  </cols>
  <sheetData>
    <row r="1" spans="1:13" s="512" customFormat="1" ht="20.25" x14ac:dyDescent="0.3">
      <c r="A1" s="515"/>
      <c r="C1" s="382" t="s">
        <v>554</v>
      </c>
    </row>
    <row r="2" spans="1:13" s="512" customFormat="1" x14ac:dyDescent="0.2">
      <c r="A2" s="515"/>
      <c r="C2" s="529" t="s">
        <v>555</v>
      </c>
      <c r="D2" s="529"/>
      <c r="E2" s="529"/>
      <c r="F2" s="529"/>
      <c r="G2" s="529"/>
    </row>
    <row r="6" spans="1:13" x14ac:dyDescent="0.25">
      <c r="B6" s="664" t="s">
        <v>494</v>
      </c>
      <c r="C6" s="664"/>
      <c r="D6" s="664"/>
      <c r="E6" s="664"/>
      <c r="F6" s="664"/>
      <c r="G6" s="664"/>
      <c r="H6" s="664"/>
      <c r="I6" s="664"/>
      <c r="J6" s="664"/>
      <c r="K6" s="664"/>
      <c r="L6" s="664"/>
      <c r="M6" s="664"/>
    </row>
    <row r="7" spans="1:13" ht="15.75" thickBot="1" x14ac:dyDescent="0.3">
      <c r="K7" s="402" t="s">
        <v>495</v>
      </c>
    </row>
    <row r="8" spans="1:13" x14ac:dyDescent="0.25">
      <c r="B8" s="665" t="s">
        <v>496</v>
      </c>
      <c r="C8" s="665" t="s">
        <v>497</v>
      </c>
      <c r="D8" s="666" t="s">
        <v>498</v>
      </c>
      <c r="E8" s="666" t="s">
        <v>499</v>
      </c>
      <c r="F8" s="668" t="s">
        <v>500</v>
      </c>
      <c r="G8" s="670" t="s">
        <v>501</v>
      </c>
      <c r="H8" s="671"/>
      <c r="I8" s="671"/>
      <c r="J8" s="672"/>
      <c r="K8" s="673" t="s">
        <v>502</v>
      </c>
      <c r="L8" s="674"/>
      <c r="M8" s="675"/>
    </row>
    <row r="9" spans="1:13" ht="27.75" customHeight="1" thickBot="1" x14ac:dyDescent="0.3">
      <c r="B9" s="665"/>
      <c r="C9" s="665"/>
      <c r="D9" s="667"/>
      <c r="E9" s="667"/>
      <c r="F9" s="669"/>
      <c r="G9" s="403" t="s">
        <v>503</v>
      </c>
      <c r="H9" s="404" t="s">
        <v>504</v>
      </c>
      <c r="I9" s="404" t="s">
        <v>505</v>
      </c>
      <c r="J9" s="405" t="s">
        <v>506</v>
      </c>
      <c r="K9" s="403" t="s">
        <v>503</v>
      </c>
      <c r="L9" s="404" t="s">
        <v>504</v>
      </c>
      <c r="M9" s="405" t="s">
        <v>505</v>
      </c>
    </row>
    <row r="10" spans="1:13" x14ac:dyDescent="0.25">
      <c r="B10" s="406">
        <v>1</v>
      </c>
      <c r="C10" s="407" t="s">
        <v>507</v>
      </c>
      <c r="D10" s="408">
        <v>41100</v>
      </c>
      <c r="E10" s="409">
        <f>G10+K10</f>
        <v>252264</v>
      </c>
      <c r="F10" s="410">
        <f>H10+L10</f>
        <v>58214</v>
      </c>
      <c r="G10" s="408">
        <v>186940</v>
      </c>
      <c r="H10" s="409">
        <v>41823</v>
      </c>
      <c r="I10" s="411">
        <f t="shared" ref="I10:I15" si="0">G10/H10</f>
        <v>4.4697893503574591</v>
      </c>
      <c r="J10" s="412">
        <f t="shared" ref="J10:J15" si="1">H10/D10</f>
        <v>1.0175912408759125</v>
      </c>
      <c r="K10" s="408">
        <v>65324</v>
      </c>
      <c r="L10" s="409">
        <v>16391</v>
      </c>
      <c r="M10" s="413">
        <f>K10/L10</f>
        <v>3.9853578183149287</v>
      </c>
    </row>
    <row r="11" spans="1:13" x14ac:dyDescent="0.25">
      <c r="B11" s="406">
        <v>2</v>
      </c>
      <c r="C11" s="407" t="s">
        <v>160</v>
      </c>
      <c r="D11" s="414">
        <f>13442</f>
        <v>13442</v>
      </c>
      <c r="E11" s="406">
        <f t="shared" ref="E11:F15" si="2">G11+K11</f>
        <v>136917</v>
      </c>
      <c r="F11" s="415">
        <f t="shared" si="2"/>
        <v>36165</v>
      </c>
      <c r="G11" s="414">
        <v>77154</v>
      </c>
      <c r="H11" s="406">
        <v>20013</v>
      </c>
      <c r="I11" s="416">
        <f t="shared" si="0"/>
        <v>3.8551941238195173</v>
      </c>
      <c r="J11" s="417">
        <f t="shared" si="1"/>
        <v>1.4888409462877548</v>
      </c>
      <c r="K11" s="414">
        <v>59763</v>
      </c>
      <c r="L11" s="406">
        <v>16152</v>
      </c>
      <c r="M11" s="418">
        <f t="shared" ref="M11:M15" si="3">K11/L11</f>
        <v>3.7000371471025262</v>
      </c>
    </row>
    <row r="12" spans="1:13" x14ac:dyDescent="0.25">
      <c r="B12" s="406">
        <v>3</v>
      </c>
      <c r="C12" s="407" t="s">
        <v>508</v>
      </c>
      <c r="D12" s="414">
        <f>31055</f>
        <v>31055</v>
      </c>
      <c r="E12" s="406">
        <f t="shared" si="2"/>
        <v>265997</v>
      </c>
      <c r="F12" s="415">
        <f t="shared" si="2"/>
        <v>70063</v>
      </c>
      <c r="G12" s="414">
        <v>175556</v>
      </c>
      <c r="H12" s="406">
        <v>46083</v>
      </c>
      <c r="I12" s="416">
        <f t="shared" si="0"/>
        <v>3.8095610094828896</v>
      </c>
      <c r="J12" s="417">
        <f t="shared" si="1"/>
        <v>1.483915633553373</v>
      </c>
      <c r="K12" s="414">
        <v>90441</v>
      </c>
      <c r="L12" s="406">
        <v>23980</v>
      </c>
      <c r="M12" s="418">
        <f t="shared" si="3"/>
        <v>3.7715179316096745</v>
      </c>
    </row>
    <row r="13" spans="1:13" x14ac:dyDescent="0.25">
      <c r="B13" s="406">
        <v>4</v>
      </c>
      <c r="C13" s="407" t="s">
        <v>509</v>
      </c>
      <c r="D13" s="414">
        <f>6100</f>
        <v>6100</v>
      </c>
      <c r="E13" s="406">
        <f t="shared" si="2"/>
        <v>185104</v>
      </c>
      <c r="F13" s="415">
        <f t="shared" si="2"/>
        <v>47043</v>
      </c>
      <c r="G13" s="414">
        <v>47420</v>
      </c>
      <c r="H13" s="406">
        <v>11963</v>
      </c>
      <c r="I13" s="416">
        <f t="shared" si="0"/>
        <v>3.9638886566914655</v>
      </c>
      <c r="J13" s="417">
        <f t="shared" si="1"/>
        <v>1.9611475409836066</v>
      </c>
      <c r="K13" s="414">
        <v>137684</v>
      </c>
      <c r="L13" s="406">
        <v>35080</v>
      </c>
      <c r="M13" s="418">
        <f t="shared" si="3"/>
        <v>3.9248574686431015</v>
      </c>
    </row>
    <row r="14" spans="1:13" x14ac:dyDescent="0.25">
      <c r="B14" s="406">
        <v>5</v>
      </c>
      <c r="C14" s="407" t="s">
        <v>163</v>
      </c>
      <c r="D14" s="414">
        <f>19445</f>
        <v>19445</v>
      </c>
      <c r="E14" s="406">
        <f t="shared" si="2"/>
        <v>147438</v>
      </c>
      <c r="F14" s="415">
        <f t="shared" si="2"/>
        <v>35033</v>
      </c>
      <c r="G14" s="414">
        <v>118791</v>
      </c>
      <c r="H14" s="406">
        <v>27105</v>
      </c>
      <c r="I14" s="416">
        <f t="shared" si="0"/>
        <v>4.3826231322634204</v>
      </c>
      <c r="J14" s="417">
        <f t="shared" si="1"/>
        <v>1.3939316019542298</v>
      </c>
      <c r="K14" s="414">
        <v>28647</v>
      </c>
      <c r="L14" s="406">
        <v>7928</v>
      </c>
      <c r="M14" s="418">
        <f t="shared" si="3"/>
        <v>3.6133955600403631</v>
      </c>
    </row>
    <row r="15" spans="1:13" x14ac:dyDescent="0.25">
      <c r="B15" s="406">
        <v>6</v>
      </c>
      <c r="C15" s="407" t="s">
        <v>162</v>
      </c>
      <c r="D15" s="414">
        <f>14408</f>
        <v>14408</v>
      </c>
      <c r="E15" s="406">
        <f t="shared" si="2"/>
        <v>112055</v>
      </c>
      <c r="F15" s="415">
        <f t="shared" si="2"/>
        <v>30678</v>
      </c>
      <c r="G15" s="414">
        <v>69695</v>
      </c>
      <c r="H15" s="406">
        <v>18501</v>
      </c>
      <c r="I15" s="416">
        <f t="shared" si="0"/>
        <v>3.7670936706123994</v>
      </c>
      <c r="J15" s="417">
        <f t="shared" si="1"/>
        <v>1.2840782898389784</v>
      </c>
      <c r="K15" s="414">
        <v>42360</v>
      </c>
      <c r="L15" s="406">
        <v>12177</v>
      </c>
      <c r="M15" s="418">
        <f t="shared" si="3"/>
        <v>3.4786893323478689</v>
      </c>
    </row>
    <row r="16" spans="1:13" ht="15.75" thickBot="1" x14ac:dyDescent="0.3">
      <c r="B16" s="659"/>
      <c r="C16" s="660"/>
      <c r="D16" s="419">
        <f>SUM(D10:D15)</f>
        <v>125550</v>
      </c>
      <c r="E16" s="420">
        <f>SUM(E10:E15)</f>
        <v>1099775</v>
      </c>
      <c r="F16" s="421">
        <f>SUM(F10:F15)</f>
        <v>277196</v>
      </c>
      <c r="G16" s="419">
        <f>SUM(G10:G15)</f>
        <v>675556</v>
      </c>
      <c r="H16" s="420">
        <f>SUM(H10:H15)</f>
        <v>165488</v>
      </c>
      <c r="I16" s="422">
        <f>SUM(I10:I15)/6</f>
        <v>4.0413583238711919</v>
      </c>
      <c r="J16" s="423">
        <f>SUM(J10:J15)/6</f>
        <v>1.4382508755823091</v>
      </c>
      <c r="K16" s="419">
        <f>SUM(K10:K15)</f>
        <v>424219</v>
      </c>
      <c r="L16" s="420">
        <f>SUM(L10:L15)</f>
        <v>111708</v>
      </c>
      <c r="M16" s="424">
        <f>SUM(M10:M15)/9</f>
        <v>2.4970950286731628</v>
      </c>
    </row>
    <row r="18" spans="2:8" ht="30" customHeight="1" x14ac:dyDescent="0.25">
      <c r="B18" s="425"/>
      <c r="C18" s="425"/>
      <c r="D18" s="426"/>
      <c r="E18" s="427"/>
      <c r="F18" s="661" t="s">
        <v>510</v>
      </c>
      <c r="G18" s="662"/>
      <c r="H18" s="662"/>
    </row>
    <row r="19" spans="2:8" ht="85.5" x14ac:dyDescent="0.25">
      <c r="B19" s="428" t="s">
        <v>496</v>
      </c>
      <c r="C19" s="429" t="s">
        <v>511</v>
      </c>
      <c r="D19" s="430" t="s">
        <v>512</v>
      </c>
      <c r="E19" s="429" t="s">
        <v>513</v>
      </c>
      <c r="F19" s="431" t="s">
        <v>514</v>
      </c>
      <c r="G19" s="431" t="s">
        <v>515</v>
      </c>
      <c r="H19" s="432" t="s">
        <v>516</v>
      </c>
    </row>
    <row r="20" spans="2:8" x14ac:dyDescent="0.25">
      <c r="B20" s="433">
        <v>1</v>
      </c>
      <c r="C20" s="434" t="s">
        <v>517</v>
      </c>
      <c r="D20" s="435">
        <v>675556</v>
      </c>
      <c r="E20" s="436">
        <v>165488</v>
      </c>
      <c r="F20" s="437">
        <v>4</v>
      </c>
      <c r="G20" s="437">
        <v>1.4</v>
      </c>
      <c r="H20" s="435">
        <v>125550</v>
      </c>
    </row>
    <row r="21" spans="2:8" x14ac:dyDescent="0.25">
      <c r="B21" s="438">
        <v>2</v>
      </c>
      <c r="C21" s="439" t="s">
        <v>518</v>
      </c>
      <c r="D21" s="440">
        <v>40697</v>
      </c>
      <c r="E21" s="441">
        <v>12745</v>
      </c>
      <c r="F21" s="442">
        <f>D21/E21</f>
        <v>3.1931737936445663</v>
      </c>
      <c r="G21" s="442">
        <f t="shared" ref="G21:G22" si="4">E21/H21</f>
        <v>1.8985550424549382</v>
      </c>
      <c r="H21" s="440">
        <v>6713</v>
      </c>
    </row>
    <row r="22" spans="2:8" x14ac:dyDescent="0.25">
      <c r="B22" s="438">
        <v>3</v>
      </c>
      <c r="C22" s="439" t="s">
        <v>519</v>
      </c>
      <c r="D22" s="440">
        <v>26224</v>
      </c>
      <c r="E22" s="441">
        <v>7559</v>
      </c>
      <c r="F22" s="442">
        <f>D22/E22</f>
        <v>3.4692419632226486</v>
      </c>
      <c r="G22" s="442">
        <f t="shared" si="4"/>
        <v>1.7677736202057999</v>
      </c>
      <c r="H22" s="440">
        <v>4276</v>
      </c>
    </row>
    <row r="23" spans="2:8" x14ac:dyDescent="0.25">
      <c r="B23" s="438">
        <v>4</v>
      </c>
      <c r="C23" s="439" t="s">
        <v>520</v>
      </c>
      <c r="D23" s="440">
        <f>E23*F23</f>
        <v>13613.6</v>
      </c>
      <c r="E23" s="441">
        <v>4004</v>
      </c>
      <c r="F23" s="442">
        <v>3.4</v>
      </c>
      <c r="G23" s="442">
        <f>E23/H23</f>
        <v>1.3258278145695364</v>
      </c>
      <c r="H23" s="440">
        <v>3020</v>
      </c>
    </row>
    <row r="24" spans="2:8" x14ac:dyDescent="0.25">
      <c r="B24" s="438">
        <v>5</v>
      </c>
      <c r="C24" s="439" t="s">
        <v>63</v>
      </c>
      <c r="D24" s="440">
        <v>51108</v>
      </c>
      <c r="E24" s="441">
        <v>13710</v>
      </c>
      <c r="F24" s="442">
        <f>D24/E24</f>
        <v>3.7277899343544858</v>
      </c>
      <c r="G24" s="442">
        <f t="shared" ref="G24:G28" si="5">E24/H24</f>
        <v>1.1680013630942239</v>
      </c>
      <c r="H24" s="440">
        <v>11738</v>
      </c>
    </row>
    <row r="25" spans="2:8" x14ac:dyDescent="0.25">
      <c r="B25" s="438">
        <v>6</v>
      </c>
      <c r="C25" s="439" t="s">
        <v>521</v>
      </c>
      <c r="D25" s="440">
        <v>24148</v>
      </c>
      <c r="E25" s="441">
        <v>7788</v>
      </c>
      <c r="F25" s="442">
        <f>D25/E25</f>
        <v>3.1006676938880329</v>
      </c>
      <c r="G25" s="442">
        <f t="shared" si="5"/>
        <v>1.680621493310315</v>
      </c>
      <c r="H25" s="440">
        <v>4634</v>
      </c>
    </row>
    <row r="26" spans="2:8" x14ac:dyDescent="0.25">
      <c r="B26" s="438">
        <v>7</v>
      </c>
      <c r="C26" s="439" t="s">
        <v>522</v>
      </c>
      <c r="D26" s="440">
        <f t="shared" ref="D26:D28" si="6">E26*F26</f>
        <v>7712.0999999999995</v>
      </c>
      <c r="E26" s="441">
        <v>2337</v>
      </c>
      <c r="F26" s="442">
        <v>3.3</v>
      </c>
      <c r="G26" s="442">
        <f t="shared" si="5"/>
        <v>0.78739892183288407</v>
      </c>
      <c r="H26" s="440">
        <v>2968</v>
      </c>
    </row>
    <row r="27" spans="2:8" x14ac:dyDescent="0.25">
      <c r="B27" s="443">
        <v>8</v>
      </c>
      <c r="C27" s="444" t="s">
        <v>76</v>
      </c>
      <c r="D27" s="432">
        <f>E27*F27</f>
        <v>26715</v>
      </c>
      <c r="E27" s="445">
        <v>6850</v>
      </c>
      <c r="F27" s="431">
        <v>3.9</v>
      </c>
      <c r="G27" s="431">
        <f t="shared" si="5"/>
        <v>1.5982267848810079</v>
      </c>
      <c r="H27" s="432">
        <v>4286</v>
      </c>
    </row>
    <row r="28" spans="2:8" x14ac:dyDescent="0.25">
      <c r="B28" s="443">
        <v>9</v>
      </c>
      <c r="C28" s="444" t="s">
        <v>523</v>
      </c>
      <c r="D28" s="432">
        <f t="shared" si="6"/>
        <v>0</v>
      </c>
      <c r="E28" s="445"/>
      <c r="F28" s="431">
        <v>3.3</v>
      </c>
      <c r="G28" s="431">
        <f t="shared" si="5"/>
        <v>0</v>
      </c>
      <c r="H28" s="432">
        <v>2849</v>
      </c>
    </row>
    <row r="29" spans="2:8" x14ac:dyDescent="0.25">
      <c r="B29" s="663"/>
      <c r="C29" s="663"/>
      <c r="D29" s="446">
        <f>SUM(D20:D28)</f>
        <v>865773.7</v>
      </c>
      <c r="E29" s="447">
        <f>SUM(E20:E28)</f>
        <v>220481</v>
      </c>
      <c r="F29" s="448">
        <v>3.5</v>
      </c>
      <c r="G29" s="448">
        <f>SUM(G20:G27)/8</f>
        <v>1.4533006300435882</v>
      </c>
      <c r="H29" s="446">
        <f>SUM(H20:H28)</f>
        <v>166034</v>
      </c>
    </row>
  </sheetData>
  <mergeCells count="11">
    <mergeCell ref="B16:C16"/>
    <mergeCell ref="F18:H18"/>
    <mergeCell ref="B29:C29"/>
    <mergeCell ref="B6:M6"/>
    <mergeCell ref="B8:B9"/>
    <mergeCell ref="C8:C9"/>
    <mergeCell ref="D8:D9"/>
    <mergeCell ref="E8:E9"/>
    <mergeCell ref="F8:F9"/>
    <mergeCell ref="G8:J8"/>
    <mergeCell ref="K8:M8"/>
  </mergeCells>
  <pageMargins left="0.7" right="0.7" top="0.75" bottom="0.75" header="0.3" footer="0.3"/>
  <pageSetup paperSize="9"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25"/>
  <sheetViews>
    <sheetView zoomScale="87" zoomScaleNormal="87" workbookViewId="0">
      <selection activeCell="M26" sqref="M26"/>
    </sheetView>
  </sheetViews>
  <sheetFormatPr defaultColWidth="9.140625" defaultRowHeight="15" x14ac:dyDescent="0.25"/>
  <cols>
    <col min="1" max="1" width="2.7109375" style="450" customWidth="1"/>
    <col min="2" max="2" width="9.140625" style="450"/>
    <col min="3" max="3" width="28" style="450" customWidth="1"/>
    <col min="4" max="4" width="8.28515625" style="450" bestFit="1" customWidth="1"/>
    <col min="5" max="7" width="9.28515625" style="450" bestFit="1" customWidth="1"/>
    <col min="8" max="8" width="15" style="450" customWidth="1"/>
    <col min="9" max="9" width="8.140625" style="450" bestFit="1" customWidth="1"/>
    <col min="10" max="10" width="9.28515625" style="450" bestFit="1" customWidth="1"/>
    <col min="11" max="14" width="8.7109375" style="450" bestFit="1" customWidth="1"/>
    <col min="15" max="16384" width="9.140625" style="450"/>
  </cols>
  <sheetData>
    <row r="1" spans="1:14" s="512" customFormat="1" ht="20.25" x14ac:dyDescent="0.3">
      <c r="A1" s="515"/>
      <c r="C1" s="382" t="s">
        <v>554</v>
      </c>
    </row>
    <row r="2" spans="1:14" s="512" customFormat="1" x14ac:dyDescent="0.2">
      <c r="A2" s="515"/>
      <c r="C2" s="529" t="s">
        <v>555</v>
      </c>
      <c r="D2" s="529"/>
      <c r="E2" s="529"/>
      <c r="F2" s="529"/>
      <c r="G2" s="529"/>
    </row>
    <row r="3" spans="1:14" s="512" customFormat="1" x14ac:dyDescent="0.2">
      <c r="A3" s="515"/>
      <c r="C3" s="529"/>
      <c r="D3" s="529"/>
      <c r="E3" s="529"/>
      <c r="F3" s="529"/>
      <c r="G3" s="529"/>
    </row>
    <row r="4" spans="1:14" ht="15.75" x14ac:dyDescent="0.25">
      <c r="B4" s="684" t="s">
        <v>127</v>
      </c>
      <c r="C4" s="684"/>
      <c r="D4" s="684"/>
      <c r="E4" s="684"/>
      <c r="F4" s="449"/>
      <c r="G4" s="449"/>
      <c r="H4" s="449"/>
    </row>
    <row r="5" spans="1:14" ht="15.75" thickBot="1" x14ac:dyDescent="0.3">
      <c r="B5" s="449" t="s">
        <v>146</v>
      </c>
      <c r="C5" s="449"/>
      <c r="D5" s="449"/>
      <c r="E5" s="449"/>
      <c r="F5" s="449"/>
      <c r="G5" s="449"/>
      <c r="H5" s="449"/>
    </row>
    <row r="6" spans="1:14" ht="16.5" thickBot="1" x14ac:dyDescent="0.3">
      <c r="B6" s="685" t="s">
        <v>106</v>
      </c>
      <c r="C6" s="685" t="s">
        <v>107</v>
      </c>
      <c r="D6" s="451">
        <v>2002</v>
      </c>
      <c r="E6" s="451">
        <v>2003</v>
      </c>
      <c r="F6" s="451">
        <v>2004</v>
      </c>
      <c r="G6" s="452">
        <v>2005</v>
      </c>
      <c r="H6" s="687" t="s">
        <v>108</v>
      </c>
      <c r="I6" s="689" t="s">
        <v>524</v>
      </c>
      <c r="J6" s="679" t="s">
        <v>525</v>
      </c>
      <c r="K6" s="679" t="s">
        <v>526</v>
      </c>
      <c r="L6" s="679" t="s">
        <v>527</v>
      </c>
      <c r="M6" s="679" t="s">
        <v>528</v>
      </c>
      <c r="N6" s="679" t="s">
        <v>529</v>
      </c>
    </row>
    <row r="7" spans="1:14" ht="16.5" thickBot="1" x14ac:dyDescent="0.3">
      <c r="B7" s="686"/>
      <c r="C7" s="686"/>
      <c r="D7" s="453" t="s">
        <v>109</v>
      </c>
      <c r="E7" s="453" t="s">
        <v>109</v>
      </c>
      <c r="F7" s="453" t="s">
        <v>109</v>
      </c>
      <c r="G7" s="453" t="s">
        <v>109</v>
      </c>
      <c r="H7" s="688"/>
      <c r="I7" s="690"/>
      <c r="J7" s="680"/>
      <c r="K7" s="680"/>
      <c r="L7" s="680"/>
      <c r="M7" s="681"/>
      <c r="N7" s="681"/>
    </row>
    <row r="8" spans="1:14" ht="16.5" thickBot="1" x14ac:dyDescent="0.3">
      <c r="B8" s="682" t="s">
        <v>110</v>
      </c>
      <c r="C8" s="683"/>
      <c r="D8" s="454">
        <v>73532</v>
      </c>
      <c r="E8" s="454">
        <v>111827</v>
      </c>
      <c r="F8" s="454">
        <v>141974</v>
      </c>
      <c r="G8" s="455">
        <v>170777</v>
      </c>
      <c r="H8" s="456">
        <v>498110</v>
      </c>
      <c r="I8" s="457">
        <v>84612</v>
      </c>
      <c r="J8" s="458">
        <v>196438</v>
      </c>
      <c r="K8" s="458">
        <v>52017</v>
      </c>
      <c r="L8" s="459">
        <v>60907</v>
      </c>
      <c r="M8" s="457">
        <v>44399</v>
      </c>
      <c r="N8" s="460">
        <v>55619</v>
      </c>
    </row>
    <row r="9" spans="1:14" ht="48" thickBot="1" x14ac:dyDescent="0.3">
      <c r="B9" s="461">
        <v>1</v>
      </c>
      <c r="C9" s="462" t="s">
        <v>111</v>
      </c>
      <c r="D9" s="463">
        <v>13224</v>
      </c>
      <c r="E9" s="463">
        <v>15335</v>
      </c>
      <c r="F9" s="463">
        <v>26793</v>
      </c>
      <c r="G9" s="464">
        <v>41543</v>
      </c>
      <c r="H9" s="465">
        <v>96895</v>
      </c>
      <c r="I9" s="465">
        <v>41543</v>
      </c>
      <c r="J9" s="465">
        <f>SUM(J10:J12)</f>
        <v>38862</v>
      </c>
      <c r="K9" s="465"/>
      <c r="L9" s="465"/>
      <c r="M9" s="465"/>
      <c r="N9" s="465"/>
    </row>
    <row r="10" spans="1:14" ht="32.25" thickBot="1" x14ac:dyDescent="0.3">
      <c r="B10" s="676" t="s">
        <v>112</v>
      </c>
      <c r="C10" s="453" t="s">
        <v>113</v>
      </c>
      <c r="D10" s="453" t="s">
        <v>114</v>
      </c>
      <c r="E10" s="453" t="s">
        <v>114</v>
      </c>
      <c r="F10" s="466">
        <v>8747</v>
      </c>
      <c r="G10" s="466">
        <v>23278</v>
      </c>
      <c r="H10" s="467">
        <v>32025</v>
      </c>
      <c r="I10" s="468">
        <v>14920</v>
      </c>
      <c r="J10" s="469">
        <v>19981</v>
      </c>
      <c r="K10" s="469">
        <v>22364</v>
      </c>
      <c r="L10" s="470">
        <v>27215</v>
      </c>
      <c r="M10" s="471">
        <v>12891</v>
      </c>
      <c r="N10" s="472">
        <v>16915</v>
      </c>
    </row>
    <row r="11" spans="1:14" ht="32.25" thickBot="1" x14ac:dyDescent="0.3">
      <c r="B11" s="677"/>
      <c r="C11" s="453" t="s">
        <v>115</v>
      </c>
      <c r="D11" s="466">
        <v>5408</v>
      </c>
      <c r="E11" s="466">
        <v>4539</v>
      </c>
      <c r="F11" s="466">
        <v>5747</v>
      </c>
      <c r="G11" s="466">
        <v>3369</v>
      </c>
      <c r="H11" s="473">
        <v>19063</v>
      </c>
      <c r="I11" s="474">
        <v>1777</v>
      </c>
      <c r="J11" s="475">
        <v>2059</v>
      </c>
      <c r="K11" s="476"/>
      <c r="L11" s="477"/>
      <c r="M11" s="460"/>
      <c r="N11" s="460"/>
    </row>
    <row r="12" spans="1:14" ht="16.5" thickBot="1" x14ac:dyDescent="0.3">
      <c r="B12" s="678"/>
      <c r="C12" s="453" t="s">
        <v>116</v>
      </c>
      <c r="D12" s="466">
        <v>7816</v>
      </c>
      <c r="E12" s="466">
        <v>10796</v>
      </c>
      <c r="F12" s="466">
        <v>12245</v>
      </c>
      <c r="G12" s="478">
        <v>14896</v>
      </c>
      <c r="H12" s="456">
        <v>45753</v>
      </c>
      <c r="I12" s="457">
        <v>8181</v>
      </c>
      <c r="J12" s="458">
        <v>16822</v>
      </c>
      <c r="K12" s="458"/>
      <c r="L12" s="459"/>
      <c r="M12" s="460"/>
      <c r="N12" s="460"/>
    </row>
    <row r="13" spans="1:14" ht="16.5" thickBot="1" x14ac:dyDescent="0.3">
      <c r="B13" s="479">
        <v>2</v>
      </c>
      <c r="C13" s="453" t="s">
        <v>117</v>
      </c>
      <c r="D13" s="466">
        <v>7196</v>
      </c>
      <c r="E13" s="466">
        <v>15176</v>
      </c>
      <c r="F13" s="466">
        <v>19940</v>
      </c>
      <c r="G13" s="478">
        <v>21761</v>
      </c>
      <c r="H13" s="456">
        <v>64073</v>
      </c>
      <c r="I13" s="457">
        <v>6277</v>
      </c>
      <c r="J13" s="458">
        <v>21766</v>
      </c>
      <c r="K13" s="458">
        <v>4135</v>
      </c>
      <c r="L13" s="459">
        <v>4255</v>
      </c>
      <c r="M13" s="460">
        <v>4110</v>
      </c>
      <c r="N13" s="460">
        <v>5308</v>
      </c>
    </row>
    <row r="14" spans="1:14" ht="48" thickBot="1" x14ac:dyDescent="0.3">
      <c r="B14" s="479">
        <v>3</v>
      </c>
      <c r="C14" s="453" t="s">
        <v>118</v>
      </c>
      <c r="D14" s="466">
        <v>5271</v>
      </c>
      <c r="E14" s="466">
        <v>7710</v>
      </c>
      <c r="F14" s="466">
        <v>1584</v>
      </c>
      <c r="G14" s="478">
        <v>2096</v>
      </c>
      <c r="H14" s="456">
        <v>16661</v>
      </c>
      <c r="I14" s="458"/>
      <c r="J14" s="458"/>
      <c r="K14" s="458"/>
      <c r="L14" s="459"/>
      <c r="M14" s="460"/>
      <c r="N14" s="460"/>
    </row>
    <row r="15" spans="1:14" ht="17.25" thickBot="1" x14ac:dyDescent="0.3">
      <c r="B15" s="480">
        <v>4</v>
      </c>
      <c r="C15" s="481" t="s">
        <v>119</v>
      </c>
      <c r="D15" s="482">
        <v>47841</v>
      </c>
      <c r="E15" s="482">
        <v>73606</v>
      </c>
      <c r="F15" s="482">
        <v>93657</v>
      </c>
      <c r="G15" s="483">
        <v>105377</v>
      </c>
      <c r="H15" s="465">
        <v>320481</v>
      </c>
      <c r="I15" s="465">
        <v>52591</v>
      </c>
      <c r="J15" s="465">
        <v>122868</v>
      </c>
      <c r="K15" s="465">
        <v>24838</v>
      </c>
      <c r="L15" s="465">
        <v>28223</v>
      </c>
      <c r="M15" s="465">
        <v>26339</v>
      </c>
      <c r="N15" s="465">
        <v>30529</v>
      </c>
    </row>
    <row r="16" spans="1:14" ht="16.5" thickBot="1" x14ac:dyDescent="0.3">
      <c r="B16" s="676" t="s">
        <v>120</v>
      </c>
      <c r="C16" s="453" t="s">
        <v>121</v>
      </c>
      <c r="D16" s="466">
        <v>23690</v>
      </c>
      <c r="E16" s="466">
        <v>42061</v>
      </c>
      <c r="F16" s="466">
        <v>52846</v>
      </c>
      <c r="G16" s="478">
        <v>54403</v>
      </c>
      <c r="H16" s="456">
        <v>173000</v>
      </c>
      <c r="I16" s="457">
        <v>29751</v>
      </c>
      <c r="J16" s="457">
        <v>64464</v>
      </c>
      <c r="K16" s="457">
        <v>12254</v>
      </c>
      <c r="L16" s="484">
        <v>12092</v>
      </c>
      <c r="M16" s="460">
        <v>11364</v>
      </c>
      <c r="N16" s="460">
        <v>13071</v>
      </c>
    </row>
    <row r="17" spans="2:14" ht="32.25" thickBot="1" x14ac:dyDescent="0.3">
      <c r="B17" s="677"/>
      <c r="C17" s="453" t="s">
        <v>122</v>
      </c>
      <c r="D17" s="466">
        <v>3312</v>
      </c>
      <c r="E17" s="466">
        <v>3313</v>
      </c>
      <c r="F17" s="466">
        <v>4665</v>
      </c>
      <c r="G17" s="478">
        <v>6451</v>
      </c>
      <c r="H17" s="456">
        <v>17741</v>
      </c>
      <c r="I17" s="457">
        <v>3501</v>
      </c>
      <c r="J17" s="457">
        <v>8529</v>
      </c>
      <c r="K17" s="457">
        <v>2378</v>
      </c>
      <c r="L17" s="484">
        <v>3345</v>
      </c>
      <c r="M17" s="460">
        <v>2141</v>
      </c>
      <c r="N17" s="460">
        <v>3110</v>
      </c>
    </row>
    <row r="18" spans="2:14" ht="16.5" thickBot="1" x14ac:dyDescent="0.3">
      <c r="B18" s="677"/>
      <c r="C18" s="453" t="s">
        <v>123</v>
      </c>
      <c r="D18" s="466">
        <v>7919</v>
      </c>
      <c r="E18" s="466">
        <v>8621</v>
      </c>
      <c r="F18" s="466">
        <v>10843</v>
      </c>
      <c r="G18" s="478">
        <v>13426</v>
      </c>
      <c r="H18" s="456">
        <v>40809</v>
      </c>
      <c r="I18" s="457">
        <v>4914</v>
      </c>
      <c r="J18" s="457">
        <v>13478</v>
      </c>
      <c r="K18" s="457">
        <v>3505</v>
      </c>
      <c r="L18" s="484">
        <v>3907</v>
      </c>
      <c r="M18" s="460">
        <v>3049</v>
      </c>
      <c r="N18" s="460">
        <v>3109</v>
      </c>
    </row>
    <row r="19" spans="2:14" ht="16.5" thickBot="1" x14ac:dyDescent="0.3">
      <c r="B19" s="677"/>
      <c r="C19" s="453" t="s">
        <v>124</v>
      </c>
      <c r="D19" s="453" t="s">
        <v>114</v>
      </c>
      <c r="E19" s="466">
        <v>1030</v>
      </c>
      <c r="F19" s="466">
        <v>1158</v>
      </c>
      <c r="G19" s="478">
        <v>1365</v>
      </c>
      <c r="H19" s="456">
        <v>3553</v>
      </c>
      <c r="I19" s="457">
        <v>394</v>
      </c>
      <c r="J19" s="457">
        <v>1389</v>
      </c>
      <c r="K19" s="457">
        <v>452</v>
      </c>
      <c r="L19" s="484">
        <v>709</v>
      </c>
      <c r="M19" s="460">
        <v>602</v>
      </c>
      <c r="N19" s="460">
        <v>694</v>
      </c>
    </row>
    <row r="20" spans="2:14" ht="16.5" thickBot="1" x14ac:dyDescent="0.3">
      <c r="B20" s="678"/>
      <c r="C20" s="453" t="s">
        <v>125</v>
      </c>
      <c r="D20" s="466">
        <v>12920</v>
      </c>
      <c r="E20" s="466">
        <v>18581</v>
      </c>
      <c r="F20" s="466">
        <v>24145</v>
      </c>
      <c r="G20" s="478">
        <v>29732</v>
      </c>
      <c r="H20" s="456">
        <v>85378</v>
      </c>
      <c r="I20" s="460">
        <v>14031</v>
      </c>
      <c r="J20" s="457">
        <v>35008</v>
      </c>
      <c r="K20" s="457">
        <v>6249</v>
      </c>
      <c r="L20" s="484">
        <v>8170</v>
      </c>
      <c r="M20" s="460">
        <v>9183</v>
      </c>
      <c r="N20" s="460">
        <v>10545</v>
      </c>
    </row>
    <row r="21" spans="2:14" ht="16.5" thickBot="1" x14ac:dyDescent="0.3">
      <c r="B21" s="479">
        <v>5</v>
      </c>
      <c r="C21" s="485" t="s">
        <v>126</v>
      </c>
      <c r="D21" s="454">
        <v>13218</v>
      </c>
      <c r="E21" s="454">
        <v>15394</v>
      </c>
      <c r="F21" s="454">
        <v>26248</v>
      </c>
      <c r="G21" s="455">
        <v>42694</v>
      </c>
      <c r="H21" s="456">
        <v>192474</v>
      </c>
      <c r="I21" s="486"/>
      <c r="J21" s="486"/>
      <c r="K21" s="486"/>
      <c r="L21" s="487"/>
      <c r="M21" s="460"/>
      <c r="N21" s="460"/>
    </row>
    <row r="23" spans="2:14" x14ac:dyDescent="0.25">
      <c r="B23" s="450" t="s">
        <v>530</v>
      </c>
    </row>
    <row r="24" spans="2:14" x14ac:dyDescent="0.25">
      <c r="B24" s="450" t="s">
        <v>531</v>
      </c>
    </row>
    <row r="25" spans="2:14" x14ac:dyDescent="0.25">
      <c r="B25" s="450" t="s">
        <v>532</v>
      </c>
    </row>
  </sheetData>
  <mergeCells count="13">
    <mergeCell ref="B4:E4"/>
    <mergeCell ref="B6:B7"/>
    <mergeCell ref="C6:C7"/>
    <mergeCell ref="H6:H7"/>
    <mergeCell ref="I6:I7"/>
    <mergeCell ref="B16:B20"/>
    <mergeCell ref="K6:K7"/>
    <mergeCell ref="L6:L7"/>
    <mergeCell ref="M6:M7"/>
    <mergeCell ref="N6:N7"/>
    <mergeCell ref="B8:C8"/>
    <mergeCell ref="B10:B12"/>
    <mergeCell ref="J6:J7"/>
  </mergeCells>
  <pageMargins left="0.56000000000000005" right="0.1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8C783FF128904593EF9B24C0FE1B6A" ma:contentTypeVersion="12" ma:contentTypeDescription="Create a new document." ma:contentTypeScope="" ma:versionID="cf481c8662044a29e199fd81d9f90ab8">
  <xsd:schema xmlns:xsd="http://www.w3.org/2001/XMLSchema" xmlns:xs="http://www.w3.org/2001/XMLSchema" xmlns:p="http://schemas.microsoft.com/office/2006/metadata/properties" xmlns:ns1="http://schemas.microsoft.com/sharepoint/v3" xmlns:ns3="bd8c728d-e719-496b-b789-a7ebfcb01033" xmlns:ns4="2e3d73e3-37bf-43d9-a52a-f6b48e119629" targetNamespace="http://schemas.microsoft.com/office/2006/metadata/properties" ma:root="true" ma:fieldsID="ef201266762ea01a965b5e864ea65be4" ns1:_="" ns3:_="" ns4:_="">
    <xsd:import namespace="http://schemas.microsoft.com/sharepoint/v3"/>
    <xsd:import namespace="bd8c728d-e719-496b-b789-a7ebfcb01033"/>
    <xsd:import namespace="2e3d73e3-37bf-43d9-a52a-f6b48e1196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8c728d-e719-496b-b789-a7ebfcb0103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3d73e3-37bf-43d9-a52a-f6b48e1196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E0F0E9-1292-4D77-8F9A-74C807CC3369}">
  <ds:schemaRefs>
    <ds:schemaRef ds:uri="bd8c728d-e719-496b-b789-a7ebfcb01033"/>
    <ds:schemaRef ds:uri="http://www.w3.org/XML/1998/namespace"/>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2e3d73e3-37bf-43d9-a52a-f6b48e119629"/>
    <ds:schemaRef ds:uri="http://schemas.microsoft.com/sharepoint/v3"/>
  </ds:schemaRefs>
</ds:datastoreItem>
</file>

<file path=customXml/itemProps2.xml><?xml version="1.0" encoding="utf-8"?>
<ds:datastoreItem xmlns:ds="http://schemas.openxmlformats.org/officeDocument/2006/customXml" ds:itemID="{BF757474-F042-475D-82C2-100E4C798C3D}">
  <ds:schemaRefs>
    <ds:schemaRef ds:uri="http://schemas.microsoft.com/sharepoint/v3/contenttype/forms"/>
  </ds:schemaRefs>
</ds:datastoreItem>
</file>

<file path=customXml/itemProps3.xml><?xml version="1.0" encoding="utf-8"?>
<ds:datastoreItem xmlns:ds="http://schemas.openxmlformats.org/officeDocument/2006/customXml" ds:itemID="{2463F4CB-C911-4DF5-A53F-E14CBD5C15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8c728d-e719-496b-b789-a7ebfcb01033"/>
    <ds:schemaRef ds:uri="2e3d73e3-37bf-43d9-a52a-f6b48e1196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User's Guide</vt:lpstr>
      <vt:lpstr>Project Description</vt:lpstr>
      <vt:lpstr>ERR &amp; Sensitivity Analysis</vt:lpstr>
      <vt:lpstr>Cost-Benefit Summary</vt:lpstr>
      <vt:lpstr>Data &amp; Assumptions</vt:lpstr>
      <vt:lpstr>Registry Upgrade, Khashaa Reg.</vt:lpstr>
      <vt:lpstr>Data tables</vt:lpstr>
      <vt:lpstr>Suppl Tables 1</vt:lpstr>
      <vt:lpstr>Suppl Tab 2.1</vt:lpstr>
      <vt:lpstr>Land market value as of 2010</vt:lpstr>
      <vt:lpstr>Land market value as of 2011</vt:lpstr>
      <vt:lpstr>'Data tables'!_Toc154479390</vt:lpstr>
      <vt:lpstr>'Data &amp; Assumptions'!Print_Area</vt:lpstr>
    </vt:vector>
  </TitlesOfParts>
  <Company>MCC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Anderson</dc:creator>
  <dc:description>Created on 08/24/07 by renaming "PropRights ERR.2 Aug 2007.xls"</dc:description>
  <cp:lastModifiedBy>Fiore, Peter N (DPE/EE-EA/PSC)</cp:lastModifiedBy>
  <cp:lastPrinted>2011-07-03T00:08:02Z</cp:lastPrinted>
  <dcterms:created xsi:type="dcterms:W3CDTF">2007-03-15T23:39:21Z</dcterms:created>
  <dcterms:modified xsi:type="dcterms:W3CDTF">2019-11-22T14:51:49Z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0x010100A08C783FF128904593EF9B24C0FE1B6A</vt:lpwstr>
  </property>
</Properties>
</file>