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iorepn\OneDrive - Millennium Challenge Corporation\ERRS\Mongolia\Health\"/>
    </mc:Choice>
  </mc:AlternateContent>
  <bookViews>
    <workbookView xWindow="120" yWindow="15" windowWidth="18975" windowHeight="11430" activeTab="1"/>
  </bookViews>
  <sheets>
    <sheet name="Cover Page" sheetId="15" r:id="rId1"/>
    <sheet name="Project Description" sheetId="13" r:id="rId2"/>
    <sheet name="ERR &amp; Sensitivity Analysis" sheetId="14" r:id="rId3"/>
    <sheet name="Cost-Benefit Summary" sheetId="16" r:id="rId4"/>
    <sheet name="SUMMARY ERR" sheetId="6" r:id="rId5"/>
    <sheet name="Scratch" sheetId="2" r:id="rId6"/>
    <sheet name="CVD" sheetId="1" r:id="rId7"/>
    <sheet name="Cancer" sheetId="3" r:id="rId8"/>
    <sheet name="Cancer benefits" sheetId="8" r:id="rId9"/>
    <sheet name="HPV Vaccine" sheetId="11" r:id="rId10"/>
    <sheet name="Diabetes" sheetId="4" r:id="rId11"/>
    <sheet name="Diabetes benefits " sheetId="9" r:id="rId12"/>
    <sheet name="Smoking Ban" sheetId="5" r:id="rId13"/>
    <sheet name="MultiyearDisb" sheetId="10" r:id="rId14"/>
    <sheet name="Notes and Assumptions" sheetId="7" r:id="rId15"/>
    <sheet name="Sheet2"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LEX1955">'[1]summary-targets'!#REF!</definedName>
    <definedName name="__LEX1975">'[1]summary-targets'!#REF!</definedName>
    <definedName name="__LEX2025">'[1]summary-targets'!#REF!</definedName>
    <definedName name="__reg98">[2]whoreg!#REF!</definedName>
    <definedName name="_edn1" localSheetId="14">'Notes and Assumptions'!$A$68</definedName>
    <definedName name="_ednref1" localSheetId="14">'Notes and Assumptions'!$A$66</definedName>
    <definedName name="_LEX1955">'[3]summary-targets'!#REF!</definedName>
    <definedName name="_LEX1975">'[3]summary-targets'!#REF!</definedName>
    <definedName name="_LEX2025">'[3]summary-targets'!#REF!</definedName>
    <definedName name="_LU1">[4]LU!$A$3:$V$57</definedName>
    <definedName name="_reg98">[2]whoreg!#REF!</definedName>
    <definedName name="_resul">'[5]slop-inter'!$A$45:$AG$48</definedName>
    <definedName name="_yellowF">#REF!</definedName>
    <definedName name="_yellowM">#REF!</definedName>
    <definedName name="Addgrow">#REF!</definedName>
    <definedName name="Annual_Eff_Benefit_2b">[6]Assumptions!$C$140</definedName>
    <definedName name="Annual_Eff_Benefit_2f">[6]Assumptions!$D$140</definedName>
    <definedName name="Annual_TS_Benefit_2b">[6]Assumptions!$C$126</definedName>
    <definedName name="Annual_TS_Benefit_2f">[6]Assumptions!$D$126</definedName>
    <definedName name="annwage">#REF!</definedName>
    <definedName name="avgwage">'[7]Key Assumptions'!$G$9</definedName>
    <definedName name="CBWorkbookPriority" hidden="1">-1802552942</definedName>
    <definedName name="Class1_wo_expt">#REF!</definedName>
    <definedName name="Class2_wo_expt">#REF!</definedName>
    <definedName name="Class3_wo_expt">#REF!</definedName>
    <definedName name="Clist">#REF!</definedName>
    <definedName name="CODE">'[8]MEDIUM-2000 REVISION'!#REF!</definedName>
    <definedName name="Current_water_shortfall_2B">[6]Assumptions!$C$51</definedName>
    <definedName name="Current_water_shortfall_2F">[6]Assumptions!$D$51</definedName>
    <definedName name="data">#REF!</definedName>
    <definedName name="_xlnm.Database">#REF!</definedName>
    <definedName name="death_rate_stage_III_T">'[9]Diabetes Costs &amp; Benefits'!$C$26</definedName>
    <definedName name="death_rate_stage_III_UT">'[9]Diabetes Costs &amp; Benefits'!$C$25</definedName>
    <definedName name="death_rate_stage_IV_T">'[9]Hypertension Costs &amp; Benefits'!$C$28</definedName>
    <definedName name="death_rate_stage_IV_UT">'[9]Hypertension Costs &amp; Benefits'!$C$27</definedName>
    <definedName name="Demand_per_person_2010_2b">[6]Assumptions!$C$50</definedName>
    <definedName name="Demand_per_person_2010_2f">[6]Assumptions!$D$50</definedName>
    <definedName name="disc">[10]Assumptions!#REF!</definedName>
    <definedName name="disease_cases">[10]Assumptions!#REF!</definedName>
    <definedName name="DPY">'[7]Key Assumptions'!$G$24</definedName>
    <definedName name="ECF">[4]LU!$AF$8</definedName>
    <definedName name="eduwageadd">[10]Morogoro!$K$31</definedName>
    <definedName name="eduwagenr">[10]Morogoro!$K$29</definedName>
    <definedName name="exch">[10]Assumptions!$F$7</definedName>
    <definedName name="exrate" localSheetId="8">'Cancer benefits'!$B$13</definedName>
    <definedName name="exrate" localSheetId="11">'Diabetes benefits '!$B$13</definedName>
    <definedName name="exrate" localSheetId="9">[11]CVD!$B$14</definedName>
    <definedName name="exrate" localSheetId="4">'SUMMARY ERR'!$B$14</definedName>
    <definedName name="exrate">CVD!$B$13</definedName>
    <definedName name="GBDageD95">[12]Deaths!$A$1:$T$643</definedName>
    <definedName name="grow">[10]Assumptions!$F$8</definedName>
    <definedName name="home">'[5]slop-inter'!$D$1:$F$1</definedName>
    <definedName name="I_to_II_T_WO">'[9]Hypertension Costs &amp; Benefits'!$J$32</definedName>
    <definedName name="I_to_II_UT">'[9]Hypertension Costs &amp; Benefits'!$E$32</definedName>
    <definedName name="II_t0_III_T_WO">'[9]Hypertension Costs &amp; Benefits'!$J$33</definedName>
    <definedName name="II_t0_III_UT">'[9]Hypertension Costs &amp; Benefits'!$E$33</definedName>
    <definedName name="II_to_III_UT">'[9]Diabetes Costs &amp; Benefits'!$E$31</definedName>
    <definedName name="III_to_IV_T_WO">'[9]Hypertension Costs &amp; Benefits'!$J$34</definedName>
    <definedName name="III_to_IV_UT">'[9]Hypertension Costs &amp; Benefits'!$E$34</definedName>
    <definedName name="inc">[13]Parameters!$C$7</definedName>
    <definedName name="Include_Rpymt">[6]Assumptions!$E$145</definedName>
    <definedName name="Include_TSB">[6]Assumptions!$E$144</definedName>
    <definedName name="Include_WLR">[6]Assumptions!$E$143</definedName>
    <definedName name="income_p">'[9]Hypertension Costs &amp; Benefits'!$E$6</definedName>
    <definedName name="infl" localSheetId="0">'[7]Key Assumptions'!$G$38</definedName>
    <definedName name="infl">[13]Parameters!$C$4</definedName>
    <definedName name="Kanyama">[14]Setup!#REF!</definedName>
    <definedName name="label">[5]lx!$D$1788:$E$1825</definedName>
    <definedName name="LCC">'[7]Key Assumptions'!$G$38</definedName>
    <definedName name="Lessgrow">#REF!</definedName>
    <definedName name="list">[10]Assumptions!#REF!</definedName>
    <definedName name="listtt">#REF!</definedName>
    <definedName name="locinfl">[13]Parameters!$C$5</definedName>
    <definedName name="Loss_Rate_Tech_Post">[6]Assumptions!$E$64</definedName>
    <definedName name="Loss_Rate_Tech_Pre">[6]Assumptions!$E$58</definedName>
    <definedName name="lpb">[10]Assumptions!$F$6</definedName>
    <definedName name="LUsum">[4]Summary!$A$6:$S$16</definedName>
    <definedName name="lva">'[7]Key Assumptions'!$G$37</definedName>
    <definedName name="nmarkup">[10]Assumptions!#REF!</definedName>
    <definedName name="omcost">[10]Assumptions!$F$9</definedName>
    <definedName name="PA">#REF!</definedName>
    <definedName name="pop" localSheetId="8">'Cancer benefits'!$B$9</definedName>
    <definedName name="pop" localSheetId="0">[14]Setup!#REF!</definedName>
    <definedName name="pop" localSheetId="11">'Diabetes benefits '!$B$9</definedName>
    <definedName name="pop" localSheetId="9">[11]CVD!$B$9</definedName>
    <definedName name="pop" localSheetId="4">'SUMMARY ERR'!$B$9</definedName>
    <definedName name="pop">CVD!$B$9</definedName>
    <definedName name="pop_growth">'[9]Hypertension Costs &amp; Benefits'!$C$5</definedName>
    <definedName name="popgrowth" localSheetId="8">'Cancer benefits'!$B$14</definedName>
    <definedName name="popgrowth" localSheetId="11">'Diabetes benefits '!$B$14</definedName>
    <definedName name="popgrowth" localSheetId="9">[11]CVD!$B$15</definedName>
    <definedName name="popgrowth" localSheetId="4">'SUMMARY ERR'!$B$15</definedName>
    <definedName name="popgrowth">CVD!$B$14</definedName>
    <definedName name="ppp">[15]Setup!#REF!</definedName>
    <definedName name="_xlnm.Print_Area">#REF!</definedName>
    <definedName name="PrintAr2">#REF!</definedName>
    <definedName name="prod">'[16]Key Assumptions'!$H$41</definedName>
    <definedName name="regeco98">[2]whoregeco!#REF!</definedName>
    <definedName name="Savings_per_m3">[6]Assumptions!$E$72</definedName>
    <definedName name="Scale_Benefits">[6]Assumptions!$E$146</definedName>
    <definedName name="SlopeF">#REF!</definedName>
    <definedName name="slopeintercept">'[17]intercept+slope projections'!$A$3:$H$29</definedName>
    <definedName name="slopeM">#REF!</definedName>
    <definedName name="sort1">'[17]intercept+slope projections'!$A$3:$B$29</definedName>
    <definedName name="sort2">'[17]intercept+slope projections'!$D$3:$F$29</definedName>
    <definedName name="sort3">'[17]intercept+slope projections'!$E$3:$F$29</definedName>
    <definedName name="sort4">'[17]intercept+slope projections'!$G$3:$H$29</definedName>
    <definedName name="SPSS">#REF!</definedName>
    <definedName name="UWSSA">[10]Assumptions!$E$14:$E$16</definedName>
    <definedName name="work">[13]Parameters!$E$75</definedName>
    <definedName name="year">'[17]intercept+slope projections'!$A$3:$A$29</definedName>
    <definedName name="Year1">[10]Assumptions!$F$5</definedName>
    <definedName name="yll">[15]Setup!#REF!</definedName>
    <definedName name="yll00">[14]Setup!#REF!</definedName>
    <definedName name="yll13">[14]Setup!#REF!</definedName>
  </definedNames>
  <calcPr calcId="152511" calcMode="manual"/>
</workbook>
</file>

<file path=xl/calcChain.xml><?xml version="1.0" encoding="utf-8"?>
<calcChain xmlns="http://schemas.openxmlformats.org/spreadsheetml/2006/main">
  <c r="B20" i="16" l="1"/>
  <c r="O12" i="16"/>
  <c r="D215" i="6"/>
  <c r="J216" i="6"/>
  <c r="I216" i="6"/>
  <c r="D222" i="6"/>
  <c r="U9" i="16"/>
  <c r="U12" i="16" s="1"/>
  <c r="C9" i="16"/>
  <c r="C12" i="16" s="1"/>
  <c r="D9" i="16"/>
  <c r="D12" i="16" s="1"/>
  <c r="E9" i="16"/>
  <c r="E12" i="16" s="1"/>
  <c r="F9" i="16"/>
  <c r="F12" i="16" s="1"/>
  <c r="G9" i="16"/>
  <c r="G12" i="16" s="1"/>
  <c r="H9" i="16"/>
  <c r="H12" i="16" s="1"/>
  <c r="I9" i="16"/>
  <c r="I12" i="16" s="1"/>
  <c r="J9" i="16"/>
  <c r="J12" i="16" s="1"/>
  <c r="K9" i="16"/>
  <c r="K12" i="16" s="1"/>
  <c r="L9" i="16"/>
  <c r="L12" i="16" s="1"/>
  <c r="M9" i="16"/>
  <c r="M12" i="16" s="1"/>
  <c r="N9" i="16"/>
  <c r="N12" i="16" s="1"/>
  <c r="O9" i="16"/>
  <c r="P9" i="16"/>
  <c r="P12" i="16" s="1"/>
  <c r="Q9" i="16"/>
  <c r="Q12" i="16" s="1"/>
  <c r="R9" i="16"/>
  <c r="R12" i="16" s="1"/>
  <c r="S9" i="16"/>
  <c r="S12" i="16" s="1"/>
  <c r="T9" i="16"/>
  <c r="T12" i="16" s="1"/>
  <c r="B9" i="16"/>
  <c r="B12" i="16" s="1"/>
  <c r="C6" i="16"/>
  <c r="D6" i="16" s="1"/>
  <c r="E6" i="16" s="1"/>
  <c r="F6" i="16" s="1"/>
  <c r="G6" i="16" s="1"/>
  <c r="H6" i="16" s="1"/>
  <c r="I6" i="16" s="1"/>
  <c r="J6" i="16" s="1"/>
  <c r="K6" i="16" s="1"/>
  <c r="L6" i="16" s="1"/>
  <c r="M6" i="16" s="1"/>
  <c r="N6" i="16" s="1"/>
  <c r="O6" i="16" s="1"/>
  <c r="P6" i="16" s="1"/>
  <c r="Q6" i="16" s="1"/>
  <c r="R6" i="16" s="1"/>
  <c r="S6" i="16" s="1"/>
  <c r="T6" i="16" s="1"/>
  <c r="U6" i="16" s="1"/>
  <c r="G10" i="14" l="1"/>
  <c r="I10" i="14"/>
  <c r="G13" i="14" s="1"/>
  <c r="G11" i="14"/>
  <c r="I11" i="14"/>
  <c r="G15" i="14"/>
  <c r="G16" i="14"/>
  <c r="B19" i="14"/>
  <c r="G14" i="14" l="1"/>
  <c r="G17" i="14"/>
  <c r="G30" i="11"/>
  <c r="G34" i="11" s="1"/>
  <c r="G14" i="11"/>
  <c r="G6" i="11"/>
  <c r="G5" i="11"/>
  <c r="G4" i="11"/>
  <c r="G3" i="11"/>
  <c r="H271" i="6"/>
  <c r="I271" i="6" s="1"/>
  <c r="J271" i="6" s="1"/>
  <c r="K271" i="6" s="1"/>
  <c r="L271" i="6" s="1"/>
  <c r="M271" i="6" s="1"/>
  <c r="N271" i="6" s="1"/>
  <c r="O271" i="6" s="1"/>
  <c r="P271" i="6" s="1"/>
  <c r="Q271" i="6" s="1"/>
  <c r="R271" i="6" s="1"/>
  <c r="S271" i="6" s="1"/>
  <c r="T271" i="6" s="1"/>
  <c r="U271" i="6" s="1"/>
  <c r="V271" i="6" s="1"/>
  <c r="H272" i="6"/>
  <c r="H273" i="6" s="1"/>
  <c r="H274" i="6"/>
  <c r="I274" i="6" s="1"/>
  <c r="J274" i="6" s="1"/>
  <c r="K274" i="6" s="1"/>
  <c r="L274" i="6" s="1"/>
  <c r="M274" i="6" s="1"/>
  <c r="N274" i="6" s="1"/>
  <c r="O274" i="6" s="1"/>
  <c r="P274" i="6" s="1"/>
  <c r="Q274" i="6" s="1"/>
  <c r="R274" i="6" s="1"/>
  <c r="S274" i="6" s="1"/>
  <c r="T274" i="6" s="1"/>
  <c r="U274" i="6" s="1"/>
  <c r="V274" i="6" s="1"/>
  <c r="G7" i="11" l="1"/>
  <c r="H275" i="6"/>
  <c r="G15" i="11"/>
  <c r="H14" i="11"/>
  <c r="I272" i="6"/>
  <c r="G265" i="6"/>
  <c r="F265" i="6"/>
  <c r="E265" i="6"/>
  <c r="E267" i="6" s="1"/>
  <c r="D265" i="6"/>
  <c r="D267" i="6" s="1"/>
  <c r="C265" i="6"/>
  <c r="B265" i="6"/>
  <c r="S60" i="10"/>
  <c r="S61" i="10" s="1"/>
  <c r="P217" i="6" s="1"/>
  <c r="R60" i="10"/>
  <c r="R61" i="10" s="1"/>
  <c r="O217" i="6" s="1"/>
  <c r="Q60" i="10"/>
  <c r="Q61" i="10" s="1"/>
  <c r="N217" i="6" s="1"/>
  <c r="P60" i="10"/>
  <c r="P61" i="10" s="1"/>
  <c r="M217" i="6" s="1"/>
  <c r="U17" i="10"/>
  <c r="T17" i="10"/>
  <c r="V17" i="10" s="1"/>
  <c r="U50" i="10"/>
  <c r="T50" i="10"/>
  <c r="V50" i="10" s="1"/>
  <c r="T24" i="10"/>
  <c r="V24" i="10" s="1"/>
  <c r="U16" i="10"/>
  <c r="U60" i="10" s="1"/>
  <c r="U61" i="10" s="1"/>
  <c r="R217" i="6" s="1"/>
  <c r="T16" i="10"/>
  <c r="O11" i="10"/>
  <c r="O60" i="10" s="1"/>
  <c r="O61" i="10" s="1"/>
  <c r="L217" i="6" s="1"/>
  <c r="N11" i="10"/>
  <c r="V11" i="10" s="1"/>
  <c r="G268" i="6"/>
  <c r="G269" i="6" s="1"/>
  <c r="H215" i="6" s="1"/>
  <c r="F268" i="6"/>
  <c r="F269" i="6" s="1"/>
  <c r="G215" i="6" s="1"/>
  <c r="E268" i="6"/>
  <c r="E269" i="6" s="1"/>
  <c r="F215" i="6" s="1"/>
  <c r="D268" i="6"/>
  <c r="D269" i="6" s="1"/>
  <c r="E215" i="6" s="1"/>
  <c r="C268" i="6"/>
  <c r="C269" i="6" s="1"/>
  <c r="C54" i="10"/>
  <c r="C53" i="10"/>
  <c r="C44" i="10"/>
  <c r="C42" i="10"/>
  <c r="C39" i="10"/>
  <c r="C36" i="10" s="1"/>
  <c r="C34" i="10"/>
  <c r="C33" i="10"/>
  <c r="C30" i="10"/>
  <c r="C29" i="10"/>
  <c r="C26" i="10"/>
  <c r="C22" i="10"/>
  <c r="C19" i="10"/>
  <c r="C17" i="10"/>
  <c r="C16" i="10"/>
  <c r="C13" i="10"/>
  <c r="C7" i="10"/>
  <c r="J63" i="7"/>
  <c r="B9" i="6"/>
  <c r="B9" i="9" s="1"/>
  <c r="AJ10" i="2"/>
  <c r="G23" i="6"/>
  <c r="F23" i="6"/>
  <c r="E23" i="6"/>
  <c r="D23" i="6"/>
  <c r="W216" i="6"/>
  <c r="V216" i="6"/>
  <c r="U216" i="6"/>
  <c r="T216" i="6"/>
  <c r="S216" i="6"/>
  <c r="R216" i="6"/>
  <c r="Q216" i="6"/>
  <c r="P216" i="6"/>
  <c r="O216" i="6"/>
  <c r="N216" i="6"/>
  <c r="M216" i="6"/>
  <c r="L216" i="6"/>
  <c r="K216" i="6"/>
  <c r="G273" i="6"/>
  <c r="G275" i="6" s="1"/>
  <c r="F273" i="6"/>
  <c r="F275" i="6" s="1"/>
  <c r="E273" i="6"/>
  <c r="E275" i="6" s="1"/>
  <c r="D273" i="6"/>
  <c r="D275" i="6" s="1"/>
  <c r="B10" i="6" s="1"/>
  <c r="C273" i="6"/>
  <c r="C275" i="6" s="1"/>
  <c r="I10" i="6"/>
  <c r="J10" i="6" s="1"/>
  <c r="K10" i="6" s="1"/>
  <c r="L10" i="6" s="1"/>
  <c r="M10" i="6" s="1"/>
  <c r="N10" i="6" s="1"/>
  <c r="H8" i="4"/>
  <c r="H6" i="4"/>
  <c r="C257" i="1"/>
  <c r="C256" i="1"/>
  <c r="C255" i="1"/>
  <c r="G13" i="3"/>
  <c r="G7" i="3"/>
  <c r="G25" i="6"/>
  <c r="F25" i="6"/>
  <c r="E25" i="6"/>
  <c r="D25" i="6"/>
  <c r="D39" i="9"/>
  <c r="E39" i="9" s="1"/>
  <c r="G22" i="9"/>
  <c r="F22" i="9"/>
  <c r="E22" i="9"/>
  <c r="D22" i="9"/>
  <c r="B251" i="9"/>
  <c r="B252" i="9" s="1"/>
  <c r="B253" i="9" s="1"/>
  <c r="E229" i="9"/>
  <c r="F229" i="9" s="1"/>
  <c r="B228" i="9"/>
  <c r="W215" i="9"/>
  <c r="V215" i="9"/>
  <c r="U215" i="9"/>
  <c r="T215" i="9"/>
  <c r="S215" i="9"/>
  <c r="R215" i="9"/>
  <c r="Q215" i="9"/>
  <c r="P215" i="9"/>
  <c r="O215" i="9"/>
  <c r="N215" i="9"/>
  <c r="M215" i="9"/>
  <c r="L215" i="9"/>
  <c r="K215" i="9"/>
  <c r="J215" i="9"/>
  <c r="I215" i="9"/>
  <c r="D210" i="9"/>
  <c r="D209" i="9"/>
  <c r="W240" i="9" s="1"/>
  <c r="D208" i="9"/>
  <c r="E208" i="9" s="1"/>
  <c r="D207" i="9"/>
  <c r="D204" i="9"/>
  <c r="D203" i="9"/>
  <c r="D144" i="9"/>
  <c r="D143" i="9"/>
  <c r="D142" i="9"/>
  <c r="D141" i="9"/>
  <c r="D140" i="9"/>
  <c r="D139" i="9"/>
  <c r="D138" i="9"/>
  <c r="D137" i="9"/>
  <c r="D136" i="9"/>
  <c r="D135" i="9"/>
  <c r="D134" i="9"/>
  <c r="H130" i="9"/>
  <c r="G130" i="9"/>
  <c r="F130" i="9"/>
  <c r="E130" i="9"/>
  <c r="D130" i="9"/>
  <c r="I129" i="9"/>
  <c r="H129" i="9"/>
  <c r="G129" i="9"/>
  <c r="F129" i="9"/>
  <c r="E129" i="9"/>
  <c r="D129" i="9"/>
  <c r="I128" i="9"/>
  <c r="H128" i="9"/>
  <c r="G128" i="9"/>
  <c r="F128" i="9"/>
  <c r="E128" i="9"/>
  <c r="D128" i="9"/>
  <c r="J127" i="9"/>
  <c r="I127" i="9"/>
  <c r="H127" i="9"/>
  <c r="G127" i="9"/>
  <c r="F127" i="9"/>
  <c r="E127" i="9"/>
  <c r="D127" i="9"/>
  <c r="J126" i="9"/>
  <c r="I126" i="9"/>
  <c r="H126" i="9"/>
  <c r="G126" i="9"/>
  <c r="F126" i="9"/>
  <c r="E126" i="9"/>
  <c r="D126" i="9"/>
  <c r="K125" i="9"/>
  <c r="J125" i="9"/>
  <c r="I125" i="9"/>
  <c r="H125" i="9"/>
  <c r="G125" i="9"/>
  <c r="F125" i="9"/>
  <c r="E125" i="9"/>
  <c r="D125" i="9"/>
  <c r="K124" i="9"/>
  <c r="J124" i="9"/>
  <c r="I124" i="9"/>
  <c r="H124" i="9"/>
  <c r="G124" i="9"/>
  <c r="F124" i="9"/>
  <c r="E124" i="9"/>
  <c r="D124" i="9"/>
  <c r="L123" i="9"/>
  <c r="K123" i="9"/>
  <c r="J123" i="9"/>
  <c r="I123" i="9"/>
  <c r="H123" i="9"/>
  <c r="G123" i="9"/>
  <c r="F123" i="9"/>
  <c r="E123" i="9"/>
  <c r="D123" i="9"/>
  <c r="L122" i="9"/>
  <c r="K122" i="9"/>
  <c r="J122" i="9"/>
  <c r="I122" i="9"/>
  <c r="H122" i="9"/>
  <c r="G122" i="9"/>
  <c r="F122" i="9"/>
  <c r="E122" i="9"/>
  <c r="D122" i="9"/>
  <c r="M121" i="9"/>
  <c r="L121" i="9"/>
  <c r="K121" i="9"/>
  <c r="J121" i="9"/>
  <c r="I121" i="9"/>
  <c r="H121" i="9"/>
  <c r="G121" i="9"/>
  <c r="F121" i="9"/>
  <c r="E121" i="9"/>
  <c r="D121" i="9"/>
  <c r="M120" i="9"/>
  <c r="L120" i="9"/>
  <c r="K120" i="9"/>
  <c r="J120" i="9"/>
  <c r="I120" i="9"/>
  <c r="H120" i="9"/>
  <c r="G120" i="9"/>
  <c r="F120" i="9"/>
  <c r="E120" i="9"/>
  <c r="D120" i="9"/>
  <c r="D117" i="9"/>
  <c r="I130" i="9" s="1"/>
  <c r="D116" i="9"/>
  <c r="J129" i="9" s="1"/>
  <c r="D115" i="9"/>
  <c r="J128" i="9" s="1"/>
  <c r="D114" i="9"/>
  <c r="K127" i="9" s="1"/>
  <c r="D113" i="9"/>
  <c r="K126" i="9" s="1"/>
  <c r="D112" i="9"/>
  <c r="L125" i="9" s="1"/>
  <c r="D111" i="9"/>
  <c r="L124" i="9" s="1"/>
  <c r="D110" i="9"/>
  <c r="M123" i="9" s="1"/>
  <c r="D109" i="9"/>
  <c r="M122" i="9" s="1"/>
  <c r="D108" i="9"/>
  <c r="N121" i="9" s="1"/>
  <c r="D107" i="9"/>
  <c r="N120" i="9" s="1"/>
  <c r="W101" i="9"/>
  <c r="V101" i="9"/>
  <c r="U101" i="9"/>
  <c r="T101" i="9"/>
  <c r="S101" i="9"/>
  <c r="R101" i="9"/>
  <c r="Q101" i="9"/>
  <c r="P101" i="9"/>
  <c r="O101" i="9"/>
  <c r="N101" i="9"/>
  <c r="M101" i="9"/>
  <c r="L101" i="9"/>
  <c r="K101" i="9"/>
  <c r="J101" i="9"/>
  <c r="I101" i="9"/>
  <c r="H101" i="9"/>
  <c r="G101" i="9"/>
  <c r="F101" i="9"/>
  <c r="E101" i="9"/>
  <c r="D101" i="9"/>
  <c r="W100" i="9"/>
  <c r="V100" i="9"/>
  <c r="U100" i="9"/>
  <c r="T100" i="9"/>
  <c r="S100" i="9"/>
  <c r="R100" i="9"/>
  <c r="Q100" i="9"/>
  <c r="P100" i="9"/>
  <c r="O100" i="9"/>
  <c r="N100" i="9"/>
  <c r="M100" i="9"/>
  <c r="L100" i="9"/>
  <c r="K100" i="9"/>
  <c r="J100" i="9"/>
  <c r="I100" i="9"/>
  <c r="H100" i="9"/>
  <c r="G100" i="9"/>
  <c r="F100" i="9"/>
  <c r="E100" i="9"/>
  <c r="D100" i="9"/>
  <c r="W99" i="9"/>
  <c r="V99" i="9"/>
  <c r="U99" i="9"/>
  <c r="T99" i="9"/>
  <c r="S99" i="9"/>
  <c r="R99" i="9"/>
  <c r="Q99" i="9"/>
  <c r="P99" i="9"/>
  <c r="O99" i="9"/>
  <c r="N99" i="9"/>
  <c r="M99" i="9"/>
  <c r="L99" i="9"/>
  <c r="K99" i="9"/>
  <c r="J99" i="9"/>
  <c r="I99" i="9"/>
  <c r="H99" i="9"/>
  <c r="G99" i="9"/>
  <c r="F99" i="9"/>
  <c r="E99" i="9"/>
  <c r="D99" i="9"/>
  <c r="W98" i="9"/>
  <c r="V98" i="9"/>
  <c r="U98" i="9"/>
  <c r="T98" i="9"/>
  <c r="S98" i="9"/>
  <c r="R98" i="9"/>
  <c r="Q98" i="9"/>
  <c r="P98" i="9"/>
  <c r="O98" i="9"/>
  <c r="N98" i="9"/>
  <c r="M98" i="9"/>
  <c r="L98" i="9"/>
  <c r="K98" i="9"/>
  <c r="J98" i="9"/>
  <c r="I98" i="9"/>
  <c r="H98" i="9"/>
  <c r="G98" i="9"/>
  <c r="F98" i="9"/>
  <c r="E98" i="9"/>
  <c r="D98" i="9"/>
  <c r="W97" i="9"/>
  <c r="V97" i="9"/>
  <c r="U97" i="9"/>
  <c r="T97" i="9"/>
  <c r="S97" i="9"/>
  <c r="R97" i="9"/>
  <c r="Q97" i="9"/>
  <c r="P97" i="9"/>
  <c r="O97" i="9"/>
  <c r="N97" i="9"/>
  <c r="M97" i="9"/>
  <c r="L97" i="9"/>
  <c r="K97" i="9"/>
  <c r="J97" i="9"/>
  <c r="I97" i="9"/>
  <c r="H97" i="9"/>
  <c r="G97" i="9"/>
  <c r="F97" i="9"/>
  <c r="E97" i="9"/>
  <c r="D97" i="9"/>
  <c r="W96" i="9"/>
  <c r="V96" i="9"/>
  <c r="U96" i="9"/>
  <c r="T96" i="9"/>
  <c r="S96" i="9"/>
  <c r="R96" i="9"/>
  <c r="Q96" i="9"/>
  <c r="P96" i="9"/>
  <c r="O96" i="9"/>
  <c r="N96" i="9"/>
  <c r="M96" i="9"/>
  <c r="L96" i="9"/>
  <c r="K96" i="9"/>
  <c r="J96" i="9"/>
  <c r="I96" i="9"/>
  <c r="H96" i="9"/>
  <c r="G96" i="9"/>
  <c r="F96" i="9"/>
  <c r="E96" i="9"/>
  <c r="D96" i="9"/>
  <c r="W95" i="9"/>
  <c r="V95" i="9"/>
  <c r="U95" i="9"/>
  <c r="T95" i="9"/>
  <c r="S95" i="9"/>
  <c r="R95" i="9"/>
  <c r="Q95" i="9"/>
  <c r="P95" i="9"/>
  <c r="O95" i="9"/>
  <c r="N95" i="9"/>
  <c r="M95" i="9"/>
  <c r="L95" i="9"/>
  <c r="K95" i="9"/>
  <c r="J95" i="9"/>
  <c r="I95" i="9"/>
  <c r="H95" i="9"/>
  <c r="G95" i="9"/>
  <c r="F95" i="9"/>
  <c r="E95" i="9"/>
  <c r="D95" i="9"/>
  <c r="W94" i="9"/>
  <c r="V94" i="9"/>
  <c r="U94" i="9"/>
  <c r="T94" i="9"/>
  <c r="S94" i="9"/>
  <c r="R94" i="9"/>
  <c r="Q94" i="9"/>
  <c r="P94" i="9"/>
  <c r="O94" i="9"/>
  <c r="N94" i="9"/>
  <c r="M94" i="9"/>
  <c r="L94" i="9"/>
  <c r="K94" i="9"/>
  <c r="J94" i="9"/>
  <c r="I94" i="9"/>
  <c r="H94" i="9"/>
  <c r="G94" i="9"/>
  <c r="F94" i="9"/>
  <c r="E94" i="9"/>
  <c r="D94" i="9"/>
  <c r="W93" i="9"/>
  <c r="V93" i="9"/>
  <c r="U93" i="9"/>
  <c r="T93" i="9"/>
  <c r="S93" i="9"/>
  <c r="R93" i="9"/>
  <c r="Q93" i="9"/>
  <c r="P93" i="9"/>
  <c r="O93" i="9"/>
  <c r="N93" i="9"/>
  <c r="M93" i="9"/>
  <c r="L93" i="9"/>
  <c r="K93" i="9"/>
  <c r="J93" i="9"/>
  <c r="I93" i="9"/>
  <c r="H93" i="9"/>
  <c r="G93" i="9"/>
  <c r="F93" i="9"/>
  <c r="E93" i="9"/>
  <c r="D93" i="9"/>
  <c r="D149" i="9" s="1"/>
  <c r="W92" i="9"/>
  <c r="V92" i="9"/>
  <c r="U92" i="9"/>
  <c r="T92" i="9"/>
  <c r="S92" i="9"/>
  <c r="R92" i="9"/>
  <c r="Q92" i="9"/>
  <c r="P92" i="9"/>
  <c r="O92" i="9"/>
  <c r="N92" i="9"/>
  <c r="M92" i="9"/>
  <c r="L92" i="9"/>
  <c r="K92" i="9"/>
  <c r="J92" i="9"/>
  <c r="I92" i="9"/>
  <c r="H92" i="9"/>
  <c r="G92" i="9"/>
  <c r="F92" i="9"/>
  <c r="E92" i="9"/>
  <c r="D92" i="9"/>
  <c r="W91" i="9"/>
  <c r="V91" i="9"/>
  <c r="U91" i="9"/>
  <c r="T91" i="9"/>
  <c r="S91" i="9"/>
  <c r="R91" i="9"/>
  <c r="Q91" i="9"/>
  <c r="P91" i="9"/>
  <c r="O91" i="9"/>
  <c r="N91" i="9"/>
  <c r="M91" i="9"/>
  <c r="L91" i="9"/>
  <c r="K91" i="9"/>
  <c r="J91" i="9"/>
  <c r="I91" i="9"/>
  <c r="H91" i="9"/>
  <c r="G91" i="9"/>
  <c r="F91" i="9"/>
  <c r="E91" i="9"/>
  <c r="D91" i="9"/>
  <c r="C34" i="9"/>
  <c r="D40" i="9" s="1"/>
  <c r="B29" i="9"/>
  <c r="K31" i="9" s="1"/>
  <c r="U19" i="9"/>
  <c r="V19" i="9" s="1"/>
  <c r="W19" i="9" s="1"/>
  <c r="Q19" i="9"/>
  <c r="P19" i="9"/>
  <c r="O19" i="9"/>
  <c r="N19" i="9"/>
  <c r="M19" i="9"/>
  <c r="L19" i="9"/>
  <c r="K19" i="9"/>
  <c r="J19" i="9"/>
  <c r="I19" i="9"/>
  <c r="H19" i="9"/>
  <c r="I57" i="7"/>
  <c r="B23" i="8" s="1"/>
  <c r="D39" i="8" s="1"/>
  <c r="AF8" i="2"/>
  <c r="P8" i="2"/>
  <c r="B251" i="8"/>
  <c r="B252" i="8" s="1"/>
  <c r="B253" i="8" s="1"/>
  <c r="E229" i="8"/>
  <c r="B228" i="8"/>
  <c r="W215" i="8"/>
  <c r="V215" i="8"/>
  <c r="U215" i="8"/>
  <c r="T215" i="8"/>
  <c r="S215" i="8"/>
  <c r="R215" i="8"/>
  <c r="Q215" i="8"/>
  <c r="P215" i="8"/>
  <c r="O215" i="8"/>
  <c r="N215" i="8"/>
  <c r="M215" i="8"/>
  <c r="L215" i="8"/>
  <c r="K215" i="8"/>
  <c r="J215" i="8"/>
  <c r="I215" i="8"/>
  <c r="D210" i="8"/>
  <c r="E210" i="8" s="1"/>
  <c r="D209" i="8"/>
  <c r="D208" i="8"/>
  <c r="E208" i="8" s="1"/>
  <c r="D207" i="8"/>
  <c r="D204" i="8"/>
  <c r="D203" i="8"/>
  <c r="H214" i="8" s="1"/>
  <c r="H220" i="8" s="1"/>
  <c r="D144" i="8"/>
  <c r="D143" i="8"/>
  <c r="D142" i="8"/>
  <c r="D141" i="8"/>
  <c r="D140" i="8"/>
  <c r="D139" i="8"/>
  <c r="D138" i="8"/>
  <c r="D137" i="8"/>
  <c r="D136" i="8"/>
  <c r="D135" i="8"/>
  <c r="D134" i="8"/>
  <c r="H130" i="8"/>
  <c r="G130" i="8"/>
  <c r="F130" i="8"/>
  <c r="E130" i="8"/>
  <c r="D130" i="8"/>
  <c r="I129" i="8"/>
  <c r="H129" i="8"/>
  <c r="G129" i="8"/>
  <c r="F129" i="8"/>
  <c r="E129" i="8"/>
  <c r="D129" i="8"/>
  <c r="I128" i="8"/>
  <c r="H128" i="8"/>
  <c r="G128" i="8"/>
  <c r="F128" i="8"/>
  <c r="E128" i="8"/>
  <c r="D128" i="8"/>
  <c r="J127" i="8"/>
  <c r="I127" i="8"/>
  <c r="H127" i="8"/>
  <c r="G127" i="8"/>
  <c r="F127" i="8"/>
  <c r="E127" i="8"/>
  <c r="D127" i="8"/>
  <c r="J126" i="8"/>
  <c r="I126" i="8"/>
  <c r="H126" i="8"/>
  <c r="G126" i="8"/>
  <c r="F126" i="8"/>
  <c r="E126" i="8"/>
  <c r="D126" i="8"/>
  <c r="K125" i="8"/>
  <c r="J125" i="8"/>
  <c r="I125" i="8"/>
  <c r="H125" i="8"/>
  <c r="G125" i="8"/>
  <c r="F125" i="8"/>
  <c r="E125" i="8"/>
  <c r="D125" i="8"/>
  <c r="K124" i="8"/>
  <c r="J124" i="8"/>
  <c r="I124" i="8"/>
  <c r="H124" i="8"/>
  <c r="G124" i="8"/>
  <c r="F124" i="8"/>
  <c r="E124" i="8"/>
  <c r="D124" i="8"/>
  <c r="L123" i="8"/>
  <c r="K123" i="8"/>
  <c r="J123" i="8"/>
  <c r="I123" i="8"/>
  <c r="H123" i="8"/>
  <c r="G123" i="8"/>
  <c r="F123" i="8"/>
  <c r="E123" i="8"/>
  <c r="D123" i="8"/>
  <c r="L122" i="8"/>
  <c r="K122" i="8"/>
  <c r="J122" i="8"/>
  <c r="I122" i="8"/>
  <c r="H122" i="8"/>
  <c r="G122" i="8"/>
  <c r="F122" i="8"/>
  <c r="E122" i="8"/>
  <c r="D122" i="8"/>
  <c r="M121" i="8"/>
  <c r="L121" i="8"/>
  <c r="K121" i="8"/>
  <c r="J121" i="8"/>
  <c r="I121" i="8"/>
  <c r="H121" i="8"/>
  <c r="G121" i="8"/>
  <c r="F121" i="8"/>
  <c r="E121" i="8"/>
  <c r="D121" i="8"/>
  <c r="M120" i="8"/>
  <c r="L120" i="8"/>
  <c r="K120" i="8"/>
  <c r="J120" i="8"/>
  <c r="I120" i="8"/>
  <c r="H120" i="8"/>
  <c r="G120" i="8"/>
  <c r="F120" i="8"/>
  <c r="E120" i="8"/>
  <c r="D120" i="8"/>
  <c r="D117" i="8"/>
  <c r="I130" i="8" s="1"/>
  <c r="D116" i="8"/>
  <c r="J129" i="8" s="1"/>
  <c r="D115" i="8"/>
  <c r="J128" i="8" s="1"/>
  <c r="D114" i="8"/>
  <c r="K127" i="8" s="1"/>
  <c r="D113" i="8"/>
  <c r="K126" i="8" s="1"/>
  <c r="D112" i="8"/>
  <c r="L125" i="8" s="1"/>
  <c r="D111" i="8"/>
  <c r="L124" i="8" s="1"/>
  <c r="D110" i="8"/>
  <c r="M123" i="8" s="1"/>
  <c r="D109" i="8"/>
  <c r="M122" i="8" s="1"/>
  <c r="D108" i="8"/>
  <c r="N121" i="8" s="1"/>
  <c r="D107" i="8"/>
  <c r="N120" i="8" s="1"/>
  <c r="W101" i="8"/>
  <c r="V101" i="8"/>
  <c r="U101" i="8"/>
  <c r="T101" i="8"/>
  <c r="S101" i="8"/>
  <c r="R101" i="8"/>
  <c r="Q101" i="8"/>
  <c r="P101" i="8"/>
  <c r="O101" i="8"/>
  <c r="N101" i="8"/>
  <c r="M101" i="8"/>
  <c r="L101" i="8"/>
  <c r="K101" i="8"/>
  <c r="J101" i="8"/>
  <c r="I101" i="8"/>
  <c r="H101" i="8"/>
  <c r="G101" i="8"/>
  <c r="F101" i="8"/>
  <c r="E101" i="8"/>
  <c r="D101" i="8"/>
  <c r="W100" i="8"/>
  <c r="V100" i="8"/>
  <c r="U100" i="8"/>
  <c r="T100" i="8"/>
  <c r="S100" i="8"/>
  <c r="R100" i="8"/>
  <c r="Q100" i="8"/>
  <c r="P100" i="8"/>
  <c r="O100" i="8"/>
  <c r="N100" i="8"/>
  <c r="M100" i="8"/>
  <c r="L100" i="8"/>
  <c r="K100" i="8"/>
  <c r="J100" i="8"/>
  <c r="I100" i="8"/>
  <c r="H100" i="8"/>
  <c r="G100" i="8"/>
  <c r="F100" i="8"/>
  <c r="E100" i="8"/>
  <c r="D100" i="8"/>
  <c r="W99" i="8"/>
  <c r="V99" i="8"/>
  <c r="U99" i="8"/>
  <c r="T99" i="8"/>
  <c r="S99" i="8"/>
  <c r="R99" i="8"/>
  <c r="Q99" i="8"/>
  <c r="P99" i="8"/>
  <c r="O99" i="8"/>
  <c r="N99" i="8"/>
  <c r="M99" i="8"/>
  <c r="L99" i="8"/>
  <c r="K99" i="8"/>
  <c r="J99" i="8"/>
  <c r="I99" i="8"/>
  <c r="H99" i="8"/>
  <c r="G99" i="8"/>
  <c r="F99" i="8"/>
  <c r="E99" i="8"/>
  <c r="D99" i="8"/>
  <c r="W98" i="8"/>
  <c r="V98" i="8"/>
  <c r="U98" i="8"/>
  <c r="T98" i="8"/>
  <c r="S98" i="8"/>
  <c r="R98" i="8"/>
  <c r="Q98" i="8"/>
  <c r="P98" i="8"/>
  <c r="O98" i="8"/>
  <c r="N98" i="8"/>
  <c r="M98" i="8"/>
  <c r="L98" i="8"/>
  <c r="K98" i="8"/>
  <c r="J98" i="8"/>
  <c r="I98" i="8"/>
  <c r="H98" i="8"/>
  <c r="G98" i="8"/>
  <c r="F98" i="8"/>
  <c r="E98" i="8"/>
  <c r="D98" i="8"/>
  <c r="W97" i="8"/>
  <c r="V97" i="8"/>
  <c r="U97" i="8"/>
  <c r="T97" i="8"/>
  <c r="S97" i="8"/>
  <c r="R97" i="8"/>
  <c r="Q97" i="8"/>
  <c r="P97" i="8"/>
  <c r="O97" i="8"/>
  <c r="N97" i="8"/>
  <c r="M97" i="8"/>
  <c r="L97" i="8"/>
  <c r="K97" i="8"/>
  <c r="J97" i="8"/>
  <c r="I97" i="8"/>
  <c r="H97" i="8"/>
  <c r="G97" i="8"/>
  <c r="F97" i="8"/>
  <c r="E97" i="8"/>
  <c r="D97" i="8"/>
  <c r="W96" i="8"/>
  <c r="V96" i="8"/>
  <c r="U96" i="8"/>
  <c r="T96" i="8"/>
  <c r="S96" i="8"/>
  <c r="R96" i="8"/>
  <c r="Q96" i="8"/>
  <c r="P96" i="8"/>
  <c r="O96" i="8"/>
  <c r="N96" i="8"/>
  <c r="M96" i="8"/>
  <c r="L96" i="8"/>
  <c r="K96" i="8"/>
  <c r="J96" i="8"/>
  <c r="I96" i="8"/>
  <c r="H96" i="8"/>
  <c r="G96" i="8"/>
  <c r="F96" i="8"/>
  <c r="E96" i="8"/>
  <c r="D96" i="8"/>
  <c r="W95" i="8"/>
  <c r="V95" i="8"/>
  <c r="U95" i="8"/>
  <c r="T95" i="8"/>
  <c r="S95" i="8"/>
  <c r="R95" i="8"/>
  <c r="Q95" i="8"/>
  <c r="P95" i="8"/>
  <c r="O95" i="8"/>
  <c r="N95" i="8"/>
  <c r="M95" i="8"/>
  <c r="L95" i="8"/>
  <c r="K95" i="8"/>
  <c r="J95" i="8"/>
  <c r="I95" i="8"/>
  <c r="H95" i="8"/>
  <c r="G95" i="8"/>
  <c r="F95" i="8"/>
  <c r="E95" i="8"/>
  <c r="D95" i="8"/>
  <c r="W94" i="8"/>
  <c r="V94" i="8"/>
  <c r="U94" i="8"/>
  <c r="T94" i="8"/>
  <c r="S94" i="8"/>
  <c r="R94" i="8"/>
  <c r="Q94" i="8"/>
  <c r="P94" i="8"/>
  <c r="O94" i="8"/>
  <c r="N94" i="8"/>
  <c r="M94" i="8"/>
  <c r="L94" i="8"/>
  <c r="K94" i="8"/>
  <c r="J94" i="8"/>
  <c r="I94" i="8"/>
  <c r="H94" i="8"/>
  <c r="G94" i="8"/>
  <c r="F94" i="8"/>
  <c r="E94" i="8"/>
  <c r="D94" i="8"/>
  <c r="W93" i="8"/>
  <c r="V93" i="8"/>
  <c r="U93" i="8"/>
  <c r="T93" i="8"/>
  <c r="S93" i="8"/>
  <c r="R93" i="8"/>
  <c r="Q93" i="8"/>
  <c r="P93" i="8"/>
  <c r="O93" i="8"/>
  <c r="N93" i="8"/>
  <c r="M93" i="8"/>
  <c r="L93" i="8"/>
  <c r="K93" i="8"/>
  <c r="J93" i="8"/>
  <c r="I93" i="8"/>
  <c r="H93" i="8"/>
  <c r="G93" i="8"/>
  <c r="F93" i="8"/>
  <c r="E93" i="8"/>
  <c r="D93" i="8"/>
  <c r="W92" i="8"/>
  <c r="V92" i="8"/>
  <c r="U92" i="8"/>
  <c r="T92" i="8"/>
  <c r="S92" i="8"/>
  <c r="R92" i="8"/>
  <c r="Q92" i="8"/>
  <c r="P92" i="8"/>
  <c r="O92" i="8"/>
  <c r="N92" i="8"/>
  <c r="M92" i="8"/>
  <c r="L92" i="8"/>
  <c r="K92" i="8"/>
  <c r="J92" i="8"/>
  <c r="I92" i="8"/>
  <c r="H92" i="8"/>
  <c r="G92" i="8"/>
  <c r="F92" i="8"/>
  <c r="E92" i="8"/>
  <c r="D92" i="8"/>
  <c r="D148" i="8" s="1"/>
  <c r="W91" i="8"/>
  <c r="V91" i="8"/>
  <c r="U91" i="8"/>
  <c r="T91" i="8"/>
  <c r="S91" i="8"/>
  <c r="R91" i="8"/>
  <c r="Q91" i="8"/>
  <c r="P91" i="8"/>
  <c r="O91" i="8"/>
  <c r="N91" i="8"/>
  <c r="M91" i="8"/>
  <c r="L91" i="8"/>
  <c r="K91" i="8"/>
  <c r="J91" i="8"/>
  <c r="I91" i="8"/>
  <c r="H91" i="8"/>
  <c r="G91" i="8"/>
  <c r="F91" i="8"/>
  <c r="E91" i="8"/>
  <c r="D91" i="8"/>
  <c r="C34" i="8"/>
  <c r="D40" i="8" s="1"/>
  <c r="B29" i="8"/>
  <c r="K31" i="8" s="1"/>
  <c r="U19" i="8"/>
  <c r="V19" i="8" s="1"/>
  <c r="W19" i="8" s="1"/>
  <c r="U8" i="2" s="1"/>
  <c r="Q19" i="8"/>
  <c r="P19" i="8"/>
  <c r="O19" i="8"/>
  <c r="N19" i="8"/>
  <c r="M19" i="8"/>
  <c r="L19" i="8"/>
  <c r="K19" i="8"/>
  <c r="J19" i="8"/>
  <c r="I19" i="8"/>
  <c r="H19" i="8"/>
  <c r="F4" i="3"/>
  <c r="F3" i="3"/>
  <c r="F2" i="3"/>
  <c r="R24" i="6"/>
  <c r="Q24" i="6"/>
  <c r="P24" i="6"/>
  <c r="O24" i="6"/>
  <c r="N24" i="6"/>
  <c r="M24" i="6"/>
  <c r="L24" i="6"/>
  <c r="K24" i="6"/>
  <c r="J24" i="6"/>
  <c r="I24" i="6"/>
  <c r="H24" i="6"/>
  <c r="H64" i="7"/>
  <c r="H63" i="7"/>
  <c r="E63" i="7"/>
  <c r="H62" i="7"/>
  <c r="H61" i="7"/>
  <c r="H60" i="7"/>
  <c r="H59" i="7"/>
  <c r="E62" i="7"/>
  <c r="E61" i="7"/>
  <c r="E60" i="7"/>
  <c r="E59" i="7"/>
  <c r="G49" i="7"/>
  <c r="H49" i="7" s="1"/>
  <c r="G38" i="7"/>
  <c r="H38" i="7" s="1"/>
  <c r="H264" i="6"/>
  <c r="H263" i="6"/>
  <c r="H262" i="6"/>
  <c r="H261" i="6"/>
  <c r="G267" i="6"/>
  <c r="F267" i="6"/>
  <c r="C267" i="6"/>
  <c r="H260" i="6"/>
  <c r="T16" i="3"/>
  <c r="T17" i="3"/>
  <c r="T11" i="3"/>
  <c r="T14" i="3" s="1"/>
  <c r="B253" i="6"/>
  <c r="B254" i="6" s="1"/>
  <c r="B255" i="6" s="1"/>
  <c r="B247" i="6"/>
  <c r="E231" i="6"/>
  <c r="F231" i="6" s="1"/>
  <c r="D211" i="6"/>
  <c r="D210" i="6"/>
  <c r="H242" i="6" s="1"/>
  <c r="D209" i="6"/>
  <c r="E209" i="6" s="1"/>
  <c r="D208" i="6"/>
  <c r="D205" i="6"/>
  <c r="D204" i="6"/>
  <c r="D145" i="6"/>
  <c r="D144" i="6"/>
  <c r="D143" i="6"/>
  <c r="D142" i="6"/>
  <c r="D141" i="6"/>
  <c r="D140" i="6"/>
  <c r="D139" i="6"/>
  <c r="D138" i="6"/>
  <c r="D137" i="6"/>
  <c r="D136" i="6"/>
  <c r="D135" i="6"/>
  <c r="H131" i="6"/>
  <c r="G131" i="6"/>
  <c r="F131" i="6"/>
  <c r="E131" i="6"/>
  <c r="D131" i="6"/>
  <c r="I130" i="6"/>
  <c r="H130" i="6"/>
  <c r="G130" i="6"/>
  <c r="F130" i="6"/>
  <c r="E130" i="6"/>
  <c r="D130" i="6"/>
  <c r="I129" i="6"/>
  <c r="H129" i="6"/>
  <c r="G129" i="6"/>
  <c r="F129" i="6"/>
  <c r="E129" i="6"/>
  <c r="D129" i="6"/>
  <c r="J128" i="6"/>
  <c r="I128" i="6"/>
  <c r="H128" i="6"/>
  <c r="G128" i="6"/>
  <c r="F128" i="6"/>
  <c r="E128" i="6"/>
  <c r="D128" i="6"/>
  <c r="J127" i="6"/>
  <c r="I127" i="6"/>
  <c r="H127" i="6"/>
  <c r="G127" i="6"/>
  <c r="F127" i="6"/>
  <c r="E127" i="6"/>
  <c r="D127" i="6"/>
  <c r="K126" i="6"/>
  <c r="J126" i="6"/>
  <c r="I126" i="6"/>
  <c r="H126" i="6"/>
  <c r="G126" i="6"/>
  <c r="F126" i="6"/>
  <c r="E126" i="6"/>
  <c r="D126" i="6"/>
  <c r="K125" i="6"/>
  <c r="J125" i="6"/>
  <c r="I125" i="6"/>
  <c r="H125" i="6"/>
  <c r="G125" i="6"/>
  <c r="F125" i="6"/>
  <c r="E125" i="6"/>
  <c r="D125" i="6"/>
  <c r="L124" i="6"/>
  <c r="K124" i="6"/>
  <c r="J124" i="6"/>
  <c r="I124" i="6"/>
  <c r="H124" i="6"/>
  <c r="G124" i="6"/>
  <c r="F124" i="6"/>
  <c r="E124" i="6"/>
  <c r="D124" i="6"/>
  <c r="L123" i="6"/>
  <c r="K123" i="6"/>
  <c r="J123" i="6"/>
  <c r="I123" i="6"/>
  <c r="H123" i="6"/>
  <c r="G123" i="6"/>
  <c r="F123" i="6"/>
  <c r="E123" i="6"/>
  <c r="D123" i="6"/>
  <c r="M122" i="6"/>
  <c r="L122" i="6"/>
  <c r="K122" i="6"/>
  <c r="J122" i="6"/>
  <c r="I122" i="6"/>
  <c r="H122" i="6"/>
  <c r="G122" i="6"/>
  <c r="F122" i="6"/>
  <c r="E122" i="6"/>
  <c r="D122" i="6"/>
  <c r="M121" i="6"/>
  <c r="L121" i="6"/>
  <c r="K121" i="6"/>
  <c r="J121" i="6"/>
  <c r="I121" i="6"/>
  <c r="H121" i="6"/>
  <c r="G121" i="6"/>
  <c r="F121" i="6"/>
  <c r="E121" i="6"/>
  <c r="D121" i="6"/>
  <c r="D118" i="6"/>
  <c r="I131" i="6" s="1"/>
  <c r="D117" i="6"/>
  <c r="J130" i="6" s="1"/>
  <c r="D116" i="6"/>
  <c r="J129" i="6" s="1"/>
  <c r="D115" i="6"/>
  <c r="K128" i="6" s="1"/>
  <c r="D114" i="6"/>
  <c r="K127" i="6" s="1"/>
  <c r="D113" i="6"/>
  <c r="L126" i="6" s="1"/>
  <c r="D112" i="6"/>
  <c r="L125" i="6" s="1"/>
  <c r="D111" i="6"/>
  <c r="M124" i="6" s="1"/>
  <c r="D110" i="6"/>
  <c r="M123" i="6" s="1"/>
  <c r="D109" i="6"/>
  <c r="N122" i="6" s="1"/>
  <c r="D108" i="6"/>
  <c r="N121" i="6" s="1"/>
  <c r="W102" i="6"/>
  <c r="V102" i="6"/>
  <c r="U102" i="6"/>
  <c r="T102" i="6"/>
  <c r="S102" i="6"/>
  <c r="R102" i="6"/>
  <c r="Q102" i="6"/>
  <c r="P102" i="6"/>
  <c r="O102" i="6"/>
  <c r="N102" i="6"/>
  <c r="M102" i="6"/>
  <c r="L102" i="6"/>
  <c r="K102" i="6"/>
  <c r="J102" i="6"/>
  <c r="I102" i="6"/>
  <c r="H102" i="6"/>
  <c r="G102" i="6"/>
  <c r="F102" i="6"/>
  <c r="E102" i="6"/>
  <c r="D102" i="6"/>
  <c r="W101" i="6"/>
  <c r="V101" i="6"/>
  <c r="U101" i="6"/>
  <c r="T101" i="6"/>
  <c r="S101" i="6"/>
  <c r="R101" i="6"/>
  <c r="Q101" i="6"/>
  <c r="P101" i="6"/>
  <c r="O101" i="6"/>
  <c r="N101" i="6"/>
  <c r="M101" i="6"/>
  <c r="L101" i="6"/>
  <c r="K101" i="6"/>
  <c r="J101" i="6"/>
  <c r="I101" i="6"/>
  <c r="H101" i="6"/>
  <c r="G101" i="6"/>
  <c r="F101" i="6"/>
  <c r="E101" i="6"/>
  <c r="D101" i="6"/>
  <c r="W100" i="6"/>
  <c r="V100" i="6"/>
  <c r="U100" i="6"/>
  <c r="T100" i="6"/>
  <c r="S100" i="6"/>
  <c r="R100" i="6"/>
  <c r="Q100" i="6"/>
  <c r="P100" i="6"/>
  <c r="O100" i="6"/>
  <c r="N100" i="6"/>
  <c r="M100" i="6"/>
  <c r="L100" i="6"/>
  <c r="K100" i="6"/>
  <c r="J100" i="6"/>
  <c r="I100" i="6"/>
  <c r="H100" i="6"/>
  <c r="G100" i="6"/>
  <c r="F100" i="6"/>
  <c r="E100" i="6"/>
  <c r="D100" i="6"/>
  <c r="W99" i="6"/>
  <c r="V99" i="6"/>
  <c r="U99" i="6"/>
  <c r="T99" i="6"/>
  <c r="S99" i="6"/>
  <c r="R99" i="6"/>
  <c r="Q99" i="6"/>
  <c r="P99" i="6"/>
  <c r="O99" i="6"/>
  <c r="N99" i="6"/>
  <c r="M99" i="6"/>
  <c r="L99" i="6"/>
  <c r="K99" i="6"/>
  <c r="J99" i="6"/>
  <c r="I99" i="6"/>
  <c r="H99" i="6"/>
  <c r="G99" i="6"/>
  <c r="F99" i="6"/>
  <c r="E99" i="6"/>
  <c r="D99" i="6"/>
  <c r="W98" i="6"/>
  <c r="V98" i="6"/>
  <c r="U98" i="6"/>
  <c r="T98" i="6"/>
  <c r="S98" i="6"/>
  <c r="R98" i="6"/>
  <c r="Q98" i="6"/>
  <c r="P98" i="6"/>
  <c r="O98" i="6"/>
  <c r="N98" i="6"/>
  <c r="M98" i="6"/>
  <c r="L98" i="6"/>
  <c r="K98" i="6"/>
  <c r="J98" i="6"/>
  <c r="I98" i="6"/>
  <c r="H98" i="6"/>
  <c r="G98" i="6"/>
  <c r="F98" i="6"/>
  <c r="E98" i="6"/>
  <c r="D98" i="6"/>
  <c r="W97" i="6"/>
  <c r="V97" i="6"/>
  <c r="U97" i="6"/>
  <c r="T97" i="6"/>
  <c r="S97" i="6"/>
  <c r="R97" i="6"/>
  <c r="Q97" i="6"/>
  <c r="P97" i="6"/>
  <c r="O97" i="6"/>
  <c r="N97" i="6"/>
  <c r="M97" i="6"/>
  <c r="L97" i="6"/>
  <c r="K97" i="6"/>
  <c r="J97" i="6"/>
  <c r="I97" i="6"/>
  <c r="H97" i="6"/>
  <c r="G97" i="6"/>
  <c r="F97" i="6"/>
  <c r="E97" i="6"/>
  <c r="D97" i="6"/>
  <c r="W96" i="6"/>
  <c r="V96" i="6"/>
  <c r="U96" i="6"/>
  <c r="T96" i="6"/>
  <c r="S96" i="6"/>
  <c r="R96" i="6"/>
  <c r="Q96" i="6"/>
  <c r="P96" i="6"/>
  <c r="O96" i="6"/>
  <c r="N96" i="6"/>
  <c r="M96" i="6"/>
  <c r="L96" i="6"/>
  <c r="K96" i="6"/>
  <c r="J96" i="6"/>
  <c r="I96" i="6"/>
  <c r="H96" i="6"/>
  <c r="G96" i="6"/>
  <c r="F96" i="6"/>
  <c r="E96" i="6"/>
  <c r="D96" i="6"/>
  <c r="W95" i="6"/>
  <c r="V95" i="6"/>
  <c r="U95" i="6"/>
  <c r="T95" i="6"/>
  <c r="S95" i="6"/>
  <c r="R95" i="6"/>
  <c r="Q95" i="6"/>
  <c r="P95" i="6"/>
  <c r="O95" i="6"/>
  <c r="N95" i="6"/>
  <c r="M95" i="6"/>
  <c r="L95" i="6"/>
  <c r="K95" i="6"/>
  <c r="J95" i="6"/>
  <c r="I95" i="6"/>
  <c r="H95" i="6"/>
  <c r="G95" i="6"/>
  <c r="F95" i="6"/>
  <c r="E95" i="6"/>
  <c r="D95" i="6"/>
  <c r="W94" i="6"/>
  <c r="V94" i="6"/>
  <c r="U94" i="6"/>
  <c r="T94" i="6"/>
  <c r="S94" i="6"/>
  <c r="R94" i="6"/>
  <c r="Q94" i="6"/>
  <c r="P94" i="6"/>
  <c r="O94" i="6"/>
  <c r="N94" i="6"/>
  <c r="M94" i="6"/>
  <c r="L94" i="6"/>
  <c r="K94" i="6"/>
  <c r="J94" i="6"/>
  <c r="I94" i="6"/>
  <c r="H94" i="6"/>
  <c r="G94" i="6"/>
  <c r="F94" i="6"/>
  <c r="E94" i="6"/>
  <c r="D94" i="6"/>
  <c r="W93" i="6"/>
  <c r="V93" i="6"/>
  <c r="U93" i="6"/>
  <c r="T93" i="6"/>
  <c r="S93" i="6"/>
  <c r="R93" i="6"/>
  <c r="Q93" i="6"/>
  <c r="P93" i="6"/>
  <c r="O93" i="6"/>
  <c r="N93" i="6"/>
  <c r="M93" i="6"/>
  <c r="L93" i="6"/>
  <c r="K93" i="6"/>
  <c r="J93" i="6"/>
  <c r="I93" i="6"/>
  <c r="H93" i="6"/>
  <c r="G93" i="6"/>
  <c r="F93" i="6"/>
  <c r="E93" i="6"/>
  <c r="D93" i="6"/>
  <c r="W92" i="6"/>
  <c r="V92" i="6"/>
  <c r="U92" i="6"/>
  <c r="T92" i="6"/>
  <c r="S92" i="6"/>
  <c r="R92" i="6"/>
  <c r="Q92" i="6"/>
  <c r="P92" i="6"/>
  <c r="O92" i="6"/>
  <c r="N92" i="6"/>
  <c r="M92" i="6"/>
  <c r="L92" i="6"/>
  <c r="K92" i="6"/>
  <c r="J92" i="6"/>
  <c r="I92" i="6"/>
  <c r="H92" i="6"/>
  <c r="G92" i="6"/>
  <c r="F92" i="6"/>
  <c r="E92" i="6"/>
  <c r="D92" i="6"/>
  <c r="D148" i="6" s="1"/>
  <c r="D45" i="6"/>
  <c r="E45" i="6" s="1"/>
  <c r="F45" i="6" s="1"/>
  <c r="G45" i="6" s="1"/>
  <c r="H45" i="6" s="1"/>
  <c r="I45" i="6" s="1"/>
  <c r="J45" i="6" s="1"/>
  <c r="K45" i="6" s="1"/>
  <c r="L45" i="6" s="1"/>
  <c r="M45" i="6" s="1"/>
  <c r="N45" i="6" s="1"/>
  <c r="O45" i="6" s="1"/>
  <c r="P45" i="6" s="1"/>
  <c r="Q45" i="6" s="1"/>
  <c r="R45" i="6" s="1"/>
  <c r="S45" i="6" s="1"/>
  <c r="T45" i="6" s="1"/>
  <c r="U45" i="6" s="1"/>
  <c r="V45" i="6" s="1"/>
  <c r="W45" i="6" s="1"/>
  <c r="C247" i="6" s="1"/>
  <c r="C35" i="6"/>
  <c r="B30" i="6"/>
  <c r="J32" i="6" s="1"/>
  <c r="U20" i="6"/>
  <c r="V20" i="6" s="1"/>
  <c r="W20" i="6" s="1"/>
  <c r="Q20" i="6"/>
  <c r="P20" i="6"/>
  <c r="O20" i="6"/>
  <c r="N20" i="6"/>
  <c r="M20" i="6"/>
  <c r="L20" i="6"/>
  <c r="K20" i="6"/>
  <c r="J20" i="6"/>
  <c r="I20" i="6"/>
  <c r="H20" i="6"/>
  <c r="B8" i="5"/>
  <c r="D154" i="9" l="1"/>
  <c r="C258" i="1"/>
  <c r="C21" i="10"/>
  <c r="H265" i="6"/>
  <c r="V240" i="8"/>
  <c r="H16" i="11"/>
  <c r="H32" i="11" s="1"/>
  <c r="I14" i="11"/>
  <c r="G17" i="11"/>
  <c r="G18" i="11" s="1"/>
  <c r="G20" i="11" s="1"/>
  <c r="G22" i="11" s="1"/>
  <c r="G36" i="11" s="1"/>
  <c r="G19" i="11"/>
  <c r="G21" i="11" s="1"/>
  <c r="G23" i="11" s="1"/>
  <c r="G37" i="11" s="1"/>
  <c r="C32" i="10"/>
  <c r="D150" i="8"/>
  <c r="D163" i="8" s="1"/>
  <c r="D31" i="9"/>
  <c r="L31" i="9"/>
  <c r="I273" i="6"/>
  <c r="I275" i="6" s="1"/>
  <c r="J272" i="6"/>
  <c r="T60" i="10"/>
  <c r="T61" i="10" s="1"/>
  <c r="Q217" i="6" s="1"/>
  <c r="D161" i="8"/>
  <c r="H31" i="9"/>
  <c r="D162" i="9"/>
  <c r="H214" i="9"/>
  <c r="H220" i="9" s="1"/>
  <c r="D240" i="9"/>
  <c r="J240" i="9"/>
  <c r="L240" i="9"/>
  <c r="N240" i="9"/>
  <c r="P240" i="9"/>
  <c r="R240" i="9"/>
  <c r="T240" i="9"/>
  <c r="V240" i="9"/>
  <c r="H240" i="9"/>
  <c r="C55" i="10"/>
  <c r="C50" i="10" s="1"/>
  <c r="C48" i="10" s="1"/>
  <c r="V16" i="10"/>
  <c r="V60" i="10" s="1"/>
  <c r="V61" i="10" s="1"/>
  <c r="N60" i="10"/>
  <c r="N61" i="10" s="1"/>
  <c r="K217" i="6" s="1"/>
  <c r="F240" i="9"/>
  <c r="C28" i="10"/>
  <c r="C6" i="10" s="1"/>
  <c r="L242" i="6"/>
  <c r="T242" i="6"/>
  <c r="D242" i="6"/>
  <c r="P242" i="6"/>
  <c r="H269" i="6"/>
  <c r="B10" i="9"/>
  <c r="B16" i="9" s="1"/>
  <c r="B10" i="8"/>
  <c r="B16" i="8" s="1"/>
  <c r="D14" i="6"/>
  <c r="B245" i="9"/>
  <c r="D44" i="9"/>
  <c r="E44" i="9" s="1"/>
  <c r="F44" i="9" s="1"/>
  <c r="G44" i="9" s="1"/>
  <c r="H44" i="9" s="1"/>
  <c r="I44" i="9" s="1"/>
  <c r="J44" i="9" s="1"/>
  <c r="K44" i="9" s="1"/>
  <c r="L44" i="9" s="1"/>
  <c r="M44" i="9" s="1"/>
  <c r="N44" i="9" s="1"/>
  <c r="O44" i="9" s="1"/>
  <c r="P44" i="9" s="1"/>
  <c r="Q44" i="9" s="1"/>
  <c r="R44" i="9" s="1"/>
  <c r="S44" i="9" s="1"/>
  <c r="T44" i="9" s="1"/>
  <c r="U44" i="9" s="1"/>
  <c r="V44" i="9" s="1"/>
  <c r="W44" i="9" s="1"/>
  <c r="C245" i="9" s="1"/>
  <c r="B11" i="9"/>
  <c r="B8" i="6"/>
  <c r="B9" i="8"/>
  <c r="B245" i="8" s="1"/>
  <c r="H268" i="6"/>
  <c r="B267" i="6"/>
  <c r="H222" i="6"/>
  <c r="X19" i="9"/>
  <c r="E40" i="9"/>
  <c r="E41" i="9" s="1"/>
  <c r="D41" i="9"/>
  <c r="F39" i="9"/>
  <c r="F31" i="9"/>
  <c r="J31" i="9"/>
  <c r="N31" i="9"/>
  <c r="G31" i="9"/>
  <c r="E31" i="9"/>
  <c r="I31" i="9"/>
  <c r="M31" i="9"/>
  <c r="D167" i="9"/>
  <c r="D147" i="9"/>
  <c r="D153" i="9"/>
  <c r="D157" i="9"/>
  <c r="D170" i="9" s="1"/>
  <c r="D150" i="9"/>
  <c r="D156" i="9"/>
  <c r="D169" i="9" s="1"/>
  <c r="D151" i="9"/>
  <c r="D155" i="9"/>
  <c r="D168" i="9" s="1"/>
  <c r="D148" i="9"/>
  <c r="D161" i="9" s="1"/>
  <c r="D152" i="9"/>
  <c r="D165" i="9" s="1"/>
  <c r="E210" i="9"/>
  <c r="E240" i="9" s="1"/>
  <c r="G214" i="9"/>
  <c r="G220" i="9" s="1"/>
  <c r="G229" i="9"/>
  <c r="I240" i="9"/>
  <c r="M240" i="9"/>
  <c r="Q240" i="9"/>
  <c r="U240" i="9"/>
  <c r="F214" i="9"/>
  <c r="F220" i="9" s="1"/>
  <c r="E214" i="9"/>
  <c r="G240" i="9"/>
  <c r="K240" i="9"/>
  <c r="O240" i="9"/>
  <c r="S240" i="9"/>
  <c r="D214" i="9"/>
  <c r="X19" i="8"/>
  <c r="V8" i="2" s="1"/>
  <c r="V242" i="6"/>
  <c r="F31" i="8"/>
  <c r="J31" i="8"/>
  <c r="N31" i="8"/>
  <c r="E31" i="8"/>
  <c r="I31" i="8"/>
  <c r="M31" i="8"/>
  <c r="D31" i="8"/>
  <c r="H31" i="8"/>
  <c r="L31" i="8"/>
  <c r="G31" i="8"/>
  <c r="D152" i="8"/>
  <c r="D165" i="8" s="1"/>
  <c r="D156" i="8"/>
  <c r="D149" i="8"/>
  <c r="D162" i="8" s="1"/>
  <c r="D157" i="8"/>
  <c r="D155" i="8"/>
  <c r="D168" i="8" s="1"/>
  <c r="D154" i="8"/>
  <c r="E214" i="8"/>
  <c r="E220" i="8" s="1"/>
  <c r="E240" i="8"/>
  <c r="D167" i="8"/>
  <c r="D169" i="8"/>
  <c r="D147" i="8"/>
  <c r="D160" i="8" s="1"/>
  <c r="D153" i="8"/>
  <c r="D151" i="8"/>
  <c r="G214" i="8"/>
  <c r="G220" i="8" s="1"/>
  <c r="I240" i="8"/>
  <c r="M240" i="8"/>
  <c r="Q240" i="8"/>
  <c r="U240" i="8"/>
  <c r="F214" i="8"/>
  <c r="F220" i="8" s="1"/>
  <c r="F229" i="8"/>
  <c r="D240" i="8"/>
  <c r="H240" i="8"/>
  <c r="L240" i="8"/>
  <c r="P240" i="8"/>
  <c r="T240" i="8"/>
  <c r="G240" i="8"/>
  <c r="K240" i="8"/>
  <c r="O240" i="8"/>
  <c r="S240" i="8"/>
  <c r="W240" i="8"/>
  <c r="D214" i="8"/>
  <c r="F240" i="8"/>
  <c r="J240" i="8"/>
  <c r="N240" i="8"/>
  <c r="R240" i="8"/>
  <c r="D80" i="6"/>
  <c r="E14" i="6"/>
  <c r="F14" i="6" s="1"/>
  <c r="G14" i="6" s="1"/>
  <c r="B17" i="6"/>
  <c r="X20" i="6"/>
  <c r="N32" i="6"/>
  <c r="E32" i="6"/>
  <c r="I32" i="6"/>
  <c r="M32" i="6"/>
  <c r="K32" i="6"/>
  <c r="F32" i="6"/>
  <c r="D72" i="6"/>
  <c r="D32" i="6"/>
  <c r="H32" i="6"/>
  <c r="L32" i="6"/>
  <c r="D71" i="6"/>
  <c r="D73" i="6"/>
  <c r="D75" i="6"/>
  <c r="D77" i="6"/>
  <c r="D79" i="6"/>
  <c r="D81" i="6"/>
  <c r="G32" i="6"/>
  <c r="D74" i="6"/>
  <c r="D76" i="6"/>
  <c r="D78" i="6"/>
  <c r="D157" i="6"/>
  <c r="D170" i="6" s="1"/>
  <c r="D150" i="6"/>
  <c r="D163" i="6" s="1"/>
  <c r="D155" i="6"/>
  <c r="D168" i="6" s="1"/>
  <c r="D152" i="6"/>
  <c r="D165" i="6" s="1"/>
  <c r="D156" i="6"/>
  <c r="D149" i="6"/>
  <c r="D153" i="6"/>
  <c r="D161" i="6"/>
  <c r="D169" i="6"/>
  <c r="D154" i="6"/>
  <c r="D167" i="6" s="1"/>
  <c r="D158" i="6"/>
  <c r="D151" i="6"/>
  <c r="D164" i="6" s="1"/>
  <c r="E211" i="6"/>
  <c r="E242" i="6" s="1"/>
  <c r="G222" i="6"/>
  <c r="G231" i="6"/>
  <c r="I242" i="6"/>
  <c r="M242" i="6"/>
  <c r="Q242" i="6"/>
  <c r="U242" i="6"/>
  <c r="F222" i="6"/>
  <c r="G242" i="6"/>
  <c r="K242" i="6"/>
  <c r="O242" i="6"/>
  <c r="S242" i="6"/>
  <c r="W242" i="6"/>
  <c r="F242" i="6"/>
  <c r="J242" i="6"/>
  <c r="N242" i="6"/>
  <c r="R242" i="6"/>
  <c r="Q7" i="2"/>
  <c r="I16" i="11" l="1"/>
  <c r="J14" i="11"/>
  <c r="H33" i="11"/>
  <c r="H34" i="11" s="1"/>
  <c r="H19" i="11"/>
  <c r="H21" i="11" s="1"/>
  <c r="H23" i="11" s="1"/>
  <c r="H37" i="11" s="1"/>
  <c r="H17" i="11"/>
  <c r="H18" i="11" s="1"/>
  <c r="H20" i="11" s="1"/>
  <c r="H22" i="11" s="1"/>
  <c r="K272" i="6"/>
  <c r="J273" i="6"/>
  <c r="J275" i="6" s="1"/>
  <c r="C60" i="10"/>
  <c r="E232" i="8"/>
  <c r="D13" i="8"/>
  <c r="D174" i="8" s="1"/>
  <c r="D48" i="9"/>
  <c r="D45" i="9"/>
  <c r="D13" i="9"/>
  <c r="D77" i="9" s="1"/>
  <c r="B11" i="6"/>
  <c r="B230" i="6"/>
  <c r="B11" i="8"/>
  <c r="D44" i="8"/>
  <c r="E44" i="8" s="1"/>
  <c r="F44" i="8" s="1"/>
  <c r="G44" i="8" s="1"/>
  <c r="H44" i="8" s="1"/>
  <c r="I44" i="8" s="1"/>
  <c r="J44" i="8" s="1"/>
  <c r="K44" i="8" s="1"/>
  <c r="L44" i="8" s="1"/>
  <c r="M44" i="8" s="1"/>
  <c r="N44" i="8" s="1"/>
  <c r="O44" i="8" s="1"/>
  <c r="P44" i="8" s="1"/>
  <c r="Q44" i="8" s="1"/>
  <c r="R44" i="8" s="1"/>
  <c r="S44" i="8" s="1"/>
  <c r="T44" i="8" s="1"/>
  <c r="U44" i="8" s="1"/>
  <c r="V44" i="8" s="1"/>
  <c r="W44" i="8" s="1"/>
  <c r="C245" i="8" s="1"/>
  <c r="D176" i="8"/>
  <c r="H267" i="6"/>
  <c r="F232" i="9"/>
  <c r="G39" i="9"/>
  <c r="E48" i="9"/>
  <c r="F40" i="9"/>
  <c r="F41" i="9" s="1"/>
  <c r="D163" i="9"/>
  <c r="D164" i="9"/>
  <c r="D174" i="9"/>
  <c r="E220" i="9"/>
  <c r="E232" i="9"/>
  <c r="D220" i="9"/>
  <c r="D232" i="9"/>
  <c r="C221" i="9"/>
  <c r="G232" i="9"/>
  <c r="H229" i="9"/>
  <c r="Y19" i="9"/>
  <c r="D166" i="9"/>
  <c r="D160" i="9"/>
  <c r="D181" i="9"/>
  <c r="D181" i="8"/>
  <c r="F232" i="8"/>
  <c r="G229" i="8"/>
  <c r="D170" i="8"/>
  <c r="D166" i="8"/>
  <c r="D220" i="8"/>
  <c r="C220" i="8" s="1"/>
  <c r="D232" i="8"/>
  <c r="C221" i="8"/>
  <c r="D164" i="8"/>
  <c r="D182" i="8"/>
  <c r="D180" i="8"/>
  <c r="D175" i="8"/>
  <c r="D178" i="8"/>
  <c r="D80" i="8"/>
  <c r="D79" i="8"/>
  <c r="D78" i="8"/>
  <c r="D77" i="8"/>
  <c r="D76" i="8"/>
  <c r="D75" i="8"/>
  <c r="D74" i="8"/>
  <c r="E13" i="8"/>
  <c r="D73" i="8"/>
  <c r="D72" i="8"/>
  <c r="D71" i="8"/>
  <c r="D70" i="8"/>
  <c r="Y19" i="8"/>
  <c r="W8" i="2" s="1"/>
  <c r="D173" i="8"/>
  <c r="D180" i="6"/>
  <c r="D194" i="6" s="1"/>
  <c r="G234" i="6"/>
  <c r="H231" i="6"/>
  <c r="D181" i="6"/>
  <c r="D195" i="6" s="1"/>
  <c r="D234" i="6"/>
  <c r="D87" i="6"/>
  <c r="F234" i="6"/>
  <c r="D162" i="6"/>
  <c r="D176" i="6"/>
  <c r="D190" i="6" s="1"/>
  <c r="D182" i="6"/>
  <c r="D196" i="6" s="1"/>
  <c r="D178" i="6"/>
  <c r="D192" i="6" s="1"/>
  <c r="D174" i="6"/>
  <c r="D188" i="6" s="1"/>
  <c r="Y20" i="6"/>
  <c r="D171" i="6"/>
  <c r="D177" i="6"/>
  <c r="D191" i="6" s="1"/>
  <c r="H14" i="6"/>
  <c r="E222" i="6"/>
  <c r="E234" i="6"/>
  <c r="D183" i="6"/>
  <c r="D197" i="6" s="1"/>
  <c r="D166" i="6"/>
  <c r="H19" i="1"/>
  <c r="I19" i="1"/>
  <c r="J19" i="1"/>
  <c r="K19" i="1"/>
  <c r="L19" i="1"/>
  <c r="M19" i="1"/>
  <c r="N19" i="1"/>
  <c r="O19" i="1"/>
  <c r="P19" i="1"/>
  <c r="Q19" i="1"/>
  <c r="C34" i="1"/>
  <c r="D44" i="1"/>
  <c r="E44" i="1" s="1"/>
  <c r="F44" i="1" s="1"/>
  <c r="G44" i="1" s="1"/>
  <c r="H44" i="1" s="1"/>
  <c r="I44" i="1" s="1"/>
  <c r="J44" i="1" s="1"/>
  <c r="K44" i="1" s="1"/>
  <c r="L44" i="1" s="1"/>
  <c r="M44" i="1" s="1"/>
  <c r="N44" i="1" s="1"/>
  <c r="O44" i="1" s="1"/>
  <c r="P44" i="1" s="1"/>
  <c r="Q44" i="1" s="1"/>
  <c r="R44" i="1" s="1"/>
  <c r="S44" i="1" s="1"/>
  <c r="T44" i="1" s="1"/>
  <c r="U44" i="1" s="1"/>
  <c r="V44" i="1" s="1"/>
  <c r="W44" i="1" s="1"/>
  <c r="C245" i="1" s="1"/>
  <c r="D120" i="1"/>
  <c r="D134" i="1"/>
  <c r="B10" i="1"/>
  <c r="D13" i="1" s="1"/>
  <c r="D121" i="1"/>
  <c r="D122" i="1"/>
  <c r="D123" i="1"/>
  <c r="D124" i="1"/>
  <c r="D125" i="1"/>
  <c r="D126" i="1"/>
  <c r="D127" i="1"/>
  <c r="D128" i="1"/>
  <c r="D129" i="1"/>
  <c r="D130" i="1"/>
  <c r="E120" i="1"/>
  <c r="E121" i="1"/>
  <c r="E122" i="1"/>
  <c r="E123" i="1"/>
  <c r="E124" i="1"/>
  <c r="E125" i="1"/>
  <c r="E126" i="1"/>
  <c r="E127" i="1"/>
  <c r="E128" i="1"/>
  <c r="E129" i="1"/>
  <c r="E130" i="1"/>
  <c r="F120" i="1"/>
  <c r="F121" i="1"/>
  <c r="F122" i="1"/>
  <c r="F123" i="1"/>
  <c r="F124" i="1"/>
  <c r="F125" i="1"/>
  <c r="F126" i="1"/>
  <c r="F127" i="1"/>
  <c r="F128" i="1"/>
  <c r="F129" i="1"/>
  <c r="F130" i="1"/>
  <c r="G120" i="1"/>
  <c r="G121" i="1"/>
  <c r="G122" i="1"/>
  <c r="G123" i="1"/>
  <c r="G124" i="1"/>
  <c r="G125" i="1"/>
  <c r="G126" i="1"/>
  <c r="G127" i="1"/>
  <c r="G128" i="1"/>
  <c r="G129" i="1"/>
  <c r="G130" i="1"/>
  <c r="H120" i="1"/>
  <c r="H121" i="1"/>
  <c r="H122" i="1"/>
  <c r="H123" i="1"/>
  <c r="H124" i="1"/>
  <c r="H125" i="1"/>
  <c r="H126" i="1"/>
  <c r="H127" i="1"/>
  <c r="H128" i="1"/>
  <c r="H129" i="1"/>
  <c r="H130" i="1"/>
  <c r="I120" i="1"/>
  <c r="I121" i="1"/>
  <c r="I122" i="1"/>
  <c r="I123" i="1"/>
  <c r="I124" i="1"/>
  <c r="I125" i="1"/>
  <c r="I126" i="1"/>
  <c r="I127" i="1"/>
  <c r="I128" i="1"/>
  <c r="I129" i="1"/>
  <c r="J120" i="1"/>
  <c r="J121" i="1"/>
  <c r="J122" i="1"/>
  <c r="J123" i="1"/>
  <c r="J124" i="1"/>
  <c r="J125" i="1"/>
  <c r="J126" i="1"/>
  <c r="J127" i="1"/>
  <c r="K120" i="1"/>
  <c r="K121" i="1"/>
  <c r="K122" i="1"/>
  <c r="K123" i="1"/>
  <c r="K124" i="1"/>
  <c r="K125" i="1"/>
  <c r="L120" i="1"/>
  <c r="L121" i="1"/>
  <c r="L122" i="1"/>
  <c r="L123" i="1"/>
  <c r="M120" i="1"/>
  <c r="M121" i="1"/>
  <c r="D107" i="1"/>
  <c r="N120" i="1" s="1"/>
  <c r="I215" i="1"/>
  <c r="J215" i="1"/>
  <c r="K215" i="1"/>
  <c r="L215" i="1"/>
  <c r="M215" i="1"/>
  <c r="N215" i="1"/>
  <c r="O215" i="1"/>
  <c r="P215" i="1"/>
  <c r="P240" i="1" s="1"/>
  <c r="Q215" i="1"/>
  <c r="R215" i="1"/>
  <c r="S215" i="1"/>
  <c r="T215" i="1"/>
  <c r="U215" i="1"/>
  <c r="V215" i="1"/>
  <c r="W215" i="1"/>
  <c r="D24" i="2"/>
  <c r="D23" i="2"/>
  <c r="B251" i="1"/>
  <c r="B252" i="1" s="1"/>
  <c r="B253" i="1" s="1"/>
  <c r="B228" i="1"/>
  <c r="G34" i="2"/>
  <c r="H34" i="2"/>
  <c r="I34" i="2"/>
  <c r="J34" i="2"/>
  <c r="K34" i="2"/>
  <c r="L34" i="2"/>
  <c r="M34" i="2"/>
  <c r="N34" i="2"/>
  <c r="O34" i="2"/>
  <c r="P34" i="2"/>
  <c r="F34" i="2"/>
  <c r="B245" i="1"/>
  <c r="B11" i="1"/>
  <c r="U19" i="1"/>
  <c r="E229" i="1"/>
  <c r="D209" i="1"/>
  <c r="F240" i="1" s="1"/>
  <c r="D210" i="1"/>
  <c r="E210" i="1" s="1"/>
  <c r="D208" i="1"/>
  <c r="D207" i="1"/>
  <c r="H214" i="1" s="1"/>
  <c r="H220" i="1" s="1"/>
  <c r="D204" i="1"/>
  <c r="D203" i="1"/>
  <c r="D135" i="1"/>
  <c r="D136" i="1"/>
  <c r="D137" i="1"/>
  <c r="D138" i="1"/>
  <c r="D139" i="1"/>
  <c r="D140" i="1"/>
  <c r="D141" i="1"/>
  <c r="D154" i="1" s="1"/>
  <c r="D142" i="1"/>
  <c r="D143" i="1"/>
  <c r="D144" i="1"/>
  <c r="D108" i="1"/>
  <c r="N121" i="1" s="1"/>
  <c r="D109" i="1"/>
  <c r="M122" i="1" s="1"/>
  <c r="D110" i="1"/>
  <c r="M123" i="1" s="1"/>
  <c r="D111" i="1"/>
  <c r="L124" i="1" s="1"/>
  <c r="D112" i="1"/>
  <c r="L125" i="1" s="1"/>
  <c r="D113" i="1"/>
  <c r="K126" i="1" s="1"/>
  <c r="D114" i="1"/>
  <c r="K127" i="1" s="1"/>
  <c r="D115" i="1"/>
  <c r="J128" i="1" s="1"/>
  <c r="D116" i="1"/>
  <c r="J129" i="1" s="1"/>
  <c r="D117" i="1"/>
  <c r="I130" i="1" s="1"/>
  <c r="D99" i="1"/>
  <c r="E99" i="1"/>
  <c r="F99" i="1"/>
  <c r="G99" i="1"/>
  <c r="H99" i="1"/>
  <c r="I99" i="1"/>
  <c r="J99" i="1"/>
  <c r="K99" i="1"/>
  <c r="L99" i="1"/>
  <c r="M99" i="1"/>
  <c r="N99" i="1"/>
  <c r="O99" i="1"/>
  <c r="P99" i="1"/>
  <c r="Q99" i="1"/>
  <c r="R99" i="1"/>
  <c r="S99" i="1"/>
  <c r="T99" i="1"/>
  <c r="U99" i="1"/>
  <c r="V99" i="1"/>
  <c r="W99" i="1"/>
  <c r="D100" i="1"/>
  <c r="E100" i="1"/>
  <c r="F100" i="1"/>
  <c r="G100" i="1"/>
  <c r="H100" i="1"/>
  <c r="I100" i="1"/>
  <c r="J100" i="1"/>
  <c r="K100" i="1"/>
  <c r="L100" i="1"/>
  <c r="M100" i="1"/>
  <c r="N100" i="1"/>
  <c r="O100" i="1"/>
  <c r="P100" i="1"/>
  <c r="Q100" i="1"/>
  <c r="R100" i="1"/>
  <c r="S100" i="1"/>
  <c r="T100" i="1"/>
  <c r="U100" i="1"/>
  <c r="V100" i="1"/>
  <c r="W100" i="1"/>
  <c r="D101" i="1"/>
  <c r="E101" i="1"/>
  <c r="F101" i="1"/>
  <c r="G101" i="1"/>
  <c r="H101" i="1"/>
  <c r="I101" i="1"/>
  <c r="J101" i="1"/>
  <c r="K101" i="1"/>
  <c r="L101" i="1"/>
  <c r="M101" i="1"/>
  <c r="N101" i="1"/>
  <c r="O101" i="1"/>
  <c r="P101" i="1"/>
  <c r="Q101" i="1"/>
  <c r="R101" i="1"/>
  <c r="S101" i="1"/>
  <c r="T101" i="1"/>
  <c r="U101" i="1"/>
  <c r="V101" i="1"/>
  <c r="W101" i="1"/>
  <c r="D92" i="1"/>
  <c r="E92" i="1"/>
  <c r="F92" i="1"/>
  <c r="G92" i="1"/>
  <c r="H92" i="1"/>
  <c r="I92" i="1"/>
  <c r="J92" i="1"/>
  <c r="K92" i="1"/>
  <c r="L92" i="1"/>
  <c r="M92" i="1"/>
  <c r="N92" i="1"/>
  <c r="O92" i="1"/>
  <c r="P92" i="1"/>
  <c r="Q92" i="1"/>
  <c r="R92" i="1"/>
  <c r="S92" i="1"/>
  <c r="T92" i="1"/>
  <c r="U92" i="1"/>
  <c r="V92" i="1"/>
  <c r="W92" i="1"/>
  <c r="D93" i="1"/>
  <c r="E93" i="1"/>
  <c r="F93" i="1"/>
  <c r="G93" i="1"/>
  <c r="H93" i="1"/>
  <c r="I93" i="1"/>
  <c r="J93" i="1"/>
  <c r="K93" i="1"/>
  <c r="L93" i="1"/>
  <c r="M93" i="1"/>
  <c r="N93" i="1"/>
  <c r="O93" i="1"/>
  <c r="P93" i="1"/>
  <c r="Q93" i="1"/>
  <c r="R93" i="1"/>
  <c r="S93" i="1"/>
  <c r="T93" i="1"/>
  <c r="U93" i="1"/>
  <c r="V93" i="1"/>
  <c r="W93" i="1"/>
  <c r="D94" i="1"/>
  <c r="E94" i="1"/>
  <c r="F94" i="1"/>
  <c r="G94" i="1"/>
  <c r="H94" i="1"/>
  <c r="I94" i="1"/>
  <c r="J94" i="1"/>
  <c r="K94" i="1"/>
  <c r="L94" i="1"/>
  <c r="M94" i="1"/>
  <c r="N94" i="1"/>
  <c r="O94" i="1"/>
  <c r="P94" i="1"/>
  <c r="Q94" i="1"/>
  <c r="R94" i="1"/>
  <c r="S94" i="1"/>
  <c r="T94" i="1"/>
  <c r="U94" i="1"/>
  <c r="V94" i="1"/>
  <c r="W94" i="1"/>
  <c r="D95" i="1"/>
  <c r="E95" i="1"/>
  <c r="F95" i="1"/>
  <c r="G95" i="1"/>
  <c r="H95" i="1"/>
  <c r="I95" i="1"/>
  <c r="J95" i="1"/>
  <c r="K95" i="1"/>
  <c r="L95" i="1"/>
  <c r="M95" i="1"/>
  <c r="N95" i="1"/>
  <c r="O95" i="1"/>
  <c r="P95" i="1"/>
  <c r="Q95" i="1"/>
  <c r="R95" i="1"/>
  <c r="S95" i="1"/>
  <c r="T95" i="1"/>
  <c r="U95" i="1"/>
  <c r="V95" i="1"/>
  <c r="W95" i="1"/>
  <c r="D96" i="1"/>
  <c r="D152" i="1" s="1"/>
  <c r="E96" i="1"/>
  <c r="F96" i="1"/>
  <c r="G96" i="1"/>
  <c r="H96" i="1"/>
  <c r="I96" i="1"/>
  <c r="J96" i="1"/>
  <c r="K96" i="1"/>
  <c r="L96" i="1"/>
  <c r="M96" i="1"/>
  <c r="N96" i="1"/>
  <c r="O96" i="1"/>
  <c r="P96" i="1"/>
  <c r="Q96" i="1"/>
  <c r="R96" i="1"/>
  <c r="S96" i="1"/>
  <c r="T96" i="1"/>
  <c r="U96" i="1"/>
  <c r="V96" i="1"/>
  <c r="W96" i="1"/>
  <c r="D97" i="1"/>
  <c r="E97" i="1"/>
  <c r="F97" i="1"/>
  <c r="G97" i="1"/>
  <c r="H97" i="1"/>
  <c r="I97" i="1"/>
  <c r="J97" i="1"/>
  <c r="K97" i="1"/>
  <c r="L97" i="1"/>
  <c r="M97" i="1"/>
  <c r="N97" i="1"/>
  <c r="O97" i="1"/>
  <c r="P97" i="1"/>
  <c r="Q97" i="1"/>
  <c r="R97" i="1"/>
  <c r="S97" i="1"/>
  <c r="T97" i="1"/>
  <c r="U97" i="1"/>
  <c r="V97" i="1"/>
  <c r="W97" i="1"/>
  <c r="D98" i="1"/>
  <c r="E98" i="1"/>
  <c r="F98" i="1"/>
  <c r="G98" i="1"/>
  <c r="H98" i="1"/>
  <c r="I98" i="1"/>
  <c r="J98" i="1"/>
  <c r="K98" i="1"/>
  <c r="L98" i="1"/>
  <c r="M98" i="1"/>
  <c r="N98" i="1"/>
  <c r="O98" i="1"/>
  <c r="P98" i="1"/>
  <c r="Q98" i="1"/>
  <c r="R98" i="1"/>
  <c r="S98" i="1"/>
  <c r="T98" i="1"/>
  <c r="U98" i="1"/>
  <c r="V98" i="1"/>
  <c r="W98" i="1"/>
  <c r="E91" i="1"/>
  <c r="F91" i="1"/>
  <c r="G91" i="1"/>
  <c r="H91" i="1"/>
  <c r="I91" i="1"/>
  <c r="J91" i="1"/>
  <c r="K91" i="1"/>
  <c r="L91" i="1"/>
  <c r="M91" i="1"/>
  <c r="N91" i="1"/>
  <c r="O91" i="1"/>
  <c r="P91" i="1"/>
  <c r="Q91" i="1"/>
  <c r="R91" i="1"/>
  <c r="S91" i="1"/>
  <c r="T91" i="1"/>
  <c r="U91" i="1"/>
  <c r="V91" i="1"/>
  <c r="W91" i="1"/>
  <c r="D91" i="1"/>
  <c r="D147" i="1" s="1"/>
  <c r="K93" i="2"/>
  <c r="H93" i="2"/>
  <c r="I93" i="2"/>
  <c r="J93" i="2"/>
  <c r="G93" i="2"/>
  <c r="BA93" i="2"/>
  <c r="BB93" i="2"/>
  <c r="BC93" i="2"/>
  <c r="BD93" i="2"/>
  <c r="AZ93" i="2"/>
  <c r="AV93" i="2"/>
  <c r="AW93" i="2"/>
  <c r="AX93" i="2"/>
  <c r="AY93" i="2"/>
  <c r="AU93" i="2"/>
  <c r="AQ93" i="2"/>
  <c r="AR93" i="2"/>
  <c r="AS93" i="2"/>
  <c r="AT93" i="2"/>
  <c r="AP93" i="2"/>
  <c r="AL93" i="2"/>
  <c r="AM93" i="2"/>
  <c r="AN93" i="2"/>
  <c r="AO93" i="2"/>
  <c r="AK93" i="2"/>
  <c r="AG93" i="2"/>
  <c r="AH93" i="2"/>
  <c r="AI93" i="2"/>
  <c r="AJ93" i="2"/>
  <c r="AF93" i="2"/>
  <c r="AB93" i="2"/>
  <c r="AC93" i="2"/>
  <c r="AD93" i="2"/>
  <c r="AE93" i="2"/>
  <c r="AA93" i="2"/>
  <c r="W93" i="2"/>
  <c r="X93" i="2"/>
  <c r="Y93" i="2"/>
  <c r="Z93" i="2"/>
  <c r="V93" i="2"/>
  <c r="R93" i="2"/>
  <c r="S93" i="2"/>
  <c r="T93" i="2"/>
  <c r="U93" i="2"/>
  <c r="Q93" i="2"/>
  <c r="M93" i="2"/>
  <c r="N93" i="2"/>
  <c r="O93" i="2"/>
  <c r="P93" i="2"/>
  <c r="L93" i="2"/>
  <c r="G101" i="2"/>
  <c r="J2" i="2"/>
  <c r="H3" i="2"/>
  <c r="H2" i="2"/>
  <c r="F37" i="2"/>
  <c r="D156" i="1"/>
  <c r="D148" i="1"/>
  <c r="E208" i="1"/>
  <c r="H240" i="1"/>
  <c r="F229" i="1"/>
  <c r="G229" i="1" s="1"/>
  <c r="G12" i="2"/>
  <c r="H12" i="2"/>
  <c r="I12" i="2"/>
  <c r="J12" i="2"/>
  <c r="K12" i="2"/>
  <c r="L12" i="2"/>
  <c r="M12" i="2"/>
  <c r="N12" i="2"/>
  <c r="O12" i="2"/>
  <c r="P12" i="2" s="1"/>
  <c r="Q11" i="2" s="1"/>
  <c r="F12" i="2"/>
  <c r="G17" i="2"/>
  <c r="H17" i="2"/>
  <c r="I17" i="2"/>
  <c r="J17" i="2"/>
  <c r="K17" i="2"/>
  <c r="L17" i="2"/>
  <c r="M17" i="2"/>
  <c r="N17" i="2"/>
  <c r="O17" i="2"/>
  <c r="P17" i="2"/>
  <c r="G18" i="2"/>
  <c r="H18" i="2"/>
  <c r="I18" i="2"/>
  <c r="J18" i="2"/>
  <c r="K18" i="2"/>
  <c r="L18" i="2"/>
  <c r="M18" i="2"/>
  <c r="N18" i="2"/>
  <c r="O18" i="2"/>
  <c r="P18" i="2"/>
  <c r="G19" i="2"/>
  <c r="H19" i="2"/>
  <c r="I19" i="2"/>
  <c r="J19" i="2"/>
  <c r="K19" i="2"/>
  <c r="L19" i="2"/>
  <c r="M19" i="2"/>
  <c r="N19" i="2"/>
  <c r="O19" i="2"/>
  <c r="P19" i="2"/>
  <c r="F18" i="2"/>
  <c r="F19" i="2"/>
  <c r="B29" i="1"/>
  <c r="N31" i="1" s="1"/>
  <c r="F17" i="2"/>
  <c r="P25" i="2"/>
  <c r="P44" i="2" s="1"/>
  <c r="O25" i="2"/>
  <c r="N25" i="2"/>
  <c r="N31" i="2" s="1"/>
  <c r="M25" i="2"/>
  <c r="L25" i="2"/>
  <c r="L31" i="2" s="1"/>
  <c r="K25" i="2"/>
  <c r="J25" i="2"/>
  <c r="J31" i="2" s="1"/>
  <c r="I25" i="2"/>
  <c r="H25" i="2"/>
  <c r="H31" i="2" s="1"/>
  <c r="G25" i="2"/>
  <c r="F25" i="2"/>
  <c r="P20" i="2"/>
  <c r="O10" i="2"/>
  <c r="O20" i="2" s="1"/>
  <c r="N10" i="2"/>
  <c r="N20" i="2" s="1"/>
  <c r="M10" i="2"/>
  <c r="M20" i="2" s="1"/>
  <c r="L10" i="2"/>
  <c r="L20" i="2" s="1"/>
  <c r="K10" i="2"/>
  <c r="K20" i="2" s="1"/>
  <c r="J10" i="2"/>
  <c r="J20" i="2" s="1"/>
  <c r="I10" i="2"/>
  <c r="I20" i="2" s="1"/>
  <c r="H10" i="2"/>
  <c r="H20" i="2" s="1"/>
  <c r="G10" i="2"/>
  <c r="G20" i="2" s="1"/>
  <c r="F10" i="2"/>
  <c r="F20" i="2" s="1"/>
  <c r="D188" i="8" l="1"/>
  <c r="M240" i="1"/>
  <c r="G214" i="1"/>
  <c r="G220" i="1" s="1"/>
  <c r="D153" i="1"/>
  <c r="D151" i="1"/>
  <c r="D164" i="1" s="1"/>
  <c r="D177" i="1" s="1"/>
  <c r="D149" i="1"/>
  <c r="D157" i="1"/>
  <c r="D155" i="1"/>
  <c r="U240" i="1"/>
  <c r="Q240" i="1"/>
  <c r="I240" i="1"/>
  <c r="F214" i="1"/>
  <c r="F220" i="1" s="1"/>
  <c r="G240" i="1"/>
  <c r="E214" i="1"/>
  <c r="E232" i="1" s="1"/>
  <c r="J16" i="11"/>
  <c r="K14" i="11"/>
  <c r="H36" i="11"/>
  <c r="I19" i="11"/>
  <c r="I21" i="11" s="1"/>
  <c r="I23" i="11" s="1"/>
  <c r="I33" i="11"/>
  <c r="I34" i="11" s="1"/>
  <c r="I17" i="11"/>
  <c r="I18" i="11" s="1"/>
  <c r="I20" i="11" s="1"/>
  <c r="I22" i="11" s="1"/>
  <c r="I32" i="11"/>
  <c r="D214" i="1"/>
  <c r="D232" i="1" s="1"/>
  <c r="D182" i="9"/>
  <c r="C220" i="9"/>
  <c r="E240" i="1"/>
  <c r="D150" i="1"/>
  <c r="D240" i="1"/>
  <c r="L272" i="6"/>
  <c r="K273" i="6"/>
  <c r="K275" i="6" s="1"/>
  <c r="P42" i="2"/>
  <c r="H42" i="2"/>
  <c r="H44" i="2"/>
  <c r="V240" i="1"/>
  <c r="T240" i="1"/>
  <c r="R240" i="1"/>
  <c r="N240" i="1"/>
  <c r="L240" i="1"/>
  <c r="J240" i="1"/>
  <c r="L42" i="2"/>
  <c r="N44" i="2"/>
  <c r="W240" i="1"/>
  <c r="S240" i="1"/>
  <c r="O240" i="1"/>
  <c r="K240" i="1"/>
  <c r="D178" i="9"/>
  <c r="D192" i="9" s="1"/>
  <c r="D183" i="9"/>
  <c r="D180" i="9"/>
  <c r="D194" i="9" s="1"/>
  <c r="E13" i="9"/>
  <c r="F13" i="9" s="1"/>
  <c r="G13" i="9" s="1"/>
  <c r="H13" i="9" s="1"/>
  <c r="I13" i="9" s="1"/>
  <c r="J13" i="9" s="1"/>
  <c r="K13" i="9" s="1"/>
  <c r="L13" i="9" s="1"/>
  <c r="M13" i="9" s="1"/>
  <c r="N13" i="9" s="1"/>
  <c r="O13" i="9" s="1"/>
  <c r="P13" i="9" s="1"/>
  <c r="Q13" i="9" s="1"/>
  <c r="R13" i="9" s="1"/>
  <c r="S13" i="9" s="1"/>
  <c r="T13" i="9" s="1"/>
  <c r="U13" i="9" s="1"/>
  <c r="V13" i="9" s="1"/>
  <c r="W13" i="9" s="1"/>
  <c r="D80" i="9"/>
  <c r="D78" i="9"/>
  <c r="D71" i="9"/>
  <c r="D73" i="9"/>
  <c r="D75" i="9"/>
  <c r="D175" i="9"/>
  <c r="D79" i="9"/>
  <c r="D196" i="9" s="1"/>
  <c r="D70" i="9"/>
  <c r="D72" i="9"/>
  <c r="D74" i="9"/>
  <c r="D76" i="9"/>
  <c r="D195" i="9"/>
  <c r="D188" i="9"/>
  <c r="G31" i="1"/>
  <c r="M31" i="1"/>
  <c r="L31" i="1"/>
  <c r="I31" i="1"/>
  <c r="J31" i="1"/>
  <c r="H31" i="1"/>
  <c r="E31" i="1"/>
  <c r="F31" i="1"/>
  <c r="D31" i="1"/>
  <c r="K31" i="1"/>
  <c r="D190" i="8"/>
  <c r="C223" i="6"/>
  <c r="D179" i="9"/>
  <c r="H232" i="9"/>
  <c r="I229" i="9"/>
  <c r="D176" i="9"/>
  <c r="D190" i="9" s="1"/>
  <c r="H39" i="9"/>
  <c r="D173" i="9"/>
  <c r="D177" i="9"/>
  <c r="Z19" i="9"/>
  <c r="G40" i="9"/>
  <c r="G41" i="9" s="1"/>
  <c r="F48" i="9"/>
  <c r="D195" i="8"/>
  <c r="D192" i="8"/>
  <c r="D194" i="8"/>
  <c r="D189" i="8"/>
  <c r="D183" i="8"/>
  <c r="D197" i="8" s="1"/>
  <c r="G232" i="8"/>
  <c r="H229" i="8"/>
  <c r="D187" i="8"/>
  <c r="D86" i="8"/>
  <c r="F13" i="8"/>
  <c r="D177" i="8"/>
  <c r="D191" i="8" s="1"/>
  <c r="D179" i="8"/>
  <c r="D193" i="8" s="1"/>
  <c r="Z19" i="8"/>
  <c r="X8" i="2" s="1"/>
  <c r="D196" i="8"/>
  <c r="D179" i="6"/>
  <c r="D193" i="6" s="1"/>
  <c r="I14" i="6"/>
  <c r="H234" i="6"/>
  <c r="I231" i="6"/>
  <c r="D184" i="6"/>
  <c r="D198" i="6" s="1"/>
  <c r="Z20" i="6"/>
  <c r="D175" i="6"/>
  <c r="D189" i="6" s="1"/>
  <c r="C222" i="6"/>
  <c r="G30" i="2"/>
  <c r="K2" i="2"/>
  <c r="J42" i="2"/>
  <c r="L44" i="2"/>
  <c r="J44" i="2"/>
  <c r="R17" i="2"/>
  <c r="N42" i="2"/>
  <c r="D25" i="2"/>
  <c r="C24" i="2" s="1"/>
  <c r="H229" i="1"/>
  <c r="H232" i="1" s="1"/>
  <c r="B16" i="1"/>
  <c r="D161" i="1"/>
  <c r="D174" i="1" s="1"/>
  <c r="I30" i="2"/>
  <c r="K30" i="2"/>
  <c r="M30" i="2"/>
  <c r="O30" i="2"/>
  <c r="P45" i="2"/>
  <c r="N45" i="2"/>
  <c r="L45" i="2"/>
  <c r="J45" i="2"/>
  <c r="H45" i="2"/>
  <c r="F45" i="2"/>
  <c r="O44" i="2"/>
  <c r="M44" i="2"/>
  <c r="K44" i="2"/>
  <c r="I44" i="2"/>
  <c r="G44" i="2"/>
  <c r="O43" i="2"/>
  <c r="M43" i="2"/>
  <c r="K43" i="2"/>
  <c r="I43" i="2"/>
  <c r="G43" i="2"/>
  <c r="Q12" i="2"/>
  <c r="R11" i="2" s="1"/>
  <c r="O26" i="2"/>
  <c r="N26" i="2"/>
  <c r="N46" i="2" s="1"/>
  <c r="M26" i="2"/>
  <c r="L26" i="2"/>
  <c r="K26" i="2"/>
  <c r="J26" i="2"/>
  <c r="J46" i="2" s="1"/>
  <c r="I26" i="2"/>
  <c r="H26" i="2"/>
  <c r="G26" i="2"/>
  <c r="F44" i="2"/>
  <c r="F31" i="2"/>
  <c r="F30" i="2"/>
  <c r="H30" i="2"/>
  <c r="J30" i="2"/>
  <c r="L30" i="2"/>
  <c r="N30" i="2"/>
  <c r="P31" i="2"/>
  <c r="P30" i="2"/>
  <c r="BD84" i="2"/>
  <c r="O42" i="2"/>
  <c r="M42" i="2"/>
  <c r="K42" i="2"/>
  <c r="I42" i="2"/>
  <c r="G42" i="2"/>
  <c r="O45" i="2"/>
  <c r="M45" i="2"/>
  <c r="K45" i="2"/>
  <c r="I45" i="2"/>
  <c r="G45" i="2"/>
  <c r="P43" i="2"/>
  <c r="N43" i="2"/>
  <c r="L43" i="2"/>
  <c r="J43" i="2"/>
  <c r="H43" i="2"/>
  <c r="F43" i="2"/>
  <c r="F26" i="2"/>
  <c r="O31" i="2"/>
  <c r="M31" i="2"/>
  <c r="K31" i="2"/>
  <c r="I31" i="2"/>
  <c r="G31" i="2"/>
  <c r="P38" i="2"/>
  <c r="P39" i="2" s="1"/>
  <c r="F42" i="2"/>
  <c r="D165" i="1"/>
  <c r="D178" i="1" s="1"/>
  <c r="D170" i="1"/>
  <c r="D183" i="1" s="1"/>
  <c r="D168" i="1"/>
  <c r="D181" i="1" s="1"/>
  <c r="D166" i="1"/>
  <c r="D179" i="1" s="1"/>
  <c r="D163" i="1"/>
  <c r="D176" i="1" s="1"/>
  <c r="V19" i="1"/>
  <c r="D169" i="1"/>
  <c r="D182" i="1" s="1"/>
  <c r="D167" i="1"/>
  <c r="D180" i="1" s="1"/>
  <c r="D162" i="1"/>
  <c r="D175" i="1" s="1"/>
  <c r="D160" i="1"/>
  <c r="D173" i="1" s="1"/>
  <c r="D70" i="1"/>
  <c r="D73" i="1"/>
  <c r="D74" i="1"/>
  <c r="D78" i="1"/>
  <c r="D79" i="1"/>
  <c r="D71" i="1"/>
  <c r="D72" i="1"/>
  <c r="D75" i="1"/>
  <c r="D76" i="1"/>
  <c r="D77" i="1"/>
  <c r="D80" i="1"/>
  <c r="E13" i="1"/>
  <c r="I36" i="11" l="1"/>
  <c r="I37" i="11"/>
  <c r="G232" i="1"/>
  <c r="C221" i="1"/>
  <c r="E220" i="1"/>
  <c r="C23" i="2"/>
  <c r="F232" i="1"/>
  <c r="D220" i="1"/>
  <c r="K16" i="11"/>
  <c r="L14" i="11"/>
  <c r="J33" i="11"/>
  <c r="J34" i="11" s="1"/>
  <c r="J17" i="11"/>
  <c r="J18" i="11" s="1"/>
  <c r="J20" i="11" s="1"/>
  <c r="J22" i="11" s="1"/>
  <c r="J36" i="11" s="1"/>
  <c r="J19" i="11"/>
  <c r="J21" i="11" s="1"/>
  <c r="J23" i="11" s="1"/>
  <c r="J37" i="11" s="1"/>
  <c r="J32" i="11"/>
  <c r="M272" i="6"/>
  <c r="L273" i="6"/>
  <c r="L275" i="6" s="1"/>
  <c r="D193" i="9"/>
  <c r="D197" i="9"/>
  <c r="D191" i="9"/>
  <c r="D86" i="9"/>
  <c r="D189" i="9"/>
  <c r="I232" i="9"/>
  <c r="J229" i="9"/>
  <c r="H40" i="9"/>
  <c r="H49" i="9" s="1"/>
  <c r="G48" i="9"/>
  <c r="D184" i="9"/>
  <c r="D187" i="9"/>
  <c r="AA19" i="9"/>
  <c r="I39" i="9"/>
  <c r="D184" i="8"/>
  <c r="H232" i="8"/>
  <c r="I229" i="8"/>
  <c r="D198" i="8"/>
  <c r="D213" i="8" s="1"/>
  <c r="G13" i="8"/>
  <c r="AA19" i="8"/>
  <c r="Y8" i="2" s="1"/>
  <c r="D199" i="6"/>
  <c r="D185" i="6"/>
  <c r="AA20" i="6"/>
  <c r="I234" i="6"/>
  <c r="J231" i="6"/>
  <c r="J14" i="6"/>
  <c r="D194" i="1"/>
  <c r="D193" i="1"/>
  <c r="D196" i="1"/>
  <c r="D192" i="1"/>
  <c r="D189" i="1"/>
  <c r="I229" i="1"/>
  <c r="J229" i="1" s="1"/>
  <c r="D188" i="1"/>
  <c r="D191" i="1"/>
  <c r="D190" i="1"/>
  <c r="D197" i="1"/>
  <c r="D195" i="1"/>
  <c r="F47" i="2"/>
  <c r="F48" i="2" s="1"/>
  <c r="F52" i="2"/>
  <c r="F50" i="2"/>
  <c r="J47" i="2"/>
  <c r="J48" i="2" s="1"/>
  <c r="J52" i="2"/>
  <c r="J50" i="2"/>
  <c r="N47" i="2"/>
  <c r="N48" i="2" s="1"/>
  <c r="N52" i="2"/>
  <c r="N50" i="2"/>
  <c r="H27" i="2"/>
  <c r="H28" i="2" s="1"/>
  <c r="S87" i="2"/>
  <c r="T87" i="2" s="1"/>
  <c r="G32" i="2"/>
  <c r="J27" i="2"/>
  <c r="J28" i="2" s="1"/>
  <c r="I32" i="2"/>
  <c r="L27" i="2"/>
  <c r="L28" i="2" s="1"/>
  <c r="K32" i="2"/>
  <c r="N27" i="2"/>
  <c r="N28" i="2" s="1"/>
  <c r="M32" i="2"/>
  <c r="R28" i="2"/>
  <c r="O46" i="2"/>
  <c r="P26" i="2"/>
  <c r="O32" i="2"/>
  <c r="G52" i="2"/>
  <c r="G50" i="2"/>
  <c r="G47" i="2"/>
  <c r="G48" i="2" s="1"/>
  <c r="K52" i="2"/>
  <c r="K50" i="2"/>
  <c r="K47" i="2"/>
  <c r="K48" i="2" s="1"/>
  <c r="O52" i="2"/>
  <c r="O50" i="2"/>
  <c r="O47" i="2"/>
  <c r="O48" i="2" s="1"/>
  <c r="G46" i="2"/>
  <c r="K46" i="2"/>
  <c r="W19" i="1"/>
  <c r="F32" i="2"/>
  <c r="G89" i="2"/>
  <c r="G27" i="2"/>
  <c r="G28" i="2" s="1"/>
  <c r="H47" i="2"/>
  <c r="H48" i="2" s="1"/>
  <c r="H52" i="2"/>
  <c r="H50" i="2"/>
  <c r="L47" i="2"/>
  <c r="L48" i="2" s="1"/>
  <c r="L52" i="2"/>
  <c r="L50" i="2"/>
  <c r="P47" i="2"/>
  <c r="P48" i="2" s="1"/>
  <c r="P52" i="2"/>
  <c r="P50" i="2"/>
  <c r="I232" i="1"/>
  <c r="H32" i="2"/>
  <c r="I27" i="2"/>
  <c r="I28" i="2" s="1"/>
  <c r="J32" i="2"/>
  <c r="K27" i="2"/>
  <c r="K28" i="2" s="1"/>
  <c r="L32" i="2"/>
  <c r="M27" i="2"/>
  <c r="M28" i="2" s="1"/>
  <c r="N32" i="2"/>
  <c r="O27" i="2"/>
  <c r="O28" i="2" s="1"/>
  <c r="R41" i="2"/>
  <c r="R42" i="2" s="1"/>
  <c r="R12" i="2"/>
  <c r="I52" i="2"/>
  <c r="I47" i="2"/>
  <c r="I48" i="2" s="1"/>
  <c r="I50" i="2"/>
  <c r="M52" i="2"/>
  <c r="M50" i="2"/>
  <c r="M47" i="2"/>
  <c r="M48" i="2" s="1"/>
  <c r="H46" i="2"/>
  <c r="L46" i="2"/>
  <c r="F46" i="2"/>
  <c r="I46" i="2"/>
  <c r="M46" i="2"/>
  <c r="D86" i="1"/>
  <c r="F13" i="1"/>
  <c r="D184" i="1"/>
  <c r="D187" i="1"/>
  <c r="C220" i="1" l="1"/>
  <c r="L16" i="11"/>
  <c r="M14" i="11"/>
  <c r="K17" i="11"/>
  <c r="K18" i="11" s="1"/>
  <c r="K20" i="11" s="1"/>
  <c r="K22" i="11" s="1"/>
  <c r="K33" i="11"/>
  <c r="K34" i="11" s="1"/>
  <c r="K19" i="11"/>
  <c r="K21" i="11" s="1"/>
  <c r="K23" i="11" s="1"/>
  <c r="K32" i="11"/>
  <c r="N272" i="6"/>
  <c r="M273" i="6"/>
  <c r="M275" i="6" s="1"/>
  <c r="D198" i="9"/>
  <c r="D213" i="9" s="1"/>
  <c r="D239" i="9" s="1"/>
  <c r="D241" i="9" s="1"/>
  <c r="N37" i="2"/>
  <c r="N38" i="2" s="1"/>
  <c r="N39" i="2" s="1"/>
  <c r="J37" i="2"/>
  <c r="J38" i="2" s="1"/>
  <c r="J39" i="2" s="1"/>
  <c r="H41" i="9"/>
  <c r="AB19" i="9"/>
  <c r="I40" i="9"/>
  <c r="H48" i="9"/>
  <c r="J39" i="9"/>
  <c r="J232" i="9"/>
  <c r="K229" i="9"/>
  <c r="H13" i="8"/>
  <c r="D216" i="8"/>
  <c r="D239" i="8"/>
  <c r="D241" i="8" s="1"/>
  <c r="AB19" i="8"/>
  <c r="Z8" i="2" s="1"/>
  <c r="I232" i="8"/>
  <c r="J229" i="8"/>
  <c r="AB20" i="6"/>
  <c r="K14" i="6"/>
  <c r="J234" i="6"/>
  <c r="K231" i="6"/>
  <c r="L37" i="2"/>
  <c r="L38" i="2" s="1"/>
  <c r="L39" i="2" s="1"/>
  <c r="H37" i="2"/>
  <c r="H38" i="2" s="1"/>
  <c r="H39" i="2" s="1"/>
  <c r="D198" i="1"/>
  <c r="D213" i="1" s="1"/>
  <c r="D216" i="1" s="1"/>
  <c r="S12" i="2"/>
  <c r="J232" i="1"/>
  <c r="K229" i="1"/>
  <c r="G91" i="2"/>
  <c r="H89" i="2"/>
  <c r="H90" i="2" s="1"/>
  <c r="Q26" i="2"/>
  <c r="P32" i="2"/>
  <c r="P37" i="2" s="1"/>
  <c r="Q25" i="2"/>
  <c r="P46" i="2"/>
  <c r="P27" i="2"/>
  <c r="P28" i="2" s="1"/>
  <c r="M37" i="2"/>
  <c r="M38" i="2" s="1"/>
  <c r="M39" i="2" s="1"/>
  <c r="K37" i="2"/>
  <c r="K38" i="2" s="1"/>
  <c r="K39" i="2" s="1"/>
  <c r="I37" i="2"/>
  <c r="I38" i="2" s="1"/>
  <c r="I39" i="2" s="1"/>
  <c r="G37" i="2"/>
  <c r="G38" i="2" s="1"/>
  <c r="G39" i="2" s="1"/>
  <c r="G56" i="2"/>
  <c r="H59" i="2"/>
  <c r="S11" i="2"/>
  <c r="T11" i="2" s="1"/>
  <c r="X19" i="1"/>
  <c r="O37" i="2"/>
  <c r="O38" i="2" s="1"/>
  <c r="O39" i="2" s="1"/>
  <c r="G13" i="1"/>
  <c r="K37" i="11" l="1"/>
  <c r="L33" i="11"/>
  <c r="L34" i="11" s="1"/>
  <c r="L19" i="11"/>
  <c r="L21" i="11" s="1"/>
  <c r="L23" i="11" s="1"/>
  <c r="L17" i="11"/>
  <c r="L18" i="11" s="1"/>
  <c r="L20" i="11" s="1"/>
  <c r="L22" i="11" s="1"/>
  <c r="L32" i="11"/>
  <c r="K36" i="11"/>
  <c r="M16" i="11"/>
  <c r="N14" i="11"/>
  <c r="R25" i="2"/>
  <c r="O272" i="6"/>
  <c r="N273" i="6"/>
  <c r="N275" i="6" s="1"/>
  <c r="D216" i="9"/>
  <c r="D214" i="6"/>
  <c r="K39" i="9"/>
  <c r="I48" i="9"/>
  <c r="J40" i="9"/>
  <c r="J41" i="9" s="1"/>
  <c r="AC19" i="9"/>
  <c r="K232" i="9"/>
  <c r="L229" i="9"/>
  <c r="I41" i="9"/>
  <c r="I49" i="9"/>
  <c r="I13" i="8"/>
  <c r="AC19" i="8"/>
  <c r="AA8" i="2" s="1"/>
  <c r="J232" i="8"/>
  <c r="K229" i="8"/>
  <c r="K234" i="6"/>
  <c r="L231" i="6"/>
  <c r="L14" i="6"/>
  <c r="AC20" i="6"/>
  <c r="D239" i="1"/>
  <c r="D241" i="1" s="1"/>
  <c r="H101" i="2"/>
  <c r="H99" i="2"/>
  <c r="Y19" i="1"/>
  <c r="G64" i="2"/>
  <c r="G65" i="2" s="1"/>
  <c r="G66" i="2" s="1"/>
  <c r="R26" i="2"/>
  <c r="Q32" i="2"/>
  <c r="Q37" i="2" s="1"/>
  <c r="Q46" i="2"/>
  <c r="K232" i="1"/>
  <c r="L229" i="1"/>
  <c r="H91" i="2"/>
  <c r="I89" i="2"/>
  <c r="T12" i="2"/>
  <c r="H13" i="1"/>
  <c r="D218" i="6" l="1"/>
  <c r="B8" i="16"/>
  <c r="N16" i="11"/>
  <c r="O14" i="11"/>
  <c r="L36" i="11"/>
  <c r="M19" i="11"/>
  <c r="M21" i="11" s="1"/>
  <c r="M23" i="11" s="1"/>
  <c r="M37" i="11" s="1"/>
  <c r="M33" i="11"/>
  <c r="M34" i="11" s="1"/>
  <c r="M17" i="11"/>
  <c r="M18" i="11" s="1"/>
  <c r="M20" i="11" s="1"/>
  <c r="M22" i="11" s="1"/>
  <c r="M36" i="11" s="1"/>
  <c r="M32" i="11"/>
  <c r="L37" i="11"/>
  <c r="P272" i="6"/>
  <c r="O273" i="6"/>
  <c r="O275" i="6" s="1"/>
  <c r="D241" i="6"/>
  <c r="D243" i="6" s="1"/>
  <c r="J49" i="9"/>
  <c r="K40" i="9"/>
  <c r="K49" i="9" s="1"/>
  <c r="L39" i="9"/>
  <c r="L232" i="9"/>
  <c r="M229" i="9"/>
  <c r="AD19" i="9"/>
  <c r="K232" i="8"/>
  <c r="L229" i="8"/>
  <c r="J13" i="8"/>
  <c r="AD19" i="8"/>
  <c r="AB8" i="2" s="1"/>
  <c r="M14" i="6"/>
  <c r="L234" i="6"/>
  <c r="M231" i="6"/>
  <c r="AD20" i="6"/>
  <c r="F68" i="2"/>
  <c r="M68" i="2"/>
  <c r="I68" i="2"/>
  <c r="P68" i="2"/>
  <c r="L68" i="2"/>
  <c r="H68" i="2"/>
  <c r="O68" i="2"/>
  <c r="K68" i="2"/>
  <c r="G68" i="2"/>
  <c r="N68" i="2"/>
  <c r="J68" i="2"/>
  <c r="I91" i="2"/>
  <c r="J89" i="2"/>
  <c r="J90" i="2" s="1"/>
  <c r="J101" i="2" s="1"/>
  <c r="M229" i="1"/>
  <c r="L232" i="1"/>
  <c r="S26" i="2"/>
  <c r="R32" i="2"/>
  <c r="R37" i="2" s="1"/>
  <c r="R46" i="2"/>
  <c r="I90" i="2"/>
  <c r="I101" i="2" s="1"/>
  <c r="U11" i="2"/>
  <c r="U12" i="2" s="1"/>
  <c r="S25" i="2"/>
  <c r="T25" i="2" s="1"/>
  <c r="Z19" i="1"/>
  <c r="I13" i="1"/>
  <c r="B11" i="16" l="1"/>
  <c r="N17" i="11"/>
  <c r="N18" i="11" s="1"/>
  <c r="N20" i="11" s="1"/>
  <c r="N22" i="11" s="1"/>
  <c r="N33" i="11"/>
  <c r="N34" i="11" s="1"/>
  <c r="N19" i="11"/>
  <c r="N21" i="11" s="1"/>
  <c r="N23" i="11" s="1"/>
  <c r="N32" i="11"/>
  <c r="O16" i="11"/>
  <c r="P14" i="11"/>
  <c r="Q272" i="6"/>
  <c r="P273" i="6"/>
  <c r="P275" i="6" s="1"/>
  <c r="AE19" i="9"/>
  <c r="K41" i="9"/>
  <c r="L40" i="9"/>
  <c r="M232" i="9"/>
  <c r="N229" i="9"/>
  <c r="M39" i="9"/>
  <c r="L232" i="8"/>
  <c r="M229" i="8"/>
  <c r="AE19" i="8"/>
  <c r="AC8" i="2" s="1"/>
  <c r="K13" i="8"/>
  <c r="N14" i="6"/>
  <c r="M234" i="6"/>
  <c r="N231" i="6"/>
  <c r="AE20" i="6"/>
  <c r="AA19" i="1"/>
  <c r="I99" i="2"/>
  <c r="J99" i="2" s="1"/>
  <c r="T26" i="2"/>
  <c r="U25" i="2" s="1"/>
  <c r="U26" i="2" s="1"/>
  <c r="S32" i="2"/>
  <c r="S37" i="2" s="1"/>
  <c r="S46" i="2"/>
  <c r="N229" i="1"/>
  <c r="M232" i="1"/>
  <c r="J91" i="2"/>
  <c r="K89" i="2"/>
  <c r="J13" i="1"/>
  <c r="B14" i="16" l="1"/>
  <c r="N37" i="11"/>
  <c r="N36" i="11"/>
  <c r="O17" i="11"/>
  <c r="O18" i="11" s="1"/>
  <c r="O20" i="11" s="1"/>
  <c r="O22" i="11" s="1"/>
  <c r="O33" i="11"/>
  <c r="O34" i="11" s="1"/>
  <c r="O19" i="11"/>
  <c r="O21" i="11" s="1"/>
  <c r="O23" i="11" s="1"/>
  <c r="O32" i="11"/>
  <c r="P16" i="11"/>
  <c r="Q14" i="11"/>
  <c r="Q273" i="6"/>
  <c r="Q275" i="6" s="1"/>
  <c r="R272" i="6"/>
  <c r="M40" i="9"/>
  <c r="M41" i="9" s="1"/>
  <c r="AF19" i="9"/>
  <c r="N232" i="9"/>
  <c r="O229" i="9"/>
  <c r="L41" i="9"/>
  <c r="N39" i="9"/>
  <c r="L49" i="9"/>
  <c r="L13" i="8"/>
  <c r="M232" i="8"/>
  <c r="N229" i="8"/>
  <c r="AF19" i="8"/>
  <c r="AD8" i="2" s="1"/>
  <c r="O14" i="6"/>
  <c r="N234" i="6"/>
  <c r="O231" i="6"/>
  <c r="AF20" i="6"/>
  <c r="U32" i="2"/>
  <c r="U37" i="2" s="1"/>
  <c r="U46" i="2"/>
  <c r="K91" i="2"/>
  <c r="L89" i="2"/>
  <c r="N232" i="1"/>
  <c r="O229" i="1"/>
  <c r="AB19" i="1"/>
  <c r="K90" i="2"/>
  <c r="K101" i="2" s="1"/>
  <c r="T32" i="2"/>
  <c r="T37" i="2" s="1"/>
  <c r="T46" i="2"/>
  <c r="K13" i="1"/>
  <c r="Q16" i="11" l="1"/>
  <c r="R14" i="11"/>
  <c r="P33" i="11"/>
  <c r="P34" i="11" s="1"/>
  <c r="P19" i="11"/>
  <c r="P21" i="11" s="1"/>
  <c r="P23" i="11" s="1"/>
  <c r="P37" i="11" s="1"/>
  <c r="P17" i="11"/>
  <c r="P18" i="11" s="1"/>
  <c r="P20" i="11" s="1"/>
  <c r="P22" i="11" s="1"/>
  <c r="P32" i="11"/>
  <c r="O37" i="11"/>
  <c r="O36" i="11"/>
  <c r="S272" i="6"/>
  <c r="R273" i="6"/>
  <c r="R275" i="6" s="1"/>
  <c r="M49" i="9"/>
  <c r="O39" i="9"/>
  <c r="N40" i="9"/>
  <c r="N49" i="9" s="1"/>
  <c r="O232" i="9"/>
  <c r="P229" i="9"/>
  <c r="AG19" i="9"/>
  <c r="N232" i="8"/>
  <c r="O229" i="8"/>
  <c r="AG19" i="8"/>
  <c r="AE8" i="2" s="1"/>
  <c r="M13" i="8"/>
  <c r="O234" i="6"/>
  <c r="P231" i="6"/>
  <c r="AG20" i="6"/>
  <c r="P14" i="6"/>
  <c r="L91" i="2"/>
  <c r="M89" i="2"/>
  <c r="M94" i="2" s="1"/>
  <c r="K99" i="2"/>
  <c r="AC19" i="1"/>
  <c r="P229" i="1"/>
  <c r="O232" i="1"/>
  <c r="L90" i="2"/>
  <c r="L101" i="2" s="1"/>
  <c r="L94" i="2"/>
  <c r="L13" i="1"/>
  <c r="P36" i="11" l="1"/>
  <c r="R16" i="11"/>
  <c r="S14" i="11"/>
  <c r="Q19" i="11"/>
  <c r="Q21" i="11" s="1"/>
  <c r="Q23" i="11" s="1"/>
  <c r="Q17" i="11"/>
  <c r="Q18" i="11" s="1"/>
  <c r="Q20" i="11" s="1"/>
  <c r="Q22" i="11" s="1"/>
  <c r="Q33" i="11"/>
  <c r="Q34" i="11" s="1"/>
  <c r="Q32" i="11"/>
  <c r="T272" i="6"/>
  <c r="S273" i="6"/>
  <c r="S275" i="6" s="1"/>
  <c r="AH8" i="2"/>
  <c r="AE13" i="2" s="1"/>
  <c r="AG8" i="2"/>
  <c r="AJ11" i="2" s="1"/>
  <c r="P39" i="9"/>
  <c r="P232" i="9"/>
  <c r="Q229" i="9"/>
  <c r="N41" i="9"/>
  <c r="B19" i="9"/>
  <c r="AG20" i="9" s="1"/>
  <c r="O40" i="9"/>
  <c r="N13" i="8"/>
  <c r="O232" i="8"/>
  <c r="P229" i="8"/>
  <c r="B19" i="8"/>
  <c r="AG20" i="8" s="1"/>
  <c r="P234" i="6"/>
  <c r="Q231" i="6"/>
  <c r="Q14" i="6"/>
  <c r="B20" i="6"/>
  <c r="AD19" i="1"/>
  <c r="L99" i="2"/>
  <c r="M90" i="2"/>
  <c r="M101" i="2" s="1"/>
  <c r="Q229" i="1"/>
  <c r="P232" i="1"/>
  <c r="M91" i="2"/>
  <c r="N89" i="2"/>
  <c r="N90" i="2" s="1"/>
  <c r="N101" i="2" s="1"/>
  <c r="M13" i="1"/>
  <c r="R17" i="11" l="1"/>
  <c r="R18" i="11" s="1"/>
  <c r="R20" i="11" s="1"/>
  <c r="R22" i="11" s="1"/>
  <c r="R33" i="11"/>
  <c r="R34" i="11" s="1"/>
  <c r="R19" i="11"/>
  <c r="R21" i="11" s="1"/>
  <c r="R23" i="11" s="1"/>
  <c r="R32" i="11"/>
  <c r="Q37" i="11"/>
  <c r="Q36" i="11"/>
  <c r="S16" i="11"/>
  <c r="T14" i="11"/>
  <c r="U272" i="6"/>
  <c r="T273" i="6"/>
  <c r="T275" i="6" s="1"/>
  <c r="AG24" i="8"/>
  <c r="AG25" i="6" s="1"/>
  <c r="AG24" i="9"/>
  <c r="AG22" i="9" s="1"/>
  <c r="AB10" i="2"/>
  <c r="T10" i="2"/>
  <c r="AC10" i="2"/>
  <c r="U10" i="2"/>
  <c r="AD10" i="2"/>
  <c r="V10" i="2"/>
  <c r="AE10" i="2"/>
  <c r="W10" i="2"/>
  <c r="AF10" i="2"/>
  <c r="X10" i="2"/>
  <c r="P10" i="2"/>
  <c r="Y10" i="2"/>
  <c r="Q10" i="2"/>
  <c r="Z10" i="2"/>
  <c r="R10" i="2"/>
  <c r="AA10" i="2"/>
  <c r="S10" i="2"/>
  <c r="Y13" i="2"/>
  <c r="P13" i="2"/>
  <c r="N13" i="2"/>
  <c r="F13" i="2"/>
  <c r="O13" i="2"/>
  <c r="G13" i="2"/>
  <c r="T13" i="2"/>
  <c r="H13" i="2"/>
  <c r="M13" i="2"/>
  <c r="V13" i="2"/>
  <c r="R13" i="2"/>
  <c r="J13" i="2"/>
  <c r="S13" i="2"/>
  <c r="K13" i="2"/>
  <c r="AF13" i="2"/>
  <c r="L13" i="2"/>
  <c r="Q13" i="2"/>
  <c r="I13" i="2"/>
  <c r="U13" i="2"/>
  <c r="W13" i="2"/>
  <c r="X13" i="2"/>
  <c r="Z13" i="2"/>
  <c r="AA13" i="2"/>
  <c r="AB13" i="2"/>
  <c r="AC13" i="2"/>
  <c r="AD13" i="2"/>
  <c r="P40" i="9"/>
  <c r="P49" i="9" s="1"/>
  <c r="Q39" i="9"/>
  <c r="O41" i="9"/>
  <c r="S20" i="9"/>
  <c r="G20" i="9"/>
  <c r="T20" i="9"/>
  <c r="N64" i="9" s="1"/>
  <c r="AH20" i="9"/>
  <c r="R20" i="9"/>
  <c r="K20" i="9"/>
  <c r="N55" i="9" s="1"/>
  <c r="U20" i="9"/>
  <c r="N65" i="9" s="1"/>
  <c r="P20" i="9"/>
  <c r="N60" i="9" s="1"/>
  <c r="N20" i="9"/>
  <c r="N58" i="9" s="1"/>
  <c r="Q20" i="9"/>
  <c r="L20" i="9"/>
  <c r="N56" i="9" s="1"/>
  <c r="V20" i="9"/>
  <c r="J20" i="9"/>
  <c r="M20" i="9"/>
  <c r="N57" i="9" s="1"/>
  <c r="H20" i="9"/>
  <c r="N52" i="9" s="1"/>
  <c r="W20" i="9"/>
  <c r="O20" i="9"/>
  <c r="N59" i="9" s="1"/>
  <c r="I20" i="9"/>
  <c r="N53" i="9" s="1"/>
  <c r="X20" i="9"/>
  <c r="Y20" i="9"/>
  <c r="Z20" i="9"/>
  <c r="AA20" i="9"/>
  <c r="AB20" i="9"/>
  <c r="AC20" i="9"/>
  <c r="AD20" i="9"/>
  <c r="AE20" i="9"/>
  <c r="AF20" i="9"/>
  <c r="Q232" i="9"/>
  <c r="R229" i="9"/>
  <c r="O49" i="9"/>
  <c r="O13" i="8"/>
  <c r="P232" i="8"/>
  <c r="Q229" i="8"/>
  <c r="S20" i="8"/>
  <c r="G20" i="8"/>
  <c r="E39" i="8"/>
  <c r="T20" i="8"/>
  <c r="U20" i="8"/>
  <c r="AH20" i="8"/>
  <c r="R20" i="8"/>
  <c r="N20" i="8"/>
  <c r="K20" i="8"/>
  <c r="Q20" i="8"/>
  <c r="V20" i="8"/>
  <c r="J20" i="8"/>
  <c r="M20" i="8"/>
  <c r="L20" i="8"/>
  <c r="I20" i="8"/>
  <c r="H20" i="8"/>
  <c r="W20" i="8"/>
  <c r="O20" i="8"/>
  <c r="P20" i="8"/>
  <c r="X20" i="8"/>
  <c r="Y20" i="8"/>
  <c r="Z20" i="8"/>
  <c r="AA20" i="8"/>
  <c r="AB20" i="8"/>
  <c r="AC20" i="8"/>
  <c r="AD20" i="8"/>
  <c r="AE20" i="8"/>
  <c r="AF20" i="8"/>
  <c r="D41" i="6"/>
  <c r="D40" i="6"/>
  <c r="E40" i="6" s="1"/>
  <c r="T21" i="6"/>
  <c r="R21" i="6"/>
  <c r="S21" i="6"/>
  <c r="G21" i="6"/>
  <c r="AH21" i="6"/>
  <c r="H21" i="6"/>
  <c r="O21" i="6"/>
  <c r="V21" i="6"/>
  <c r="W21" i="6"/>
  <c r="K21" i="6"/>
  <c r="U21" i="6"/>
  <c r="Q21" i="6"/>
  <c r="P21" i="6"/>
  <c r="N21" i="6"/>
  <c r="M21" i="6"/>
  <c r="L21" i="6"/>
  <c r="J21" i="6"/>
  <c r="I21" i="6"/>
  <c r="X21" i="6"/>
  <c r="Y21" i="6"/>
  <c r="Z21" i="6"/>
  <c r="AA21" i="6"/>
  <c r="AB21" i="6"/>
  <c r="AC21" i="6"/>
  <c r="AD21" i="6"/>
  <c r="AE21" i="6"/>
  <c r="AF21" i="6"/>
  <c r="R14" i="6"/>
  <c r="Q234" i="6"/>
  <c r="R231" i="6"/>
  <c r="AG21" i="6"/>
  <c r="N91" i="2"/>
  <c r="O89" i="2"/>
  <c r="N94" i="2"/>
  <c r="Q232" i="1"/>
  <c r="R229" i="1"/>
  <c r="M99" i="2"/>
  <c r="N99" i="2" s="1"/>
  <c r="AE19" i="1"/>
  <c r="N13" i="1"/>
  <c r="R37" i="11" l="1"/>
  <c r="R36" i="11"/>
  <c r="T16" i="11"/>
  <c r="U14" i="11"/>
  <c r="S17" i="11"/>
  <c r="S18" i="11" s="1"/>
  <c r="S20" i="11" s="1"/>
  <c r="S22" i="11" s="1"/>
  <c r="S33" i="11"/>
  <c r="S34" i="11" s="1"/>
  <c r="S19" i="11"/>
  <c r="S21" i="11" s="1"/>
  <c r="S23" i="11" s="1"/>
  <c r="S37" i="11" s="1"/>
  <c r="S32" i="11"/>
  <c r="V272" i="6"/>
  <c r="V273" i="6" s="1"/>
  <c r="V275" i="6" s="1"/>
  <c r="U273" i="6"/>
  <c r="U275" i="6" s="1"/>
  <c r="AF24" i="8"/>
  <c r="AF25" i="6" s="1"/>
  <c r="AF24" i="9"/>
  <c r="AF22" i="9" s="1"/>
  <c r="AD24" i="8"/>
  <c r="AD25" i="6" s="1"/>
  <c r="AD24" i="9"/>
  <c r="AD22" i="9" s="1"/>
  <c r="AB24" i="9"/>
  <c r="AB22" i="9" s="1"/>
  <c r="AB24" i="8"/>
  <c r="AB25" i="6" s="1"/>
  <c r="Y24" i="8"/>
  <c r="Y25" i="6" s="1"/>
  <c r="Y24" i="9"/>
  <c r="Y22" i="9" s="1"/>
  <c r="K24" i="8"/>
  <c r="K25" i="6" s="1"/>
  <c r="K24" i="9"/>
  <c r="K22" i="9" s="1"/>
  <c r="N24" i="8"/>
  <c r="N25" i="6" s="1"/>
  <c r="N24" i="9"/>
  <c r="N22" i="9" s="1"/>
  <c r="M24" i="8"/>
  <c r="M25" i="6" s="1"/>
  <c r="M24" i="9"/>
  <c r="M22" i="9" s="1"/>
  <c r="L24" i="8"/>
  <c r="L25" i="6" s="1"/>
  <c r="L24" i="9"/>
  <c r="L22" i="9" s="1"/>
  <c r="X24" i="8"/>
  <c r="X25" i="6" s="1"/>
  <c r="X24" i="9"/>
  <c r="X22" i="9" s="1"/>
  <c r="J24" i="8"/>
  <c r="J25" i="6" s="1"/>
  <c r="J24" i="9"/>
  <c r="J22" i="9" s="1"/>
  <c r="I24" i="8"/>
  <c r="I25" i="6" s="1"/>
  <c r="I24" i="9"/>
  <c r="I22" i="9" s="1"/>
  <c r="H24" i="9"/>
  <c r="H22" i="9" s="1"/>
  <c r="AH13" i="2"/>
  <c r="H24" i="8"/>
  <c r="H25" i="6" s="1"/>
  <c r="R24" i="9"/>
  <c r="R22" i="9" s="1"/>
  <c r="AG13" i="2"/>
  <c r="R24" i="8"/>
  <c r="R25" i="6" s="1"/>
  <c r="AH10" i="2"/>
  <c r="R14" i="2" s="1"/>
  <c r="T23" i="6" s="1"/>
  <c r="AG10" i="2"/>
  <c r="AE14" i="2"/>
  <c r="AG23" i="6" s="1"/>
  <c r="AC14" i="2"/>
  <c r="AE23" i="6" s="1"/>
  <c r="AE24" i="8"/>
  <c r="AE25" i="6" s="1"/>
  <c r="AE24" i="9"/>
  <c r="AE22" i="9" s="1"/>
  <c r="AC24" i="8"/>
  <c r="AC25" i="6" s="1"/>
  <c r="AC24" i="9"/>
  <c r="AC22" i="9" s="1"/>
  <c r="Z24" i="9"/>
  <c r="Z22" i="9" s="1"/>
  <c r="Z24" i="8"/>
  <c r="Z25" i="6" s="1"/>
  <c r="W24" i="8"/>
  <c r="W25" i="6" s="1"/>
  <c r="W24" i="9"/>
  <c r="W22" i="9" s="1"/>
  <c r="S24" i="8"/>
  <c r="S25" i="6" s="1"/>
  <c r="S24" i="9"/>
  <c r="S22" i="9" s="1"/>
  <c r="AH24" i="8"/>
  <c r="AH25" i="6" s="1"/>
  <c r="AH24" i="9"/>
  <c r="AH22" i="9" s="1"/>
  <c r="U24" i="8"/>
  <c r="U25" i="6" s="1"/>
  <c r="U24" i="9"/>
  <c r="U22" i="9" s="1"/>
  <c r="T24" i="8"/>
  <c r="T25" i="6" s="1"/>
  <c r="T24" i="9"/>
  <c r="T22" i="9" s="1"/>
  <c r="O24" i="9"/>
  <c r="O22" i="9" s="1"/>
  <c r="O24" i="8"/>
  <c r="O25" i="6" s="1"/>
  <c r="V24" i="9"/>
  <c r="V22" i="9" s="1"/>
  <c r="V24" i="8"/>
  <c r="V25" i="6" s="1"/>
  <c r="Q24" i="9"/>
  <c r="Q22" i="9" s="1"/>
  <c r="Q24" i="8"/>
  <c r="Q25" i="6" s="1"/>
  <c r="P24" i="9"/>
  <c r="P22" i="9" s="1"/>
  <c r="P24" i="8"/>
  <c r="P25" i="6" s="1"/>
  <c r="AA24" i="8"/>
  <c r="AA25" i="6" s="1"/>
  <c r="AA24" i="9"/>
  <c r="AA22" i="9" s="1"/>
  <c r="AA14" i="2"/>
  <c r="AC23" i="6" s="1"/>
  <c r="X14" i="2"/>
  <c r="Z23" i="6" s="1"/>
  <c r="W14" i="2"/>
  <c r="Y23" i="6" s="1"/>
  <c r="T14" i="2"/>
  <c r="V23" i="6" s="1"/>
  <c r="P41" i="9"/>
  <c r="P60" i="9" s="1"/>
  <c r="N141" i="9"/>
  <c r="N114" i="9"/>
  <c r="U127" i="9" s="1"/>
  <c r="N140" i="9"/>
  <c r="N113" i="9"/>
  <c r="U126" i="9" s="1"/>
  <c r="N112" i="9"/>
  <c r="V125" i="9" s="1"/>
  <c r="N139" i="9"/>
  <c r="N107" i="9"/>
  <c r="N134" i="9"/>
  <c r="N111" i="9"/>
  <c r="V124" i="9" s="1"/>
  <c r="N138" i="9"/>
  <c r="E67" i="9"/>
  <c r="F67" i="9"/>
  <c r="G67" i="9"/>
  <c r="H67" i="9"/>
  <c r="J67" i="9"/>
  <c r="I67" i="9"/>
  <c r="K67" i="9"/>
  <c r="L67" i="9"/>
  <c r="M67" i="9"/>
  <c r="E66" i="9"/>
  <c r="F66" i="9"/>
  <c r="G66" i="9"/>
  <c r="H66" i="9"/>
  <c r="J66" i="9"/>
  <c r="I66" i="9"/>
  <c r="K66" i="9"/>
  <c r="L66" i="9"/>
  <c r="M66" i="9"/>
  <c r="E60" i="9"/>
  <c r="F60" i="9"/>
  <c r="G60" i="9"/>
  <c r="H60" i="9"/>
  <c r="J60" i="9"/>
  <c r="I60" i="9"/>
  <c r="K60" i="9"/>
  <c r="L60" i="9"/>
  <c r="M60" i="9"/>
  <c r="O67" i="9"/>
  <c r="O63" i="9"/>
  <c r="O59" i="9"/>
  <c r="O55" i="9"/>
  <c r="O66" i="9"/>
  <c r="O62" i="9"/>
  <c r="O58" i="9"/>
  <c r="O54" i="9"/>
  <c r="O65" i="9"/>
  <c r="O61" i="9"/>
  <c r="O57" i="9"/>
  <c r="O53" i="9"/>
  <c r="O64" i="9"/>
  <c r="O60" i="9"/>
  <c r="O56" i="9"/>
  <c r="O52" i="9"/>
  <c r="R232" i="9"/>
  <c r="S229" i="9"/>
  <c r="E59" i="9"/>
  <c r="F59" i="9"/>
  <c r="G59" i="9"/>
  <c r="H59" i="9"/>
  <c r="J59" i="9"/>
  <c r="I59" i="9"/>
  <c r="K59" i="9"/>
  <c r="M59" i="9"/>
  <c r="L59" i="9"/>
  <c r="E54" i="9"/>
  <c r="F54" i="9"/>
  <c r="G54" i="9"/>
  <c r="H54" i="9"/>
  <c r="J54" i="9"/>
  <c r="I54" i="9"/>
  <c r="K54" i="9"/>
  <c r="M54" i="9"/>
  <c r="L54" i="9"/>
  <c r="E58" i="9"/>
  <c r="F58" i="9"/>
  <c r="G58" i="9"/>
  <c r="H58" i="9"/>
  <c r="J58" i="9"/>
  <c r="I58" i="9"/>
  <c r="K58" i="9"/>
  <c r="M58" i="9"/>
  <c r="L58" i="9"/>
  <c r="E62" i="9"/>
  <c r="F62" i="9"/>
  <c r="G62" i="9"/>
  <c r="H62" i="9"/>
  <c r="J62" i="9"/>
  <c r="I62" i="9"/>
  <c r="K62" i="9"/>
  <c r="L62" i="9"/>
  <c r="M62" i="9"/>
  <c r="E63" i="9"/>
  <c r="F63" i="9"/>
  <c r="G63" i="9"/>
  <c r="H63" i="9"/>
  <c r="J63" i="9"/>
  <c r="I63" i="9"/>
  <c r="K63" i="9"/>
  <c r="L63" i="9"/>
  <c r="M63" i="9"/>
  <c r="N137" i="9"/>
  <c r="N110" i="9"/>
  <c r="W123" i="9" s="1"/>
  <c r="N108" i="9"/>
  <c r="N135" i="9"/>
  <c r="Q40" i="9"/>
  <c r="Q49" i="9" s="1"/>
  <c r="N54" i="9"/>
  <c r="E53" i="9"/>
  <c r="F53" i="9"/>
  <c r="G53" i="9"/>
  <c r="H53" i="9"/>
  <c r="J53" i="9"/>
  <c r="I53" i="9"/>
  <c r="K53" i="9"/>
  <c r="M53" i="9"/>
  <c r="L53" i="9"/>
  <c r="E57" i="9"/>
  <c r="F57" i="9"/>
  <c r="G57" i="9"/>
  <c r="H57" i="9"/>
  <c r="J57" i="9"/>
  <c r="I57" i="9"/>
  <c r="K57" i="9"/>
  <c r="M57" i="9"/>
  <c r="L57" i="9"/>
  <c r="E61" i="9"/>
  <c r="F61" i="9"/>
  <c r="G61" i="9"/>
  <c r="H61" i="9"/>
  <c r="J61" i="9"/>
  <c r="I61" i="9"/>
  <c r="K61" i="9"/>
  <c r="L61" i="9"/>
  <c r="M61" i="9"/>
  <c r="E55" i="9"/>
  <c r="F55" i="9"/>
  <c r="G55" i="9"/>
  <c r="H55" i="9"/>
  <c r="J55" i="9"/>
  <c r="I55" i="9"/>
  <c r="K55" i="9"/>
  <c r="M55" i="9"/>
  <c r="L55" i="9"/>
  <c r="R39" i="9"/>
  <c r="N67" i="9"/>
  <c r="N66" i="9"/>
  <c r="E52" i="9"/>
  <c r="F52" i="9"/>
  <c r="G52" i="9"/>
  <c r="H52" i="9"/>
  <c r="J52" i="9"/>
  <c r="I52" i="9"/>
  <c r="K52" i="9"/>
  <c r="M52" i="9"/>
  <c r="L52" i="9"/>
  <c r="E56" i="9"/>
  <c r="F56" i="9"/>
  <c r="G56" i="9"/>
  <c r="H56" i="9"/>
  <c r="J56" i="9"/>
  <c r="I56" i="9"/>
  <c r="K56" i="9"/>
  <c r="M56" i="9"/>
  <c r="L56" i="9"/>
  <c r="E65" i="9"/>
  <c r="F65" i="9"/>
  <c r="G65" i="9"/>
  <c r="H65" i="9"/>
  <c r="J65" i="9"/>
  <c r="I65" i="9"/>
  <c r="K65" i="9"/>
  <c r="L65" i="9"/>
  <c r="M65" i="9"/>
  <c r="E64" i="9"/>
  <c r="F64" i="9"/>
  <c r="G64" i="9"/>
  <c r="H64" i="9"/>
  <c r="J64" i="9"/>
  <c r="I64" i="9"/>
  <c r="K64" i="9"/>
  <c r="L64" i="9"/>
  <c r="M64" i="9"/>
  <c r="N115" i="9"/>
  <c r="T128" i="9" s="1"/>
  <c r="N142" i="9"/>
  <c r="N63" i="9"/>
  <c r="N61" i="9"/>
  <c r="N62" i="9"/>
  <c r="D45" i="8"/>
  <c r="E40" i="8"/>
  <c r="E41" i="8" s="1"/>
  <c r="D48" i="8"/>
  <c r="D41" i="8"/>
  <c r="P13" i="8"/>
  <c r="F39" i="8"/>
  <c r="Q232" i="8"/>
  <c r="R229" i="8"/>
  <c r="S14" i="6"/>
  <c r="D49" i="6"/>
  <c r="D42" i="6"/>
  <c r="D46" i="6"/>
  <c r="E41" i="6"/>
  <c r="F40" i="6"/>
  <c r="R234" i="6"/>
  <c r="S231" i="6"/>
  <c r="R232" i="1"/>
  <c r="S229" i="1"/>
  <c r="O91" i="2"/>
  <c r="P89" i="2"/>
  <c r="P90" i="2" s="1"/>
  <c r="P101" i="2" s="1"/>
  <c r="AF19" i="1"/>
  <c r="O90" i="2"/>
  <c r="O101" i="2" s="1"/>
  <c r="O94" i="2"/>
  <c r="O13" i="1"/>
  <c r="P58" i="9" l="1"/>
  <c r="P76" i="9" s="1"/>
  <c r="U14" i="2"/>
  <c r="W23" i="6" s="1"/>
  <c r="Y14" i="2"/>
  <c r="AA23" i="6" s="1"/>
  <c r="AF14" i="2"/>
  <c r="AH23" i="6" s="1"/>
  <c r="V14" i="2"/>
  <c r="X23" i="6" s="1"/>
  <c r="Z14" i="2"/>
  <c r="AB23" i="6" s="1"/>
  <c r="AB14" i="2"/>
  <c r="AD23" i="6" s="1"/>
  <c r="Q14" i="2"/>
  <c r="S23" i="6" s="1"/>
  <c r="S36" i="11"/>
  <c r="T33" i="11"/>
  <c r="T34" i="11" s="1"/>
  <c r="T19" i="11"/>
  <c r="T21" i="11" s="1"/>
  <c r="T23" i="11" s="1"/>
  <c r="T17" i="11"/>
  <c r="T18" i="11" s="1"/>
  <c r="T20" i="11" s="1"/>
  <c r="T22" i="11" s="1"/>
  <c r="T36" i="11" s="1"/>
  <c r="T32" i="11"/>
  <c r="U16" i="11"/>
  <c r="V14" i="11"/>
  <c r="AD14" i="2"/>
  <c r="AF23" i="6" s="1"/>
  <c r="S14" i="2"/>
  <c r="U23" i="6" s="1"/>
  <c r="AG14" i="2"/>
  <c r="P14" i="2"/>
  <c r="R23" i="6" s="1"/>
  <c r="O14" i="2"/>
  <c r="Q23" i="6" s="1"/>
  <c r="G14" i="2"/>
  <c r="I23" i="6" s="1"/>
  <c r="H14" i="2"/>
  <c r="J23" i="6" s="1"/>
  <c r="I14" i="2"/>
  <c r="K23" i="6" s="1"/>
  <c r="J14" i="2"/>
  <c r="L23" i="6" s="1"/>
  <c r="K14" i="2"/>
  <c r="M23" i="6" s="1"/>
  <c r="L14" i="2"/>
  <c r="N23" i="6" s="1"/>
  <c r="M14" i="2"/>
  <c r="O23" i="6" s="1"/>
  <c r="N14" i="2"/>
  <c r="P23" i="6" s="1"/>
  <c r="F14" i="2"/>
  <c r="P57" i="9"/>
  <c r="P112" i="9" s="1"/>
  <c r="P56" i="9"/>
  <c r="P74" i="9" s="1"/>
  <c r="P59" i="9"/>
  <c r="P114" i="9" s="1"/>
  <c r="W127" i="9" s="1"/>
  <c r="P53" i="9"/>
  <c r="P108" i="9" s="1"/>
  <c r="P54" i="9"/>
  <c r="P72" i="9" s="1"/>
  <c r="P55" i="9"/>
  <c r="P110" i="9" s="1"/>
  <c r="P52" i="9"/>
  <c r="P70" i="9" s="1"/>
  <c r="P65" i="9"/>
  <c r="P66" i="9"/>
  <c r="P67" i="9"/>
  <c r="P64" i="9"/>
  <c r="P61" i="9"/>
  <c r="P79" i="9" s="1"/>
  <c r="P62" i="9"/>
  <c r="P117" i="9" s="1"/>
  <c r="U130" i="9" s="1"/>
  <c r="P63" i="9"/>
  <c r="Q41" i="9"/>
  <c r="Q65" i="9" s="1"/>
  <c r="M111" i="9"/>
  <c r="U124" i="9" s="1"/>
  <c r="M138" i="9"/>
  <c r="L134" i="9"/>
  <c r="L107" i="9"/>
  <c r="V120" i="9" s="1"/>
  <c r="E107" i="9"/>
  <c r="O120" i="9" s="1"/>
  <c r="E134" i="9"/>
  <c r="O70" i="9"/>
  <c r="K70" i="9"/>
  <c r="G70" i="9"/>
  <c r="L70" i="9"/>
  <c r="H70" i="9"/>
  <c r="M70" i="9"/>
  <c r="I70" i="9"/>
  <c r="E70" i="9"/>
  <c r="N70" i="9"/>
  <c r="J70" i="9"/>
  <c r="F70" i="9"/>
  <c r="F137" i="9"/>
  <c r="F110" i="9"/>
  <c r="O123" i="9" s="1"/>
  <c r="M112" i="9"/>
  <c r="U125" i="9" s="1"/>
  <c r="M139" i="9"/>
  <c r="N144" i="9"/>
  <c r="N117" i="9"/>
  <c r="S130" i="9" s="1"/>
  <c r="P142" i="9"/>
  <c r="P115" i="9"/>
  <c r="V128" i="9" s="1"/>
  <c r="L138" i="9"/>
  <c r="L111" i="9"/>
  <c r="T124" i="9" s="1"/>
  <c r="J111" i="9"/>
  <c r="R124" i="9" s="1"/>
  <c r="J138" i="9"/>
  <c r="E111" i="9"/>
  <c r="M124" i="9" s="1"/>
  <c r="E138" i="9"/>
  <c r="O74" i="9"/>
  <c r="K74" i="9"/>
  <c r="G74" i="9"/>
  <c r="L74" i="9"/>
  <c r="H74" i="9"/>
  <c r="M74" i="9"/>
  <c r="I74" i="9"/>
  <c r="E74" i="9"/>
  <c r="N74" i="9"/>
  <c r="J74" i="9"/>
  <c r="F74" i="9"/>
  <c r="I107" i="9"/>
  <c r="S120" i="9" s="1"/>
  <c r="I134" i="9"/>
  <c r="F107" i="9"/>
  <c r="P120" i="9" s="1"/>
  <c r="F134" i="9"/>
  <c r="S39" i="9"/>
  <c r="K137" i="9"/>
  <c r="K110" i="9"/>
  <c r="T123" i="9" s="1"/>
  <c r="G137" i="9"/>
  <c r="G110" i="9"/>
  <c r="P123" i="9" s="1"/>
  <c r="L143" i="9"/>
  <c r="L116" i="9"/>
  <c r="R129" i="9" s="1"/>
  <c r="N79" i="9"/>
  <c r="H143" i="9"/>
  <c r="H116" i="9"/>
  <c r="N129" i="9" s="1"/>
  <c r="J79" i="9"/>
  <c r="L139" i="9"/>
  <c r="L112" i="9"/>
  <c r="T125" i="9" s="1"/>
  <c r="J112" i="9"/>
  <c r="R125" i="9" s="1"/>
  <c r="J139" i="9"/>
  <c r="E112" i="9"/>
  <c r="M125" i="9" s="1"/>
  <c r="E139" i="9"/>
  <c r="O75" i="9"/>
  <c r="K75" i="9"/>
  <c r="G75" i="9"/>
  <c r="L75" i="9"/>
  <c r="H75" i="9"/>
  <c r="M75" i="9"/>
  <c r="I75" i="9"/>
  <c r="E75" i="9"/>
  <c r="N75" i="9"/>
  <c r="J75" i="9"/>
  <c r="F75" i="9"/>
  <c r="I108" i="9"/>
  <c r="S121" i="9" s="1"/>
  <c r="I135" i="9"/>
  <c r="F108" i="9"/>
  <c r="P121" i="9" s="1"/>
  <c r="F135" i="9"/>
  <c r="K144" i="9"/>
  <c r="K117" i="9"/>
  <c r="P130" i="9" s="1"/>
  <c r="G144" i="9"/>
  <c r="G117" i="9"/>
  <c r="L130" i="9" s="1"/>
  <c r="M113" i="9"/>
  <c r="T126" i="9" s="1"/>
  <c r="M140" i="9"/>
  <c r="H140" i="9"/>
  <c r="H113" i="9"/>
  <c r="O126" i="9" s="1"/>
  <c r="L136" i="9"/>
  <c r="L109" i="9"/>
  <c r="U122" i="9" s="1"/>
  <c r="J136" i="9"/>
  <c r="J109" i="9"/>
  <c r="S122" i="9" s="1"/>
  <c r="E109" i="9"/>
  <c r="N122" i="9" s="1"/>
  <c r="E136" i="9"/>
  <c r="O72" i="9"/>
  <c r="K72" i="9"/>
  <c r="G72" i="9"/>
  <c r="L72" i="9"/>
  <c r="H72" i="9"/>
  <c r="M72" i="9"/>
  <c r="I72" i="9"/>
  <c r="E72" i="9"/>
  <c r="N72" i="9"/>
  <c r="J72" i="9"/>
  <c r="F72" i="9"/>
  <c r="I141" i="9"/>
  <c r="I114" i="9"/>
  <c r="P127" i="9" s="1"/>
  <c r="F141" i="9"/>
  <c r="F114" i="9"/>
  <c r="M127" i="9" s="1"/>
  <c r="O107" i="9"/>
  <c r="O134" i="9"/>
  <c r="O135" i="9"/>
  <c r="O108" i="9"/>
  <c r="O136" i="9"/>
  <c r="O109" i="9"/>
  <c r="O137" i="9"/>
  <c r="O110" i="9"/>
  <c r="M115" i="9"/>
  <c r="S128" i="9" s="1"/>
  <c r="M142" i="9"/>
  <c r="J115" i="9"/>
  <c r="P128" i="9" s="1"/>
  <c r="J142" i="9"/>
  <c r="E115" i="9"/>
  <c r="K128" i="9" s="1"/>
  <c r="E142" i="9"/>
  <c r="K78" i="9"/>
  <c r="G78" i="9"/>
  <c r="L78" i="9"/>
  <c r="H78" i="9"/>
  <c r="F78" i="9"/>
  <c r="I78" i="9"/>
  <c r="J78" i="9"/>
  <c r="E78" i="9"/>
  <c r="I111" i="9"/>
  <c r="Q124" i="9" s="1"/>
  <c r="I138" i="9"/>
  <c r="K107" i="9"/>
  <c r="U120" i="9" s="1"/>
  <c r="K134" i="9"/>
  <c r="H137" i="9"/>
  <c r="H110" i="9"/>
  <c r="Q123" i="9" s="1"/>
  <c r="J116" i="9"/>
  <c r="P129" i="9" s="1"/>
  <c r="J143" i="9"/>
  <c r="L79" i="9"/>
  <c r="E116" i="9"/>
  <c r="K129" i="9" s="1"/>
  <c r="E143" i="9"/>
  <c r="G79" i="9"/>
  <c r="E79" i="9"/>
  <c r="F79" i="9"/>
  <c r="F112" i="9"/>
  <c r="N125" i="9" s="1"/>
  <c r="F139" i="9"/>
  <c r="K135" i="9"/>
  <c r="K108" i="9"/>
  <c r="U121" i="9" s="1"/>
  <c r="G135" i="9"/>
  <c r="G108" i="9"/>
  <c r="Q121" i="9" s="1"/>
  <c r="R40" i="9"/>
  <c r="L144" i="9"/>
  <c r="L117" i="9"/>
  <c r="Q130" i="9" s="1"/>
  <c r="H144" i="9"/>
  <c r="H117" i="9"/>
  <c r="M130" i="9" s="1"/>
  <c r="L140" i="9"/>
  <c r="L113" i="9"/>
  <c r="S126" i="9" s="1"/>
  <c r="J140" i="9"/>
  <c r="J113" i="9"/>
  <c r="Q126" i="9" s="1"/>
  <c r="E113" i="9"/>
  <c r="L126" i="9" s="1"/>
  <c r="O76" i="9"/>
  <c r="K76" i="9"/>
  <c r="E140" i="9"/>
  <c r="L76" i="9"/>
  <c r="H76" i="9"/>
  <c r="N76" i="9"/>
  <c r="G76" i="9"/>
  <c r="I76" i="9"/>
  <c r="J76" i="9"/>
  <c r="E76" i="9"/>
  <c r="M76" i="9"/>
  <c r="F76" i="9"/>
  <c r="I109" i="9"/>
  <c r="R122" i="9" s="1"/>
  <c r="I136" i="9"/>
  <c r="F136" i="9"/>
  <c r="F109" i="9"/>
  <c r="O122" i="9" s="1"/>
  <c r="K141" i="9"/>
  <c r="K114" i="9"/>
  <c r="R127" i="9" s="1"/>
  <c r="G141" i="9"/>
  <c r="G114" i="9"/>
  <c r="N127" i="9" s="1"/>
  <c r="I115" i="9"/>
  <c r="O128" i="9" s="1"/>
  <c r="I142" i="9"/>
  <c r="P78" i="9"/>
  <c r="F115" i="9"/>
  <c r="L128" i="9" s="1"/>
  <c r="F142" i="9"/>
  <c r="M78" i="9"/>
  <c r="P113" i="9"/>
  <c r="W126" i="9" s="1"/>
  <c r="P111" i="9"/>
  <c r="F111" i="9"/>
  <c r="N124" i="9" s="1"/>
  <c r="F138" i="9"/>
  <c r="G107" i="9"/>
  <c r="Q120" i="9" s="1"/>
  <c r="G134" i="9"/>
  <c r="M137" i="9"/>
  <c r="M110" i="9"/>
  <c r="V123" i="9" s="1"/>
  <c r="M116" i="9"/>
  <c r="S129" i="9" s="1"/>
  <c r="M143" i="9"/>
  <c r="O79" i="9"/>
  <c r="I112" i="9"/>
  <c r="Q125" i="9" s="1"/>
  <c r="I139" i="9"/>
  <c r="P137" i="9"/>
  <c r="K111" i="9"/>
  <c r="S124" i="9" s="1"/>
  <c r="K138" i="9"/>
  <c r="G111" i="9"/>
  <c r="O124" i="9" s="1"/>
  <c r="G138" i="9"/>
  <c r="M107" i="9"/>
  <c r="W120" i="9" s="1"/>
  <c r="M134" i="9"/>
  <c r="H134" i="9"/>
  <c r="H107" i="9"/>
  <c r="R120" i="9" s="1"/>
  <c r="L137" i="9"/>
  <c r="L110" i="9"/>
  <c r="U123" i="9" s="1"/>
  <c r="J137" i="9"/>
  <c r="J110" i="9"/>
  <c r="S123" i="9" s="1"/>
  <c r="E137" i="9"/>
  <c r="E110" i="9"/>
  <c r="N123" i="9" s="1"/>
  <c r="O73" i="9"/>
  <c r="K73" i="9"/>
  <c r="G73" i="9"/>
  <c r="L73" i="9"/>
  <c r="H73" i="9"/>
  <c r="M73" i="9"/>
  <c r="I73" i="9"/>
  <c r="E73" i="9"/>
  <c r="N73" i="9"/>
  <c r="J73" i="9"/>
  <c r="F73" i="9"/>
  <c r="I116" i="9"/>
  <c r="O129" i="9" s="1"/>
  <c r="I143" i="9"/>
  <c r="K79" i="9"/>
  <c r="F116" i="9"/>
  <c r="L129" i="9" s="1"/>
  <c r="F143" i="9"/>
  <c r="H79" i="9"/>
  <c r="K139" i="9"/>
  <c r="K112" i="9"/>
  <c r="S125" i="9" s="1"/>
  <c r="G139" i="9"/>
  <c r="G112" i="9"/>
  <c r="O125" i="9" s="1"/>
  <c r="M108" i="9"/>
  <c r="W121" i="9" s="1"/>
  <c r="M135" i="9"/>
  <c r="H135" i="9"/>
  <c r="H108" i="9"/>
  <c r="R121" i="9" s="1"/>
  <c r="N136" i="9"/>
  <c r="N109" i="9"/>
  <c r="W122" i="9" s="1"/>
  <c r="M117" i="9"/>
  <c r="R130" i="9" s="1"/>
  <c r="M144" i="9"/>
  <c r="J144" i="9"/>
  <c r="J117" i="9"/>
  <c r="O130" i="9" s="1"/>
  <c r="E117" i="9"/>
  <c r="J130" i="9" s="1"/>
  <c r="O80" i="9"/>
  <c r="K80" i="9"/>
  <c r="G80" i="9"/>
  <c r="E144" i="9"/>
  <c r="L80" i="9"/>
  <c r="H80" i="9"/>
  <c r="N80" i="9"/>
  <c r="F80" i="9"/>
  <c r="I80" i="9"/>
  <c r="J80" i="9"/>
  <c r="M80" i="9"/>
  <c r="E80" i="9"/>
  <c r="I113" i="9"/>
  <c r="P126" i="9" s="1"/>
  <c r="I140" i="9"/>
  <c r="F140" i="9"/>
  <c r="F113" i="9"/>
  <c r="M126" i="9" s="1"/>
  <c r="K136" i="9"/>
  <c r="K109" i="9"/>
  <c r="T122" i="9" s="1"/>
  <c r="G136" i="9"/>
  <c r="G109" i="9"/>
  <c r="P122" i="9" s="1"/>
  <c r="M141" i="9"/>
  <c r="M114" i="9"/>
  <c r="T127" i="9" s="1"/>
  <c r="H141" i="9"/>
  <c r="H114" i="9"/>
  <c r="O127" i="9" s="1"/>
  <c r="S232" i="9"/>
  <c r="T229" i="9"/>
  <c r="O115" i="9"/>
  <c r="U128" i="9" s="1"/>
  <c r="O142" i="9"/>
  <c r="O143" i="9"/>
  <c r="O116" i="9"/>
  <c r="U129" i="9" s="1"/>
  <c r="O144" i="9"/>
  <c r="O117" i="9"/>
  <c r="T130" i="9" s="1"/>
  <c r="K115" i="9"/>
  <c r="Q128" i="9" s="1"/>
  <c r="K142" i="9"/>
  <c r="G115" i="9"/>
  <c r="M128" i="9" s="1"/>
  <c r="G142" i="9"/>
  <c r="N78" i="9"/>
  <c r="N116" i="9"/>
  <c r="T129" i="9" s="1"/>
  <c r="N143" i="9"/>
  <c r="H138" i="9"/>
  <c r="H111" i="9"/>
  <c r="P124" i="9" s="1"/>
  <c r="J107" i="9"/>
  <c r="T120" i="9" s="1"/>
  <c r="J134" i="9"/>
  <c r="I137" i="9"/>
  <c r="I110" i="9"/>
  <c r="R123" i="9" s="1"/>
  <c r="K143" i="9"/>
  <c r="K116" i="9"/>
  <c r="Q129" i="9" s="1"/>
  <c r="M79" i="9"/>
  <c r="G143" i="9"/>
  <c r="G116" i="9"/>
  <c r="M129" i="9" s="1"/>
  <c r="I79" i="9"/>
  <c r="H139" i="9"/>
  <c r="H112" i="9"/>
  <c r="P125" i="9" s="1"/>
  <c r="L135" i="9"/>
  <c r="L108" i="9"/>
  <c r="V121" i="9" s="1"/>
  <c r="J108" i="9"/>
  <c r="T121" i="9" s="1"/>
  <c r="J135" i="9"/>
  <c r="E108" i="9"/>
  <c r="O121" i="9" s="1"/>
  <c r="E135" i="9"/>
  <c r="O71" i="9"/>
  <c r="K71" i="9"/>
  <c r="G71" i="9"/>
  <c r="L71" i="9"/>
  <c r="H71" i="9"/>
  <c r="M71" i="9"/>
  <c r="I71" i="9"/>
  <c r="E71" i="9"/>
  <c r="N71" i="9"/>
  <c r="J71" i="9"/>
  <c r="F71" i="9"/>
  <c r="I117" i="9"/>
  <c r="N130" i="9" s="1"/>
  <c r="I144" i="9"/>
  <c r="F144" i="9"/>
  <c r="F117" i="9"/>
  <c r="K130" i="9" s="1"/>
  <c r="K140" i="9"/>
  <c r="K113" i="9"/>
  <c r="R126" i="9" s="1"/>
  <c r="G140" i="9"/>
  <c r="G113" i="9"/>
  <c r="N126" i="9" s="1"/>
  <c r="M109" i="9"/>
  <c r="V122" i="9" s="1"/>
  <c r="M136" i="9"/>
  <c r="H136" i="9"/>
  <c r="H109" i="9"/>
  <c r="Q122" i="9" s="1"/>
  <c r="L141" i="9"/>
  <c r="L114" i="9"/>
  <c r="S127" i="9" s="1"/>
  <c r="J141" i="9"/>
  <c r="J114" i="9"/>
  <c r="Q127" i="9" s="1"/>
  <c r="E141" i="9"/>
  <c r="E114" i="9"/>
  <c r="L127" i="9" s="1"/>
  <c r="O77" i="9"/>
  <c r="K77" i="9"/>
  <c r="G77" i="9"/>
  <c r="L77" i="9"/>
  <c r="H77" i="9"/>
  <c r="J77" i="9"/>
  <c r="M77" i="9"/>
  <c r="E77" i="9"/>
  <c r="N77" i="9"/>
  <c r="F77" i="9"/>
  <c r="I77" i="9"/>
  <c r="O111" i="9"/>
  <c r="W124" i="9" s="1"/>
  <c r="O138" i="9"/>
  <c r="O139" i="9"/>
  <c r="O112" i="9"/>
  <c r="W125" i="9" s="1"/>
  <c r="O140" i="9"/>
  <c r="O113" i="9"/>
  <c r="V126" i="9" s="1"/>
  <c r="O141" i="9"/>
  <c r="O114" i="9"/>
  <c r="V127" i="9" s="1"/>
  <c r="L142" i="9"/>
  <c r="L115" i="9"/>
  <c r="R128" i="9" s="1"/>
  <c r="H142" i="9"/>
  <c r="O78" i="9"/>
  <c r="H115" i="9"/>
  <c r="N128" i="9" s="1"/>
  <c r="E65" i="8"/>
  <c r="E61" i="8"/>
  <c r="E57" i="8"/>
  <c r="E53" i="8"/>
  <c r="E64" i="8"/>
  <c r="E60" i="8"/>
  <c r="E56" i="8"/>
  <c r="E52" i="8"/>
  <c r="E67" i="8"/>
  <c r="E63" i="8"/>
  <c r="E59" i="8"/>
  <c r="E55" i="8"/>
  <c r="E66" i="8"/>
  <c r="E62" i="8"/>
  <c r="E58" i="8"/>
  <c r="E54" i="8"/>
  <c r="G39" i="8"/>
  <c r="E48" i="8"/>
  <c r="F40" i="8"/>
  <c r="F41" i="8" s="1"/>
  <c r="R232" i="8"/>
  <c r="S229" i="8"/>
  <c r="Q13" i="8"/>
  <c r="F41" i="6"/>
  <c r="E49" i="6"/>
  <c r="G40" i="6"/>
  <c r="E42" i="6"/>
  <c r="S234" i="6"/>
  <c r="T231" i="6"/>
  <c r="T14" i="6"/>
  <c r="O99" i="2"/>
  <c r="P99" i="2" s="1"/>
  <c r="S232" i="1"/>
  <c r="T229" i="1"/>
  <c r="AG19" i="1"/>
  <c r="P91" i="2"/>
  <c r="Q89" i="2"/>
  <c r="P94" i="2"/>
  <c r="P13" i="1"/>
  <c r="T37" i="11" l="1"/>
  <c r="P140" i="9"/>
  <c r="P141" i="9"/>
  <c r="P143" i="9"/>
  <c r="P156" i="9" s="1"/>
  <c r="P169" i="9" s="1"/>
  <c r="P75" i="9"/>
  <c r="P77" i="9"/>
  <c r="P107" i="9"/>
  <c r="V16" i="11"/>
  <c r="W14" i="11"/>
  <c r="W16" i="11" s="1"/>
  <c r="P134" i="9"/>
  <c r="P147" i="9" s="1"/>
  <c r="P160" i="9" s="1"/>
  <c r="U19" i="11"/>
  <c r="U21" i="11" s="1"/>
  <c r="U23" i="11" s="1"/>
  <c r="U17" i="11"/>
  <c r="U18" i="11" s="1"/>
  <c r="U20" i="11" s="1"/>
  <c r="U22" i="11" s="1"/>
  <c r="U33" i="11"/>
  <c r="U34" i="11" s="1"/>
  <c r="U32" i="11"/>
  <c r="P138" i="9"/>
  <c r="P151" i="9" s="1"/>
  <c r="P164" i="9" s="1"/>
  <c r="P73" i="9"/>
  <c r="H23" i="6"/>
  <c r="AH14" i="2"/>
  <c r="P136" i="9"/>
  <c r="P149" i="9" s="1"/>
  <c r="P162" i="9" s="1"/>
  <c r="P139" i="9"/>
  <c r="P152" i="9" s="1"/>
  <c r="P165" i="9" s="1"/>
  <c r="P80" i="9"/>
  <c r="P109" i="9"/>
  <c r="P144" i="9"/>
  <c r="P157" i="9" s="1"/>
  <c r="P170" i="9" s="1"/>
  <c r="Q62" i="9"/>
  <c r="Q80" i="9" s="1"/>
  <c r="Q60" i="9"/>
  <c r="Q78" i="9" s="1"/>
  <c r="Q63" i="9"/>
  <c r="Q61" i="9"/>
  <c r="Q143" i="9" s="1"/>
  <c r="P116" i="9"/>
  <c r="V129" i="9" s="1"/>
  <c r="P71" i="9"/>
  <c r="P135" i="9"/>
  <c r="P148" i="9" s="1"/>
  <c r="P161" i="9" s="1"/>
  <c r="Q58" i="9"/>
  <c r="Q76" i="9" s="1"/>
  <c r="Q59" i="9"/>
  <c r="Q77" i="9" s="1"/>
  <c r="Q56" i="9"/>
  <c r="Q74" i="9" s="1"/>
  <c r="Q57" i="9"/>
  <c r="Q75" i="9" s="1"/>
  <c r="Q54" i="9"/>
  <c r="Q72" i="9" s="1"/>
  <c r="Q55" i="9"/>
  <c r="Q73" i="9" s="1"/>
  <c r="Q52" i="9"/>
  <c r="Q70" i="9" s="1"/>
  <c r="Q53" i="9"/>
  <c r="Q71" i="9" s="1"/>
  <c r="Q66" i="9"/>
  <c r="Q67" i="9"/>
  <c r="Q64" i="9"/>
  <c r="K148" i="9"/>
  <c r="K161" i="9" s="1"/>
  <c r="F148" i="9"/>
  <c r="F161" i="9" s="1"/>
  <c r="I148" i="9"/>
  <c r="I161" i="9" s="1"/>
  <c r="H148" i="9"/>
  <c r="H161" i="9" s="1"/>
  <c r="G148" i="9"/>
  <c r="G161" i="9" s="1"/>
  <c r="E148" i="9"/>
  <c r="N148" i="9"/>
  <c r="N161" i="9" s="1"/>
  <c r="O148" i="9"/>
  <c r="O161" i="9" s="1"/>
  <c r="J148" i="9"/>
  <c r="J161" i="9" s="1"/>
  <c r="M148" i="9"/>
  <c r="M161" i="9" s="1"/>
  <c r="L148" i="9"/>
  <c r="L161" i="9" s="1"/>
  <c r="K157" i="9"/>
  <c r="K170" i="9" s="1"/>
  <c r="I157" i="9"/>
  <c r="I170" i="9" s="1"/>
  <c r="F157" i="9"/>
  <c r="F170" i="9" s="1"/>
  <c r="J157" i="9"/>
  <c r="J170" i="9" s="1"/>
  <c r="G157" i="9"/>
  <c r="G170" i="9" s="1"/>
  <c r="N157" i="9"/>
  <c r="N170" i="9" s="1"/>
  <c r="M157" i="9"/>
  <c r="M170" i="9" s="1"/>
  <c r="H157" i="9"/>
  <c r="H170" i="9" s="1"/>
  <c r="E157" i="9"/>
  <c r="L157" i="9"/>
  <c r="L170" i="9" s="1"/>
  <c r="O157" i="9"/>
  <c r="O170" i="9" s="1"/>
  <c r="S40" i="9"/>
  <c r="S49" i="9" s="1"/>
  <c r="T39" i="9"/>
  <c r="F151" i="9"/>
  <c r="F164" i="9" s="1"/>
  <c r="O151" i="9"/>
  <c r="O164" i="9" s="1"/>
  <c r="M151" i="9"/>
  <c r="M164" i="9" s="1"/>
  <c r="J151" i="9"/>
  <c r="J164" i="9" s="1"/>
  <c r="L151" i="9"/>
  <c r="L164" i="9" s="1"/>
  <c r="I151" i="9"/>
  <c r="I164" i="9" s="1"/>
  <c r="G151" i="9"/>
  <c r="G164" i="9" s="1"/>
  <c r="E151" i="9"/>
  <c r="N151" i="9"/>
  <c r="N164" i="9" s="1"/>
  <c r="K151" i="9"/>
  <c r="K164" i="9" s="1"/>
  <c r="H151" i="9"/>
  <c r="H164" i="9" s="1"/>
  <c r="F86" i="9"/>
  <c r="O86" i="9"/>
  <c r="J154" i="9"/>
  <c r="J167" i="9" s="1"/>
  <c r="G154" i="9"/>
  <c r="G167" i="9" s="1"/>
  <c r="I154" i="9"/>
  <c r="I167" i="9" s="1"/>
  <c r="K154" i="9"/>
  <c r="K167" i="9" s="1"/>
  <c r="M154" i="9"/>
  <c r="M167" i="9" s="1"/>
  <c r="P154" i="9"/>
  <c r="P167" i="9" s="1"/>
  <c r="L154" i="9"/>
  <c r="L167" i="9" s="1"/>
  <c r="O154" i="9"/>
  <c r="O167" i="9" s="1"/>
  <c r="E154" i="9"/>
  <c r="H154" i="9"/>
  <c r="H167" i="9" s="1"/>
  <c r="N154" i="9"/>
  <c r="N167" i="9" s="1"/>
  <c r="F154" i="9"/>
  <c r="F167" i="9" s="1"/>
  <c r="J150" i="9"/>
  <c r="J163" i="9" s="1"/>
  <c r="P150" i="9"/>
  <c r="P163" i="9" s="1"/>
  <c r="O150" i="9"/>
  <c r="O163" i="9" s="1"/>
  <c r="F150" i="9"/>
  <c r="F163" i="9" s="1"/>
  <c r="M150" i="9"/>
  <c r="M163" i="9" s="1"/>
  <c r="L150" i="9"/>
  <c r="L163" i="9" s="1"/>
  <c r="H150" i="9"/>
  <c r="H163" i="9" s="1"/>
  <c r="K150" i="9"/>
  <c r="K163" i="9" s="1"/>
  <c r="I150" i="9"/>
  <c r="I163" i="9" s="1"/>
  <c r="G150" i="9"/>
  <c r="G163" i="9" s="1"/>
  <c r="N150" i="9"/>
  <c r="N163" i="9" s="1"/>
  <c r="E150" i="9"/>
  <c r="M153" i="9"/>
  <c r="M166" i="9" s="1"/>
  <c r="H153" i="9"/>
  <c r="H166" i="9" s="1"/>
  <c r="N153" i="9"/>
  <c r="N166" i="9" s="1"/>
  <c r="I153" i="9"/>
  <c r="I166" i="9" s="1"/>
  <c r="E153" i="9"/>
  <c r="L153" i="9"/>
  <c r="L166" i="9" s="1"/>
  <c r="K153" i="9"/>
  <c r="K166" i="9" s="1"/>
  <c r="O153" i="9"/>
  <c r="O166" i="9" s="1"/>
  <c r="P153" i="9"/>
  <c r="P166" i="9" s="1"/>
  <c r="F153" i="9"/>
  <c r="F166" i="9" s="1"/>
  <c r="G153" i="9"/>
  <c r="G166" i="9" s="1"/>
  <c r="J153" i="9"/>
  <c r="J166" i="9" s="1"/>
  <c r="G156" i="9"/>
  <c r="G169" i="9" s="1"/>
  <c r="H156" i="9"/>
  <c r="H169" i="9" s="1"/>
  <c r="L156" i="9"/>
  <c r="L169" i="9" s="1"/>
  <c r="E156" i="9"/>
  <c r="J156" i="9"/>
  <c r="J169" i="9" s="1"/>
  <c r="N156" i="9"/>
  <c r="N169" i="9" s="1"/>
  <c r="K156" i="9"/>
  <c r="K169" i="9" s="1"/>
  <c r="F156" i="9"/>
  <c r="F169" i="9" s="1"/>
  <c r="I156" i="9"/>
  <c r="I169" i="9" s="1"/>
  <c r="O156" i="9"/>
  <c r="O169" i="9" s="1"/>
  <c r="M156" i="9"/>
  <c r="M169" i="9" s="1"/>
  <c r="K152" i="9"/>
  <c r="K165" i="9" s="1"/>
  <c r="I152" i="9"/>
  <c r="I165" i="9" s="1"/>
  <c r="O152" i="9"/>
  <c r="O165" i="9" s="1"/>
  <c r="L152" i="9"/>
  <c r="L165" i="9" s="1"/>
  <c r="M152" i="9"/>
  <c r="M165" i="9" s="1"/>
  <c r="N152" i="9"/>
  <c r="N165" i="9" s="1"/>
  <c r="J152" i="9"/>
  <c r="J165" i="9" s="1"/>
  <c r="H152" i="9"/>
  <c r="H165" i="9" s="1"/>
  <c r="G152" i="9"/>
  <c r="G165" i="9" s="1"/>
  <c r="F152" i="9"/>
  <c r="F165" i="9" s="1"/>
  <c r="E152" i="9"/>
  <c r="M86" i="9"/>
  <c r="L86" i="9"/>
  <c r="K86" i="9"/>
  <c r="L147" i="9"/>
  <c r="L160" i="9" s="1"/>
  <c r="K147" i="9"/>
  <c r="K160" i="9" s="1"/>
  <c r="H147" i="9"/>
  <c r="H160" i="9" s="1"/>
  <c r="G147" i="9"/>
  <c r="G160" i="9" s="1"/>
  <c r="J147" i="9"/>
  <c r="J160" i="9" s="1"/>
  <c r="E147" i="9"/>
  <c r="F147" i="9"/>
  <c r="F160" i="9" s="1"/>
  <c r="O147" i="9"/>
  <c r="O160" i="9" s="1"/>
  <c r="M147" i="9"/>
  <c r="M160" i="9" s="1"/>
  <c r="N147" i="9"/>
  <c r="N160" i="9" s="1"/>
  <c r="I147" i="9"/>
  <c r="I160" i="9" s="1"/>
  <c r="R41" i="9"/>
  <c r="T232" i="9"/>
  <c r="U229" i="9"/>
  <c r="G149" i="9"/>
  <c r="G162" i="9" s="1"/>
  <c r="F149" i="9"/>
  <c r="F162" i="9" s="1"/>
  <c r="M149" i="9"/>
  <c r="M162" i="9" s="1"/>
  <c r="L149" i="9"/>
  <c r="L162" i="9" s="1"/>
  <c r="O149" i="9"/>
  <c r="O162" i="9" s="1"/>
  <c r="N149" i="9"/>
  <c r="N162" i="9" s="1"/>
  <c r="I149" i="9"/>
  <c r="I162" i="9" s="1"/>
  <c r="H149" i="9"/>
  <c r="H162" i="9" s="1"/>
  <c r="K149" i="9"/>
  <c r="K162" i="9" s="1"/>
  <c r="J149" i="9"/>
  <c r="J162" i="9" s="1"/>
  <c r="E149" i="9"/>
  <c r="N86" i="9"/>
  <c r="I86" i="9"/>
  <c r="H86" i="9"/>
  <c r="G86" i="9"/>
  <c r="G155" i="9"/>
  <c r="G168" i="9" s="1"/>
  <c r="N155" i="9"/>
  <c r="N168" i="9" s="1"/>
  <c r="E155" i="9"/>
  <c r="K155" i="9"/>
  <c r="K168" i="9" s="1"/>
  <c r="I155" i="9"/>
  <c r="I168" i="9" s="1"/>
  <c r="F155" i="9"/>
  <c r="F168" i="9" s="1"/>
  <c r="H155" i="9"/>
  <c r="H168" i="9" s="1"/>
  <c r="O155" i="9"/>
  <c r="O168" i="9" s="1"/>
  <c r="J155" i="9"/>
  <c r="J168" i="9" s="1"/>
  <c r="L155" i="9"/>
  <c r="L168" i="9" s="1"/>
  <c r="M155" i="9"/>
  <c r="M168" i="9" s="1"/>
  <c r="P155" i="9"/>
  <c r="P168" i="9" s="1"/>
  <c r="J86" i="9"/>
  <c r="E86" i="9"/>
  <c r="R49" i="9"/>
  <c r="H39" i="8"/>
  <c r="S232" i="8"/>
  <c r="T229" i="8"/>
  <c r="F66" i="8"/>
  <c r="F62" i="8"/>
  <c r="F80" i="8" s="1"/>
  <c r="F58" i="8"/>
  <c r="F76" i="8" s="1"/>
  <c r="F54" i="8"/>
  <c r="F65" i="8"/>
  <c r="F61" i="8"/>
  <c r="F79" i="8" s="1"/>
  <c r="F57" i="8"/>
  <c r="F75" i="8" s="1"/>
  <c r="F53" i="8"/>
  <c r="F64" i="8"/>
  <c r="F60" i="8"/>
  <c r="F78" i="8" s="1"/>
  <c r="F56" i="8"/>
  <c r="F74" i="8" s="1"/>
  <c r="F52" i="8"/>
  <c r="F67" i="8"/>
  <c r="F63" i="8"/>
  <c r="F59" i="8"/>
  <c r="F77" i="8" s="1"/>
  <c r="F55" i="8"/>
  <c r="E144" i="8"/>
  <c r="E117" i="8"/>
  <c r="J130" i="8" s="1"/>
  <c r="E80" i="8"/>
  <c r="E115" i="8"/>
  <c r="K128" i="8" s="1"/>
  <c r="E142" i="8"/>
  <c r="E78" i="8"/>
  <c r="E143" i="8"/>
  <c r="E116" i="8"/>
  <c r="K129" i="8" s="1"/>
  <c r="E79" i="8"/>
  <c r="R13" i="8"/>
  <c r="E140" i="8"/>
  <c r="E113" i="8"/>
  <c r="L126" i="8" s="1"/>
  <c r="E76" i="8"/>
  <c r="E141" i="8"/>
  <c r="E114" i="8"/>
  <c r="L127" i="8" s="1"/>
  <c r="E77" i="8"/>
  <c r="E111" i="8"/>
  <c r="M124" i="8" s="1"/>
  <c r="E138" i="8"/>
  <c r="E74" i="8"/>
  <c r="E139" i="8"/>
  <c r="E112" i="8"/>
  <c r="M125" i="8" s="1"/>
  <c r="E75" i="8"/>
  <c r="G40" i="8"/>
  <c r="F48" i="8"/>
  <c r="E136" i="8"/>
  <c r="E109" i="8"/>
  <c r="N122" i="8" s="1"/>
  <c r="E72" i="8"/>
  <c r="F72" i="8"/>
  <c r="E137" i="8"/>
  <c r="E110" i="8"/>
  <c r="N123" i="8" s="1"/>
  <c r="E73" i="8"/>
  <c r="F73" i="8"/>
  <c r="E107" i="8"/>
  <c r="O120" i="8" s="1"/>
  <c r="E134" i="8"/>
  <c r="E70" i="8"/>
  <c r="F70" i="8"/>
  <c r="E135" i="8"/>
  <c r="E108" i="8"/>
  <c r="O121" i="8" s="1"/>
  <c r="E71" i="8"/>
  <c r="F71" i="8"/>
  <c r="G41" i="6"/>
  <c r="G42" i="6" s="1"/>
  <c r="F49" i="6"/>
  <c r="E67" i="6"/>
  <c r="E66" i="6"/>
  <c r="E62" i="6"/>
  <c r="E58" i="6"/>
  <c r="E54" i="6"/>
  <c r="E65" i="6"/>
  <c r="E61" i="6"/>
  <c r="E57" i="6"/>
  <c r="E53" i="6"/>
  <c r="E59" i="6"/>
  <c r="E55" i="6"/>
  <c r="E68" i="6"/>
  <c r="E64" i="6"/>
  <c r="E60" i="6"/>
  <c r="E56" i="6"/>
  <c r="E63" i="6"/>
  <c r="H40" i="6"/>
  <c r="U14" i="6"/>
  <c r="T234" i="6"/>
  <c r="U231" i="6"/>
  <c r="F42" i="6"/>
  <c r="Q91" i="2"/>
  <c r="R89" i="2"/>
  <c r="Q90" i="2"/>
  <c r="Q101" i="2" s="1"/>
  <c r="Q94" i="2"/>
  <c r="B19" i="1"/>
  <c r="T232" i="1"/>
  <c r="U229" i="1"/>
  <c r="Q13" i="1"/>
  <c r="Q141" i="9" l="1"/>
  <c r="Q115" i="9"/>
  <c r="W128" i="9" s="1"/>
  <c r="Q140" i="9"/>
  <c r="Q153" i="9" s="1"/>
  <c r="Q166" i="9" s="1"/>
  <c r="Q139" i="9"/>
  <c r="Q152" i="9" s="1"/>
  <c r="Q165" i="9" s="1"/>
  <c r="Q117" i="9"/>
  <c r="V130" i="9" s="1"/>
  <c r="P86" i="9"/>
  <c r="U36" i="11"/>
  <c r="U37" i="11"/>
  <c r="Q142" i="9"/>
  <c r="Q155" i="9" s="1"/>
  <c r="Q168" i="9" s="1"/>
  <c r="Q110" i="9"/>
  <c r="Q144" i="9"/>
  <c r="Q157" i="9" s="1"/>
  <c r="Q170" i="9" s="1"/>
  <c r="W17" i="11"/>
  <c r="W18" i="11" s="1"/>
  <c r="W20" i="11" s="1"/>
  <c r="W22" i="11" s="1"/>
  <c r="W33" i="11"/>
  <c r="W34" i="11" s="1"/>
  <c r="W19" i="11"/>
  <c r="W21" i="11" s="1"/>
  <c r="W23" i="11" s="1"/>
  <c r="W37" i="11" s="1"/>
  <c r="W32" i="11"/>
  <c r="V17" i="11"/>
  <c r="V18" i="11" s="1"/>
  <c r="V20" i="11" s="1"/>
  <c r="V22" i="11" s="1"/>
  <c r="V33" i="11"/>
  <c r="V34" i="11" s="1"/>
  <c r="V19" i="11"/>
  <c r="V21" i="11" s="1"/>
  <c r="V23" i="11" s="1"/>
  <c r="V37" i="11" s="1"/>
  <c r="V32" i="11"/>
  <c r="Q114" i="9"/>
  <c r="Q135" i="9"/>
  <c r="Q148" i="9" s="1"/>
  <c r="Q161" i="9" s="1"/>
  <c r="Q79" i="9"/>
  <c r="Q116" i="9"/>
  <c r="W129" i="9" s="1"/>
  <c r="S41" i="9"/>
  <c r="S55" i="9" s="1"/>
  <c r="Q112" i="9"/>
  <c r="Q137" i="9"/>
  <c r="Q150" i="9" s="1"/>
  <c r="Q163" i="9" s="1"/>
  <c r="Q108" i="9"/>
  <c r="Q138" i="9"/>
  <c r="Q151" i="9" s="1"/>
  <c r="Q164" i="9" s="1"/>
  <c r="Q107" i="9"/>
  <c r="Q134" i="9"/>
  <c r="Q147" i="9" s="1"/>
  <c r="Q160" i="9" s="1"/>
  <c r="Q111" i="9"/>
  <c r="Q109" i="9"/>
  <c r="Q113" i="9"/>
  <c r="Q136" i="9"/>
  <c r="Q149" i="9" s="1"/>
  <c r="Q162" i="9" s="1"/>
  <c r="O182" i="9"/>
  <c r="O196" i="9" s="1"/>
  <c r="M182" i="9"/>
  <c r="M196" i="9" s="1"/>
  <c r="P182" i="9"/>
  <c r="P196" i="9" s="1"/>
  <c r="H182" i="9"/>
  <c r="H196" i="9" s="1"/>
  <c r="U232" i="9"/>
  <c r="V229" i="9"/>
  <c r="R66" i="9"/>
  <c r="R62" i="9"/>
  <c r="R58" i="9"/>
  <c r="R54" i="9"/>
  <c r="R65" i="9"/>
  <c r="R61" i="9"/>
  <c r="R57" i="9"/>
  <c r="R53" i="9"/>
  <c r="R64" i="9"/>
  <c r="R60" i="9"/>
  <c r="R56" i="9"/>
  <c r="R52" i="9"/>
  <c r="R67" i="9"/>
  <c r="R63" i="9"/>
  <c r="R59" i="9"/>
  <c r="R55" i="9"/>
  <c r="E165" i="9"/>
  <c r="N182" i="9"/>
  <c r="N196" i="9" s="1"/>
  <c r="J182" i="9"/>
  <c r="J196" i="9" s="1"/>
  <c r="Q156" i="9"/>
  <c r="Q169" i="9" s="1"/>
  <c r="Q182" i="9" s="1"/>
  <c r="Q154" i="9"/>
  <c r="Q167" i="9" s="1"/>
  <c r="E166" i="9"/>
  <c r="E167" i="9"/>
  <c r="T40" i="9"/>
  <c r="T49" i="9" s="1"/>
  <c r="E161" i="9"/>
  <c r="K182" i="9"/>
  <c r="K196" i="9" s="1"/>
  <c r="E160" i="9"/>
  <c r="E169" i="9"/>
  <c r="E163" i="9"/>
  <c r="Q86" i="9"/>
  <c r="U39" i="9"/>
  <c r="I182" i="9"/>
  <c r="I196" i="9" s="1"/>
  <c r="E168" i="9"/>
  <c r="E162" i="9"/>
  <c r="E164" i="9"/>
  <c r="E170" i="9"/>
  <c r="L182" i="9"/>
  <c r="L196" i="9" s="1"/>
  <c r="H40" i="8"/>
  <c r="H49" i="8" s="1"/>
  <c r="G48" i="8"/>
  <c r="E153" i="8"/>
  <c r="S13" i="8"/>
  <c r="E157" i="8"/>
  <c r="I39" i="8"/>
  <c r="E148" i="8"/>
  <c r="E147" i="8"/>
  <c r="E154" i="8"/>
  <c r="F142" i="8"/>
  <c r="F155" i="8" s="1"/>
  <c r="F168" i="8" s="1"/>
  <c r="F115" i="8"/>
  <c r="L128" i="8" s="1"/>
  <c r="F143" i="8"/>
  <c r="F156" i="8" s="1"/>
  <c r="F169" i="8" s="1"/>
  <c r="F116" i="8"/>
  <c r="L129" i="8" s="1"/>
  <c r="F144" i="8"/>
  <c r="F117" i="8"/>
  <c r="K130" i="8" s="1"/>
  <c r="G41" i="8"/>
  <c r="E86" i="8"/>
  <c r="E149" i="8"/>
  <c r="E155" i="8"/>
  <c r="F141" i="8"/>
  <c r="F114" i="8"/>
  <c r="M127" i="8" s="1"/>
  <c r="F138" i="8"/>
  <c r="F151" i="8" s="1"/>
  <c r="F164" i="8" s="1"/>
  <c r="F111" i="8"/>
  <c r="N124" i="8" s="1"/>
  <c r="F139" i="8"/>
  <c r="F152" i="8" s="1"/>
  <c r="F165" i="8" s="1"/>
  <c r="F112" i="8"/>
  <c r="N125" i="8" s="1"/>
  <c r="F140" i="8"/>
  <c r="F153" i="8" s="1"/>
  <c r="F166" i="8" s="1"/>
  <c r="F113" i="8"/>
  <c r="M126" i="8" s="1"/>
  <c r="F86" i="8"/>
  <c r="E150" i="8"/>
  <c r="E152" i="8"/>
  <c r="E151" i="8"/>
  <c r="E156" i="8"/>
  <c r="F137" i="8"/>
  <c r="F110" i="8"/>
  <c r="O123" i="8" s="1"/>
  <c r="F134" i="8"/>
  <c r="F107" i="8"/>
  <c r="P120" i="8" s="1"/>
  <c r="F135" i="8"/>
  <c r="F148" i="8" s="1"/>
  <c r="F161" i="8" s="1"/>
  <c r="F108" i="8"/>
  <c r="P121" i="8" s="1"/>
  <c r="F136" i="8"/>
  <c r="F109" i="8"/>
  <c r="O122" i="8" s="1"/>
  <c r="T232" i="8"/>
  <c r="U229" i="8"/>
  <c r="E138" i="6"/>
  <c r="E111" i="6"/>
  <c r="N124" i="6" s="1"/>
  <c r="E74" i="6"/>
  <c r="E137" i="6"/>
  <c r="E110" i="6"/>
  <c r="N123" i="6" s="1"/>
  <c r="E73" i="6"/>
  <c r="E116" i="6"/>
  <c r="K129" i="6" s="1"/>
  <c r="E143" i="6"/>
  <c r="E79" i="6"/>
  <c r="E144" i="6"/>
  <c r="E117" i="6"/>
  <c r="K130" i="6" s="1"/>
  <c r="E80" i="6"/>
  <c r="H41" i="6"/>
  <c r="H50" i="6" s="1"/>
  <c r="G49" i="6"/>
  <c r="E145" i="6"/>
  <c r="E118" i="6"/>
  <c r="J131" i="6" s="1"/>
  <c r="E81" i="6"/>
  <c r="E112" i="6"/>
  <c r="M125" i="6" s="1"/>
  <c r="E139" i="6"/>
  <c r="E75" i="6"/>
  <c r="E140" i="6"/>
  <c r="E113" i="6"/>
  <c r="M126" i="6" s="1"/>
  <c r="E76" i="6"/>
  <c r="U234" i="6"/>
  <c r="V231" i="6"/>
  <c r="F68" i="6"/>
  <c r="F67" i="6"/>
  <c r="F63" i="6"/>
  <c r="F81" i="6" s="1"/>
  <c r="F59" i="6"/>
  <c r="F77" i="6" s="1"/>
  <c r="F55" i="6"/>
  <c r="F66" i="6"/>
  <c r="F62" i="6"/>
  <c r="F58" i="6"/>
  <c r="F76" i="6" s="1"/>
  <c r="F54" i="6"/>
  <c r="F72" i="6" s="1"/>
  <c r="F60" i="6"/>
  <c r="F78" i="6" s="1"/>
  <c r="F56" i="6"/>
  <c r="F65" i="6"/>
  <c r="F61" i="6"/>
  <c r="F57" i="6"/>
  <c r="F75" i="6" s="1"/>
  <c r="F53" i="6"/>
  <c r="F71" i="6" s="1"/>
  <c r="F64" i="6"/>
  <c r="I40" i="6"/>
  <c r="E108" i="6"/>
  <c r="O121" i="6" s="1"/>
  <c r="E135" i="6"/>
  <c r="E71" i="6"/>
  <c r="E136" i="6"/>
  <c r="E109" i="6"/>
  <c r="O122" i="6" s="1"/>
  <c r="E72" i="6"/>
  <c r="V14" i="6"/>
  <c r="G65" i="6"/>
  <c r="G68" i="6"/>
  <c r="G64" i="6"/>
  <c r="G60" i="6"/>
  <c r="G56" i="6"/>
  <c r="G67" i="6"/>
  <c r="G63" i="6"/>
  <c r="G59" i="6"/>
  <c r="G55" i="6"/>
  <c r="G61" i="6"/>
  <c r="G57" i="6"/>
  <c r="G53" i="6"/>
  <c r="G66" i="6"/>
  <c r="G62" i="6"/>
  <c r="G58" i="6"/>
  <c r="G54" i="6"/>
  <c r="E142" i="6"/>
  <c r="E115" i="6"/>
  <c r="L128" i="6" s="1"/>
  <c r="E78" i="6"/>
  <c r="E141" i="6"/>
  <c r="E114" i="6"/>
  <c r="L127" i="6" s="1"/>
  <c r="E77" i="6"/>
  <c r="U232" i="1"/>
  <c r="V229" i="1"/>
  <c r="D39" i="1"/>
  <c r="E39" i="1" s="1"/>
  <c r="H20" i="1"/>
  <c r="I20" i="1"/>
  <c r="J20" i="1"/>
  <c r="K20" i="1"/>
  <c r="L20" i="1"/>
  <c r="M20" i="1"/>
  <c r="N20" i="1"/>
  <c r="O20" i="1"/>
  <c r="P20" i="1"/>
  <c r="Q20" i="1"/>
  <c r="R20" i="1"/>
  <c r="S20" i="1"/>
  <c r="T20" i="1"/>
  <c r="AH20" i="1"/>
  <c r="G20" i="1"/>
  <c r="U20" i="1"/>
  <c r="D40" i="1"/>
  <c r="V20" i="1"/>
  <c r="W20" i="1"/>
  <c r="X20" i="1"/>
  <c r="Y20" i="1"/>
  <c r="Z20" i="1"/>
  <c r="AA20" i="1"/>
  <c r="AB20" i="1"/>
  <c r="AC20" i="1"/>
  <c r="AD20" i="1"/>
  <c r="AE20" i="1"/>
  <c r="AF20" i="1"/>
  <c r="R91" i="2"/>
  <c r="S89" i="2"/>
  <c r="S94" i="2" s="1"/>
  <c r="AG20" i="1"/>
  <c r="Q99" i="2"/>
  <c r="R90" i="2"/>
  <c r="R101" i="2" s="1"/>
  <c r="R94" i="2"/>
  <c r="R13" i="1"/>
  <c r="S56" i="9" l="1"/>
  <c r="S58" i="9"/>
  <c r="S57" i="9"/>
  <c r="S75" i="9" s="1"/>
  <c r="S59" i="9"/>
  <c r="S114" i="9" s="1"/>
  <c r="V36" i="11"/>
  <c r="W36" i="11"/>
  <c r="B39" i="11"/>
  <c r="S60" i="9"/>
  <c r="S142" i="9" s="1"/>
  <c r="S61" i="9"/>
  <c r="S143" i="9" s="1"/>
  <c r="S62" i="9"/>
  <c r="S80" i="9" s="1"/>
  <c r="S63" i="9"/>
  <c r="S64" i="9"/>
  <c r="S65" i="9"/>
  <c r="S66" i="9"/>
  <c r="S67" i="9"/>
  <c r="S52" i="9"/>
  <c r="S70" i="9" s="1"/>
  <c r="S53" i="9"/>
  <c r="S108" i="9" s="1"/>
  <c r="S54" i="9"/>
  <c r="S136" i="9" s="1"/>
  <c r="Q196" i="9"/>
  <c r="T41" i="9"/>
  <c r="T52" i="9" s="1"/>
  <c r="P183" i="9"/>
  <c r="P197" i="9" s="1"/>
  <c r="L183" i="9"/>
  <c r="L197" i="9" s="1"/>
  <c r="H183" i="9"/>
  <c r="H197" i="9" s="1"/>
  <c r="Q183" i="9"/>
  <c r="Q197" i="9" s="1"/>
  <c r="M183" i="9"/>
  <c r="M197" i="9" s="1"/>
  <c r="I183" i="9"/>
  <c r="I197" i="9" s="1"/>
  <c r="E183" i="9"/>
  <c r="E197" i="9" s="1"/>
  <c r="N183" i="9"/>
  <c r="N197" i="9" s="1"/>
  <c r="J183" i="9"/>
  <c r="J197" i="9" s="1"/>
  <c r="F183" i="9"/>
  <c r="F197" i="9" s="1"/>
  <c r="O183" i="9"/>
  <c r="O197" i="9" s="1"/>
  <c r="K183" i="9"/>
  <c r="K197" i="9" s="1"/>
  <c r="G183" i="9"/>
  <c r="G197" i="9" s="1"/>
  <c r="P180" i="9"/>
  <c r="P194" i="9" s="1"/>
  <c r="L180" i="9"/>
  <c r="L194" i="9" s="1"/>
  <c r="H180" i="9"/>
  <c r="H194" i="9" s="1"/>
  <c r="Q180" i="9"/>
  <c r="Q194" i="9" s="1"/>
  <c r="M180" i="9"/>
  <c r="M194" i="9" s="1"/>
  <c r="I180" i="9"/>
  <c r="I194" i="9" s="1"/>
  <c r="E180" i="9"/>
  <c r="E194" i="9" s="1"/>
  <c r="N180" i="9"/>
  <c r="N194" i="9" s="1"/>
  <c r="J180" i="9"/>
  <c r="J194" i="9" s="1"/>
  <c r="F180" i="9"/>
  <c r="F194" i="9" s="1"/>
  <c r="O180" i="9"/>
  <c r="O194" i="9" s="1"/>
  <c r="K180" i="9"/>
  <c r="K194" i="9" s="1"/>
  <c r="G180" i="9"/>
  <c r="G194" i="9" s="1"/>
  <c r="R137" i="9"/>
  <c r="R110" i="9"/>
  <c r="R73" i="9"/>
  <c r="S73" i="9"/>
  <c r="R107" i="9"/>
  <c r="R134" i="9"/>
  <c r="R70" i="9"/>
  <c r="R108" i="9"/>
  <c r="R135" i="9"/>
  <c r="S71" i="9"/>
  <c r="R71" i="9"/>
  <c r="R136" i="9"/>
  <c r="R109" i="9"/>
  <c r="R72" i="9"/>
  <c r="V232" i="9"/>
  <c r="W229" i="9"/>
  <c r="P175" i="9"/>
  <c r="P189" i="9" s="1"/>
  <c r="L175" i="9"/>
  <c r="L189" i="9" s="1"/>
  <c r="H175" i="9"/>
  <c r="H189" i="9" s="1"/>
  <c r="Q175" i="9"/>
  <c r="Q189" i="9" s="1"/>
  <c r="M175" i="9"/>
  <c r="M189" i="9" s="1"/>
  <c r="I175" i="9"/>
  <c r="I189" i="9" s="1"/>
  <c r="E175" i="9"/>
  <c r="E189" i="9" s="1"/>
  <c r="N175" i="9"/>
  <c r="N189" i="9" s="1"/>
  <c r="J175" i="9"/>
  <c r="J189" i="9" s="1"/>
  <c r="F175" i="9"/>
  <c r="F189" i="9" s="1"/>
  <c r="O175" i="9"/>
  <c r="O189" i="9" s="1"/>
  <c r="K175" i="9"/>
  <c r="K189" i="9" s="1"/>
  <c r="G175" i="9"/>
  <c r="G189" i="9" s="1"/>
  <c r="V39" i="9"/>
  <c r="P176" i="9"/>
  <c r="P190" i="9" s="1"/>
  <c r="L176" i="9"/>
  <c r="L190" i="9" s="1"/>
  <c r="H176" i="9"/>
  <c r="H190" i="9" s="1"/>
  <c r="Q176" i="9"/>
  <c r="Q190" i="9" s="1"/>
  <c r="M176" i="9"/>
  <c r="M190" i="9" s="1"/>
  <c r="I176" i="9"/>
  <c r="I190" i="9" s="1"/>
  <c r="E176" i="9"/>
  <c r="E190" i="9" s="1"/>
  <c r="N176" i="9"/>
  <c r="N190" i="9" s="1"/>
  <c r="J176" i="9"/>
  <c r="J190" i="9" s="1"/>
  <c r="F176" i="9"/>
  <c r="F190" i="9" s="1"/>
  <c r="O176" i="9"/>
  <c r="O190" i="9" s="1"/>
  <c r="K176" i="9"/>
  <c r="K190" i="9" s="1"/>
  <c r="G176" i="9"/>
  <c r="G190" i="9" s="1"/>
  <c r="P173" i="9"/>
  <c r="L173" i="9"/>
  <c r="Q173" i="9"/>
  <c r="M173" i="9"/>
  <c r="I173" i="9"/>
  <c r="E173" i="9"/>
  <c r="N173" i="9"/>
  <c r="O173" i="9"/>
  <c r="K173" i="9"/>
  <c r="G173" i="9"/>
  <c r="H173" i="9"/>
  <c r="J173" i="9"/>
  <c r="F173" i="9"/>
  <c r="P179" i="9"/>
  <c r="P193" i="9" s="1"/>
  <c r="L179" i="9"/>
  <c r="L193" i="9" s="1"/>
  <c r="H179" i="9"/>
  <c r="H193" i="9" s="1"/>
  <c r="Q179" i="9"/>
  <c r="Q193" i="9" s="1"/>
  <c r="M179" i="9"/>
  <c r="M193" i="9" s="1"/>
  <c r="I179" i="9"/>
  <c r="I193" i="9" s="1"/>
  <c r="E179" i="9"/>
  <c r="E193" i="9" s="1"/>
  <c r="N179" i="9"/>
  <c r="N193" i="9" s="1"/>
  <c r="J179" i="9"/>
  <c r="J193" i="9" s="1"/>
  <c r="F179" i="9"/>
  <c r="F193" i="9" s="1"/>
  <c r="O179" i="9"/>
  <c r="O193" i="9" s="1"/>
  <c r="K179" i="9"/>
  <c r="K193" i="9" s="1"/>
  <c r="G179" i="9"/>
  <c r="G193" i="9" s="1"/>
  <c r="P178" i="9"/>
  <c r="P192" i="9" s="1"/>
  <c r="L178" i="9"/>
  <c r="L192" i="9" s="1"/>
  <c r="H178" i="9"/>
  <c r="H192" i="9" s="1"/>
  <c r="Q178" i="9"/>
  <c r="Q192" i="9" s="1"/>
  <c r="M178" i="9"/>
  <c r="M192" i="9" s="1"/>
  <c r="I178" i="9"/>
  <c r="I192" i="9" s="1"/>
  <c r="E178" i="9"/>
  <c r="E192" i="9" s="1"/>
  <c r="N178" i="9"/>
  <c r="N192" i="9" s="1"/>
  <c r="J178" i="9"/>
  <c r="J192" i="9" s="1"/>
  <c r="F178" i="9"/>
  <c r="F192" i="9" s="1"/>
  <c r="O178" i="9"/>
  <c r="O192" i="9" s="1"/>
  <c r="K178" i="9"/>
  <c r="K192" i="9" s="1"/>
  <c r="G178" i="9"/>
  <c r="G192" i="9" s="1"/>
  <c r="G77" i="6"/>
  <c r="S111" i="9"/>
  <c r="S138" i="9"/>
  <c r="S139" i="9"/>
  <c r="S140" i="9"/>
  <c r="S113" i="9"/>
  <c r="P177" i="9"/>
  <c r="P191" i="9" s="1"/>
  <c r="L177" i="9"/>
  <c r="L191" i="9" s="1"/>
  <c r="H177" i="9"/>
  <c r="H191" i="9" s="1"/>
  <c r="Q177" i="9"/>
  <c r="Q191" i="9" s="1"/>
  <c r="M177" i="9"/>
  <c r="M191" i="9" s="1"/>
  <c r="I177" i="9"/>
  <c r="I191" i="9" s="1"/>
  <c r="E177" i="9"/>
  <c r="E191" i="9" s="1"/>
  <c r="N177" i="9"/>
  <c r="N191" i="9" s="1"/>
  <c r="J177" i="9"/>
  <c r="J191" i="9" s="1"/>
  <c r="F177" i="9"/>
  <c r="F191" i="9" s="1"/>
  <c r="O177" i="9"/>
  <c r="O191" i="9" s="1"/>
  <c r="K177" i="9"/>
  <c r="K191" i="9" s="1"/>
  <c r="G177" i="9"/>
  <c r="G191" i="9" s="1"/>
  <c r="P181" i="9"/>
  <c r="P195" i="9" s="1"/>
  <c r="L181" i="9"/>
  <c r="L195" i="9" s="1"/>
  <c r="H181" i="9"/>
  <c r="H195" i="9" s="1"/>
  <c r="Q181" i="9"/>
  <c r="Q195" i="9" s="1"/>
  <c r="M181" i="9"/>
  <c r="M195" i="9" s="1"/>
  <c r="I181" i="9"/>
  <c r="I195" i="9" s="1"/>
  <c r="E181" i="9"/>
  <c r="E195" i="9" s="1"/>
  <c r="N181" i="9"/>
  <c r="N195" i="9" s="1"/>
  <c r="J181" i="9"/>
  <c r="J195" i="9" s="1"/>
  <c r="F181" i="9"/>
  <c r="F195" i="9" s="1"/>
  <c r="O181" i="9"/>
  <c r="O195" i="9" s="1"/>
  <c r="K181" i="9"/>
  <c r="K195" i="9" s="1"/>
  <c r="G181" i="9"/>
  <c r="G195" i="9" s="1"/>
  <c r="U40" i="9"/>
  <c r="U41" i="9" s="1"/>
  <c r="R115" i="9"/>
  <c r="R142" i="9"/>
  <c r="R78" i="9"/>
  <c r="R116" i="9"/>
  <c r="R143" i="9"/>
  <c r="R79" i="9"/>
  <c r="S79" i="9"/>
  <c r="R144" i="9"/>
  <c r="R117" i="9"/>
  <c r="W130" i="9" s="1"/>
  <c r="R80" i="9"/>
  <c r="S135" i="9"/>
  <c r="S137" i="9"/>
  <c r="S110" i="9"/>
  <c r="E182" i="9"/>
  <c r="E196" i="9" s="1"/>
  <c r="F182" i="9"/>
  <c r="F196" i="9" s="1"/>
  <c r="G182" i="9"/>
  <c r="G196" i="9" s="1"/>
  <c r="P174" i="9"/>
  <c r="P188" i="9" s="1"/>
  <c r="L174" i="9"/>
  <c r="L188" i="9" s="1"/>
  <c r="H174" i="9"/>
  <c r="H188" i="9" s="1"/>
  <c r="Q174" i="9"/>
  <c r="Q188" i="9" s="1"/>
  <c r="M174" i="9"/>
  <c r="M188" i="9" s="1"/>
  <c r="I174" i="9"/>
  <c r="I188" i="9" s="1"/>
  <c r="E174" i="9"/>
  <c r="E188" i="9" s="1"/>
  <c r="N174" i="9"/>
  <c r="N188" i="9" s="1"/>
  <c r="J174" i="9"/>
  <c r="J188" i="9" s="1"/>
  <c r="F174" i="9"/>
  <c r="F188" i="9" s="1"/>
  <c r="O174" i="9"/>
  <c r="O188" i="9" s="1"/>
  <c r="K174" i="9"/>
  <c r="K188" i="9" s="1"/>
  <c r="G174" i="9"/>
  <c r="G188" i="9" s="1"/>
  <c r="R141" i="9"/>
  <c r="R114" i="9"/>
  <c r="R77" i="9"/>
  <c r="R111" i="9"/>
  <c r="R138" i="9"/>
  <c r="S74" i="9"/>
  <c r="R74" i="9"/>
  <c r="R112" i="9"/>
  <c r="R139" i="9"/>
  <c r="R75" i="9"/>
  <c r="R140" i="9"/>
  <c r="R113" i="9"/>
  <c r="R76" i="9"/>
  <c r="S76" i="9"/>
  <c r="H41" i="8"/>
  <c r="H52" i="8" s="1"/>
  <c r="E169" i="8"/>
  <c r="E164" i="8"/>
  <c r="E163" i="8"/>
  <c r="E170" i="8"/>
  <c r="E166" i="8"/>
  <c r="F147" i="8"/>
  <c r="F160" i="8" s="1"/>
  <c r="U232" i="8"/>
  <c r="V229" i="8"/>
  <c r="E162" i="8"/>
  <c r="E160" i="8"/>
  <c r="E161" i="8"/>
  <c r="I40" i="8"/>
  <c r="I49" i="8" s="1"/>
  <c r="H48" i="8"/>
  <c r="F157" i="8"/>
  <c r="F170" i="8" s="1"/>
  <c r="E165" i="8"/>
  <c r="E168" i="8"/>
  <c r="F150" i="8"/>
  <c r="F163" i="8" s="1"/>
  <c r="F149" i="8"/>
  <c r="F162" i="8" s="1"/>
  <c r="G67" i="8"/>
  <c r="G63" i="8"/>
  <c r="G59" i="8"/>
  <c r="G55" i="8"/>
  <c r="G66" i="8"/>
  <c r="G62" i="8"/>
  <c r="G58" i="8"/>
  <c r="G54" i="8"/>
  <c r="G65" i="8"/>
  <c r="G61" i="8"/>
  <c r="G57" i="8"/>
  <c r="G53" i="8"/>
  <c r="G64" i="8"/>
  <c r="G60" i="8"/>
  <c r="G56" i="8"/>
  <c r="G52" i="8"/>
  <c r="E167" i="8"/>
  <c r="I41" i="8"/>
  <c r="J39" i="8"/>
  <c r="T13" i="8"/>
  <c r="F154" i="8"/>
  <c r="F167" i="8" s="1"/>
  <c r="G72" i="6"/>
  <c r="H42" i="6"/>
  <c r="H62" i="6" s="1"/>
  <c r="H80" i="6" s="1"/>
  <c r="G75" i="6"/>
  <c r="G80" i="6"/>
  <c r="E154" i="6"/>
  <c r="G142" i="6"/>
  <c r="G115" i="6"/>
  <c r="N128" i="6" s="1"/>
  <c r="G113" i="6"/>
  <c r="O126" i="6" s="1"/>
  <c r="G140" i="6"/>
  <c r="G112" i="6"/>
  <c r="O125" i="6" s="1"/>
  <c r="G139" i="6"/>
  <c r="G118" i="6"/>
  <c r="L131" i="6" s="1"/>
  <c r="G145" i="6"/>
  <c r="F140" i="6"/>
  <c r="F113" i="6"/>
  <c r="N126" i="6" s="1"/>
  <c r="F141" i="6"/>
  <c r="F114" i="6"/>
  <c r="M127" i="6" s="1"/>
  <c r="V234" i="6"/>
  <c r="W231" i="6"/>
  <c r="E158" i="6"/>
  <c r="E157" i="6"/>
  <c r="E151" i="6"/>
  <c r="G71" i="6"/>
  <c r="G81" i="6"/>
  <c r="G74" i="6"/>
  <c r="G114" i="6"/>
  <c r="N127" i="6" s="1"/>
  <c r="G141" i="6"/>
  <c r="E149" i="6"/>
  <c r="E148" i="6"/>
  <c r="F143" i="6"/>
  <c r="F156" i="6" s="1"/>
  <c r="F169" i="6" s="1"/>
  <c r="F116" i="6"/>
  <c r="L129" i="6" s="1"/>
  <c r="F136" i="6"/>
  <c r="F149" i="6" s="1"/>
  <c r="F162" i="6" s="1"/>
  <c r="F109" i="6"/>
  <c r="P122" i="6" s="1"/>
  <c r="F137" i="6"/>
  <c r="F150" i="6" s="1"/>
  <c r="F163" i="6" s="1"/>
  <c r="F110" i="6"/>
  <c r="O123" i="6" s="1"/>
  <c r="E150" i="6"/>
  <c r="F79" i="6"/>
  <c r="G73" i="6"/>
  <c r="G108" i="6"/>
  <c r="Q121" i="6" s="1"/>
  <c r="G135" i="6"/>
  <c r="E155" i="6"/>
  <c r="G110" i="6"/>
  <c r="P123" i="6" s="1"/>
  <c r="G137" i="6"/>
  <c r="G138" i="6"/>
  <c r="G111" i="6"/>
  <c r="P124" i="6" s="1"/>
  <c r="J40" i="6"/>
  <c r="F139" i="6"/>
  <c r="F152" i="6" s="1"/>
  <c r="F165" i="6" s="1"/>
  <c r="F112" i="6"/>
  <c r="N125" i="6" s="1"/>
  <c r="F142" i="6"/>
  <c r="F115" i="6"/>
  <c r="M128" i="6" s="1"/>
  <c r="E153" i="6"/>
  <c r="E152" i="6"/>
  <c r="I41" i="6"/>
  <c r="I42" i="6" s="1"/>
  <c r="H49" i="6"/>
  <c r="G78" i="6"/>
  <c r="G76" i="6"/>
  <c r="G79" i="6"/>
  <c r="G109" i="6"/>
  <c r="Q122" i="6" s="1"/>
  <c r="G136" i="6"/>
  <c r="W14" i="6"/>
  <c r="G117" i="6"/>
  <c r="M130" i="6" s="1"/>
  <c r="G144" i="6"/>
  <c r="G116" i="6"/>
  <c r="M129" i="6" s="1"/>
  <c r="G143" i="6"/>
  <c r="E87" i="6"/>
  <c r="F135" i="6"/>
  <c r="F108" i="6"/>
  <c r="P121" i="6" s="1"/>
  <c r="F138" i="6"/>
  <c r="F111" i="6"/>
  <c r="O124" i="6" s="1"/>
  <c r="F144" i="6"/>
  <c r="F117" i="6"/>
  <c r="L130" i="6" s="1"/>
  <c r="F145" i="6"/>
  <c r="F118" i="6"/>
  <c r="K131" i="6" s="1"/>
  <c r="E156" i="6"/>
  <c r="F80" i="6"/>
  <c r="F73" i="6"/>
  <c r="F74" i="6"/>
  <c r="R99" i="2"/>
  <c r="S90" i="2"/>
  <c r="S101" i="2" s="1"/>
  <c r="D41" i="1"/>
  <c r="D45" i="1"/>
  <c r="E40" i="1"/>
  <c r="E41" i="1" s="1"/>
  <c r="D48" i="1"/>
  <c r="W229" i="1"/>
  <c r="W232" i="1" s="1"/>
  <c r="V232" i="1"/>
  <c r="S91" i="2"/>
  <c r="T89" i="2"/>
  <c r="F39" i="1"/>
  <c r="S13" i="1"/>
  <c r="H64" i="8" l="1"/>
  <c r="T65" i="9"/>
  <c r="S112" i="9"/>
  <c r="S72" i="9"/>
  <c r="B38" i="11"/>
  <c r="S117" i="9"/>
  <c r="S77" i="9"/>
  <c r="S107" i="9"/>
  <c r="S78" i="9"/>
  <c r="T64" i="9"/>
  <c r="S141" i="9"/>
  <c r="S154" i="9" s="1"/>
  <c r="S167" i="9" s="1"/>
  <c r="S115" i="9"/>
  <c r="T66" i="9"/>
  <c r="S134" i="9"/>
  <c r="S147" i="9" s="1"/>
  <c r="S160" i="9" s="1"/>
  <c r="T67" i="9"/>
  <c r="S109" i="9"/>
  <c r="S116" i="9"/>
  <c r="S144" i="9"/>
  <c r="S157" i="9" s="1"/>
  <c r="S170" i="9" s="1"/>
  <c r="T61" i="9"/>
  <c r="T79" i="9" s="1"/>
  <c r="T62" i="9"/>
  <c r="T80" i="9" s="1"/>
  <c r="T63" i="9"/>
  <c r="T60" i="9"/>
  <c r="T78" i="9" s="1"/>
  <c r="T57" i="9"/>
  <c r="T75" i="9" s="1"/>
  <c r="T58" i="9"/>
  <c r="T76" i="9" s="1"/>
  <c r="T59" i="9"/>
  <c r="T77" i="9" s="1"/>
  <c r="T56" i="9"/>
  <c r="T74" i="9" s="1"/>
  <c r="T53" i="9"/>
  <c r="T71" i="9" s="1"/>
  <c r="T54" i="9"/>
  <c r="T109" i="9" s="1"/>
  <c r="T55" i="9"/>
  <c r="T110" i="9" s="1"/>
  <c r="H62" i="8"/>
  <c r="H80" i="8" s="1"/>
  <c r="G153" i="6"/>
  <c r="G166" i="6" s="1"/>
  <c r="U65" i="9"/>
  <c r="U61" i="9"/>
  <c r="U57" i="9"/>
  <c r="U53" i="9"/>
  <c r="U71" i="9" s="1"/>
  <c r="U64" i="9"/>
  <c r="U60" i="9"/>
  <c r="U56" i="9"/>
  <c r="U52" i="9"/>
  <c r="U70" i="9" s="1"/>
  <c r="U67" i="9"/>
  <c r="U63" i="9"/>
  <c r="U59" i="9"/>
  <c r="U55" i="9"/>
  <c r="U66" i="9"/>
  <c r="U62" i="9"/>
  <c r="U58" i="9"/>
  <c r="U54" i="9"/>
  <c r="R153" i="9"/>
  <c r="S153" i="9"/>
  <c r="S166" i="9" s="1"/>
  <c r="R154" i="9"/>
  <c r="T141" i="9"/>
  <c r="H184" i="9"/>
  <c r="H187" i="9"/>
  <c r="H198" i="9" s="1"/>
  <c r="H213" i="9" s="1"/>
  <c r="Q184" i="9"/>
  <c r="Q187" i="9"/>
  <c r="Q198" i="9" s="1"/>
  <c r="Q213" i="9" s="1"/>
  <c r="R149" i="9"/>
  <c r="S149" i="9"/>
  <c r="S162" i="9" s="1"/>
  <c r="S150" i="9"/>
  <c r="S163" i="9" s="1"/>
  <c r="R150" i="9"/>
  <c r="H57" i="8"/>
  <c r="H139" i="8" s="1"/>
  <c r="S152" i="9"/>
  <c r="S165" i="9" s="1"/>
  <c r="R152" i="9"/>
  <c r="S151" i="9"/>
  <c r="S164" i="9" s="1"/>
  <c r="R151" i="9"/>
  <c r="R157" i="9"/>
  <c r="S156" i="9"/>
  <c r="S169" i="9" s="1"/>
  <c r="R156" i="9"/>
  <c r="S155" i="9"/>
  <c r="S168" i="9" s="1"/>
  <c r="R155" i="9"/>
  <c r="T134" i="9"/>
  <c r="T107" i="9"/>
  <c r="J184" i="9"/>
  <c r="J187" i="9"/>
  <c r="J198" i="9" s="1"/>
  <c r="J213" i="9" s="1"/>
  <c r="O184" i="9"/>
  <c r="O187" i="9"/>
  <c r="O198" i="9" s="1"/>
  <c r="O213" i="9" s="1"/>
  <c r="M184" i="9"/>
  <c r="M187" i="9"/>
  <c r="M198" i="9" s="1"/>
  <c r="M213" i="9" s="1"/>
  <c r="P184" i="9"/>
  <c r="P187" i="9"/>
  <c r="P198" i="9" s="1"/>
  <c r="P213" i="9" s="1"/>
  <c r="W232" i="9"/>
  <c r="C233" i="9" s="1"/>
  <c r="B231" i="9"/>
  <c r="R148" i="9"/>
  <c r="S148" i="9"/>
  <c r="S161" i="9" s="1"/>
  <c r="R147" i="9"/>
  <c r="F184" i="9"/>
  <c r="F187" i="9"/>
  <c r="F198" i="9" s="1"/>
  <c r="F213" i="9" s="1"/>
  <c r="K184" i="9"/>
  <c r="K187" i="9"/>
  <c r="K198" i="9" s="1"/>
  <c r="K213" i="9" s="1"/>
  <c r="N184" i="9"/>
  <c r="N187" i="9"/>
  <c r="N198" i="9" s="1"/>
  <c r="N213" i="9" s="1"/>
  <c r="I184" i="9"/>
  <c r="I187" i="9"/>
  <c r="I198" i="9" s="1"/>
  <c r="I213" i="9" s="1"/>
  <c r="L184" i="9"/>
  <c r="L187" i="9"/>
  <c r="L198" i="9" s="1"/>
  <c r="L213" i="9" s="1"/>
  <c r="U49" i="9"/>
  <c r="V40" i="9"/>
  <c r="V49" i="9" s="1"/>
  <c r="G184" i="9"/>
  <c r="G187" i="9"/>
  <c r="G198" i="9" s="1"/>
  <c r="G213" i="9" s="1"/>
  <c r="E184" i="9"/>
  <c r="E187" i="9"/>
  <c r="E198" i="9" s="1"/>
  <c r="E213" i="9" s="1"/>
  <c r="W39" i="9"/>
  <c r="R86" i="9"/>
  <c r="T70" i="9"/>
  <c r="H65" i="8"/>
  <c r="H53" i="8"/>
  <c r="H108" i="8" s="1"/>
  <c r="R121" i="8" s="1"/>
  <c r="H58" i="8"/>
  <c r="H140" i="8" s="1"/>
  <c r="H60" i="8"/>
  <c r="H142" i="8" s="1"/>
  <c r="H67" i="8"/>
  <c r="H61" i="8"/>
  <c r="H143" i="8" s="1"/>
  <c r="H66" i="8"/>
  <c r="H54" i="8"/>
  <c r="H72" i="8" s="1"/>
  <c r="H59" i="8"/>
  <c r="H141" i="8" s="1"/>
  <c r="H63" i="8"/>
  <c r="H56" i="8"/>
  <c r="H111" i="8" s="1"/>
  <c r="P124" i="8" s="1"/>
  <c r="H55" i="8"/>
  <c r="H73" i="8" s="1"/>
  <c r="I65" i="8"/>
  <c r="I61" i="8"/>
  <c r="I79" i="8" s="1"/>
  <c r="I57" i="8"/>
  <c r="I75" i="8" s="1"/>
  <c r="I53" i="8"/>
  <c r="I64" i="8"/>
  <c r="I60" i="8"/>
  <c r="I56" i="8"/>
  <c r="I52" i="8"/>
  <c r="I70" i="8" s="1"/>
  <c r="I67" i="8"/>
  <c r="I63" i="8"/>
  <c r="I59" i="8"/>
  <c r="I55" i="8"/>
  <c r="I73" i="8" s="1"/>
  <c r="I66" i="8"/>
  <c r="I62" i="8"/>
  <c r="I58" i="8"/>
  <c r="I54" i="8"/>
  <c r="I72" i="8" s="1"/>
  <c r="G107" i="8"/>
  <c r="Q120" i="8" s="1"/>
  <c r="G134" i="8"/>
  <c r="H70" i="8"/>
  <c r="G70" i="8"/>
  <c r="G108" i="8"/>
  <c r="Q121" i="8" s="1"/>
  <c r="G135" i="8"/>
  <c r="G71" i="8"/>
  <c r="G109" i="8"/>
  <c r="P122" i="8" s="1"/>
  <c r="G136" i="8"/>
  <c r="G72" i="8"/>
  <c r="G137" i="8"/>
  <c r="G110" i="8"/>
  <c r="P123" i="8" s="1"/>
  <c r="G73" i="8"/>
  <c r="E174" i="8"/>
  <c r="E188" i="8" s="1"/>
  <c r="F174" i="8"/>
  <c r="F188" i="8" s="1"/>
  <c r="U13" i="8"/>
  <c r="K39" i="8"/>
  <c r="E181" i="8"/>
  <c r="E195" i="8" s="1"/>
  <c r="F181" i="8"/>
  <c r="F195" i="8" s="1"/>
  <c r="E173" i="8"/>
  <c r="F173" i="8"/>
  <c r="E179" i="8"/>
  <c r="E193" i="8" s="1"/>
  <c r="F179" i="8"/>
  <c r="F193" i="8" s="1"/>
  <c r="E182" i="8"/>
  <c r="E196" i="8" s="1"/>
  <c r="F182" i="8"/>
  <c r="F196" i="8" s="1"/>
  <c r="E180" i="8"/>
  <c r="E194" i="8" s="1"/>
  <c r="F180" i="8"/>
  <c r="F194" i="8" s="1"/>
  <c r="G115" i="8"/>
  <c r="M128" i="8" s="1"/>
  <c r="G142" i="8"/>
  <c r="G78" i="8"/>
  <c r="G116" i="8"/>
  <c r="M129" i="8" s="1"/>
  <c r="G143" i="8"/>
  <c r="G79" i="8"/>
  <c r="G117" i="8"/>
  <c r="L130" i="8" s="1"/>
  <c r="G144" i="8"/>
  <c r="G80" i="8"/>
  <c r="I48" i="8"/>
  <c r="J40" i="8"/>
  <c r="J49" i="8" s="1"/>
  <c r="V232" i="8"/>
  <c r="W229" i="8"/>
  <c r="H107" i="8"/>
  <c r="R120" i="8" s="1"/>
  <c r="H134" i="8"/>
  <c r="E176" i="8"/>
  <c r="E190" i="8" s="1"/>
  <c r="F176" i="8"/>
  <c r="F190" i="8" s="1"/>
  <c r="G111" i="8"/>
  <c r="O124" i="8" s="1"/>
  <c r="G138" i="8"/>
  <c r="G74" i="8"/>
  <c r="G112" i="8"/>
  <c r="O125" i="8" s="1"/>
  <c r="G139" i="8"/>
  <c r="G75" i="8"/>
  <c r="G113" i="8"/>
  <c r="N126" i="8" s="1"/>
  <c r="G140" i="8"/>
  <c r="G76" i="8"/>
  <c r="G141" i="8"/>
  <c r="G114" i="8"/>
  <c r="N127" i="8" s="1"/>
  <c r="G77" i="8"/>
  <c r="E178" i="8"/>
  <c r="E192" i="8" s="1"/>
  <c r="F178" i="8"/>
  <c r="F192" i="8" s="1"/>
  <c r="E175" i="8"/>
  <c r="E189" i="8" s="1"/>
  <c r="F175" i="8"/>
  <c r="F189" i="8" s="1"/>
  <c r="E183" i="8"/>
  <c r="E197" i="8" s="1"/>
  <c r="F183" i="8"/>
  <c r="F197" i="8" s="1"/>
  <c r="E177" i="8"/>
  <c r="E191" i="8" s="1"/>
  <c r="F177" i="8"/>
  <c r="F191" i="8" s="1"/>
  <c r="H55" i="6"/>
  <c r="H137" i="6" s="1"/>
  <c r="G152" i="6"/>
  <c r="G165" i="6" s="1"/>
  <c r="H58" i="6"/>
  <c r="H76" i="6" s="1"/>
  <c r="G156" i="6"/>
  <c r="G169" i="6" s="1"/>
  <c r="H57" i="6"/>
  <c r="H112" i="6" s="1"/>
  <c r="P125" i="6" s="1"/>
  <c r="H56" i="6"/>
  <c r="H138" i="6" s="1"/>
  <c r="H66" i="6"/>
  <c r="H67" i="6"/>
  <c r="H68" i="6"/>
  <c r="H53" i="6"/>
  <c r="H54" i="6"/>
  <c r="H72" i="6" s="1"/>
  <c r="H63" i="6"/>
  <c r="H118" i="6" s="1"/>
  <c r="M131" i="6" s="1"/>
  <c r="H64" i="6"/>
  <c r="H65" i="6"/>
  <c r="F153" i="6"/>
  <c r="F166" i="6" s="1"/>
  <c r="H59" i="6"/>
  <c r="H141" i="6" s="1"/>
  <c r="H154" i="6" s="1"/>
  <c r="H167" i="6" s="1"/>
  <c r="H60" i="6"/>
  <c r="H78" i="6" s="1"/>
  <c r="H61" i="6"/>
  <c r="H79" i="6" s="1"/>
  <c r="I67" i="6"/>
  <c r="I59" i="6"/>
  <c r="I55" i="6"/>
  <c r="I66" i="6"/>
  <c r="I62" i="6"/>
  <c r="I80" i="6" s="1"/>
  <c r="I58" i="6"/>
  <c r="I54" i="6"/>
  <c r="I65" i="6"/>
  <c r="I61" i="6"/>
  <c r="I57" i="6"/>
  <c r="I53" i="6"/>
  <c r="I63" i="6"/>
  <c r="I68" i="6"/>
  <c r="I64" i="6"/>
  <c r="I60" i="6"/>
  <c r="I56" i="6"/>
  <c r="H117" i="6"/>
  <c r="N130" i="6" s="1"/>
  <c r="H144" i="6"/>
  <c r="H157" i="6" s="1"/>
  <c r="H170" i="6" s="1"/>
  <c r="E168" i="6"/>
  <c r="E161" i="6"/>
  <c r="E164" i="6"/>
  <c r="E170" i="6"/>
  <c r="E171" i="6"/>
  <c r="W234" i="6"/>
  <c r="C235" i="6" s="1"/>
  <c r="B233" i="6"/>
  <c r="E167" i="6"/>
  <c r="I50" i="6"/>
  <c r="G157" i="6"/>
  <c r="G170" i="6" s="1"/>
  <c r="F157" i="6"/>
  <c r="F170" i="6" s="1"/>
  <c r="I49" i="6"/>
  <c r="J41" i="6"/>
  <c r="J50" i="6" s="1"/>
  <c r="K40" i="6"/>
  <c r="G87" i="6"/>
  <c r="G149" i="6"/>
  <c r="G162" i="6" s="1"/>
  <c r="F87" i="6"/>
  <c r="E169" i="6"/>
  <c r="E165" i="6"/>
  <c r="G150" i="6"/>
  <c r="G163" i="6" s="1"/>
  <c r="G148" i="6"/>
  <c r="G161" i="6" s="1"/>
  <c r="F151" i="6"/>
  <c r="F164" i="6" s="1"/>
  <c r="G151" i="6"/>
  <c r="G164" i="6" s="1"/>
  <c r="G158" i="6"/>
  <c r="G171" i="6" s="1"/>
  <c r="F154" i="6"/>
  <c r="F167" i="6" s="1"/>
  <c r="E166" i="6"/>
  <c r="E163" i="6"/>
  <c r="E162" i="6"/>
  <c r="G155" i="6"/>
  <c r="G168" i="6" s="1"/>
  <c r="F155" i="6"/>
  <c r="F168" i="6" s="1"/>
  <c r="F148" i="6"/>
  <c r="F161" i="6" s="1"/>
  <c r="F158" i="6"/>
  <c r="F171" i="6" s="1"/>
  <c r="G154" i="6"/>
  <c r="G167" i="6" s="1"/>
  <c r="B231" i="1"/>
  <c r="C233" i="1"/>
  <c r="E48" i="1"/>
  <c r="F40" i="1"/>
  <c r="F41" i="1" s="1"/>
  <c r="S99" i="2"/>
  <c r="G39" i="1"/>
  <c r="T91" i="2"/>
  <c r="U89" i="2"/>
  <c r="U94" i="2" s="1"/>
  <c r="E54" i="1"/>
  <c r="E57" i="1"/>
  <c r="E61" i="1"/>
  <c r="E53" i="1"/>
  <c r="E58" i="1"/>
  <c r="E62" i="1"/>
  <c r="E65" i="1"/>
  <c r="E66" i="1"/>
  <c r="E55" i="1"/>
  <c r="E59" i="1"/>
  <c r="E52" i="1"/>
  <c r="E56" i="1"/>
  <c r="E60" i="1"/>
  <c r="E67" i="1"/>
  <c r="E64" i="1"/>
  <c r="E63" i="1"/>
  <c r="T90" i="2"/>
  <c r="T101" i="2" s="1"/>
  <c r="T94" i="2"/>
  <c r="T13" i="1"/>
  <c r="T140" i="9" l="1"/>
  <c r="I74" i="8"/>
  <c r="T72" i="9"/>
  <c r="T86" i="9" s="1"/>
  <c r="T154" i="9"/>
  <c r="T167" i="9" s="1"/>
  <c r="S86" i="9"/>
  <c r="T147" i="9"/>
  <c r="T160" i="9" s="1"/>
  <c r="T144" i="9"/>
  <c r="H144" i="8"/>
  <c r="H157" i="8" s="1"/>
  <c r="H170" i="8" s="1"/>
  <c r="I80" i="8"/>
  <c r="H139" i="6"/>
  <c r="H152" i="6" s="1"/>
  <c r="H74" i="8"/>
  <c r="H113" i="8"/>
  <c r="O126" i="8" s="1"/>
  <c r="T142" i="9"/>
  <c r="T155" i="9" s="1"/>
  <c r="T168" i="9" s="1"/>
  <c r="H117" i="8"/>
  <c r="M130" i="8" s="1"/>
  <c r="T115" i="9"/>
  <c r="T117" i="9"/>
  <c r="T136" i="9"/>
  <c r="T149" i="9" s="1"/>
  <c r="T162" i="9" s="1"/>
  <c r="U73" i="9"/>
  <c r="H142" i="6"/>
  <c r="H155" i="6" s="1"/>
  <c r="H168" i="6" s="1"/>
  <c r="H181" i="6" s="1"/>
  <c r="H195" i="6" s="1"/>
  <c r="H116" i="8"/>
  <c r="N129" i="8" s="1"/>
  <c r="T137" i="9"/>
  <c r="T150" i="9" s="1"/>
  <c r="T163" i="9" s="1"/>
  <c r="T73" i="9"/>
  <c r="T114" i="9"/>
  <c r="H76" i="8"/>
  <c r="I76" i="8"/>
  <c r="H75" i="8"/>
  <c r="H112" i="8"/>
  <c r="P125" i="8" s="1"/>
  <c r="T111" i="9"/>
  <c r="T138" i="9"/>
  <c r="T151" i="9" s="1"/>
  <c r="T164" i="9" s="1"/>
  <c r="H138" i="8"/>
  <c r="H151" i="8" s="1"/>
  <c r="H164" i="8" s="1"/>
  <c r="U72" i="9"/>
  <c r="T113" i="9"/>
  <c r="V41" i="9"/>
  <c r="V62" i="9" s="1"/>
  <c r="V80" i="9" s="1"/>
  <c r="T135" i="9"/>
  <c r="T148" i="9" s="1"/>
  <c r="T161" i="9" s="1"/>
  <c r="T139" i="9"/>
  <c r="T152" i="9" s="1"/>
  <c r="T165" i="9" s="1"/>
  <c r="T143" i="9"/>
  <c r="T156" i="9" s="1"/>
  <c r="T169" i="9" s="1"/>
  <c r="U79" i="9"/>
  <c r="T116" i="9"/>
  <c r="T108" i="9"/>
  <c r="T112" i="9"/>
  <c r="H137" i="8"/>
  <c r="H150" i="8" s="1"/>
  <c r="H163" i="8" s="1"/>
  <c r="I78" i="8"/>
  <c r="I77" i="8"/>
  <c r="H74" i="6"/>
  <c r="H140" i="6"/>
  <c r="H153" i="6" s="1"/>
  <c r="H110" i="6"/>
  <c r="Q123" i="6" s="1"/>
  <c r="I78" i="6"/>
  <c r="H75" i="6"/>
  <c r="H109" i="6"/>
  <c r="R122" i="6" s="1"/>
  <c r="H73" i="6"/>
  <c r="I76" i="6"/>
  <c r="H113" i="6"/>
  <c r="P126" i="6" s="1"/>
  <c r="R168" i="9"/>
  <c r="R169" i="9"/>
  <c r="U113" i="9"/>
  <c r="U140" i="9"/>
  <c r="U153" i="9" s="1"/>
  <c r="U166" i="9" s="1"/>
  <c r="U76" i="9"/>
  <c r="U141" i="9"/>
  <c r="U114" i="9"/>
  <c r="U77" i="9"/>
  <c r="U111" i="9"/>
  <c r="U138" i="9"/>
  <c r="U74" i="9"/>
  <c r="U112" i="9"/>
  <c r="U139" i="9"/>
  <c r="U75" i="9"/>
  <c r="T157" i="9"/>
  <c r="T170" i="9" s="1"/>
  <c r="G239" i="9"/>
  <c r="G241" i="9" s="1"/>
  <c r="G216" i="9"/>
  <c r="L216" i="9"/>
  <c r="L239" i="9"/>
  <c r="L241" i="9" s="1"/>
  <c r="N239" i="9"/>
  <c r="N241" i="9" s="1"/>
  <c r="N216" i="9"/>
  <c r="F239" i="9"/>
  <c r="F241" i="9" s="1"/>
  <c r="F216" i="9"/>
  <c r="R160" i="9"/>
  <c r="M216" i="9"/>
  <c r="M239" i="9"/>
  <c r="M241" i="9" s="1"/>
  <c r="J239" i="9"/>
  <c r="J241" i="9" s="1"/>
  <c r="J216" i="9"/>
  <c r="H216" i="9"/>
  <c r="H239" i="9"/>
  <c r="H241" i="9" s="1"/>
  <c r="U109" i="9"/>
  <c r="U136" i="9"/>
  <c r="U137" i="9"/>
  <c r="U110" i="9"/>
  <c r="U107" i="9"/>
  <c r="U134" i="9"/>
  <c r="U108" i="9"/>
  <c r="U135" i="9"/>
  <c r="H77" i="8"/>
  <c r="H114" i="8"/>
  <c r="O127" i="8" s="1"/>
  <c r="T153" i="9"/>
  <c r="T166" i="9" s="1"/>
  <c r="E216" i="9"/>
  <c r="E239" i="9"/>
  <c r="E241" i="9" s="1"/>
  <c r="I216" i="9"/>
  <c r="I239" i="9"/>
  <c r="I241" i="9" s="1"/>
  <c r="K239" i="9"/>
  <c r="K241" i="9" s="1"/>
  <c r="K216" i="9"/>
  <c r="R161" i="9"/>
  <c r="R164" i="9"/>
  <c r="R165" i="9"/>
  <c r="R167" i="9"/>
  <c r="H115" i="6"/>
  <c r="O128" i="6" s="1"/>
  <c r="W40" i="9"/>
  <c r="X40" i="9" s="1"/>
  <c r="X41" i="9" s="1"/>
  <c r="X44" i="9" s="1"/>
  <c r="P216" i="9"/>
  <c r="P239" i="9"/>
  <c r="P241" i="9" s="1"/>
  <c r="O239" i="9"/>
  <c r="O241" i="9" s="1"/>
  <c r="O216" i="9"/>
  <c r="R170" i="9"/>
  <c r="R163" i="9"/>
  <c r="R162" i="9"/>
  <c r="Q216" i="9"/>
  <c r="Q239" i="9"/>
  <c r="Q241" i="9" s="1"/>
  <c r="R166" i="9"/>
  <c r="U117" i="9"/>
  <c r="U144" i="9"/>
  <c r="U80" i="9"/>
  <c r="U115" i="9"/>
  <c r="U142" i="9"/>
  <c r="U78" i="9"/>
  <c r="U116" i="9"/>
  <c r="U143" i="9"/>
  <c r="H136" i="8"/>
  <c r="H149" i="8" s="1"/>
  <c r="H162" i="8" s="1"/>
  <c r="H109" i="8"/>
  <c r="Q122" i="8" s="1"/>
  <c r="H79" i="8"/>
  <c r="H115" i="8"/>
  <c r="N128" i="8" s="1"/>
  <c r="I71" i="8"/>
  <c r="H135" i="8"/>
  <c r="H148" i="8" s="1"/>
  <c r="H161" i="8" s="1"/>
  <c r="H71" i="8"/>
  <c r="H110" i="8"/>
  <c r="Q123" i="8" s="1"/>
  <c r="H78" i="8"/>
  <c r="H77" i="6"/>
  <c r="I81" i="6"/>
  <c r="E184" i="8"/>
  <c r="E187" i="8"/>
  <c r="E198" i="8" s="1"/>
  <c r="E213" i="8" s="1"/>
  <c r="H153" i="8"/>
  <c r="H166" i="8" s="1"/>
  <c r="G153" i="8"/>
  <c r="G151" i="8"/>
  <c r="K40" i="8"/>
  <c r="K41" i="8" s="1"/>
  <c r="H156" i="8"/>
  <c r="H169" i="8" s="1"/>
  <c r="G156" i="8"/>
  <c r="F184" i="8"/>
  <c r="F187" i="8"/>
  <c r="F198" i="8" s="1"/>
  <c r="F213" i="8" s="1"/>
  <c r="G149" i="8"/>
  <c r="G86" i="8"/>
  <c r="H147" i="8"/>
  <c r="H160" i="8" s="1"/>
  <c r="G147" i="8"/>
  <c r="I144" i="8"/>
  <c r="I117" i="8"/>
  <c r="N130" i="8" s="1"/>
  <c r="I115" i="8"/>
  <c r="O128" i="8" s="1"/>
  <c r="I142" i="8"/>
  <c r="I155" i="8" s="1"/>
  <c r="I168" i="8" s="1"/>
  <c r="I143" i="8"/>
  <c r="I116" i="8"/>
  <c r="O129" i="8" s="1"/>
  <c r="H154" i="8"/>
  <c r="H167" i="8" s="1"/>
  <c r="G154" i="8"/>
  <c r="G157" i="8"/>
  <c r="L39" i="8"/>
  <c r="V13" i="8"/>
  <c r="G150" i="8"/>
  <c r="I140" i="8"/>
  <c r="I113" i="8"/>
  <c r="P126" i="8" s="1"/>
  <c r="I141" i="8"/>
  <c r="I114" i="8"/>
  <c r="P127" i="8" s="1"/>
  <c r="I111" i="8"/>
  <c r="Q124" i="8" s="1"/>
  <c r="I138" i="8"/>
  <c r="I139" i="8"/>
  <c r="I152" i="8" s="1"/>
  <c r="I165" i="8" s="1"/>
  <c r="I112" i="8"/>
  <c r="Q125" i="8" s="1"/>
  <c r="H152" i="8"/>
  <c r="H165" i="8" s="1"/>
  <c r="G152" i="8"/>
  <c r="W232" i="8"/>
  <c r="C233" i="8" s="1"/>
  <c r="B231" i="8"/>
  <c r="H155" i="8"/>
  <c r="H168" i="8" s="1"/>
  <c r="G155" i="8"/>
  <c r="G148" i="8"/>
  <c r="I136" i="8"/>
  <c r="I109" i="8"/>
  <c r="R122" i="8" s="1"/>
  <c r="I137" i="8"/>
  <c r="I110" i="8"/>
  <c r="R123" i="8" s="1"/>
  <c r="I107" i="8"/>
  <c r="S120" i="8" s="1"/>
  <c r="I134" i="8"/>
  <c r="I135" i="8"/>
  <c r="I108" i="8"/>
  <c r="S121" i="8" s="1"/>
  <c r="I71" i="6"/>
  <c r="J41" i="8"/>
  <c r="H108" i="6"/>
  <c r="R121" i="6" s="1"/>
  <c r="I74" i="6"/>
  <c r="H111" i="6"/>
  <c r="Q124" i="6" s="1"/>
  <c r="H71" i="6"/>
  <c r="H143" i="6"/>
  <c r="H156" i="6" s="1"/>
  <c r="H135" i="6"/>
  <c r="H148" i="6" s="1"/>
  <c r="H161" i="6" s="1"/>
  <c r="H174" i="6" s="1"/>
  <c r="H81" i="6"/>
  <c r="H114" i="6"/>
  <c r="O127" i="6" s="1"/>
  <c r="H145" i="6"/>
  <c r="H158" i="6" s="1"/>
  <c r="H171" i="6" s="1"/>
  <c r="H184" i="6" s="1"/>
  <c r="H116" i="6"/>
  <c r="N129" i="6" s="1"/>
  <c r="I79" i="6"/>
  <c r="H136" i="6"/>
  <c r="H149" i="6" s="1"/>
  <c r="H162" i="6" s="1"/>
  <c r="H183" i="6"/>
  <c r="H197" i="6" s="1"/>
  <c r="E176" i="6"/>
  <c r="E190" i="6" s="1"/>
  <c r="F176" i="6"/>
  <c r="F190" i="6" s="1"/>
  <c r="G176" i="6"/>
  <c r="G190" i="6" s="1"/>
  <c r="E175" i="6"/>
  <c r="E189" i="6" s="1"/>
  <c r="F175" i="6"/>
  <c r="F189" i="6" s="1"/>
  <c r="G175" i="6"/>
  <c r="G189" i="6" s="1"/>
  <c r="E179" i="6"/>
  <c r="E193" i="6" s="1"/>
  <c r="F179" i="6"/>
  <c r="F193" i="6" s="1"/>
  <c r="G179" i="6"/>
  <c r="G193" i="6" s="1"/>
  <c r="H180" i="6"/>
  <c r="E180" i="6"/>
  <c r="E194" i="6" s="1"/>
  <c r="F180" i="6"/>
  <c r="F194" i="6" s="1"/>
  <c r="G180" i="6"/>
  <c r="G194" i="6" s="1"/>
  <c r="E184" i="6"/>
  <c r="E198" i="6" s="1"/>
  <c r="F184" i="6"/>
  <c r="F198" i="6" s="1"/>
  <c r="G184" i="6"/>
  <c r="G198" i="6" s="1"/>
  <c r="E177" i="6"/>
  <c r="E191" i="6" s="1"/>
  <c r="F177" i="6"/>
  <c r="F191" i="6" s="1"/>
  <c r="G177" i="6"/>
  <c r="G191" i="6" s="1"/>
  <c r="E181" i="6"/>
  <c r="E195" i="6" s="1"/>
  <c r="F181" i="6"/>
  <c r="F195" i="6" s="1"/>
  <c r="G181" i="6"/>
  <c r="G195" i="6" s="1"/>
  <c r="I116" i="6"/>
  <c r="O129" i="6" s="1"/>
  <c r="I143" i="6"/>
  <c r="I144" i="6"/>
  <c r="I117" i="6"/>
  <c r="O130" i="6" s="1"/>
  <c r="J42" i="6"/>
  <c r="H151" i="6"/>
  <c r="H164" i="6" s="1"/>
  <c r="H150" i="6"/>
  <c r="K41" i="6"/>
  <c r="K50" i="6" s="1"/>
  <c r="E178" i="6"/>
  <c r="E192" i="6" s="1"/>
  <c r="F178" i="6"/>
  <c r="F192" i="6" s="1"/>
  <c r="G178" i="6"/>
  <c r="G192" i="6" s="1"/>
  <c r="E182" i="6"/>
  <c r="E196" i="6" s="1"/>
  <c r="F182" i="6"/>
  <c r="F196" i="6" s="1"/>
  <c r="G182" i="6"/>
  <c r="G196" i="6" s="1"/>
  <c r="I112" i="6"/>
  <c r="Q125" i="6" s="1"/>
  <c r="I139" i="6"/>
  <c r="I75" i="6"/>
  <c r="I140" i="6"/>
  <c r="I113" i="6"/>
  <c r="Q126" i="6" s="1"/>
  <c r="I141" i="6"/>
  <c r="I114" i="6"/>
  <c r="P127" i="6" s="1"/>
  <c r="I77" i="6"/>
  <c r="E183" i="6"/>
  <c r="E197" i="6" s="1"/>
  <c r="F183" i="6"/>
  <c r="F197" i="6" s="1"/>
  <c r="G183" i="6"/>
  <c r="G197" i="6" s="1"/>
  <c r="I142" i="6"/>
  <c r="I115" i="6"/>
  <c r="P128" i="6" s="1"/>
  <c r="I108" i="6"/>
  <c r="S121" i="6" s="1"/>
  <c r="I135" i="6"/>
  <c r="I136" i="6"/>
  <c r="I109" i="6"/>
  <c r="S122" i="6" s="1"/>
  <c r="I72" i="6"/>
  <c r="I137" i="6"/>
  <c r="I110" i="6"/>
  <c r="R123" i="6" s="1"/>
  <c r="I73" i="6"/>
  <c r="L40" i="6"/>
  <c r="E174" i="6"/>
  <c r="F174" i="6"/>
  <c r="G174" i="6"/>
  <c r="I138" i="6"/>
  <c r="I151" i="6" s="1"/>
  <c r="I111" i="6"/>
  <c r="R124" i="6" s="1"/>
  <c r="I145" i="6"/>
  <c r="I118" i="6"/>
  <c r="N131" i="6" s="1"/>
  <c r="E74" i="1"/>
  <c r="E111" i="1"/>
  <c r="M124" i="1" s="1"/>
  <c r="E138" i="1"/>
  <c r="E77" i="1"/>
  <c r="E114" i="1"/>
  <c r="L127" i="1" s="1"/>
  <c r="E141" i="1"/>
  <c r="E80" i="1"/>
  <c r="E117" i="1"/>
  <c r="J130" i="1" s="1"/>
  <c r="E144" i="1"/>
  <c r="E71" i="1"/>
  <c r="E108" i="1"/>
  <c r="O121" i="1" s="1"/>
  <c r="E135" i="1"/>
  <c r="E75" i="1"/>
  <c r="E112" i="1"/>
  <c r="M125" i="1" s="1"/>
  <c r="E139" i="1"/>
  <c r="U90" i="2"/>
  <c r="U101" i="2" s="1"/>
  <c r="H39" i="1"/>
  <c r="F48" i="1"/>
  <c r="G40" i="1"/>
  <c r="E78" i="1"/>
  <c r="E115" i="1"/>
  <c r="K128" i="1" s="1"/>
  <c r="E142" i="1"/>
  <c r="E70" i="1"/>
  <c r="E134" i="1"/>
  <c r="E107" i="1"/>
  <c r="O120" i="1" s="1"/>
  <c r="E73" i="1"/>
  <c r="E137" i="1"/>
  <c r="E110" i="1"/>
  <c r="N123" i="1" s="1"/>
  <c r="E76" i="1"/>
  <c r="E140" i="1"/>
  <c r="E113" i="1"/>
  <c r="L126" i="1" s="1"/>
  <c r="E79" i="1"/>
  <c r="E143" i="1"/>
  <c r="E116" i="1"/>
  <c r="K129" i="1" s="1"/>
  <c r="E72" i="1"/>
  <c r="E136" i="1"/>
  <c r="E109" i="1"/>
  <c r="N122" i="1" s="1"/>
  <c r="U91" i="2"/>
  <c r="V89" i="2"/>
  <c r="V90" i="2" s="1"/>
  <c r="V101" i="2" s="1"/>
  <c r="F54" i="1"/>
  <c r="F72" i="1" s="1"/>
  <c r="F56" i="1"/>
  <c r="F58" i="1"/>
  <c r="F60" i="1"/>
  <c r="F62" i="1"/>
  <c r="F67" i="1"/>
  <c r="F64" i="1"/>
  <c r="F65" i="1"/>
  <c r="F53" i="1"/>
  <c r="F55" i="1"/>
  <c r="F57" i="1"/>
  <c r="F75" i="1" s="1"/>
  <c r="F59" i="1"/>
  <c r="F61" i="1"/>
  <c r="F52" i="1"/>
  <c r="F66" i="1"/>
  <c r="F63" i="1"/>
  <c r="T99" i="2"/>
  <c r="U99" i="2" s="1"/>
  <c r="U13" i="1"/>
  <c r="I157" i="8" l="1"/>
  <c r="I170" i="8" s="1"/>
  <c r="U157" i="9"/>
  <c r="U170" i="9" s="1"/>
  <c r="U183" i="9" s="1"/>
  <c r="U197" i="9" s="1"/>
  <c r="U155" i="9"/>
  <c r="U168" i="9" s="1"/>
  <c r="U181" i="9" s="1"/>
  <c r="U195" i="9" s="1"/>
  <c r="U149" i="9"/>
  <c r="U162" i="9" s="1"/>
  <c r="U175" i="9" s="1"/>
  <c r="U189" i="9" s="1"/>
  <c r="V66" i="9"/>
  <c r="V52" i="9"/>
  <c r="V134" i="9" s="1"/>
  <c r="V147" i="9" s="1"/>
  <c r="V160" i="9" s="1"/>
  <c r="V57" i="9"/>
  <c r="V75" i="9" s="1"/>
  <c r="V55" i="9"/>
  <c r="V73" i="9" s="1"/>
  <c r="V56" i="9"/>
  <c r="V74" i="9" s="1"/>
  <c r="V65" i="9"/>
  <c r="V59" i="9"/>
  <c r="V77" i="9" s="1"/>
  <c r="V64" i="9"/>
  <c r="V54" i="9"/>
  <c r="V72" i="9" s="1"/>
  <c r="V67" i="9"/>
  <c r="V53" i="9"/>
  <c r="V135" i="9" s="1"/>
  <c r="V58" i="9"/>
  <c r="V76" i="9" s="1"/>
  <c r="V63" i="9"/>
  <c r="V60" i="9"/>
  <c r="V142" i="9" s="1"/>
  <c r="V61" i="9"/>
  <c r="V79" i="9" s="1"/>
  <c r="I156" i="6"/>
  <c r="I169" i="6" s="1"/>
  <c r="H86" i="8"/>
  <c r="I86" i="8"/>
  <c r="H188" i="6"/>
  <c r="I149" i="6"/>
  <c r="I162" i="6" s="1"/>
  <c r="I175" i="6" s="1"/>
  <c r="I189" i="6" s="1"/>
  <c r="I153" i="6"/>
  <c r="I166" i="6" s="1"/>
  <c r="H87" i="6"/>
  <c r="S179" i="9"/>
  <c r="S193" i="9" s="1"/>
  <c r="R179" i="9"/>
  <c r="R193" i="9" s="1"/>
  <c r="T179" i="9"/>
  <c r="T193" i="9" s="1"/>
  <c r="U179" i="9"/>
  <c r="U193" i="9" s="1"/>
  <c r="T175" i="9"/>
  <c r="T189" i="9" s="1"/>
  <c r="S175" i="9"/>
  <c r="S189" i="9" s="1"/>
  <c r="R175" i="9"/>
  <c r="R189" i="9" s="1"/>
  <c r="S183" i="9"/>
  <c r="S197" i="9" s="1"/>
  <c r="R183" i="9"/>
  <c r="R197" i="9" s="1"/>
  <c r="T183" i="9"/>
  <c r="T197" i="9" s="1"/>
  <c r="S178" i="9"/>
  <c r="S192" i="9" s="1"/>
  <c r="R178" i="9"/>
  <c r="R192" i="9" s="1"/>
  <c r="T178" i="9"/>
  <c r="T192" i="9" s="1"/>
  <c r="S174" i="9"/>
  <c r="S188" i="9" s="1"/>
  <c r="R174" i="9"/>
  <c r="R188" i="9" s="1"/>
  <c r="T174" i="9"/>
  <c r="T188" i="9" s="1"/>
  <c r="R173" i="9"/>
  <c r="T173" i="9"/>
  <c r="S173" i="9"/>
  <c r="U152" i="9"/>
  <c r="U165" i="9" s="1"/>
  <c r="U178" i="9" s="1"/>
  <c r="U192" i="9" s="1"/>
  <c r="T181" i="9"/>
  <c r="T195" i="9" s="1"/>
  <c r="S181" i="9"/>
  <c r="S195" i="9" s="1"/>
  <c r="R181" i="9"/>
  <c r="R195" i="9" s="1"/>
  <c r="U156" i="9"/>
  <c r="U148" i="9"/>
  <c r="U161" i="9" s="1"/>
  <c r="V144" i="9"/>
  <c r="V157" i="9" s="1"/>
  <c r="V170" i="9" s="1"/>
  <c r="V117" i="9"/>
  <c r="U154" i="9"/>
  <c r="U167" i="9" s="1"/>
  <c r="U180" i="9" s="1"/>
  <c r="U194" i="9" s="1"/>
  <c r="W49" i="9"/>
  <c r="U150" i="9"/>
  <c r="U163" i="9" s="1"/>
  <c r="S176" i="9"/>
  <c r="S190" i="9" s="1"/>
  <c r="R176" i="9"/>
  <c r="R190" i="9" s="1"/>
  <c r="T176" i="9"/>
  <c r="T190" i="9" s="1"/>
  <c r="S180" i="9"/>
  <c r="S194" i="9" s="1"/>
  <c r="R180" i="9"/>
  <c r="R194" i="9" s="1"/>
  <c r="T180" i="9"/>
  <c r="T194" i="9" s="1"/>
  <c r="T177" i="9"/>
  <c r="T191" i="9" s="1"/>
  <c r="S177" i="9"/>
  <c r="S191" i="9" s="1"/>
  <c r="R177" i="9"/>
  <c r="R191" i="9" s="1"/>
  <c r="V140" i="9"/>
  <c r="T182" i="9"/>
  <c r="T196" i="9" s="1"/>
  <c r="R182" i="9"/>
  <c r="R196" i="9" s="1"/>
  <c r="S182" i="9"/>
  <c r="S196" i="9" s="1"/>
  <c r="W41" i="9"/>
  <c r="U147" i="9"/>
  <c r="V110" i="9"/>
  <c r="U151" i="9"/>
  <c r="U164" i="9" s="1"/>
  <c r="H194" i="6"/>
  <c r="U86" i="9"/>
  <c r="I148" i="8"/>
  <c r="I161" i="8" s="1"/>
  <c r="K67" i="8"/>
  <c r="K63" i="8"/>
  <c r="K59" i="8"/>
  <c r="K55" i="8"/>
  <c r="K66" i="8"/>
  <c r="K62" i="8"/>
  <c r="K58" i="8"/>
  <c r="K54" i="8"/>
  <c r="K65" i="8"/>
  <c r="K61" i="8"/>
  <c r="K57" i="8"/>
  <c r="K53" i="8"/>
  <c r="K64" i="8"/>
  <c r="K60" i="8"/>
  <c r="K56" i="8"/>
  <c r="K52" i="8"/>
  <c r="G170" i="8"/>
  <c r="G167" i="8"/>
  <c r="F239" i="8"/>
  <c r="F241" i="8" s="1"/>
  <c r="F216" i="8"/>
  <c r="G169" i="8"/>
  <c r="L40" i="8"/>
  <c r="L41" i="8" s="1"/>
  <c r="I150" i="8"/>
  <c r="I163" i="8" s="1"/>
  <c r="I153" i="8"/>
  <c r="I166" i="8" s="1"/>
  <c r="G161" i="8"/>
  <c r="J66" i="8"/>
  <c r="J62" i="8"/>
  <c r="J58" i="8"/>
  <c r="J54" i="8"/>
  <c r="J65" i="8"/>
  <c r="J61" i="8"/>
  <c r="J57" i="8"/>
  <c r="J53" i="8"/>
  <c r="J64" i="8"/>
  <c r="J60" i="8"/>
  <c r="J56" i="8"/>
  <c r="J52" i="8"/>
  <c r="J67" i="8"/>
  <c r="J63" i="8"/>
  <c r="J59" i="8"/>
  <c r="J55" i="8"/>
  <c r="G168" i="8"/>
  <c r="G165" i="8"/>
  <c r="W13" i="8"/>
  <c r="E216" i="8"/>
  <c r="E239" i="8"/>
  <c r="E241" i="8" s="1"/>
  <c r="I156" i="8"/>
  <c r="I169" i="8" s="1"/>
  <c r="G163" i="8"/>
  <c r="G160" i="8"/>
  <c r="G162" i="8"/>
  <c r="G164" i="8"/>
  <c r="I154" i="8"/>
  <c r="I167" i="8" s="1"/>
  <c r="I147" i="8"/>
  <c r="I160" i="8" s="1"/>
  <c r="I149" i="8"/>
  <c r="I162" i="8" s="1"/>
  <c r="I151" i="8"/>
  <c r="I164" i="8" s="1"/>
  <c r="M39" i="8"/>
  <c r="G166" i="8"/>
  <c r="K49" i="8"/>
  <c r="H198" i="6"/>
  <c r="K42" i="6"/>
  <c r="K57" i="6" s="1"/>
  <c r="I164" i="6"/>
  <c r="I177" i="6" s="1"/>
  <c r="I191" i="6" s="1"/>
  <c r="M40" i="6"/>
  <c r="I148" i="6"/>
  <c r="I157" i="6"/>
  <c r="H165" i="6"/>
  <c r="H169" i="6"/>
  <c r="E185" i="6"/>
  <c r="E188" i="6"/>
  <c r="E199" i="6" s="1"/>
  <c r="E214" i="6" s="1"/>
  <c r="I155" i="6"/>
  <c r="F185" i="6"/>
  <c r="F188" i="6"/>
  <c r="F199" i="6" s="1"/>
  <c r="F214" i="6" s="1"/>
  <c r="I150" i="6"/>
  <c r="I163" i="6" s="1"/>
  <c r="I154" i="6"/>
  <c r="H163" i="6"/>
  <c r="J68" i="6"/>
  <c r="J60" i="6"/>
  <c r="J56" i="6"/>
  <c r="J67" i="6"/>
  <c r="J63" i="6"/>
  <c r="J59" i="6"/>
  <c r="J55" i="6"/>
  <c r="J66" i="6"/>
  <c r="J62" i="6"/>
  <c r="J58" i="6"/>
  <c r="J54" i="6"/>
  <c r="J64" i="6"/>
  <c r="J65" i="6"/>
  <c r="J61" i="6"/>
  <c r="J57" i="6"/>
  <c r="J53" i="6"/>
  <c r="H177" i="6"/>
  <c r="H191" i="6" s="1"/>
  <c r="H175" i="6"/>
  <c r="H189" i="6" s="1"/>
  <c r="I87" i="6"/>
  <c r="G185" i="6"/>
  <c r="G188" i="6"/>
  <c r="G199" i="6" s="1"/>
  <c r="H166" i="6"/>
  <c r="L41" i="6"/>
  <c r="L50" i="6" s="1"/>
  <c r="I158" i="6"/>
  <c r="I152" i="6"/>
  <c r="I165" i="6" s="1"/>
  <c r="F107" i="1"/>
  <c r="P120" i="1" s="1"/>
  <c r="F134" i="1"/>
  <c r="F147" i="1" s="1"/>
  <c r="F160" i="1" s="1"/>
  <c r="F114" i="1"/>
  <c r="M127" i="1" s="1"/>
  <c r="F141" i="1"/>
  <c r="F154" i="1" s="1"/>
  <c r="F167" i="1" s="1"/>
  <c r="F110" i="1"/>
  <c r="O123" i="1" s="1"/>
  <c r="F137" i="1"/>
  <c r="F150" i="1" s="1"/>
  <c r="F163" i="1" s="1"/>
  <c r="F115" i="1"/>
  <c r="L128" i="1" s="1"/>
  <c r="F142" i="1"/>
  <c r="F155" i="1" s="1"/>
  <c r="F168" i="1" s="1"/>
  <c r="F111" i="1"/>
  <c r="N124" i="1" s="1"/>
  <c r="F138" i="1"/>
  <c r="F151" i="1" s="1"/>
  <c r="F164" i="1" s="1"/>
  <c r="E149" i="1"/>
  <c r="E162" i="1" s="1"/>
  <c r="E153" i="1"/>
  <c r="E166" i="1" s="1"/>
  <c r="F73" i="1"/>
  <c r="E150" i="1"/>
  <c r="E163" i="1" s="1"/>
  <c r="E147" i="1"/>
  <c r="E160" i="1" s="1"/>
  <c r="G48" i="1"/>
  <c r="H40" i="1"/>
  <c r="H49" i="1" s="1"/>
  <c r="G41" i="1"/>
  <c r="E148" i="1"/>
  <c r="E161" i="1" s="1"/>
  <c r="F77" i="1"/>
  <c r="F74" i="1"/>
  <c r="E151" i="1"/>
  <c r="E164" i="1" s="1"/>
  <c r="V99" i="2"/>
  <c r="F143" i="1"/>
  <c r="F116" i="1"/>
  <c r="L129" i="1" s="1"/>
  <c r="F139" i="1"/>
  <c r="F152" i="1" s="1"/>
  <c r="F165" i="1" s="1"/>
  <c r="F112" i="1"/>
  <c r="N125" i="1" s="1"/>
  <c r="F135" i="1"/>
  <c r="F108" i="1"/>
  <c r="P121" i="1" s="1"/>
  <c r="F144" i="1"/>
  <c r="F157" i="1" s="1"/>
  <c r="F170" i="1" s="1"/>
  <c r="F117" i="1"/>
  <c r="K130" i="1" s="1"/>
  <c r="F140" i="1"/>
  <c r="F113" i="1"/>
  <c r="M126" i="1" s="1"/>
  <c r="F136" i="1"/>
  <c r="F149" i="1" s="1"/>
  <c r="F162" i="1" s="1"/>
  <c r="F109" i="1"/>
  <c r="O122" i="1" s="1"/>
  <c r="V91" i="2"/>
  <c r="W89" i="2"/>
  <c r="W90" i="2" s="1"/>
  <c r="W101" i="2" s="1"/>
  <c r="F79" i="1"/>
  <c r="E156" i="1"/>
  <c r="E169" i="1" s="1"/>
  <c r="F156" i="1"/>
  <c r="F169" i="1" s="1"/>
  <c r="F76" i="1"/>
  <c r="F70" i="1"/>
  <c r="E86" i="1"/>
  <c r="F78" i="1"/>
  <c r="E155" i="1"/>
  <c r="E168" i="1" s="1"/>
  <c r="I39" i="1"/>
  <c r="E152" i="1"/>
  <c r="E165" i="1" s="1"/>
  <c r="F71" i="1"/>
  <c r="F80" i="1"/>
  <c r="E157" i="1"/>
  <c r="E170" i="1" s="1"/>
  <c r="E154" i="1"/>
  <c r="E167" i="1" s="1"/>
  <c r="V13" i="1"/>
  <c r="E218" i="6" l="1"/>
  <c r="C8" i="16"/>
  <c r="F218" i="6"/>
  <c r="D8" i="16"/>
  <c r="V137" i="9"/>
  <c r="V107" i="9"/>
  <c r="V113" i="9"/>
  <c r="V139" i="9"/>
  <c r="V152" i="9" s="1"/>
  <c r="V165" i="9" s="1"/>
  <c r="V178" i="9" s="1"/>
  <c r="V192" i="9" s="1"/>
  <c r="V136" i="9"/>
  <c r="V149" i="9" s="1"/>
  <c r="V70" i="9"/>
  <c r="V78" i="9"/>
  <c r="V138" i="9"/>
  <c r="V151" i="9" s="1"/>
  <c r="V164" i="9" s="1"/>
  <c r="V177" i="9" s="1"/>
  <c r="V191" i="9" s="1"/>
  <c r="V115" i="9"/>
  <c r="V108" i="9"/>
  <c r="V111" i="9"/>
  <c r="V109" i="9"/>
  <c r="V112" i="9"/>
  <c r="V114" i="9"/>
  <c r="V143" i="9"/>
  <c r="V156" i="9" s="1"/>
  <c r="V169" i="9" s="1"/>
  <c r="V71" i="9"/>
  <c r="V141" i="9"/>
  <c r="V154" i="9" s="1"/>
  <c r="V167" i="9" s="1"/>
  <c r="V180" i="9" s="1"/>
  <c r="V194" i="9" s="1"/>
  <c r="V116" i="9"/>
  <c r="K60" i="6"/>
  <c r="K115" i="6" s="1"/>
  <c r="R128" i="6" s="1"/>
  <c r="K53" i="6"/>
  <c r="K135" i="6" s="1"/>
  <c r="K65" i="6"/>
  <c r="K63" i="6"/>
  <c r="K145" i="6" s="1"/>
  <c r="K62" i="6"/>
  <c r="K117" i="6" s="1"/>
  <c r="Q130" i="6" s="1"/>
  <c r="K68" i="6"/>
  <c r="K54" i="6"/>
  <c r="K109" i="6" s="1"/>
  <c r="U122" i="6" s="1"/>
  <c r="K59" i="6"/>
  <c r="K141" i="6" s="1"/>
  <c r="K64" i="6"/>
  <c r="K66" i="6"/>
  <c r="K67" i="6"/>
  <c r="K61" i="6"/>
  <c r="K143" i="6" s="1"/>
  <c r="U177" i="9"/>
  <c r="U191" i="9" s="1"/>
  <c r="U160" i="9"/>
  <c r="S184" i="9"/>
  <c r="S187" i="9"/>
  <c r="S198" i="9" s="1"/>
  <c r="S213" i="9" s="1"/>
  <c r="V148" i="9"/>
  <c r="V161" i="9" s="1"/>
  <c r="V150" i="9"/>
  <c r="V163" i="9" s="1"/>
  <c r="W67" i="9"/>
  <c r="W63" i="9"/>
  <c r="W59" i="9"/>
  <c r="W55" i="9"/>
  <c r="W66" i="9"/>
  <c r="W62" i="9"/>
  <c r="W58" i="9"/>
  <c r="W54" i="9"/>
  <c r="W65" i="9"/>
  <c r="W61" i="9"/>
  <c r="W57" i="9"/>
  <c r="W53" i="9"/>
  <c r="W64" i="9"/>
  <c r="W60" i="9"/>
  <c r="W56" i="9"/>
  <c r="W52" i="9"/>
  <c r="B41" i="9"/>
  <c r="B44" i="9" s="1"/>
  <c r="R184" i="9"/>
  <c r="R187" i="9"/>
  <c r="R198" i="9" s="1"/>
  <c r="R213" i="9" s="1"/>
  <c r="K58" i="6"/>
  <c r="K140" i="6" s="1"/>
  <c r="K55" i="6"/>
  <c r="K110" i="6" s="1"/>
  <c r="T123" i="6" s="1"/>
  <c r="K56" i="6"/>
  <c r="K138" i="6" s="1"/>
  <c r="U176" i="9"/>
  <c r="U190" i="9" s="1"/>
  <c r="V155" i="9"/>
  <c r="V168" i="9" s="1"/>
  <c r="U174" i="9"/>
  <c r="U188" i="9" s="1"/>
  <c r="V183" i="9"/>
  <c r="V197" i="9" s="1"/>
  <c r="V153" i="9"/>
  <c r="V166" i="9" s="1"/>
  <c r="U169" i="9"/>
  <c r="T184" i="9"/>
  <c r="T187" i="9"/>
  <c r="T198" i="9" s="1"/>
  <c r="T213" i="9" s="1"/>
  <c r="L64" i="8"/>
  <c r="L60" i="8"/>
  <c r="L56" i="8"/>
  <c r="L74" i="8" s="1"/>
  <c r="L52" i="8"/>
  <c r="L70" i="8" s="1"/>
  <c r="L67" i="8"/>
  <c r="L63" i="8"/>
  <c r="L59" i="8"/>
  <c r="L55" i="8"/>
  <c r="L66" i="8"/>
  <c r="L62" i="8"/>
  <c r="L80" i="8" s="1"/>
  <c r="L58" i="8"/>
  <c r="L76" i="8" s="1"/>
  <c r="L54" i="8"/>
  <c r="L72" i="8" s="1"/>
  <c r="L65" i="8"/>
  <c r="L61" i="8"/>
  <c r="L79" i="8" s="1"/>
  <c r="L57" i="8"/>
  <c r="L75" i="8" s="1"/>
  <c r="L53" i="8"/>
  <c r="L71" i="8" s="1"/>
  <c r="H175" i="8"/>
  <c r="H189" i="8" s="1"/>
  <c r="I175" i="8"/>
  <c r="I189" i="8" s="1"/>
  <c r="G175" i="8"/>
  <c r="G189" i="8" s="1"/>
  <c r="H176" i="8"/>
  <c r="H190" i="8" s="1"/>
  <c r="I176" i="8"/>
  <c r="I190" i="8" s="1"/>
  <c r="G176" i="8"/>
  <c r="G190" i="8" s="1"/>
  <c r="M40" i="8"/>
  <c r="M49" i="8" s="1"/>
  <c r="K115" i="8"/>
  <c r="Q128" i="8" s="1"/>
  <c r="K142" i="8"/>
  <c r="K116" i="8"/>
  <c r="Q129" i="8" s="1"/>
  <c r="K143" i="8"/>
  <c r="K117" i="8"/>
  <c r="P130" i="8" s="1"/>
  <c r="K144" i="8"/>
  <c r="H179" i="8"/>
  <c r="H193" i="8" s="1"/>
  <c r="I179" i="8"/>
  <c r="I193" i="8" s="1"/>
  <c r="G179" i="8"/>
  <c r="G193" i="8" s="1"/>
  <c r="H181" i="8"/>
  <c r="H195" i="8" s="1"/>
  <c r="I181" i="8"/>
  <c r="I195" i="8" s="1"/>
  <c r="G181" i="8"/>
  <c r="G195" i="8" s="1"/>
  <c r="J142" i="8"/>
  <c r="J115" i="8"/>
  <c r="P128" i="8" s="1"/>
  <c r="L78" i="8"/>
  <c r="J78" i="8"/>
  <c r="K78" i="8"/>
  <c r="J143" i="8"/>
  <c r="J116" i="8"/>
  <c r="P129" i="8" s="1"/>
  <c r="J79" i="8"/>
  <c r="K79" i="8"/>
  <c r="J144" i="8"/>
  <c r="J117" i="8"/>
  <c r="O130" i="8" s="1"/>
  <c r="J80" i="8"/>
  <c r="K80" i="8"/>
  <c r="I182" i="8"/>
  <c r="I196" i="8" s="1"/>
  <c r="H182" i="8"/>
  <c r="H196" i="8" s="1"/>
  <c r="G182" i="8"/>
  <c r="G196" i="8" s="1"/>
  <c r="H180" i="8"/>
  <c r="H194" i="8" s="1"/>
  <c r="I180" i="8"/>
  <c r="I194" i="8" s="1"/>
  <c r="G180" i="8"/>
  <c r="G194" i="8" s="1"/>
  <c r="K111" i="8"/>
  <c r="S124" i="8" s="1"/>
  <c r="K138" i="8"/>
  <c r="K112" i="8"/>
  <c r="S125" i="8" s="1"/>
  <c r="K139" i="8"/>
  <c r="K113" i="8"/>
  <c r="R126" i="8" s="1"/>
  <c r="K140" i="8"/>
  <c r="K141" i="8"/>
  <c r="K114" i="8"/>
  <c r="R127" i="8" s="1"/>
  <c r="H177" i="8"/>
  <c r="H191" i="8" s="1"/>
  <c r="I177" i="8"/>
  <c r="I191" i="8" s="1"/>
  <c r="G177" i="8"/>
  <c r="G191" i="8" s="1"/>
  <c r="H173" i="8"/>
  <c r="I173" i="8"/>
  <c r="G173" i="8"/>
  <c r="J141" i="8"/>
  <c r="J114" i="8"/>
  <c r="Q127" i="8" s="1"/>
  <c r="L77" i="8"/>
  <c r="K77" i="8"/>
  <c r="J77" i="8"/>
  <c r="J138" i="8"/>
  <c r="J111" i="8"/>
  <c r="R124" i="8" s="1"/>
  <c r="K74" i="8"/>
  <c r="J74" i="8"/>
  <c r="J139" i="8"/>
  <c r="J112" i="8"/>
  <c r="R125" i="8" s="1"/>
  <c r="K75" i="8"/>
  <c r="J75" i="8"/>
  <c r="J140" i="8"/>
  <c r="J113" i="8"/>
  <c r="Q126" i="8" s="1"/>
  <c r="J76" i="8"/>
  <c r="K76" i="8"/>
  <c r="H174" i="8"/>
  <c r="H188" i="8" s="1"/>
  <c r="I174" i="8"/>
  <c r="I188" i="8" s="1"/>
  <c r="G174" i="8"/>
  <c r="G188" i="8" s="1"/>
  <c r="K107" i="8"/>
  <c r="U120" i="8" s="1"/>
  <c r="K134" i="8"/>
  <c r="K108" i="8"/>
  <c r="U121" i="8" s="1"/>
  <c r="K135" i="8"/>
  <c r="K109" i="8"/>
  <c r="T122" i="8" s="1"/>
  <c r="K136" i="8"/>
  <c r="K137" i="8"/>
  <c r="K110" i="8"/>
  <c r="T123" i="8" s="1"/>
  <c r="N39" i="8"/>
  <c r="H178" i="8"/>
  <c r="H192" i="8" s="1"/>
  <c r="I178" i="8"/>
  <c r="I192" i="8" s="1"/>
  <c r="G178" i="8"/>
  <c r="G192" i="8" s="1"/>
  <c r="J137" i="8"/>
  <c r="J110" i="8"/>
  <c r="S123" i="8" s="1"/>
  <c r="K73" i="8"/>
  <c r="L73" i="8"/>
  <c r="J73" i="8"/>
  <c r="J134" i="8"/>
  <c r="J107" i="8"/>
  <c r="T120" i="8" s="1"/>
  <c r="J70" i="8"/>
  <c r="K70" i="8"/>
  <c r="J135" i="8"/>
  <c r="J108" i="8"/>
  <c r="T121" i="8" s="1"/>
  <c r="K71" i="8"/>
  <c r="J71" i="8"/>
  <c r="J136" i="8"/>
  <c r="J109" i="8"/>
  <c r="S122" i="8" s="1"/>
  <c r="K72" i="8"/>
  <c r="J72" i="8"/>
  <c r="H183" i="8"/>
  <c r="H197" i="8" s="1"/>
  <c r="I183" i="8"/>
  <c r="I197" i="8" s="1"/>
  <c r="G183" i="8"/>
  <c r="G197" i="8" s="1"/>
  <c r="L49" i="8"/>
  <c r="J135" i="6"/>
  <c r="J108" i="6"/>
  <c r="T121" i="6" s="1"/>
  <c r="J71" i="6"/>
  <c r="K114" i="6"/>
  <c r="R127" i="6" s="1"/>
  <c r="H182" i="6"/>
  <c r="H196" i="6" s="1"/>
  <c r="I182" i="6"/>
  <c r="I196" i="6" s="1"/>
  <c r="J144" i="6"/>
  <c r="J117" i="6"/>
  <c r="P130" i="6" s="1"/>
  <c r="J80" i="6"/>
  <c r="J145" i="6"/>
  <c r="J118" i="6"/>
  <c r="O131" i="6" s="1"/>
  <c r="J81" i="6"/>
  <c r="I168" i="6"/>
  <c r="K112" i="6"/>
  <c r="S125" i="6" s="1"/>
  <c r="K139" i="6"/>
  <c r="H178" i="6"/>
  <c r="H192" i="6" s="1"/>
  <c r="I178" i="6"/>
  <c r="I192" i="6" s="1"/>
  <c r="M41" i="6"/>
  <c r="M50" i="6" s="1"/>
  <c r="J143" i="6"/>
  <c r="J116" i="6"/>
  <c r="P129" i="6" s="1"/>
  <c r="K79" i="6"/>
  <c r="J79" i="6"/>
  <c r="J140" i="6"/>
  <c r="J113" i="6"/>
  <c r="R126" i="6" s="1"/>
  <c r="J76" i="6"/>
  <c r="J141" i="6"/>
  <c r="J114" i="6"/>
  <c r="Q127" i="6" s="1"/>
  <c r="J77" i="6"/>
  <c r="J142" i="6"/>
  <c r="J115" i="6"/>
  <c r="Q128" i="6" s="1"/>
  <c r="J78" i="6"/>
  <c r="L42" i="6"/>
  <c r="I171" i="6"/>
  <c r="H179" i="6"/>
  <c r="H193" i="6" s="1"/>
  <c r="I179" i="6"/>
  <c r="I193" i="6" s="1"/>
  <c r="J139" i="6"/>
  <c r="J112" i="6"/>
  <c r="R125" i="6" s="1"/>
  <c r="K75" i="6"/>
  <c r="J75" i="6"/>
  <c r="J136" i="6"/>
  <c r="J109" i="6"/>
  <c r="T122" i="6" s="1"/>
  <c r="J72" i="6"/>
  <c r="J137" i="6"/>
  <c r="J110" i="6"/>
  <c r="S123" i="6" s="1"/>
  <c r="J73" i="6"/>
  <c r="J138" i="6"/>
  <c r="J111" i="6"/>
  <c r="S124" i="6" s="1"/>
  <c r="J74" i="6"/>
  <c r="H176" i="6"/>
  <c r="H190" i="6" s="1"/>
  <c r="I176" i="6"/>
  <c r="I190" i="6" s="1"/>
  <c r="I167" i="6"/>
  <c r="F241" i="6"/>
  <c r="F243" i="6" s="1"/>
  <c r="K118" i="6"/>
  <c r="P131" i="6" s="1"/>
  <c r="E241" i="6"/>
  <c r="E243" i="6" s="1"/>
  <c r="I170" i="6"/>
  <c r="I161" i="6"/>
  <c r="N40" i="6"/>
  <c r="H41" i="1"/>
  <c r="H60" i="1" s="1"/>
  <c r="E180" i="1"/>
  <c r="E194" i="1" s="1"/>
  <c r="F180" i="1"/>
  <c r="F194" i="1" s="1"/>
  <c r="E182" i="1"/>
  <c r="E196" i="1" s="1"/>
  <c r="F182" i="1"/>
  <c r="F196" i="1" s="1"/>
  <c r="W99" i="2"/>
  <c r="F148" i="1"/>
  <c r="F161" i="1" s="1"/>
  <c r="F174" i="1" s="1"/>
  <c r="F188" i="1" s="1"/>
  <c r="G53" i="1"/>
  <c r="G55" i="1"/>
  <c r="G57" i="1"/>
  <c r="G59" i="1"/>
  <c r="G61" i="1"/>
  <c r="G66" i="1"/>
  <c r="G65" i="1"/>
  <c r="G64" i="1"/>
  <c r="G52" i="1"/>
  <c r="G54" i="1"/>
  <c r="G56" i="1"/>
  <c r="G58" i="1"/>
  <c r="G60" i="1"/>
  <c r="G62" i="1"/>
  <c r="G63" i="1"/>
  <c r="G67" i="1"/>
  <c r="H48" i="1"/>
  <c r="I40" i="1"/>
  <c r="I41" i="1" s="1"/>
  <c r="E173" i="1"/>
  <c r="F173" i="1"/>
  <c r="F187" i="1" s="1"/>
  <c r="F153" i="1"/>
  <c r="F166" i="1" s="1"/>
  <c r="F179" i="1" s="1"/>
  <c r="F193" i="1" s="1"/>
  <c r="E175" i="1"/>
  <c r="E189" i="1" s="1"/>
  <c r="F175" i="1"/>
  <c r="F189" i="1" s="1"/>
  <c r="E183" i="1"/>
  <c r="E197" i="1" s="1"/>
  <c r="F183" i="1"/>
  <c r="F197" i="1" s="1"/>
  <c r="E178" i="1"/>
  <c r="E192" i="1" s="1"/>
  <c r="F178" i="1"/>
  <c r="F192" i="1" s="1"/>
  <c r="J39" i="1"/>
  <c r="K39" i="1" s="1"/>
  <c r="E181" i="1"/>
  <c r="E195" i="1" s="1"/>
  <c r="F181" i="1"/>
  <c r="F195" i="1" s="1"/>
  <c r="F86" i="1"/>
  <c r="W91" i="2"/>
  <c r="X89" i="2"/>
  <c r="X90" i="2" s="1"/>
  <c r="X101" i="2" s="1"/>
  <c r="E177" i="1"/>
  <c r="E191" i="1" s="1"/>
  <c r="F177" i="1"/>
  <c r="F191" i="1" s="1"/>
  <c r="E174" i="1"/>
  <c r="E188" i="1" s="1"/>
  <c r="E176" i="1"/>
  <c r="E190" i="1" s="1"/>
  <c r="F176" i="1"/>
  <c r="F190" i="1" s="1"/>
  <c r="E179" i="1"/>
  <c r="E193" i="1" s="1"/>
  <c r="W13" i="1"/>
  <c r="D11" i="16" l="1"/>
  <c r="D14" i="16" s="1"/>
  <c r="C11" i="16"/>
  <c r="V86" i="9"/>
  <c r="K108" i="6"/>
  <c r="U121" i="6" s="1"/>
  <c r="K73" i="6"/>
  <c r="K137" i="6"/>
  <c r="K150" i="6" s="1"/>
  <c r="K163" i="6" s="1"/>
  <c r="K71" i="6"/>
  <c r="M41" i="8"/>
  <c r="M65" i="8" s="1"/>
  <c r="K78" i="6"/>
  <c r="K142" i="6"/>
  <c r="K155" i="6" s="1"/>
  <c r="K168" i="6" s="1"/>
  <c r="K81" i="6"/>
  <c r="K116" i="6"/>
  <c r="Q129" i="6" s="1"/>
  <c r="K77" i="6"/>
  <c r="K76" i="6"/>
  <c r="K111" i="6"/>
  <c r="T124" i="6" s="1"/>
  <c r="K80" i="6"/>
  <c r="K136" i="6"/>
  <c r="K113" i="6"/>
  <c r="S126" i="6" s="1"/>
  <c r="K144" i="6"/>
  <c r="K157" i="6" s="1"/>
  <c r="K170" i="6" s="1"/>
  <c r="K74" i="6"/>
  <c r="K72" i="6"/>
  <c r="M42" i="6"/>
  <c r="M65" i="6" s="1"/>
  <c r="T216" i="9"/>
  <c r="T239" i="9"/>
  <c r="T241" i="9" s="1"/>
  <c r="W115" i="9"/>
  <c r="W142" i="9"/>
  <c r="W78" i="9"/>
  <c r="W143" i="9"/>
  <c r="W116" i="9"/>
  <c r="W79" i="9"/>
  <c r="W144" i="9"/>
  <c r="W117" i="9"/>
  <c r="W80" i="9"/>
  <c r="V182" i="9"/>
  <c r="V196" i="9" s="1"/>
  <c r="U182" i="9"/>
  <c r="U196" i="9" s="1"/>
  <c r="R239" i="9"/>
  <c r="R241" i="9" s="1"/>
  <c r="R216" i="9"/>
  <c r="W111" i="9"/>
  <c r="W138" i="9"/>
  <c r="W74" i="9"/>
  <c r="W139" i="9"/>
  <c r="W112" i="9"/>
  <c r="W75" i="9"/>
  <c r="W140" i="9"/>
  <c r="W113" i="9"/>
  <c r="W76" i="9"/>
  <c r="W141" i="9"/>
  <c r="W114" i="9"/>
  <c r="W77" i="9"/>
  <c r="V162" i="9"/>
  <c r="V181" i="9"/>
  <c r="V195" i="9" s="1"/>
  <c r="W107" i="9"/>
  <c r="W134" i="9"/>
  <c r="W70" i="9"/>
  <c r="W135" i="9"/>
  <c r="W108" i="9"/>
  <c r="W71" i="9"/>
  <c r="W136" i="9"/>
  <c r="W109" i="9"/>
  <c r="W72" i="9"/>
  <c r="W137" i="9"/>
  <c r="W110" i="9"/>
  <c r="W73" i="9"/>
  <c r="S239" i="9"/>
  <c r="S241" i="9" s="1"/>
  <c r="S216" i="9"/>
  <c r="V174" i="9"/>
  <c r="V188" i="9" s="1"/>
  <c r="V176" i="9"/>
  <c r="V190" i="9" s="1"/>
  <c r="V179" i="9"/>
  <c r="V193" i="9" s="1"/>
  <c r="U173" i="9"/>
  <c r="V173" i="9"/>
  <c r="G184" i="8"/>
  <c r="G187" i="8"/>
  <c r="G198" i="8" s="1"/>
  <c r="G214" i="6" s="1"/>
  <c r="H58" i="1"/>
  <c r="H140" i="1" s="1"/>
  <c r="K152" i="8"/>
  <c r="K165" i="8" s="1"/>
  <c r="J152" i="8"/>
  <c r="J154" i="8"/>
  <c r="J167" i="8" s="1"/>
  <c r="K154" i="8"/>
  <c r="K167" i="8" s="1"/>
  <c r="K155" i="8"/>
  <c r="K168" i="8" s="1"/>
  <c r="J155" i="8"/>
  <c r="N40" i="8"/>
  <c r="N49" i="8" s="1"/>
  <c r="L116" i="8"/>
  <c r="R129" i="8" s="1"/>
  <c r="L143" i="8"/>
  <c r="L156" i="8" s="1"/>
  <c r="L169" i="8" s="1"/>
  <c r="L144" i="8"/>
  <c r="L157" i="8" s="1"/>
  <c r="L170" i="8" s="1"/>
  <c r="L117" i="8"/>
  <c r="Q130" i="8" s="1"/>
  <c r="L115" i="8"/>
  <c r="R128" i="8" s="1"/>
  <c r="L142" i="8"/>
  <c r="H52" i="1"/>
  <c r="H70" i="1" s="1"/>
  <c r="K147" i="8"/>
  <c r="K160" i="8" s="1"/>
  <c r="J147" i="8"/>
  <c r="J160" i="8" s="1"/>
  <c r="K157" i="8"/>
  <c r="K170" i="8" s="1"/>
  <c r="J157" i="8"/>
  <c r="J170" i="8" s="1"/>
  <c r="K148" i="8"/>
  <c r="K161" i="8" s="1"/>
  <c r="J148" i="8"/>
  <c r="L86" i="8"/>
  <c r="K86" i="8"/>
  <c r="J86" i="8"/>
  <c r="J150" i="8"/>
  <c r="J163" i="8" s="1"/>
  <c r="K150" i="8"/>
  <c r="K163" i="8" s="1"/>
  <c r="L112" i="8"/>
  <c r="T125" i="8" s="1"/>
  <c r="L139" i="8"/>
  <c r="L140" i="8"/>
  <c r="L153" i="8" s="1"/>
  <c r="L166" i="8" s="1"/>
  <c r="L113" i="8"/>
  <c r="S126" i="8" s="1"/>
  <c r="L141" i="8"/>
  <c r="L114" i="8"/>
  <c r="S127" i="8" s="1"/>
  <c r="L111" i="8"/>
  <c r="T124" i="8" s="1"/>
  <c r="L138" i="8"/>
  <c r="L151" i="8" s="1"/>
  <c r="L164" i="8" s="1"/>
  <c r="J149" i="8"/>
  <c r="J162" i="8" s="1"/>
  <c r="K149" i="8"/>
  <c r="K162" i="8" s="1"/>
  <c r="I184" i="8"/>
  <c r="I187" i="8"/>
  <c r="I198" i="8" s="1"/>
  <c r="I213" i="8" s="1"/>
  <c r="O39" i="8"/>
  <c r="J153" i="8"/>
  <c r="K153" i="8"/>
  <c r="K166" i="8" s="1"/>
  <c r="J151" i="8"/>
  <c r="J164" i="8" s="1"/>
  <c r="K151" i="8"/>
  <c r="K164" i="8" s="1"/>
  <c r="H184" i="8"/>
  <c r="H187" i="8"/>
  <c r="H198" i="8" s="1"/>
  <c r="H213" i="8" s="1"/>
  <c r="J156" i="8"/>
  <c r="J169" i="8" s="1"/>
  <c r="K156" i="8"/>
  <c r="K169" i="8" s="1"/>
  <c r="L108" i="8"/>
  <c r="V121" i="8" s="1"/>
  <c r="L135" i="8"/>
  <c r="L136" i="8"/>
  <c r="L109" i="8"/>
  <c r="U122" i="8" s="1"/>
  <c r="L137" i="8"/>
  <c r="L110" i="8"/>
  <c r="U123" i="8" s="1"/>
  <c r="L107" i="8"/>
  <c r="V120" i="8" s="1"/>
  <c r="L134" i="8"/>
  <c r="H56" i="1"/>
  <c r="H138" i="1" s="1"/>
  <c r="H199" i="6"/>
  <c r="H185" i="6"/>
  <c r="O40" i="6"/>
  <c r="I180" i="6"/>
  <c r="I194" i="6" s="1"/>
  <c r="J151" i="6"/>
  <c r="J164" i="6" s="1"/>
  <c r="K151" i="6"/>
  <c r="K164" i="6" s="1"/>
  <c r="I184" i="6"/>
  <c r="I198" i="6" s="1"/>
  <c r="K156" i="6"/>
  <c r="K169" i="6" s="1"/>
  <c r="J156" i="6"/>
  <c r="I181" i="6"/>
  <c r="I195" i="6" s="1"/>
  <c r="J157" i="6"/>
  <c r="J170" i="6" s="1"/>
  <c r="J183" i="6" s="1"/>
  <c r="J197" i="6" s="1"/>
  <c r="H57" i="1"/>
  <c r="H139" i="1" s="1"/>
  <c r="I174" i="6"/>
  <c r="J150" i="6"/>
  <c r="J155" i="6"/>
  <c r="J168" i="6" s="1"/>
  <c r="K154" i="6"/>
  <c r="K167" i="6" s="1"/>
  <c r="J154" i="6"/>
  <c r="J167" i="6" s="1"/>
  <c r="N41" i="6"/>
  <c r="K158" i="6"/>
  <c r="K171" i="6" s="1"/>
  <c r="J158" i="6"/>
  <c r="J171" i="6" s="1"/>
  <c r="K148" i="6"/>
  <c r="K161" i="6" s="1"/>
  <c r="J148" i="6"/>
  <c r="J161" i="6" s="1"/>
  <c r="J149" i="6"/>
  <c r="J162" i="6" s="1"/>
  <c r="K149" i="6"/>
  <c r="K162" i="6" s="1"/>
  <c r="K153" i="6"/>
  <c r="K166" i="6" s="1"/>
  <c r="J153" i="6"/>
  <c r="I183" i="6"/>
  <c r="I197" i="6" s="1"/>
  <c r="K152" i="6"/>
  <c r="K165" i="6" s="1"/>
  <c r="J152" i="6"/>
  <c r="J165" i="6" s="1"/>
  <c r="L66" i="6"/>
  <c r="L54" i="6"/>
  <c r="L65" i="6"/>
  <c r="L61" i="6"/>
  <c r="L57" i="6"/>
  <c r="L53" i="6"/>
  <c r="L68" i="6"/>
  <c r="L64" i="6"/>
  <c r="L60" i="6"/>
  <c r="L56" i="6"/>
  <c r="L67" i="6"/>
  <c r="L63" i="6"/>
  <c r="L59" i="6"/>
  <c r="L55" i="6"/>
  <c r="L62" i="6"/>
  <c r="L58" i="6"/>
  <c r="J87" i="6"/>
  <c r="H63" i="1"/>
  <c r="H53" i="1"/>
  <c r="H71" i="1" s="1"/>
  <c r="H54" i="1"/>
  <c r="H72" i="1" s="1"/>
  <c r="H61" i="1"/>
  <c r="H116" i="1" s="1"/>
  <c r="N129" i="1" s="1"/>
  <c r="H65" i="1"/>
  <c r="H67" i="1"/>
  <c r="H55" i="1"/>
  <c r="H137" i="1" s="1"/>
  <c r="H62" i="1"/>
  <c r="H80" i="1" s="1"/>
  <c r="H64" i="1"/>
  <c r="H59" i="1"/>
  <c r="H77" i="1" s="1"/>
  <c r="H66" i="1"/>
  <c r="F198" i="1"/>
  <c r="F213" i="1" s="1"/>
  <c r="L39" i="1"/>
  <c r="F184" i="1"/>
  <c r="E184" i="1"/>
  <c r="E187" i="1"/>
  <c r="E198" i="1" s="1"/>
  <c r="E213" i="1" s="1"/>
  <c r="J40" i="1"/>
  <c r="I48" i="1"/>
  <c r="G117" i="1"/>
  <c r="L130" i="1" s="1"/>
  <c r="G144" i="1"/>
  <c r="G80" i="1"/>
  <c r="G140" i="1"/>
  <c r="G113" i="1"/>
  <c r="N126" i="1" s="1"/>
  <c r="H76" i="1"/>
  <c r="G76" i="1"/>
  <c r="G136" i="1"/>
  <c r="G109" i="1"/>
  <c r="P122" i="1" s="1"/>
  <c r="G72" i="1"/>
  <c r="G114" i="1"/>
  <c r="N127" i="1" s="1"/>
  <c r="G141" i="1"/>
  <c r="G77" i="1"/>
  <c r="G110" i="1"/>
  <c r="P123" i="1" s="1"/>
  <c r="G137" i="1"/>
  <c r="G73" i="1"/>
  <c r="X99" i="2"/>
  <c r="H143" i="1"/>
  <c r="H112" i="1"/>
  <c r="P125" i="1" s="1"/>
  <c r="H108" i="1"/>
  <c r="R121" i="1" s="1"/>
  <c r="H113" i="1"/>
  <c r="O126" i="1" s="1"/>
  <c r="X91" i="2"/>
  <c r="Y89" i="2"/>
  <c r="Y90" i="2" s="1"/>
  <c r="Y101" i="2" s="1"/>
  <c r="I52" i="1"/>
  <c r="I54" i="1"/>
  <c r="I56" i="1"/>
  <c r="I58" i="1"/>
  <c r="I60" i="1"/>
  <c r="I62" i="1"/>
  <c r="I66" i="1"/>
  <c r="I65" i="1"/>
  <c r="I53" i="1"/>
  <c r="I55" i="1"/>
  <c r="I57" i="1"/>
  <c r="I59" i="1"/>
  <c r="I61" i="1"/>
  <c r="I63" i="1"/>
  <c r="I64" i="1"/>
  <c r="I67" i="1"/>
  <c r="I49" i="1"/>
  <c r="G115" i="1"/>
  <c r="M128" i="1" s="1"/>
  <c r="G142" i="1"/>
  <c r="G78" i="1"/>
  <c r="I78" i="1"/>
  <c r="H78" i="1"/>
  <c r="G111" i="1"/>
  <c r="O124" i="1" s="1"/>
  <c r="G138" i="1"/>
  <c r="G74" i="1"/>
  <c r="H74" i="1"/>
  <c r="G107" i="1"/>
  <c r="Q120" i="1" s="1"/>
  <c r="G134" i="1"/>
  <c r="G70" i="1"/>
  <c r="G143" i="1"/>
  <c r="G116" i="1"/>
  <c r="M129" i="1" s="1"/>
  <c r="G79" i="1"/>
  <c r="G139" i="1"/>
  <c r="G112" i="1"/>
  <c r="O125" i="1" s="1"/>
  <c r="G75" i="1"/>
  <c r="G135" i="1"/>
  <c r="G108" i="1"/>
  <c r="Q121" i="1" s="1"/>
  <c r="G71" i="1"/>
  <c r="H115" i="1"/>
  <c r="N128" i="1" s="1"/>
  <c r="H142" i="1"/>
  <c r="H111" i="1"/>
  <c r="P124" i="1" s="1"/>
  <c r="C14" i="16" l="1"/>
  <c r="G218" i="6"/>
  <c r="E8" i="16"/>
  <c r="H75" i="1"/>
  <c r="I75" i="1"/>
  <c r="I74" i="1"/>
  <c r="M68" i="6"/>
  <c r="M61" i="6"/>
  <c r="H117" i="1"/>
  <c r="M130" i="1" s="1"/>
  <c r="M66" i="6"/>
  <c r="M63" i="6"/>
  <c r="M145" i="6" s="1"/>
  <c r="M60" i="8"/>
  <c r="M142" i="8" s="1"/>
  <c r="N41" i="8"/>
  <c r="H136" i="1"/>
  <c r="H149" i="1" s="1"/>
  <c r="H162" i="1" s="1"/>
  <c r="M61" i="8"/>
  <c r="M79" i="8" s="1"/>
  <c r="M62" i="8"/>
  <c r="M144" i="8" s="1"/>
  <c r="H141" i="1"/>
  <c r="M63" i="8"/>
  <c r="H79" i="1"/>
  <c r="M58" i="8"/>
  <c r="M113" i="8" s="1"/>
  <c r="T126" i="8" s="1"/>
  <c r="M59" i="8"/>
  <c r="M114" i="8" s="1"/>
  <c r="T127" i="8" s="1"/>
  <c r="M56" i="8"/>
  <c r="M111" i="8" s="1"/>
  <c r="U124" i="8" s="1"/>
  <c r="M57" i="8"/>
  <c r="M75" i="8" s="1"/>
  <c r="M54" i="8"/>
  <c r="M136" i="8" s="1"/>
  <c r="M149" i="8" s="1"/>
  <c r="M162" i="8" s="1"/>
  <c r="M55" i="8"/>
  <c r="M137" i="8" s="1"/>
  <c r="M150" i="8" s="1"/>
  <c r="M163" i="8" s="1"/>
  <c r="M52" i="8"/>
  <c r="M107" i="8" s="1"/>
  <c r="W120" i="8" s="1"/>
  <c r="M53" i="8"/>
  <c r="M71" i="8" s="1"/>
  <c r="M66" i="8"/>
  <c r="M67" i="8"/>
  <c r="M64" i="8"/>
  <c r="K87" i="6"/>
  <c r="M59" i="6"/>
  <c r="M77" i="6" s="1"/>
  <c r="M64" i="6"/>
  <c r="M57" i="6"/>
  <c r="M75" i="6" s="1"/>
  <c r="M62" i="6"/>
  <c r="M117" i="6" s="1"/>
  <c r="S130" i="6" s="1"/>
  <c r="M55" i="6"/>
  <c r="M137" i="6" s="1"/>
  <c r="M60" i="6"/>
  <c r="M142" i="6" s="1"/>
  <c r="M53" i="6"/>
  <c r="M135" i="6" s="1"/>
  <c r="M58" i="6"/>
  <c r="M76" i="6" s="1"/>
  <c r="M54" i="6"/>
  <c r="M136" i="6" s="1"/>
  <c r="M56" i="6"/>
  <c r="M138" i="6" s="1"/>
  <c r="M67" i="6"/>
  <c r="H214" i="6"/>
  <c r="F8" i="16" s="1"/>
  <c r="V187" i="9"/>
  <c r="C135" i="9"/>
  <c r="W148" i="9"/>
  <c r="V175" i="9"/>
  <c r="V189" i="9" s="1"/>
  <c r="U184" i="9"/>
  <c r="U187" i="9"/>
  <c r="U198" i="9" s="1"/>
  <c r="U213" i="9" s="1"/>
  <c r="C141" i="9"/>
  <c r="W154" i="9"/>
  <c r="C138" i="9"/>
  <c r="W151" i="9"/>
  <c r="C142" i="9"/>
  <c r="W155" i="9"/>
  <c r="C137" i="9"/>
  <c r="W150" i="9"/>
  <c r="W147" i="9"/>
  <c r="C134" i="9"/>
  <c r="C140" i="9"/>
  <c r="W153" i="9"/>
  <c r="C144" i="9"/>
  <c r="W157" i="9"/>
  <c r="C136" i="9"/>
  <c r="W149" i="9"/>
  <c r="W86" i="9"/>
  <c r="C139" i="9"/>
  <c r="W152" i="9"/>
  <c r="C143" i="9"/>
  <c r="W156" i="9"/>
  <c r="G213" i="8"/>
  <c r="G216" i="8" s="1"/>
  <c r="H107" i="1"/>
  <c r="R120" i="1" s="1"/>
  <c r="H144" i="1"/>
  <c r="H134" i="1"/>
  <c r="H147" i="1" s="1"/>
  <c r="H160" i="1" s="1"/>
  <c r="I79" i="1"/>
  <c r="I70" i="1"/>
  <c r="I71" i="1"/>
  <c r="L177" i="8"/>
  <c r="L191" i="8" s="1"/>
  <c r="K177" i="8"/>
  <c r="K191" i="8" s="1"/>
  <c r="J177" i="8"/>
  <c r="J191" i="8" s="1"/>
  <c r="N66" i="8"/>
  <c r="N62" i="8"/>
  <c r="N58" i="8"/>
  <c r="N54" i="8"/>
  <c r="N72" i="8" s="1"/>
  <c r="N65" i="8"/>
  <c r="N61" i="8"/>
  <c r="N57" i="8"/>
  <c r="N75" i="8" s="1"/>
  <c r="N53" i="8"/>
  <c r="N64" i="8"/>
  <c r="N60" i="8"/>
  <c r="N56" i="8"/>
  <c r="N52" i="8"/>
  <c r="N67" i="8"/>
  <c r="N63" i="8"/>
  <c r="N59" i="8"/>
  <c r="N55" i="8"/>
  <c r="M110" i="8"/>
  <c r="V123" i="8" s="1"/>
  <c r="M73" i="8"/>
  <c r="J173" i="8"/>
  <c r="K173" i="8"/>
  <c r="J180" i="8"/>
  <c r="J194" i="8" s="1"/>
  <c r="K180" i="8"/>
  <c r="K194" i="8" s="1"/>
  <c r="J165" i="8"/>
  <c r="L149" i="8"/>
  <c r="L162" i="8" s="1"/>
  <c r="L175" i="8" s="1"/>
  <c r="L189" i="8" s="1"/>
  <c r="J161" i="8"/>
  <c r="L150" i="8"/>
  <c r="L163" i="8" s="1"/>
  <c r="L176" i="8" s="1"/>
  <c r="L190" i="8" s="1"/>
  <c r="L147" i="8"/>
  <c r="L160" i="8" s="1"/>
  <c r="L182" i="8"/>
  <c r="L196" i="8" s="1"/>
  <c r="J182" i="8"/>
  <c r="J196" i="8" s="1"/>
  <c r="K182" i="8"/>
  <c r="K196" i="8" s="1"/>
  <c r="J166" i="8"/>
  <c r="I216" i="8"/>
  <c r="I239" i="8"/>
  <c r="I241" i="8" s="1"/>
  <c r="M115" i="8"/>
  <c r="S128" i="8" s="1"/>
  <c r="J168" i="8"/>
  <c r="H135" i="1"/>
  <c r="H148" i="1" s="1"/>
  <c r="H161" i="1" s="1"/>
  <c r="L155" i="8"/>
  <c r="L168" i="8" s="1"/>
  <c r="L154" i="8"/>
  <c r="L167" i="8" s="1"/>
  <c r="H216" i="8"/>
  <c r="H239" i="8"/>
  <c r="H241" i="8" s="1"/>
  <c r="P39" i="8"/>
  <c r="K175" i="8"/>
  <c r="K189" i="8" s="1"/>
  <c r="J175" i="8"/>
  <c r="J189" i="8" s="1"/>
  <c r="M140" i="8"/>
  <c r="M141" i="8"/>
  <c r="M154" i="8" s="1"/>
  <c r="M167" i="8" s="1"/>
  <c r="K176" i="8"/>
  <c r="K190" i="8" s="1"/>
  <c r="J176" i="8"/>
  <c r="J190" i="8" s="1"/>
  <c r="L183" i="8"/>
  <c r="L197" i="8" s="1"/>
  <c r="K183" i="8"/>
  <c r="K197" i="8" s="1"/>
  <c r="J183" i="8"/>
  <c r="J197" i="8" s="1"/>
  <c r="O40" i="8"/>
  <c r="O41" i="8" s="1"/>
  <c r="H109" i="1"/>
  <c r="Q122" i="1" s="1"/>
  <c r="L148" i="8"/>
  <c r="L161" i="8" s="1"/>
  <c r="L152" i="8"/>
  <c r="L165" i="8" s="1"/>
  <c r="K183" i="6"/>
  <c r="K197" i="6" s="1"/>
  <c r="L141" i="6"/>
  <c r="L114" i="6"/>
  <c r="S127" i="6" s="1"/>
  <c r="L77" i="6"/>
  <c r="L142" i="6"/>
  <c r="L115" i="6"/>
  <c r="S128" i="6" s="1"/>
  <c r="L78" i="6"/>
  <c r="L112" i="6"/>
  <c r="T125" i="6" s="1"/>
  <c r="L139" i="6"/>
  <c r="L75" i="6"/>
  <c r="J166" i="6"/>
  <c r="O41" i="6"/>
  <c r="O50" i="6" s="1"/>
  <c r="J177" i="6"/>
  <c r="J191" i="6" s="1"/>
  <c r="K177" i="6"/>
  <c r="K191" i="6" s="1"/>
  <c r="J174" i="6"/>
  <c r="J180" i="6"/>
  <c r="J194" i="6" s="1"/>
  <c r="N42" i="6"/>
  <c r="L137" i="6"/>
  <c r="L110" i="6"/>
  <c r="U123" i="6" s="1"/>
  <c r="L73" i="6"/>
  <c r="L138" i="6"/>
  <c r="L111" i="6"/>
  <c r="U124" i="6" s="1"/>
  <c r="L74" i="6"/>
  <c r="L108" i="6"/>
  <c r="V121" i="6" s="1"/>
  <c r="L135" i="6"/>
  <c r="L71" i="6"/>
  <c r="L109" i="6"/>
  <c r="V122" i="6" s="1"/>
  <c r="L136" i="6"/>
  <c r="L72" i="6"/>
  <c r="P40" i="6"/>
  <c r="K174" i="6"/>
  <c r="J181" i="6"/>
  <c r="J195" i="6" s="1"/>
  <c r="K180" i="6"/>
  <c r="K194" i="6" s="1"/>
  <c r="L117" i="6"/>
  <c r="R130" i="6" s="1"/>
  <c r="L144" i="6"/>
  <c r="L80" i="6"/>
  <c r="M74" i="6"/>
  <c r="K175" i="6"/>
  <c r="K189" i="6" s="1"/>
  <c r="J175" i="6"/>
  <c r="J189" i="6" s="1"/>
  <c r="J163" i="6"/>
  <c r="I185" i="6"/>
  <c r="I188" i="6"/>
  <c r="I199" i="6" s="1"/>
  <c r="I214" i="6" s="1"/>
  <c r="J169" i="6"/>
  <c r="K181" i="6"/>
  <c r="K195" i="6" s="1"/>
  <c r="J184" i="6"/>
  <c r="J198" i="6" s="1"/>
  <c r="L113" i="6"/>
  <c r="T126" i="6" s="1"/>
  <c r="L140" i="6"/>
  <c r="L76" i="6"/>
  <c r="L145" i="6"/>
  <c r="L118" i="6"/>
  <c r="Q131" i="6" s="1"/>
  <c r="L81" i="6"/>
  <c r="L116" i="6"/>
  <c r="R129" i="6" s="1"/>
  <c r="L143" i="6"/>
  <c r="L79" i="6"/>
  <c r="M79" i="6"/>
  <c r="K178" i="6"/>
  <c r="K192" i="6" s="1"/>
  <c r="J178" i="6"/>
  <c r="J192" i="6" s="1"/>
  <c r="M116" i="6"/>
  <c r="S129" i="6" s="1"/>
  <c r="M143" i="6"/>
  <c r="N50" i="6"/>
  <c r="K184" i="6"/>
  <c r="K198" i="6" s="1"/>
  <c r="H110" i="1"/>
  <c r="Q123" i="1" s="1"/>
  <c r="H73" i="1"/>
  <c r="H114" i="1"/>
  <c r="O127" i="1" s="1"/>
  <c r="H154" i="1"/>
  <c r="H167" i="1" s="1"/>
  <c r="G148" i="1"/>
  <c r="G161" i="1" s="1"/>
  <c r="H152" i="1"/>
  <c r="H165" i="1" s="1"/>
  <c r="G152" i="1"/>
  <c r="G165" i="1" s="1"/>
  <c r="G86" i="1"/>
  <c r="G155" i="1"/>
  <c r="G168" i="1" s="1"/>
  <c r="H155" i="1"/>
  <c r="H168" i="1" s="1"/>
  <c r="I141" i="1"/>
  <c r="I114" i="1"/>
  <c r="P127" i="1" s="1"/>
  <c r="I137" i="1"/>
  <c r="I150" i="1" s="1"/>
  <c r="I163" i="1" s="1"/>
  <c r="I110" i="1"/>
  <c r="R123" i="1" s="1"/>
  <c r="I117" i="1"/>
  <c r="N130" i="1" s="1"/>
  <c r="I144" i="1"/>
  <c r="I157" i="1" s="1"/>
  <c r="I170" i="1" s="1"/>
  <c r="I113" i="1"/>
  <c r="P126" i="1" s="1"/>
  <c r="I140" i="1"/>
  <c r="I153" i="1" s="1"/>
  <c r="I166" i="1" s="1"/>
  <c r="I109" i="1"/>
  <c r="R122" i="1" s="1"/>
  <c r="I136" i="1"/>
  <c r="Y99" i="2"/>
  <c r="G150" i="1"/>
  <c r="G163" i="1" s="1"/>
  <c r="H150" i="1"/>
  <c r="H163" i="1" s="1"/>
  <c r="G154" i="1"/>
  <c r="G167" i="1" s="1"/>
  <c r="I76" i="1"/>
  <c r="G153" i="1"/>
  <c r="G166" i="1" s="1"/>
  <c r="H153" i="1"/>
  <c r="H166" i="1" s="1"/>
  <c r="I80" i="1"/>
  <c r="H157" i="1"/>
  <c r="H170" i="1" s="1"/>
  <c r="G157" i="1"/>
  <c r="G170" i="1" s="1"/>
  <c r="J41" i="1"/>
  <c r="K40" i="1"/>
  <c r="F216" i="1"/>
  <c r="F239" i="1"/>
  <c r="F241" i="1" s="1"/>
  <c r="G156" i="1"/>
  <c r="G169" i="1" s="1"/>
  <c r="H156" i="1"/>
  <c r="H169" i="1" s="1"/>
  <c r="G147" i="1"/>
  <c r="G160" i="1" s="1"/>
  <c r="H151" i="1"/>
  <c r="H164" i="1" s="1"/>
  <c r="G151" i="1"/>
  <c r="G164" i="1" s="1"/>
  <c r="I143" i="1"/>
  <c r="I156" i="1" s="1"/>
  <c r="I169" i="1" s="1"/>
  <c r="I116" i="1"/>
  <c r="O129" i="1" s="1"/>
  <c r="I139" i="1"/>
  <c r="I112" i="1"/>
  <c r="Q125" i="1" s="1"/>
  <c r="I135" i="1"/>
  <c r="I108" i="1"/>
  <c r="S121" i="1" s="1"/>
  <c r="I115" i="1"/>
  <c r="O128" i="1" s="1"/>
  <c r="I142" i="1"/>
  <c r="I111" i="1"/>
  <c r="Q124" i="1" s="1"/>
  <c r="I138" i="1"/>
  <c r="I107" i="1"/>
  <c r="S120" i="1" s="1"/>
  <c r="I134" i="1"/>
  <c r="Y91" i="2"/>
  <c r="Z89" i="2"/>
  <c r="I73" i="1"/>
  <c r="I77" i="1"/>
  <c r="I72" i="1"/>
  <c r="G149" i="1"/>
  <c r="G162" i="1" s="1"/>
  <c r="J49" i="1"/>
  <c r="E216" i="1"/>
  <c r="E239" i="1"/>
  <c r="E241" i="1" s="1"/>
  <c r="M39" i="1"/>
  <c r="F11" i="16" l="1"/>
  <c r="F14" i="16" s="1"/>
  <c r="E11" i="16"/>
  <c r="I218" i="6"/>
  <c r="G8" i="16"/>
  <c r="M80" i="8"/>
  <c r="M72" i="8"/>
  <c r="N76" i="8"/>
  <c r="M76" i="8"/>
  <c r="M78" i="8"/>
  <c r="M117" i="8"/>
  <c r="R130" i="8" s="1"/>
  <c r="M109" i="8"/>
  <c r="V122" i="8" s="1"/>
  <c r="N78" i="8"/>
  <c r="N80" i="8"/>
  <c r="M118" i="6"/>
  <c r="R131" i="6" s="1"/>
  <c r="M116" i="8"/>
  <c r="S129" i="8" s="1"/>
  <c r="M81" i="6"/>
  <c r="M112" i="8"/>
  <c r="U125" i="8" s="1"/>
  <c r="M108" i="8"/>
  <c r="W121" i="8" s="1"/>
  <c r="M111" i="6"/>
  <c r="V124" i="6" s="1"/>
  <c r="M109" i="6"/>
  <c r="W122" i="6" s="1"/>
  <c r="M78" i="6"/>
  <c r="M115" i="6"/>
  <c r="T128" i="6" s="1"/>
  <c r="M141" i="6"/>
  <c r="M139" i="8"/>
  <c r="M152" i="8" s="1"/>
  <c r="M165" i="8" s="1"/>
  <c r="M178" i="8" s="1"/>
  <c r="M192" i="8" s="1"/>
  <c r="M143" i="8"/>
  <c r="M156" i="8" s="1"/>
  <c r="M169" i="8" s="1"/>
  <c r="M135" i="8"/>
  <c r="M148" i="8" s="1"/>
  <c r="M161" i="8" s="1"/>
  <c r="M174" i="8" s="1"/>
  <c r="N79" i="8"/>
  <c r="H86" i="1"/>
  <c r="I149" i="1"/>
  <c r="I162" i="1" s="1"/>
  <c r="I175" i="1" s="1"/>
  <c r="I189" i="1" s="1"/>
  <c r="I154" i="1"/>
  <c r="I167" i="1" s="1"/>
  <c r="I180" i="1" s="1"/>
  <c r="I194" i="1" s="1"/>
  <c r="M139" i="6"/>
  <c r="M77" i="8"/>
  <c r="N73" i="8"/>
  <c r="I147" i="1"/>
  <c r="I160" i="1" s="1"/>
  <c r="I173" i="1" s="1"/>
  <c r="M108" i="6"/>
  <c r="W121" i="6" s="1"/>
  <c r="N77" i="8"/>
  <c r="M112" i="6"/>
  <c r="U125" i="6" s="1"/>
  <c r="M74" i="8"/>
  <c r="M70" i="8"/>
  <c r="M71" i="6"/>
  <c r="M138" i="8"/>
  <c r="M151" i="8" s="1"/>
  <c r="M164" i="8" s="1"/>
  <c r="M134" i="8"/>
  <c r="M147" i="8" s="1"/>
  <c r="M160" i="8" s="1"/>
  <c r="M173" i="8" s="1"/>
  <c r="M187" i="8" s="1"/>
  <c r="N70" i="8"/>
  <c r="N74" i="8"/>
  <c r="H241" i="6"/>
  <c r="H243" i="6" s="1"/>
  <c r="H218" i="6"/>
  <c r="N71" i="8"/>
  <c r="M140" i="6"/>
  <c r="M153" i="6" s="1"/>
  <c r="M166" i="6" s="1"/>
  <c r="M144" i="6"/>
  <c r="M157" i="6" s="1"/>
  <c r="M170" i="6" s="1"/>
  <c r="M80" i="6"/>
  <c r="M113" i="6"/>
  <c r="U126" i="6" s="1"/>
  <c r="M110" i="6"/>
  <c r="V123" i="6" s="1"/>
  <c r="M72" i="6"/>
  <c r="M73" i="6"/>
  <c r="M114" i="6"/>
  <c r="T127" i="6" s="1"/>
  <c r="G239" i="8"/>
  <c r="G241" i="8" s="1"/>
  <c r="W160" i="9"/>
  <c r="C147" i="9"/>
  <c r="V184" i="9"/>
  <c r="W169" i="9"/>
  <c r="C156" i="9"/>
  <c r="W170" i="9"/>
  <c r="C157" i="9"/>
  <c r="W168" i="9"/>
  <c r="C155" i="9"/>
  <c r="W167" i="9"/>
  <c r="C154" i="9"/>
  <c r="V198" i="9"/>
  <c r="V213" i="9" s="1"/>
  <c r="W165" i="9"/>
  <c r="C152" i="9"/>
  <c r="W162" i="9"/>
  <c r="C149" i="9"/>
  <c r="W166" i="9"/>
  <c r="C153" i="9"/>
  <c r="W163" i="9"/>
  <c r="C150" i="9"/>
  <c r="W164" i="9"/>
  <c r="C151" i="9"/>
  <c r="U216" i="9"/>
  <c r="U239" i="9"/>
  <c r="U241" i="9" s="1"/>
  <c r="W161" i="9"/>
  <c r="C148" i="9"/>
  <c r="G241" i="6"/>
  <c r="G243" i="6" s="1"/>
  <c r="M175" i="8"/>
  <c r="M189" i="8" s="1"/>
  <c r="M176" i="8"/>
  <c r="M190" i="8" s="1"/>
  <c r="O67" i="8"/>
  <c r="O63" i="8"/>
  <c r="O59" i="8"/>
  <c r="O55" i="8"/>
  <c r="O66" i="8"/>
  <c r="O62" i="8"/>
  <c r="O58" i="8"/>
  <c r="O54" i="8"/>
  <c r="O65" i="8"/>
  <c r="O61" i="8"/>
  <c r="O57" i="8"/>
  <c r="O53" i="8"/>
  <c r="O64" i="8"/>
  <c r="O60" i="8"/>
  <c r="O56" i="8"/>
  <c r="O52" i="8"/>
  <c r="Q39" i="8"/>
  <c r="K187" i="8"/>
  <c r="L179" i="8"/>
  <c r="L193" i="8" s="1"/>
  <c r="K179" i="8"/>
  <c r="K193" i="8" s="1"/>
  <c r="J179" i="8"/>
  <c r="J193" i="8" s="1"/>
  <c r="M153" i="8"/>
  <c r="M166" i="8" s="1"/>
  <c r="J181" i="8"/>
  <c r="J195" i="8" s="1"/>
  <c r="L181" i="8"/>
  <c r="L195" i="8" s="1"/>
  <c r="K181" i="8"/>
  <c r="K195" i="8" s="1"/>
  <c r="M155" i="8"/>
  <c r="M168" i="8" s="1"/>
  <c r="N142" i="8"/>
  <c r="N155" i="8" s="1"/>
  <c r="N168" i="8" s="1"/>
  <c r="N115" i="8"/>
  <c r="T128" i="8" s="1"/>
  <c r="N143" i="8"/>
  <c r="N116" i="8"/>
  <c r="T129" i="8" s="1"/>
  <c r="N144" i="8"/>
  <c r="N157" i="8" s="1"/>
  <c r="N170" i="8" s="1"/>
  <c r="N117" i="8"/>
  <c r="S130" i="8" s="1"/>
  <c r="M180" i="8"/>
  <c r="L180" i="8"/>
  <c r="L194" i="8" s="1"/>
  <c r="L173" i="8"/>
  <c r="L174" i="8"/>
  <c r="L188" i="8" s="1"/>
  <c r="K174" i="8"/>
  <c r="K188" i="8" s="1"/>
  <c r="J174" i="8"/>
  <c r="J188" i="8" s="1"/>
  <c r="J178" i="8"/>
  <c r="J192" i="8" s="1"/>
  <c r="L178" i="8"/>
  <c r="L192" i="8" s="1"/>
  <c r="K178" i="8"/>
  <c r="K192" i="8" s="1"/>
  <c r="N141" i="8"/>
  <c r="N114" i="8"/>
  <c r="U127" i="8" s="1"/>
  <c r="N138" i="8"/>
  <c r="N111" i="8"/>
  <c r="V124" i="8" s="1"/>
  <c r="N139" i="8"/>
  <c r="N112" i="8"/>
  <c r="V125" i="8" s="1"/>
  <c r="N140" i="8"/>
  <c r="N113" i="8"/>
  <c r="U126" i="8" s="1"/>
  <c r="P40" i="8"/>
  <c r="P49" i="8" s="1"/>
  <c r="M157" i="8"/>
  <c r="M170" i="8" s="1"/>
  <c r="J187" i="8"/>
  <c r="N137" i="8"/>
  <c r="N110" i="8"/>
  <c r="W123" i="8" s="1"/>
  <c r="N134" i="8"/>
  <c r="N107" i="8"/>
  <c r="N135" i="8"/>
  <c r="N108" i="8"/>
  <c r="N136" i="8"/>
  <c r="N109" i="8"/>
  <c r="W122" i="8" s="1"/>
  <c r="O49" i="8"/>
  <c r="O42" i="6"/>
  <c r="O53" i="6" s="1"/>
  <c r="M156" i="6"/>
  <c r="M169" i="6" s="1"/>
  <c r="L156" i="6"/>
  <c r="L169" i="6" s="1"/>
  <c r="L182" i="6" s="1"/>
  <c r="L196" i="6" s="1"/>
  <c r="I241" i="6"/>
  <c r="I243" i="6" s="1"/>
  <c r="L157" i="6"/>
  <c r="L170" i="6" s="1"/>
  <c r="K182" i="6"/>
  <c r="K196" i="6" s="1"/>
  <c r="J182" i="6"/>
  <c r="J196" i="6" s="1"/>
  <c r="K176" i="6"/>
  <c r="K190" i="6" s="1"/>
  <c r="J176" i="6"/>
  <c r="J190" i="6" s="1"/>
  <c r="K188" i="6"/>
  <c r="Q40" i="6"/>
  <c r="M148" i="6"/>
  <c r="M161" i="6" s="1"/>
  <c r="L148" i="6"/>
  <c r="L161" i="6" s="1"/>
  <c r="L151" i="6"/>
  <c r="L164" i="6" s="1"/>
  <c r="M151" i="6"/>
  <c r="M164" i="6" s="1"/>
  <c r="N68" i="6"/>
  <c r="N64" i="6"/>
  <c r="N67" i="6"/>
  <c r="N63" i="6"/>
  <c r="N59" i="6"/>
  <c r="N55" i="6"/>
  <c r="N66" i="6"/>
  <c r="N62" i="6"/>
  <c r="N58" i="6"/>
  <c r="N54" i="6"/>
  <c r="N65" i="6"/>
  <c r="N61" i="6"/>
  <c r="N57" i="6"/>
  <c r="N53" i="6"/>
  <c r="N60" i="6"/>
  <c r="N56" i="6"/>
  <c r="M150" i="6"/>
  <c r="M163" i="6" s="1"/>
  <c r="L150" i="6"/>
  <c r="L163" i="6" s="1"/>
  <c r="J188" i="6"/>
  <c r="P41" i="6"/>
  <c r="P42" i="6" s="1"/>
  <c r="M152" i="6"/>
  <c r="M165" i="6" s="1"/>
  <c r="L152" i="6"/>
  <c r="L165" i="6" s="1"/>
  <c r="L154" i="6"/>
  <c r="L167" i="6" s="1"/>
  <c r="M154" i="6"/>
  <c r="M167" i="6" s="1"/>
  <c r="M158" i="6"/>
  <c r="M171" i="6" s="1"/>
  <c r="L158" i="6"/>
  <c r="L171" i="6" s="1"/>
  <c r="L153" i="6"/>
  <c r="L166" i="6" s="1"/>
  <c r="L179" i="6" s="1"/>
  <c r="L193" i="6" s="1"/>
  <c r="L149" i="6"/>
  <c r="L162" i="6" s="1"/>
  <c r="M149" i="6"/>
  <c r="M162" i="6" s="1"/>
  <c r="L87" i="6"/>
  <c r="K179" i="6"/>
  <c r="K193" i="6" s="1"/>
  <c r="J179" i="6"/>
  <c r="J193" i="6" s="1"/>
  <c r="L155" i="6"/>
  <c r="L168" i="6" s="1"/>
  <c r="M155" i="6"/>
  <c r="M168" i="6" s="1"/>
  <c r="I86" i="1"/>
  <c r="Z91" i="2"/>
  <c r="AA89" i="2"/>
  <c r="H177" i="1"/>
  <c r="H191" i="1" s="1"/>
  <c r="G177" i="1"/>
  <c r="G191" i="1" s="1"/>
  <c r="I151" i="1"/>
  <c r="I164" i="1" s="1"/>
  <c r="H173" i="1"/>
  <c r="G173" i="1"/>
  <c r="I182" i="1"/>
  <c r="I196" i="1" s="1"/>
  <c r="H182" i="1"/>
  <c r="H196" i="1" s="1"/>
  <c r="G182" i="1"/>
  <c r="G196" i="1" s="1"/>
  <c r="L40" i="1"/>
  <c r="K41" i="1"/>
  <c r="G183" i="1"/>
  <c r="G197" i="1" s="1"/>
  <c r="H183" i="1"/>
  <c r="H197" i="1" s="1"/>
  <c r="H179" i="1"/>
  <c r="H193" i="1" s="1"/>
  <c r="G179" i="1"/>
  <c r="G193" i="1" s="1"/>
  <c r="I176" i="1"/>
  <c r="I190" i="1" s="1"/>
  <c r="I183" i="1"/>
  <c r="I197" i="1" s="1"/>
  <c r="I155" i="1"/>
  <c r="I168" i="1" s="1"/>
  <c r="I181" i="1" s="1"/>
  <c r="I195" i="1" s="1"/>
  <c r="H178" i="1"/>
  <c r="H192" i="1" s="1"/>
  <c r="G178" i="1"/>
  <c r="G192" i="1" s="1"/>
  <c r="I152" i="1"/>
  <c r="I165" i="1" s="1"/>
  <c r="I178" i="1" s="1"/>
  <c r="I192" i="1" s="1"/>
  <c r="G174" i="1"/>
  <c r="G188" i="1" s="1"/>
  <c r="H174" i="1"/>
  <c r="H188" i="1" s="1"/>
  <c r="N39" i="1"/>
  <c r="O39" i="1" s="1"/>
  <c r="G175" i="1"/>
  <c r="G189" i="1" s="1"/>
  <c r="H175" i="1"/>
  <c r="H189" i="1" s="1"/>
  <c r="Z90" i="2"/>
  <c r="Z101" i="2" s="1"/>
  <c r="K49" i="1"/>
  <c r="J52" i="1"/>
  <c r="J54" i="1"/>
  <c r="J56" i="1"/>
  <c r="J58" i="1"/>
  <c r="J60" i="1"/>
  <c r="J62" i="1"/>
  <c r="J67" i="1"/>
  <c r="J63" i="1"/>
  <c r="J53" i="1"/>
  <c r="J55" i="1"/>
  <c r="J57" i="1"/>
  <c r="J59" i="1"/>
  <c r="J61" i="1"/>
  <c r="J64" i="1"/>
  <c r="J65" i="1"/>
  <c r="J66" i="1"/>
  <c r="I179" i="1"/>
  <c r="I193" i="1" s="1"/>
  <c r="H180" i="1"/>
  <c r="H194" i="1" s="1"/>
  <c r="G180" i="1"/>
  <c r="G194" i="1" s="1"/>
  <c r="G176" i="1"/>
  <c r="G190" i="1" s="1"/>
  <c r="H176" i="1"/>
  <c r="H190" i="1" s="1"/>
  <c r="H181" i="1"/>
  <c r="H195" i="1" s="1"/>
  <c r="G181" i="1"/>
  <c r="G195" i="1" s="1"/>
  <c r="I148" i="1"/>
  <c r="I161" i="1" s="1"/>
  <c r="E14" i="16" l="1"/>
  <c r="G11" i="16"/>
  <c r="G14" i="16" s="1"/>
  <c r="M194" i="8"/>
  <c r="M86" i="8"/>
  <c r="N151" i="8"/>
  <c r="N164" i="8" s="1"/>
  <c r="N177" i="8" s="1"/>
  <c r="N191" i="8" s="1"/>
  <c r="N86" i="8"/>
  <c r="M87" i="6"/>
  <c r="O66" i="6"/>
  <c r="C164" i="9"/>
  <c r="W177" i="9"/>
  <c r="W191" i="9" s="1"/>
  <c r="C166" i="9"/>
  <c r="W179" i="9"/>
  <c r="W193" i="9" s="1"/>
  <c r="W178" i="9"/>
  <c r="W192" i="9" s="1"/>
  <c r="C165" i="9"/>
  <c r="W173" i="9"/>
  <c r="C160" i="9"/>
  <c r="C161" i="9"/>
  <c r="W174" i="9"/>
  <c r="W188" i="9" s="1"/>
  <c r="W180" i="9"/>
  <c r="W194" i="9" s="1"/>
  <c r="C167" i="9"/>
  <c r="W183" i="9"/>
  <c r="W197" i="9" s="1"/>
  <c r="C170" i="9"/>
  <c r="C163" i="9"/>
  <c r="W176" i="9"/>
  <c r="W190" i="9" s="1"/>
  <c r="W175" i="9"/>
  <c r="W189" i="9" s="1"/>
  <c r="C162" i="9"/>
  <c r="V239" i="9"/>
  <c r="V241" i="9" s="1"/>
  <c r="V216" i="9"/>
  <c r="C168" i="9"/>
  <c r="W181" i="9"/>
  <c r="W195" i="9" s="1"/>
  <c r="W182" i="9"/>
  <c r="W196" i="9" s="1"/>
  <c r="C169" i="9"/>
  <c r="J184" i="8"/>
  <c r="J198" i="8"/>
  <c r="J213" i="8" s="1"/>
  <c r="J239" i="8" s="1"/>
  <c r="J241" i="8" s="1"/>
  <c r="M188" i="8"/>
  <c r="N147" i="8"/>
  <c r="N160" i="8" s="1"/>
  <c r="N183" i="8"/>
  <c r="N197" i="8" s="1"/>
  <c r="M183" i="8"/>
  <c r="M197" i="8" s="1"/>
  <c r="N154" i="8"/>
  <c r="N167" i="8" s="1"/>
  <c r="O107" i="8"/>
  <c r="O134" i="8"/>
  <c r="O147" i="8" s="1"/>
  <c r="O160" i="8" s="1"/>
  <c r="O70" i="8"/>
  <c r="O108" i="8"/>
  <c r="O135" i="8"/>
  <c r="O148" i="8" s="1"/>
  <c r="O161" i="8" s="1"/>
  <c r="O71" i="8"/>
  <c r="O109" i="8"/>
  <c r="O136" i="8"/>
  <c r="O149" i="8" s="1"/>
  <c r="O162" i="8" s="1"/>
  <c r="O72" i="8"/>
  <c r="O137" i="8"/>
  <c r="O110" i="8"/>
  <c r="O73" i="8"/>
  <c r="N149" i="8"/>
  <c r="N162" i="8" s="1"/>
  <c r="N148" i="8"/>
  <c r="N161" i="8" s="1"/>
  <c r="N174" i="8" s="1"/>
  <c r="N188" i="8" s="1"/>
  <c r="N156" i="8"/>
  <c r="N169" i="8" s="1"/>
  <c r="N182" i="8" s="1"/>
  <c r="N196" i="8" s="1"/>
  <c r="M181" i="8"/>
  <c r="M195" i="8" s="1"/>
  <c r="N153" i="8"/>
  <c r="N166" i="8" s="1"/>
  <c r="N179" i="8" s="1"/>
  <c r="N193" i="8" s="1"/>
  <c r="M179" i="8"/>
  <c r="M193" i="8" s="1"/>
  <c r="P41" i="8"/>
  <c r="M177" i="8"/>
  <c r="M191" i="8" s="1"/>
  <c r="O150" i="8"/>
  <c r="O163" i="8" s="1"/>
  <c r="K184" i="8"/>
  <c r="Q40" i="8"/>
  <c r="Q49" i="8" s="1"/>
  <c r="N152" i="8"/>
  <c r="N165" i="8" s="1"/>
  <c r="O115" i="8"/>
  <c r="U128" i="8" s="1"/>
  <c r="O142" i="8"/>
  <c r="O78" i="8"/>
  <c r="O116" i="8"/>
  <c r="U129" i="8" s="1"/>
  <c r="O143" i="8"/>
  <c r="O79" i="8"/>
  <c r="O117" i="8"/>
  <c r="T130" i="8" s="1"/>
  <c r="O144" i="8"/>
  <c r="O80" i="8"/>
  <c r="K198" i="8"/>
  <c r="K213" i="8" s="1"/>
  <c r="L184" i="8"/>
  <c r="L187" i="8"/>
  <c r="L198" i="8" s="1"/>
  <c r="L213" i="8" s="1"/>
  <c r="M182" i="8"/>
  <c r="M196" i="8" s="1"/>
  <c r="R39" i="8"/>
  <c r="O111" i="8"/>
  <c r="W124" i="8" s="1"/>
  <c r="O138" i="8"/>
  <c r="O74" i="8"/>
  <c r="O112" i="8"/>
  <c r="W125" i="8" s="1"/>
  <c r="O139" i="8"/>
  <c r="O152" i="8" s="1"/>
  <c r="O165" i="8" s="1"/>
  <c r="O75" i="8"/>
  <c r="O113" i="8"/>
  <c r="V126" i="8" s="1"/>
  <c r="O140" i="8"/>
  <c r="O153" i="8" s="1"/>
  <c r="O166" i="8" s="1"/>
  <c r="O76" i="8"/>
  <c r="O141" i="8"/>
  <c r="O114" i="8"/>
  <c r="V127" i="8" s="1"/>
  <c r="O77" i="8"/>
  <c r="N150" i="8"/>
  <c r="N163" i="8" s="1"/>
  <c r="N181" i="8"/>
  <c r="N195" i="8" s="1"/>
  <c r="O65" i="6"/>
  <c r="O68" i="6"/>
  <c r="O67" i="6"/>
  <c r="M182" i="6"/>
  <c r="M196" i="6" s="1"/>
  <c r="M179" i="6"/>
  <c r="M193" i="6" s="1"/>
  <c r="O61" i="6"/>
  <c r="O62" i="6"/>
  <c r="O80" i="6" s="1"/>
  <c r="O63" i="6"/>
  <c r="O81" i="6" s="1"/>
  <c r="O64" i="6"/>
  <c r="O57" i="6"/>
  <c r="O112" i="6" s="1"/>
  <c r="W125" i="6" s="1"/>
  <c r="O58" i="6"/>
  <c r="O113" i="6" s="1"/>
  <c r="W126" i="6" s="1"/>
  <c r="O59" i="6"/>
  <c r="O77" i="6" s="1"/>
  <c r="O60" i="6"/>
  <c r="O78" i="6" s="1"/>
  <c r="O54" i="6"/>
  <c r="O136" i="6" s="1"/>
  <c r="O55" i="6"/>
  <c r="O73" i="6" s="1"/>
  <c r="O56" i="6"/>
  <c r="O74" i="6" s="1"/>
  <c r="P50" i="6"/>
  <c r="P65" i="6"/>
  <c r="P61" i="6"/>
  <c r="P57" i="6"/>
  <c r="P53" i="6"/>
  <c r="P68" i="6"/>
  <c r="P64" i="6"/>
  <c r="P60" i="6"/>
  <c r="P56" i="6"/>
  <c r="P66" i="6"/>
  <c r="P62" i="6"/>
  <c r="P58" i="6"/>
  <c r="P54" i="6"/>
  <c r="P67" i="6"/>
  <c r="P63" i="6"/>
  <c r="P59" i="6"/>
  <c r="P55" i="6"/>
  <c r="L175" i="6"/>
  <c r="L189" i="6" s="1"/>
  <c r="M175" i="6"/>
  <c r="M189" i="6" s="1"/>
  <c r="O138" i="6"/>
  <c r="O108" i="6"/>
  <c r="O135" i="6"/>
  <c r="O71" i="6"/>
  <c r="N135" i="6"/>
  <c r="N108" i="6"/>
  <c r="N71" i="6"/>
  <c r="N136" i="6"/>
  <c r="N109" i="6"/>
  <c r="N72" i="6"/>
  <c r="N137" i="6"/>
  <c r="N110" i="6"/>
  <c r="W123" i="6" s="1"/>
  <c r="N73" i="6"/>
  <c r="L177" i="6"/>
  <c r="L191" i="6" s="1"/>
  <c r="M177" i="6"/>
  <c r="M191" i="6" s="1"/>
  <c r="J185" i="6"/>
  <c r="M181" i="6"/>
  <c r="M195" i="6" s="1"/>
  <c r="L181" i="6"/>
  <c r="L195" i="6" s="1"/>
  <c r="L180" i="6"/>
  <c r="L194" i="6" s="1"/>
  <c r="M180" i="6"/>
  <c r="M194" i="6" s="1"/>
  <c r="N142" i="6"/>
  <c r="N115" i="6"/>
  <c r="U128" i="6" s="1"/>
  <c r="N78" i="6"/>
  <c r="J199" i="6"/>
  <c r="K185" i="6"/>
  <c r="L184" i="6"/>
  <c r="L198" i="6" s="1"/>
  <c r="M184" i="6"/>
  <c r="M198" i="6" s="1"/>
  <c r="N138" i="6"/>
  <c r="N111" i="6"/>
  <c r="W124" i="6" s="1"/>
  <c r="N74" i="6"/>
  <c r="N143" i="6"/>
  <c r="N116" i="6"/>
  <c r="T129" i="6" s="1"/>
  <c r="N79" i="6"/>
  <c r="N144" i="6"/>
  <c r="N117" i="6"/>
  <c r="T130" i="6" s="1"/>
  <c r="N80" i="6"/>
  <c r="N145" i="6"/>
  <c r="N118" i="6"/>
  <c r="S131" i="6" s="1"/>
  <c r="N81" i="6"/>
  <c r="L174" i="6"/>
  <c r="M174" i="6"/>
  <c r="K199" i="6"/>
  <c r="L176" i="6"/>
  <c r="L190" i="6" s="1"/>
  <c r="L178" i="6"/>
  <c r="L192" i="6" s="1"/>
  <c r="M178" i="6"/>
  <c r="M192" i="6" s="1"/>
  <c r="Q41" i="6"/>
  <c r="Q50" i="6" s="1"/>
  <c r="N139" i="6"/>
  <c r="N112" i="6"/>
  <c r="V125" i="6" s="1"/>
  <c r="N75" i="6"/>
  <c r="N140" i="6"/>
  <c r="N113" i="6"/>
  <c r="V126" i="6" s="1"/>
  <c r="N76" i="6"/>
  <c r="N141" i="6"/>
  <c r="N114" i="6"/>
  <c r="U127" i="6" s="1"/>
  <c r="N77" i="6"/>
  <c r="R40" i="6"/>
  <c r="M183" i="6"/>
  <c r="M197" i="6" s="1"/>
  <c r="L183" i="6"/>
  <c r="L197" i="6" s="1"/>
  <c r="M176" i="6"/>
  <c r="M190" i="6" s="1"/>
  <c r="J114" i="1"/>
  <c r="Q127" i="1" s="1"/>
  <c r="J141" i="1"/>
  <c r="J77" i="1"/>
  <c r="J110" i="1"/>
  <c r="S123" i="1" s="1"/>
  <c r="J137" i="1"/>
  <c r="J73" i="1"/>
  <c r="J144" i="1"/>
  <c r="J117" i="1"/>
  <c r="O130" i="1" s="1"/>
  <c r="J80" i="1"/>
  <c r="J140" i="1"/>
  <c r="J113" i="1"/>
  <c r="Q126" i="1" s="1"/>
  <c r="J76" i="1"/>
  <c r="J136" i="1"/>
  <c r="J109" i="1"/>
  <c r="S122" i="1" s="1"/>
  <c r="J72" i="1"/>
  <c r="P39" i="1"/>
  <c r="Z99" i="2"/>
  <c r="K52" i="1"/>
  <c r="K70" i="1" s="1"/>
  <c r="K54" i="1"/>
  <c r="K56" i="1"/>
  <c r="K74" i="1" s="1"/>
  <c r="K58" i="1"/>
  <c r="K60" i="1"/>
  <c r="K78" i="1" s="1"/>
  <c r="K61" i="1"/>
  <c r="K79" i="1" s="1"/>
  <c r="K67" i="1"/>
  <c r="K63" i="1"/>
  <c r="K53" i="1"/>
  <c r="K71" i="1" s="1"/>
  <c r="K55" i="1"/>
  <c r="K73" i="1" s="1"/>
  <c r="K57" i="1"/>
  <c r="K75" i="1" s="1"/>
  <c r="K59" i="1"/>
  <c r="K62" i="1"/>
  <c r="K64" i="1"/>
  <c r="K66" i="1"/>
  <c r="K65" i="1"/>
  <c r="M40" i="1"/>
  <c r="M49" i="1" s="1"/>
  <c r="L41" i="1"/>
  <c r="G184" i="1"/>
  <c r="G187" i="1"/>
  <c r="G198" i="1" s="1"/>
  <c r="G213" i="1" s="1"/>
  <c r="H184" i="1"/>
  <c r="H187" i="1"/>
  <c r="H198" i="1" s="1"/>
  <c r="H213" i="1" s="1"/>
  <c r="AA91" i="2"/>
  <c r="AB89" i="2"/>
  <c r="AB94" i="2" s="1"/>
  <c r="J143" i="1"/>
  <c r="J116" i="1"/>
  <c r="P129" i="1" s="1"/>
  <c r="J79" i="1"/>
  <c r="J139" i="1"/>
  <c r="J112" i="1"/>
  <c r="R125" i="1" s="1"/>
  <c r="J75" i="1"/>
  <c r="J135" i="1"/>
  <c r="J108" i="1"/>
  <c r="T121" i="1" s="1"/>
  <c r="J71" i="1"/>
  <c r="J142" i="1"/>
  <c r="J115" i="1"/>
  <c r="P128" i="1" s="1"/>
  <c r="J78" i="1"/>
  <c r="J138" i="1"/>
  <c r="J111" i="1"/>
  <c r="R124" i="1" s="1"/>
  <c r="J74" i="1"/>
  <c r="J134" i="1"/>
  <c r="J107" i="1"/>
  <c r="T120" i="1" s="1"/>
  <c r="J70" i="1"/>
  <c r="I174" i="1"/>
  <c r="I188" i="1" s="1"/>
  <c r="L49" i="1"/>
  <c r="I187" i="1"/>
  <c r="I177" i="1"/>
  <c r="I191" i="1" s="1"/>
  <c r="AA90" i="2"/>
  <c r="AA101" i="2" s="1"/>
  <c r="AA94" i="2"/>
  <c r="O114" i="6" l="1"/>
  <c r="V127" i="6" s="1"/>
  <c r="O76" i="6"/>
  <c r="O141" i="6"/>
  <c r="O154" i="6" s="1"/>
  <c r="O167" i="6" s="1"/>
  <c r="O118" i="6"/>
  <c r="T131" i="6" s="1"/>
  <c r="O111" i="6"/>
  <c r="K214" i="6"/>
  <c r="J214" i="6"/>
  <c r="W184" i="9"/>
  <c r="W187" i="9"/>
  <c r="W198" i="9" s="1"/>
  <c r="W213" i="9" s="1"/>
  <c r="O117" i="6"/>
  <c r="U130" i="6" s="1"/>
  <c r="M198" i="8"/>
  <c r="M213" i="8" s="1"/>
  <c r="M216" i="8" s="1"/>
  <c r="O145" i="6"/>
  <c r="O158" i="6" s="1"/>
  <c r="O171" i="6" s="1"/>
  <c r="J216" i="8"/>
  <c r="O174" i="8"/>
  <c r="O188" i="8" s="1"/>
  <c r="O110" i="6"/>
  <c r="P80" i="6"/>
  <c r="O144" i="6"/>
  <c r="O157" i="6" s="1"/>
  <c r="O170" i="6" s="1"/>
  <c r="O137" i="6"/>
  <c r="O150" i="6" s="1"/>
  <c r="O163" i="6" s="1"/>
  <c r="O140" i="6"/>
  <c r="O153" i="6" s="1"/>
  <c r="O166" i="6" s="1"/>
  <c r="Q41" i="8"/>
  <c r="Q65" i="8" s="1"/>
  <c r="N176" i="8"/>
  <c r="N190" i="8" s="1"/>
  <c r="O176" i="8"/>
  <c r="O190" i="8" s="1"/>
  <c r="S39" i="8"/>
  <c r="P64" i="8"/>
  <c r="P60" i="8"/>
  <c r="P56" i="8"/>
  <c r="P52" i="8"/>
  <c r="P67" i="8"/>
  <c r="P63" i="8"/>
  <c r="P59" i="8"/>
  <c r="P55" i="8"/>
  <c r="P66" i="8"/>
  <c r="P62" i="8"/>
  <c r="P58" i="8"/>
  <c r="P54" i="8"/>
  <c r="P65" i="8"/>
  <c r="P61" i="8"/>
  <c r="P57" i="8"/>
  <c r="P53" i="8"/>
  <c r="O173" i="8"/>
  <c r="O187" i="8" s="1"/>
  <c r="N173" i="8"/>
  <c r="O156" i="8"/>
  <c r="O169" i="8" s="1"/>
  <c r="O175" i="8"/>
  <c r="O189" i="8" s="1"/>
  <c r="N175" i="8"/>
  <c r="N189" i="8" s="1"/>
  <c r="O155" i="8"/>
  <c r="O168" i="8" s="1"/>
  <c r="N178" i="8"/>
  <c r="N192" i="8" s="1"/>
  <c r="O178" i="8"/>
  <c r="O192" i="8" s="1"/>
  <c r="O139" i="6"/>
  <c r="O152" i="6" s="1"/>
  <c r="O165" i="6" s="1"/>
  <c r="O72" i="6"/>
  <c r="O154" i="8"/>
  <c r="O167" i="8" s="1"/>
  <c r="O180" i="8" s="1"/>
  <c r="O194" i="8" s="1"/>
  <c r="M184" i="8"/>
  <c r="O151" i="8"/>
  <c r="O164" i="8" s="1"/>
  <c r="L216" i="8"/>
  <c r="L239" i="8"/>
  <c r="L241" i="8" s="1"/>
  <c r="K239" i="8"/>
  <c r="K241" i="8" s="1"/>
  <c r="K216" i="8"/>
  <c r="O157" i="8"/>
  <c r="O170" i="8" s="1"/>
  <c r="R40" i="8"/>
  <c r="R49" i="8" s="1"/>
  <c r="O86" i="8"/>
  <c r="N180" i="8"/>
  <c r="N194" i="8" s="1"/>
  <c r="O179" i="8"/>
  <c r="O193" i="8" s="1"/>
  <c r="O142" i="6"/>
  <c r="O155" i="6" s="1"/>
  <c r="O168" i="6" s="1"/>
  <c r="O115" i="6"/>
  <c r="V128" i="6" s="1"/>
  <c r="P79" i="6"/>
  <c r="Q42" i="6"/>
  <c r="Q66" i="6" s="1"/>
  <c r="O75" i="6"/>
  <c r="O79" i="6"/>
  <c r="O116" i="6"/>
  <c r="U129" i="6" s="1"/>
  <c r="O143" i="6"/>
  <c r="O156" i="6" s="1"/>
  <c r="O169" i="6" s="1"/>
  <c r="O109" i="6"/>
  <c r="S40" i="6"/>
  <c r="N152" i="6"/>
  <c r="N165" i="6" s="1"/>
  <c r="L185" i="6"/>
  <c r="L188" i="6"/>
  <c r="L199" i="6" s="1"/>
  <c r="L214" i="6" s="1"/>
  <c r="N157" i="6"/>
  <c r="N170" i="6" s="1"/>
  <c r="O151" i="6"/>
  <c r="O164" i="6" s="1"/>
  <c r="N151" i="6"/>
  <c r="N164" i="6" s="1"/>
  <c r="N150" i="6"/>
  <c r="N163" i="6" s="1"/>
  <c r="N87" i="6"/>
  <c r="N153" i="6"/>
  <c r="N166" i="6" s="1"/>
  <c r="N158" i="6"/>
  <c r="N171" i="6" s="1"/>
  <c r="P145" i="6"/>
  <c r="P118" i="6"/>
  <c r="U131" i="6" s="1"/>
  <c r="P81" i="6"/>
  <c r="P117" i="6"/>
  <c r="V130" i="6" s="1"/>
  <c r="P144" i="6"/>
  <c r="P116" i="6"/>
  <c r="V129" i="6" s="1"/>
  <c r="P143" i="6"/>
  <c r="M185" i="6"/>
  <c r="M188" i="6"/>
  <c r="M199" i="6" s="1"/>
  <c r="N156" i="6"/>
  <c r="N169" i="6" s="1"/>
  <c r="N148" i="6"/>
  <c r="N161" i="6" s="1"/>
  <c r="O148" i="6"/>
  <c r="O161" i="6" s="1"/>
  <c r="P141" i="6"/>
  <c r="P114" i="6"/>
  <c r="W127" i="6" s="1"/>
  <c r="P77" i="6"/>
  <c r="P113" i="6"/>
  <c r="P140" i="6"/>
  <c r="P76" i="6"/>
  <c r="P142" i="6"/>
  <c r="P115" i="6"/>
  <c r="W128" i="6" s="1"/>
  <c r="P78" i="6"/>
  <c r="P112" i="6"/>
  <c r="P139" i="6"/>
  <c r="P75" i="6"/>
  <c r="N154" i="6"/>
  <c r="N167" i="6" s="1"/>
  <c r="R41" i="6"/>
  <c r="R42" i="6" s="1"/>
  <c r="N155" i="6"/>
  <c r="N168" i="6" s="1"/>
  <c r="O149" i="6"/>
  <c r="O162" i="6" s="1"/>
  <c r="N149" i="6"/>
  <c r="N162" i="6" s="1"/>
  <c r="P137" i="6"/>
  <c r="P110" i="6"/>
  <c r="P73" i="6"/>
  <c r="P109" i="6"/>
  <c r="P136" i="6"/>
  <c r="P72" i="6"/>
  <c r="P138" i="6"/>
  <c r="P111" i="6"/>
  <c r="P74" i="6"/>
  <c r="P108" i="6"/>
  <c r="P135" i="6"/>
  <c r="P71" i="6"/>
  <c r="I198" i="1"/>
  <c r="I213" i="1" s="1"/>
  <c r="I216" i="1" s="1"/>
  <c r="I184" i="1"/>
  <c r="J156" i="1"/>
  <c r="AB90" i="2"/>
  <c r="AB101" i="2" s="1"/>
  <c r="H239" i="1"/>
  <c r="H241" i="1" s="1"/>
  <c r="H216" i="1"/>
  <c r="G216" i="1"/>
  <c r="G239" i="1"/>
  <c r="G241" i="1" s="1"/>
  <c r="L60" i="1"/>
  <c r="L52" i="1"/>
  <c r="L54" i="1"/>
  <c r="L56" i="1"/>
  <c r="L59" i="1"/>
  <c r="L63" i="1"/>
  <c r="L64" i="1"/>
  <c r="L65" i="1"/>
  <c r="L58" i="1"/>
  <c r="L62" i="1"/>
  <c r="L53" i="1"/>
  <c r="L55" i="1"/>
  <c r="L57" i="1"/>
  <c r="L61" i="1"/>
  <c r="L66" i="1"/>
  <c r="L67" i="1"/>
  <c r="K117" i="1"/>
  <c r="P130" i="1" s="1"/>
  <c r="K144" i="1"/>
  <c r="K157" i="1" s="1"/>
  <c r="K170" i="1" s="1"/>
  <c r="K139" i="1"/>
  <c r="K152" i="1" s="1"/>
  <c r="K165" i="1" s="1"/>
  <c r="K112" i="1"/>
  <c r="S125" i="1" s="1"/>
  <c r="K135" i="1"/>
  <c r="K148" i="1" s="1"/>
  <c r="K161" i="1" s="1"/>
  <c r="K108" i="1"/>
  <c r="U121" i="1" s="1"/>
  <c r="K142" i="1"/>
  <c r="K155" i="1" s="1"/>
  <c r="K168" i="1" s="1"/>
  <c r="K115" i="1"/>
  <c r="Q128" i="1" s="1"/>
  <c r="K138" i="1"/>
  <c r="K151" i="1" s="1"/>
  <c r="K164" i="1" s="1"/>
  <c r="K111" i="1"/>
  <c r="S124" i="1" s="1"/>
  <c r="K134" i="1"/>
  <c r="K147" i="1" s="1"/>
  <c r="K160" i="1" s="1"/>
  <c r="K107" i="1"/>
  <c r="U120" i="1" s="1"/>
  <c r="Q39" i="1"/>
  <c r="K72" i="1"/>
  <c r="K76" i="1"/>
  <c r="J153" i="1"/>
  <c r="J150" i="1"/>
  <c r="J154" i="1"/>
  <c r="J86" i="1"/>
  <c r="J147" i="1"/>
  <c r="J151" i="1"/>
  <c r="J155" i="1"/>
  <c r="J148" i="1"/>
  <c r="J152" i="1"/>
  <c r="AB91" i="2"/>
  <c r="AC89" i="2"/>
  <c r="N40" i="1"/>
  <c r="M41" i="1"/>
  <c r="K141" i="1"/>
  <c r="K114" i="1"/>
  <c r="R127" i="1" s="1"/>
  <c r="K137" i="1"/>
  <c r="K110" i="1"/>
  <c r="T123" i="1" s="1"/>
  <c r="K143" i="1"/>
  <c r="K116" i="1"/>
  <c r="Q129" i="1" s="1"/>
  <c r="K140" i="1"/>
  <c r="K153" i="1" s="1"/>
  <c r="K166" i="1" s="1"/>
  <c r="K113" i="1"/>
  <c r="R126" i="1" s="1"/>
  <c r="K136" i="1"/>
  <c r="K149" i="1" s="1"/>
  <c r="K162" i="1" s="1"/>
  <c r="K109" i="1"/>
  <c r="T122" i="1" s="1"/>
  <c r="AA99" i="2"/>
  <c r="AB99" i="2" s="1"/>
  <c r="J149" i="1"/>
  <c r="K80" i="1"/>
  <c r="J157" i="1"/>
  <c r="K77" i="1"/>
  <c r="J218" i="6" l="1"/>
  <c r="H8" i="16"/>
  <c r="L218" i="6"/>
  <c r="J8" i="16"/>
  <c r="K218" i="6"/>
  <c r="I8" i="16"/>
  <c r="Q68" i="6"/>
  <c r="Q60" i="8"/>
  <c r="K241" i="6"/>
  <c r="K243" i="6" s="1"/>
  <c r="Q62" i="8"/>
  <c r="Q144" i="8" s="1"/>
  <c r="Q63" i="8"/>
  <c r="Q61" i="8"/>
  <c r="P157" i="6"/>
  <c r="P170" i="6" s="1"/>
  <c r="P183" i="6" s="1"/>
  <c r="P197" i="6" s="1"/>
  <c r="Q67" i="6"/>
  <c r="Q63" i="6"/>
  <c r="Q145" i="6" s="1"/>
  <c r="P156" i="6"/>
  <c r="P169" i="6" s="1"/>
  <c r="P182" i="6" s="1"/>
  <c r="P196" i="6" s="1"/>
  <c r="Q61" i="6"/>
  <c r="Q116" i="6" s="1"/>
  <c r="W129" i="6" s="1"/>
  <c r="P154" i="6"/>
  <c r="P167" i="6" s="1"/>
  <c r="P180" i="6" s="1"/>
  <c r="P194" i="6" s="1"/>
  <c r="J241" i="6"/>
  <c r="J243" i="6" s="1"/>
  <c r="M214" i="6"/>
  <c r="K8" i="16" s="1"/>
  <c r="W239" i="9"/>
  <c r="W241" i="9" s="1"/>
  <c r="C242" i="9" s="1"/>
  <c r="W216" i="9"/>
  <c r="C217" i="9" s="1"/>
  <c r="C218" i="9"/>
  <c r="C219" i="9" s="1"/>
  <c r="M239" i="8"/>
  <c r="M241" i="8" s="1"/>
  <c r="Q64" i="6"/>
  <c r="Q57" i="6"/>
  <c r="Q75" i="6" s="1"/>
  <c r="Q62" i="6"/>
  <c r="Q144" i="6" s="1"/>
  <c r="Q157" i="6" s="1"/>
  <c r="Q170" i="6" s="1"/>
  <c r="Q58" i="8"/>
  <c r="Q76" i="8" s="1"/>
  <c r="Q59" i="8"/>
  <c r="Q77" i="8" s="1"/>
  <c r="Q56" i="8"/>
  <c r="Q138" i="8" s="1"/>
  <c r="Q57" i="8"/>
  <c r="Q112" i="8" s="1"/>
  <c r="Q60" i="6"/>
  <c r="Q78" i="6" s="1"/>
  <c r="Q53" i="6"/>
  <c r="Q71" i="6" s="1"/>
  <c r="Q58" i="6"/>
  <c r="Q140" i="6" s="1"/>
  <c r="Q54" i="8"/>
  <c r="Q136" i="8" s="1"/>
  <c r="Q55" i="8"/>
  <c r="Q73" i="8" s="1"/>
  <c r="Q52" i="8"/>
  <c r="Q70" i="8" s="1"/>
  <c r="Q53" i="8"/>
  <c r="Q135" i="8" s="1"/>
  <c r="P152" i="6"/>
  <c r="P165" i="6" s="1"/>
  <c r="P178" i="6" s="1"/>
  <c r="P192" i="6" s="1"/>
  <c r="Q56" i="6"/>
  <c r="Q74" i="6" s="1"/>
  <c r="Q55" i="6"/>
  <c r="Q73" i="6" s="1"/>
  <c r="Q54" i="6"/>
  <c r="Q72" i="6" s="1"/>
  <c r="Q66" i="8"/>
  <c r="Q67" i="8"/>
  <c r="Q64" i="8"/>
  <c r="Q59" i="6"/>
  <c r="Q141" i="6" s="1"/>
  <c r="Q65" i="6"/>
  <c r="O182" i="8"/>
  <c r="O196" i="8" s="1"/>
  <c r="P116" i="8"/>
  <c r="V129" i="8" s="1"/>
  <c r="P143" i="8"/>
  <c r="P79" i="8"/>
  <c r="Q79" i="8"/>
  <c r="P144" i="8"/>
  <c r="P117" i="8"/>
  <c r="U130" i="8" s="1"/>
  <c r="P80" i="8"/>
  <c r="P115" i="8"/>
  <c r="V128" i="8" s="1"/>
  <c r="P142" i="8"/>
  <c r="P78" i="8"/>
  <c r="Q78" i="8"/>
  <c r="P155" i="6"/>
  <c r="P168" i="6" s="1"/>
  <c r="P181" i="6" s="1"/>
  <c r="P195" i="6" s="1"/>
  <c r="O181" i="8"/>
  <c r="O195" i="8" s="1"/>
  <c r="P112" i="8"/>
  <c r="P139" i="8"/>
  <c r="P75" i="8"/>
  <c r="P140" i="8"/>
  <c r="P113" i="8"/>
  <c r="W126" i="8" s="1"/>
  <c r="P76" i="8"/>
  <c r="P141" i="8"/>
  <c r="P114" i="8"/>
  <c r="W127" i="8" s="1"/>
  <c r="P77" i="8"/>
  <c r="P111" i="8"/>
  <c r="P138" i="8"/>
  <c r="P74" i="8"/>
  <c r="T39" i="8"/>
  <c r="S40" i="8"/>
  <c r="S41" i="8" s="1"/>
  <c r="Q115" i="8"/>
  <c r="W128" i="8" s="1"/>
  <c r="Q142" i="8"/>
  <c r="Q143" i="8"/>
  <c r="Q116" i="8"/>
  <c r="W129" i="8" s="1"/>
  <c r="P108" i="8"/>
  <c r="P135" i="8"/>
  <c r="P71" i="8"/>
  <c r="P136" i="8"/>
  <c r="P109" i="8"/>
  <c r="P72" i="8"/>
  <c r="P137" i="8"/>
  <c r="P110" i="8"/>
  <c r="P73" i="8"/>
  <c r="P107" i="8"/>
  <c r="P134" i="8"/>
  <c r="P70" i="8"/>
  <c r="R41" i="8"/>
  <c r="O183" i="8"/>
  <c r="O197" i="8" s="1"/>
  <c r="O177" i="8"/>
  <c r="O191" i="8" s="1"/>
  <c r="N184" i="8"/>
  <c r="N187" i="8"/>
  <c r="N198" i="8" s="1"/>
  <c r="N213" i="8" s="1"/>
  <c r="O87" i="6"/>
  <c r="O184" i="6"/>
  <c r="O198" i="6" s="1"/>
  <c r="R68" i="6"/>
  <c r="R67" i="6"/>
  <c r="R63" i="6"/>
  <c r="R59" i="6"/>
  <c r="R55" i="6"/>
  <c r="R66" i="6"/>
  <c r="R62" i="6"/>
  <c r="R58" i="6"/>
  <c r="R54" i="6"/>
  <c r="R64" i="6"/>
  <c r="R60" i="6"/>
  <c r="R56" i="6"/>
  <c r="R65" i="6"/>
  <c r="R61" i="6"/>
  <c r="R57" i="6"/>
  <c r="R53" i="6"/>
  <c r="N181" i="6"/>
  <c r="N195" i="6" s="1"/>
  <c r="O181" i="6"/>
  <c r="O195" i="6" s="1"/>
  <c r="O180" i="6"/>
  <c r="O194" i="6" s="1"/>
  <c r="N180" i="6"/>
  <c r="N194" i="6" s="1"/>
  <c r="N179" i="6"/>
  <c r="N193" i="6" s="1"/>
  <c r="O179" i="6"/>
  <c r="O193" i="6" s="1"/>
  <c r="Q138" i="6"/>
  <c r="Q151" i="6" s="1"/>
  <c r="Q164" i="6" s="1"/>
  <c r="Q111" i="6"/>
  <c r="Q79" i="6"/>
  <c r="R50" i="6"/>
  <c r="P150" i="6"/>
  <c r="P163" i="6" s="1"/>
  <c r="P176" i="6" s="1"/>
  <c r="P190" i="6" s="1"/>
  <c r="P151" i="6"/>
  <c r="P164" i="6" s="1"/>
  <c r="P177" i="6" s="1"/>
  <c r="P191" i="6" s="1"/>
  <c r="P87" i="6"/>
  <c r="S41" i="6"/>
  <c r="S42" i="6" s="1"/>
  <c r="N174" i="6"/>
  <c r="O174" i="6"/>
  <c r="N182" i="6"/>
  <c r="N196" i="6" s="1"/>
  <c r="O182" i="6"/>
  <c r="O196" i="6" s="1"/>
  <c r="T40" i="6"/>
  <c r="P149" i="6"/>
  <c r="P162" i="6" s="1"/>
  <c r="P175" i="6" s="1"/>
  <c r="P189" i="6" s="1"/>
  <c r="N175" i="6"/>
  <c r="N189" i="6" s="1"/>
  <c r="O175" i="6"/>
  <c r="O189" i="6" s="1"/>
  <c r="N176" i="6"/>
  <c r="N190" i="6" s="1"/>
  <c r="O176" i="6"/>
  <c r="O190" i="6" s="1"/>
  <c r="N183" i="6"/>
  <c r="N197" i="6" s="1"/>
  <c r="O183" i="6"/>
  <c r="O197" i="6" s="1"/>
  <c r="O178" i="6"/>
  <c r="O192" i="6" s="1"/>
  <c r="N178" i="6"/>
  <c r="N192" i="6" s="1"/>
  <c r="P158" i="6"/>
  <c r="P171" i="6" s="1"/>
  <c r="P184" i="6" s="1"/>
  <c r="P198" i="6" s="1"/>
  <c r="N184" i="6"/>
  <c r="N198" i="6" s="1"/>
  <c r="Q142" i="6"/>
  <c r="O177" i="6"/>
  <c r="O191" i="6" s="1"/>
  <c r="N177" i="6"/>
  <c r="N191" i="6" s="1"/>
  <c r="L241" i="6"/>
  <c r="L243" i="6" s="1"/>
  <c r="P148" i="6"/>
  <c r="P161" i="6" s="1"/>
  <c r="P174" i="6" s="1"/>
  <c r="P153" i="6"/>
  <c r="P166" i="6" s="1"/>
  <c r="I239" i="1"/>
  <c r="I241" i="1" s="1"/>
  <c r="K86" i="1"/>
  <c r="J170" i="1"/>
  <c r="M53" i="1"/>
  <c r="M71" i="1" s="1"/>
  <c r="M55" i="1"/>
  <c r="M59" i="1"/>
  <c r="M52" i="1"/>
  <c r="M70" i="1" s="1"/>
  <c r="M58" i="1"/>
  <c r="M62" i="1"/>
  <c r="M65" i="1"/>
  <c r="M64" i="1"/>
  <c r="M54" i="1"/>
  <c r="M57" i="1"/>
  <c r="M75" i="1" s="1"/>
  <c r="M61" i="1"/>
  <c r="M56" i="1"/>
  <c r="M60" i="1"/>
  <c r="M66" i="1"/>
  <c r="M67" i="1"/>
  <c r="M63" i="1"/>
  <c r="AC91" i="2"/>
  <c r="AD89" i="2"/>
  <c r="AC94" i="2"/>
  <c r="J165" i="1"/>
  <c r="J168" i="1"/>
  <c r="K181" i="1" s="1"/>
  <c r="K195" i="1" s="1"/>
  <c r="J164" i="1"/>
  <c r="J167" i="1"/>
  <c r="K150" i="1"/>
  <c r="K163" i="1" s="1"/>
  <c r="R39" i="1"/>
  <c r="L139" i="1"/>
  <c r="L112" i="1"/>
  <c r="T125" i="1" s="1"/>
  <c r="L75" i="1"/>
  <c r="L135" i="1"/>
  <c r="L108" i="1"/>
  <c r="V121" i="1" s="1"/>
  <c r="L71" i="1"/>
  <c r="L140" i="1"/>
  <c r="L153" i="1" s="1"/>
  <c r="L113" i="1"/>
  <c r="S126" i="1" s="1"/>
  <c r="L76" i="1"/>
  <c r="L141" i="1"/>
  <c r="L154" i="1" s="1"/>
  <c r="L167" i="1" s="1"/>
  <c r="L114" i="1"/>
  <c r="S127" i="1" s="1"/>
  <c r="L77" i="1"/>
  <c r="L136" i="1"/>
  <c r="L109" i="1"/>
  <c r="U122" i="1" s="1"/>
  <c r="L72" i="1"/>
  <c r="L142" i="1"/>
  <c r="L115" i="1"/>
  <c r="R128" i="1" s="1"/>
  <c r="L78" i="1"/>
  <c r="J169" i="1"/>
  <c r="N41" i="1"/>
  <c r="O40" i="1"/>
  <c r="J162" i="1"/>
  <c r="N49" i="1"/>
  <c r="AC90" i="2"/>
  <c r="AC101" i="2" s="1"/>
  <c r="J161" i="1"/>
  <c r="J160" i="1"/>
  <c r="K154" i="1"/>
  <c r="K167" i="1" s="1"/>
  <c r="J163" i="1"/>
  <c r="J166" i="1"/>
  <c r="L143" i="1"/>
  <c r="L116" i="1"/>
  <c r="R129" i="1" s="1"/>
  <c r="L79" i="1"/>
  <c r="L137" i="1"/>
  <c r="L110" i="1"/>
  <c r="U123" i="1" s="1"/>
  <c r="L73" i="1"/>
  <c r="L144" i="1"/>
  <c r="L117" i="1"/>
  <c r="Q130" i="1" s="1"/>
  <c r="L80" i="1"/>
  <c r="L138" i="1"/>
  <c r="L111" i="1"/>
  <c r="T124" i="1" s="1"/>
  <c r="L74" i="1"/>
  <c r="L134" i="1"/>
  <c r="L107" i="1"/>
  <c r="V120" i="1" s="1"/>
  <c r="L70" i="1"/>
  <c r="K156" i="1"/>
  <c r="K169" i="1" s="1"/>
  <c r="L156" i="1"/>
  <c r="L169" i="1" s="1"/>
  <c r="K11" i="16" l="1"/>
  <c r="K14" i="16" s="1"/>
  <c r="J11" i="16"/>
  <c r="J14" i="16" s="1"/>
  <c r="I11" i="16"/>
  <c r="I14" i="16" s="1"/>
  <c r="H11" i="16"/>
  <c r="Q74" i="8"/>
  <c r="Q80" i="8"/>
  <c r="Q117" i="8"/>
  <c r="V130" i="8" s="1"/>
  <c r="Q81" i="6"/>
  <c r="Q80" i="6"/>
  <c r="Q118" i="6"/>
  <c r="V131" i="6" s="1"/>
  <c r="Q117" i="6"/>
  <c r="W130" i="6" s="1"/>
  <c r="Q143" i="6"/>
  <c r="Q156" i="6" s="1"/>
  <c r="Q169" i="6" s="1"/>
  <c r="R79" i="6"/>
  <c r="Q183" i="6"/>
  <c r="Q197" i="6" s="1"/>
  <c r="Q115" i="6"/>
  <c r="Q77" i="6"/>
  <c r="Q108" i="6"/>
  <c r="Q76" i="6"/>
  <c r="M241" i="6"/>
  <c r="M243" i="6" s="1"/>
  <c r="M218" i="6"/>
  <c r="Q112" i="6"/>
  <c r="Q111" i="8"/>
  <c r="Q108" i="8"/>
  <c r="Q114" i="6"/>
  <c r="Q109" i="6"/>
  <c r="Q139" i="6"/>
  <c r="Q152" i="6" s="1"/>
  <c r="Q165" i="6" s="1"/>
  <c r="Q178" i="6" s="1"/>
  <c r="Q192" i="6" s="1"/>
  <c r="Q71" i="8"/>
  <c r="Q137" i="6"/>
  <c r="Q150" i="6" s="1"/>
  <c r="Q163" i="6" s="1"/>
  <c r="Q176" i="6" s="1"/>
  <c r="Q190" i="6" s="1"/>
  <c r="Q136" i="6"/>
  <c r="Q149" i="6" s="1"/>
  <c r="Q162" i="6" s="1"/>
  <c r="Q175" i="6" s="1"/>
  <c r="Q189" i="6" s="1"/>
  <c r="Q113" i="6"/>
  <c r="D221" i="9"/>
  <c r="C223" i="9"/>
  <c r="Q75" i="8"/>
  <c r="Q72" i="8"/>
  <c r="Q139" i="8"/>
  <c r="Q141" i="8"/>
  <c r="Q154" i="8" s="1"/>
  <c r="Q167" i="8" s="1"/>
  <c r="Q140" i="8"/>
  <c r="Q153" i="8" s="1"/>
  <c r="Q166" i="8" s="1"/>
  <c r="Q137" i="8"/>
  <c r="Q150" i="8" s="1"/>
  <c r="Q163" i="8" s="1"/>
  <c r="Q113" i="8"/>
  <c r="Q110" i="8"/>
  <c r="Q109" i="8"/>
  <c r="Q135" i="6"/>
  <c r="Q148" i="6" s="1"/>
  <c r="Q161" i="6" s="1"/>
  <c r="Q174" i="6" s="1"/>
  <c r="Q188" i="6" s="1"/>
  <c r="Q110" i="6"/>
  <c r="Q114" i="8"/>
  <c r="Q107" i="8"/>
  <c r="Q134" i="8"/>
  <c r="Q147" i="8" s="1"/>
  <c r="Q160" i="8" s="1"/>
  <c r="O198" i="8"/>
  <c r="O213" i="8" s="1"/>
  <c r="O239" i="8" s="1"/>
  <c r="O241" i="8" s="1"/>
  <c r="S49" i="8"/>
  <c r="N239" i="8"/>
  <c r="N241" i="8" s="1"/>
  <c r="N216" i="8"/>
  <c r="R66" i="8"/>
  <c r="R62" i="8"/>
  <c r="R58" i="8"/>
  <c r="R54" i="8"/>
  <c r="R65" i="8"/>
  <c r="R61" i="8"/>
  <c r="R57" i="8"/>
  <c r="R53" i="8"/>
  <c r="R64" i="8"/>
  <c r="R60" i="8"/>
  <c r="R56" i="8"/>
  <c r="R52" i="8"/>
  <c r="R67" i="8"/>
  <c r="R63" i="8"/>
  <c r="R59" i="8"/>
  <c r="R55" i="8"/>
  <c r="S67" i="8"/>
  <c r="S63" i="8"/>
  <c r="S59" i="8"/>
  <c r="S55" i="8"/>
  <c r="S66" i="8"/>
  <c r="S62" i="8"/>
  <c r="S58" i="8"/>
  <c r="S54" i="8"/>
  <c r="S65" i="8"/>
  <c r="S61" i="8"/>
  <c r="S57" i="8"/>
  <c r="S53" i="8"/>
  <c r="S64" i="8"/>
  <c r="S60" i="8"/>
  <c r="S56" i="8"/>
  <c r="S52" i="8"/>
  <c r="Q152" i="8"/>
  <c r="Q165" i="8" s="1"/>
  <c r="P152" i="8"/>
  <c r="P165" i="8" s="1"/>
  <c r="Q148" i="8"/>
  <c r="Q161" i="8" s="1"/>
  <c r="P148" i="8"/>
  <c r="P161" i="8" s="1"/>
  <c r="Q151" i="8"/>
  <c r="Q164" i="8" s="1"/>
  <c r="P151" i="8"/>
  <c r="P164" i="8" s="1"/>
  <c r="P177" i="8" s="1"/>
  <c r="P191" i="8" s="1"/>
  <c r="P154" i="8"/>
  <c r="P167" i="8" s="1"/>
  <c r="P180" i="8" s="1"/>
  <c r="P194" i="8" s="1"/>
  <c r="O184" i="8"/>
  <c r="P147" i="8"/>
  <c r="P160" i="8" s="1"/>
  <c r="P150" i="8"/>
  <c r="P163" i="8" s="1"/>
  <c r="P176" i="8" s="1"/>
  <c r="P190" i="8" s="1"/>
  <c r="P153" i="8"/>
  <c r="P166" i="8" s="1"/>
  <c r="Q155" i="8"/>
  <c r="Q168" i="8" s="1"/>
  <c r="P155" i="8"/>
  <c r="P168" i="8" s="1"/>
  <c r="P181" i="8" s="1"/>
  <c r="P195" i="8" s="1"/>
  <c r="P86" i="8"/>
  <c r="P149" i="8"/>
  <c r="P162" i="8" s="1"/>
  <c r="Q149" i="8"/>
  <c r="Q162" i="8" s="1"/>
  <c r="T40" i="8"/>
  <c r="T49" i="8" s="1"/>
  <c r="U39" i="8"/>
  <c r="Q157" i="8"/>
  <c r="Q170" i="8" s="1"/>
  <c r="P157" i="8"/>
  <c r="P170" i="8" s="1"/>
  <c r="P183" i="8" s="1"/>
  <c r="P197" i="8" s="1"/>
  <c r="P156" i="8"/>
  <c r="P169" i="8" s="1"/>
  <c r="Q156" i="8"/>
  <c r="Q169" i="8" s="1"/>
  <c r="Q177" i="6"/>
  <c r="Q191" i="6" s="1"/>
  <c r="P188" i="6"/>
  <c r="Q154" i="6"/>
  <c r="Q167" i="6" s="1"/>
  <c r="Q180" i="6" s="1"/>
  <c r="R143" i="6"/>
  <c r="R156" i="6" s="1"/>
  <c r="R169" i="6" s="1"/>
  <c r="R116" i="6"/>
  <c r="U40" i="6"/>
  <c r="O185" i="6"/>
  <c r="O188" i="6"/>
  <c r="O199" i="6" s="1"/>
  <c r="R139" i="6"/>
  <c r="R112" i="6"/>
  <c r="R75" i="6"/>
  <c r="R142" i="6"/>
  <c r="R155" i="6" s="1"/>
  <c r="R168" i="6" s="1"/>
  <c r="R115" i="6"/>
  <c r="R78" i="6"/>
  <c r="R144" i="6"/>
  <c r="R117" i="6"/>
  <c r="R80" i="6"/>
  <c r="R145" i="6"/>
  <c r="R158" i="6" s="1"/>
  <c r="R171" i="6" s="1"/>
  <c r="R118" i="6"/>
  <c r="W131" i="6" s="1"/>
  <c r="R81" i="6"/>
  <c r="Q153" i="6"/>
  <c r="Q166" i="6" s="1"/>
  <c r="Q179" i="6" s="1"/>
  <c r="Q193" i="6" s="1"/>
  <c r="P179" i="6"/>
  <c r="P193" i="6" s="1"/>
  <c r="S65" i="6"/>
  <c r="S68" i="6"/>
  <c r="S64" i="6"/>
  <c r="S60" i="6"/>
  <c r="S56" i="6"/>
  <c r="S67" i="6"/>
  <c r="S63" i="6"/>
  <c r="S59" i="6"/>
  <c r="S55" i="6"/>
  <c r="S61" i="6"/>
  <c r="S53" i="6"/>
  <c r="S66" i="6"/>
  <c r="S62" i="6"/>
  <c r="S58" i="6"/>
  <c r="S54" i="6"/>
  <c r="S57" i="6"/>
  <c r="T41" i="6"/>
  <c r="R135" i="6"/>
  <c r="R108" i="6"/>
  <c r="R71" i="6"/>
  <c r="R138" i="6"/>
  <c r="R111" i="6"/>
  <c r="R74" i="6"/>
  <c r="R140" i="6"/>
  <c r="R113" i="6"/>
  <c r="R76" i="6"/>
  <c r="R141" i="6"/>
  <c r="R114" i="6"/>
  <c r="R77" i="6"/>
  <c r="Q158" i="6"/>
  <c r="Q171" i="6" s="1"/>
  <c r="Q184" i="6" s="1"/>
  <c r="Q155" i="6"/>
  <c r="Q168" i="6" s="1"/>
  <c r="Q181" i="6" s="1"/>
  <c r="Q195" i="6" s="1"/>
  <c r="N185" i="6"/>
  <c r="N188" i="6"/>
  <c r="N199" i="6" s="1"/>
  <c r="N214" i="6" s="1"/>
  <c r="R136" i="6"/>
  <c r="R109" i="6"/>
  <c r="R72" i="6"/>
  <c r="R137" i="6"/>
  <c r="R110" i="6"/>
  <c r="R73" i="6"/>
  <c r="S50" i="6"/>
  <c r="L166" i="1"/>
  <c r="L179" i="1" s="1"/>
  <c r="L193" i="1" s="1"/>
  <c r="L157" i="1"/>
  <c r="J176" i="1"/>
  <c r="J190" i="1" s="1"/>
  <c r="K176" i="1"/>
  <c r="K190" i="1" s="1"/>
  <c r="L150" i="1"/>
  <c r="J173" i="1"/>
  <c r="K173" i="1"/>
  <c r="K174" i="1"/>
  <c r="K188" i="1" s="1"/>
  <c r="J174" i="1"/>
  <c r="J188" i="1" s="1"/>
  <c r="K175" i="1"/>
  <c r="K189" i="1" s="1"/>
  <c r="J175" i="1"/>
  <c r="J189" i="1" s="1"/>
  <c r="P40" i="1"/>
  <c r="P49" i="1" s="1"/>
  <c r="O41" i="1"/>
  <c r="L149" i="1"/>
  <c r="L148" i="1"/>
  <c r="L152" i="1"/>
  <c r="S39" i="1"/>
  <c r="J180" i="1"/>
  <c r="J194" i="1" s="1"/>
  <c r="K180" i="1"/>
  <c r="K194" i="1" s="1"/>
  <c r="L180" i="1"/>
  <c r="L194" i="1" s="1"/>
  <c r="K178" i="1"/>
  <c r="K192" i="1" s="1"/>
  <c r="J178" i="1"/>
  <c r="J192" i="1" s="1"/>
  <c r="AD91" i="2"/>
  <c r="AE89" i="2"/>
  <c r="AE94" i="2" s="1"/>
  <c r="M74" i="1"/>
  <c r="M138" i="1"/>
  <c r="M151" i="1" s="1"/>
  <c r="M164" i="1" s="1"/>
  <c r="M111" i="1"/>
  <c r="U124" i="1" s="1"/>
  <c r="M139" i="1"/>
  <c r="M112" i="1"/>
  <c r="U125" i="1" s="1"/>
  <c r="M117" i="1"/>
  <c r="R130" i="1" s="1"/>
  <c r="M144" i="1"/>
  <c r="M80" i="1"/>
  <c r="M107" i="1"/>
  <c r="W120" i="1" s="1"/>
  <c r="M134" i="1"/>
  <c r="M147" i="1" s="1"/>
  <c r="M160" i="1" s="1"/>
  <c r="M110" i="1"/>
  <c r="V123" i="1" s="1"/>
  <c r="M137" i="1"/>
  <c r="M150" i="1" s="1"/>
  <c r="M163" i="1" s="1"/>
  <c r="M73" i="1"/>
  <c r="AC99" i="2"/>
  <c r="K183" i="1"/>
  <c r="K197" i="1" s="1"/>
  <c r="J183" i="1"/>
  <c r="J197" i="1" s="1"/>
  <c r="L86" i="1"/>
  <c r="L147" i="1"/>
  <c r="L151" i="1"/>
  <c r="J179" i="1"/>
  <c r="J193" i="1" s="1"/>
  <c r="K179" i="1"/>
  <c r="K193" i="1" s="1"/>
  <c r="O49" i="1"/>
  <c r="N53" i="1"/>
  <c r="N57" i="1"/>
  <c r="N61" i="1"/>
  <c r="N54" i="1"/>
  <c r="N58" i="1"/>
  <c r="N62" i="1"/>
  <c r="N66" i="1"/>
  <c r="N65" i="1"/>
  <c r="N55" i="1"/>
  <c r="N59" i="1"/>
  <c r="N52" i="1"/>
  <c r="N56" i="1"/>
  <c r="N60" i="1"/>
  <c r="N67" i="1"/>
  <c r="N63" i="1"/>
  <c r="N64" i="1"/>
  <c r="L182" i="1"/>
  <c r="L196" i="1" s="1"/>
  <c r="K182" i="1"/>
  <c r="K196" i="1" s="1"/>
  <c r="J182" i="1"/>
  <c r="J196" i="1" s="1"/>
  <c r="L155" i="1"/>
  <c r="J177" i="1"/>
  <c r="J191" i="1" s="1"/>
  <c r="K177" i="1"/>
  <c r="K191" i="1" s="1"/>
  <c r="J181" i="1"/>
  <c r="J195" i="1" s="1"/>
  <c r="AD90" i="2"/>
  <c r="AD101" i="2" s="1"/>
  <c r="AD94" i="2"/>
  <c r="M78" i="1"/>
  <c r="M142" i="1"/>
  <c r="M115" i="1"/>
  <c r="S128" i="1" s="1"/>
  <c r="M143" i="1"/>
  <c r="M116" i="1"/>
  <c r="S129" i="1" s="1"/>
  <c r="M79" i="1"/>
  <c r="M136" i="1"/>
  <c r="M109" i="1"/>
  <c r="V122" i="1" s="1"/>
  <c r="M72" i="1"/>
  <c r="M113" i="1"/>
  <c r="T126" i="1" s="1"/>
  <c r="M140" i="1"/>
  <c r="M76" i="1"/>
  <c r="M114" i="1"/>
  <c r="T127" i="1" s="1"/>
  <c r="M141" i="1"/>
  <c r="M154" i="1" s="1"/>
  <c r="M77" i="1"/>
  <c r="M108" i="1"/>
  <c r="W121" i="1" s="1"/>
  <c r="M135" i="1"/>
  <c r="M148" i="1" s="1"/>
  <c r="M161" i="1" s="1"/>
  <c r="H14" i="16" l="1"/>
  <c r="N218" i="6"/>
  <c r="L8" i="16"/>
  <c r="Q198" i="6"/>
  <c r="Q194" i="6"/>
  <c r="Q87" i="6"/>
  <c r="Q86" i="8"/>
  <c r="O214" i="6"/>
  <c r="O216" i="8"/>
  <c r="Q181" i="8"/>
  <c r="Q195" i="8" s="1"/>
  <c r="Q180" i="8"/>
  <c r="Q194" i="8" s="1"/>
  <c r="Q176" i="8"/>
  <c r="Q190" i="8" s="1"/>
  <c r="P182" i="8"/>
  <c r="P196" i="8" s="1"/>
  <c r="Q182" i="8"/>
  <c r="Q196" i="8" s="1"/>
  <c r="P175" i="8"/>
  <c r="P189" i="8" s="1"/>
  <c r="Q175" i="8"/>
  <c r="Q189" i="8" s="1"/>
  <c r="U40" i="8"/>
  <c r="U49" i="8" s="1"/>
  <c r="S115" i="8"/>
  <c r="S142" i="8"/>
  <c r="S78" i="8"/>
  <c r="S116" i="8"/>
  <c r="S143" i="8"/>
  <c r="S117" i="8"/>
  <c r="S144" i="8"/>
  <c r="S80" i="8"/>
  <c r="R142" i="8"/>
  <c r="R115" i="8"/>
  <c r="R78" i="8"/>
  <c r="R143" i="8"/>
  <c r="R116" i="8"/>
  <c r="S79" i="8"/>
  <c r="R79" i="8"/>
  <c r="R144" i="8"/>
  <c r="R117" i="8"/>
  <c r="W130" i="8" s="1"/>
  <c r="R80" i="8"/>
  <c r="V39" i="8"/>
  <c r="P174" i="8"/>
  <c r="P188" i="8" s="1"/>
  <c r="Q174" i="8"/>
  <c r="Q188" i="8" s="1"/>
  <c r="S111" i="8"/>
  <c r="S138" i="8"/>
  <c r="S74" i="8"/>
  <c r="S112" i="8"/>
  <c r="S139" i="8"/>
  <c r="S75" i="8"/>
  <c r="S113" i="8"/>
  <c r="S140" i="8"/>
  <c r="S76" i="8"/>
  <c r="S141" i="8"/>
  <c r="S114" i="8"/>
  <c r="S77" i="8"/>
  <c r="R141" i="8"/>
  <c r="R114" i="8"/>
  <c r="R77" i="8"/>
  <c r="R138" i="8"/>
  <c r="R111" i="8"/>
  <c r="R74" i="8"/>
  <c r="R139" i="8"/>
  <c r="R112" i="8"/>
  <c r="R75" i="8"/>
  <c r="R140" i="8"/>
  <c r="R113" i="8"/>
  <c r="R76" i="8"/>
  <c r="P179" i="8"/>
  <c r="P193" i="8" s="1"/>
  <c r="Q179" i="8"/>
  <c r="Q193" i="8" s="1"/>
  <c r="Q173" i="8"/>
  <c r="P173" i="8"/>
  <c r="Q178" i="8"/>
  <c r="Q192" i="8" s="1"/>
  <c r="P178" i="8"/>
  <c r="P192" i="8" s="1"/>
  <c r="S107" i="8"/>
  <c r="S134" i="8"/>
  <c r="S70" i="8"/>
  <c r="S108" i="8"/>
  <c r="S135" i="8"/>
  <c r="S71" i="8"/>
  <c r="S109" i="8"/>
  <c r="S136" i="8"/>
  <c r="S72" i="8"/>
  <c r="S137" i="8"/>
  <c r="S110" i="8"/>
  <c r="S73" i="8"/>
  <c r="R137" i="8"/>
  <c r="R110" i="8"/>
  <c r="R73" i="8"/>
  <c r="R134" i="8"/>
  <c r="R107" i="8"/>
  <c r="R70" i="8"/>
  <c r="R135" i="8"/>
  <c r="R108" i="8"/>
  <c r="R71" i="8"/>
  <c r="R136" i="8"/>
  <c r="R109" i="8"/>
  <c r="R72" i="8"/>
  <c r="Q183" i="8"/>
  <c r="Q197" i="8" s="1"/>
  <c r="T41" i="8"/>
  <c r="Q177" i="8"/>
  <c r="Q191" i="8" s="1"/>
  <c r="R184" i="6"/>
  <c r="R198" i="6" s="1"/>
  <c r="U41" i="6"/>
  <c r="U50" i="6" s="1"/>
  <c r="S113" i="6"/>
  <c r="S140" i="6"/>
  <c r="S153" i="6" s="1"/>
  <c r="S166" i="6" s="1"/>
  <c r="S76" i="6"/>
  <c r="S116" i="6"/>
  <c r="S143" i="6"/>
  <c r="S79" i="6"/>
  <c r="R157" i="6"/>
  <c r="R170" i="6" s="1"/>
  <c r="V40" i="6"/>
  <c r="R154" i="6"/>
  <c r="R167" i="6" s="1"/>
  <c r="R180" i="6" s="1"/>
  <c r="R194" i="6" s="1"/>
  <c r="P185" i="6"/>
  <c r="R150" i="6"/>
  <c r="R163" i="6" s="1"/>
  <c r="R176" i="6" s="1"/>
  <c r="R190" i="6" s="1"/>
  <c r="N241" i="6"/>
  <c r="N243" i="6" s="1"/>
  <c r="R148" i="6"/>
  <c r="R161" i="6" s="1"/>
  <c r="R174" i="6" s="1"/>
  <c r="R188" i="6" s="1"/>
  <c r="S109" i="6"/>
  <c r="S136" i="6"/>
  <c r="S149" i="6" s="1"/>
  <c r="S162" i="6" s="1"/>
  <c r="S72" i="6"/>
  <c r="S108" i="6"/>
  <c r="S135" i="6"/>
  <c r="S148" i="6" s="1"/>
  <c r="S161" i="6" s="1"/>
  <c r="S71" i="6"/>
  <c r="S118" i="6"/>
  <c r="S145" i="6"/>
  <c r="S158" i="6" s="1"/>
  <c r="S171" i="6" s="1"/>
  <c r="S184" i="6" s="1"/>
  <c r="S81" i="6"/>
  <c r="P199" i="6"/>
  <c r="R151" i="6"/>
  <c r="R164" i="6" s="1"/>
  <c r="R177" i="6" s="1"/>
  <c r="R191" i="6" s="1"/>
  <c r="S112" i="6"/>
  <c r="S139" i="6"/>
  <c r="S75" i="6"/>
  <c r="S114" i="6"/>
  <c r="S141" i="6"/>
  <c r="S154" i="6" s="1"/>
  <c r="S167" i="6" s="1"/>
  <c r="S77" i="6"/>
  <c r="S142" i="6"/>
  <c r="S115" i="6"/>
  <c r="S78" i="6"/>
  <c r="S152" i="6"/>
  <c r="S165" i="6" s="1"/>
  <c r="R181" i="6"/>
  <c r="R195" i="6" s="1"/>
  <c r="R149" i="6"/>
  <c r="R162" i="6" s="1"/>
  <c r="R175" i="6" s="1"/>
  <c r="R189" i="6" s="1"/>
  <c r="R153" i="6"/>
  <c r="R166" i="6" s="1"/>
  <c r="R179" i="6" s="1"/>
  <c r="R193" i="6" s="1"/>
  <c r="R87" i="6"/>
  <c r="S117" i="6"/>
  <c r="S144" i="6"/>
  <c r="S80" i="6"/>
  <c r="S110" i="6"/>
  <c r="S137" i="6"/>
  <c r="S73" i="6"/>
  <c r="S138" i="6"/>
  <c r="S111" i="6"/>
  <c r="S74" i="6"/>
  <c r="R182" i="6"/>
  <c r="R196" i="6" s="1"/>
  <c r="Q182" i="6"/>
  <c r="Q196" i="6" s="1"/>
  <c r="T50" i="6"/>
  <c r="T42" i="6"/>
  <c r="R152" i="6"/>
  <c r="R165" i="6" s="1"/>
  <c r="R178" i="6" s="1"/>
  <c r="R192" i="6" s="1"/>
  <c r="M86" i="1"/>
  <c r="M167" i="1"/>
  <c r="M149" i="1"/>
  <c r="M162" i="1" s="1"/>
  <c r="M156" i="1"/>
  <c r="N111" i="1"/>
  <c r="V124" i="1" s="1"/>
  <c r="N138" i="1"/>
  <c r="N74" i="1"/>
  <c r="N114" i="1"/>
  <c r="U127" i="1" s="1"/>
  <c r="N141" i="1"/>
  <c r="N154" i="1" s="1"/>
  <c r="N167" i="1" s="1"/>
  <c r="N77" i="1"/>
  <c r="N144" i="1"/>
  <c r="N157" i="1" s="1"/>
  <c r="N170" i="1" s="1"/>
  <c r="N117" i="1"/>
  <c r="S130" i="1" s="1"/>
  <c r="N80" i="1"/>
  <c r="N136" i="1"/>
  <c r="N109" i="1"/>
  <c r="W122" i="1" s="1"/>
  <c r="N72" i="1"/>
  <c r="N139" i="1"/>
  <c r="N152" i="1" s="1"/>
  <c r="N165" i="1" s="1"/>
  <c r="N112" i="1"/>
  <c r="V125" i="1" s="1"/>
  <c r="N75" i="1"/>
  <c r="L164" i="1"/>
  <c r="AD99" i="2"/>
  <c r="AE90" i="2"/>
  <c r="AE101" i="2" s="1"/>
  <c r="T39" i="1"/>
  <c r="L165" i="1"/>
  <c r="M152" i="1"/>
  <c r="M165" i="1" s="1"/>
  <c r="N149" i="1"/>
  <c r="N162" i="1" s="1"/>
  <c r="K184" i="1"/>
  <c r="K187" i="1"/>
  <c r="K198" i="1" s="1"/>
  <c r="K213" i="1" s="1"/>
  <c r="J184" i="1"/>
  <c r="J187" i="1"/>
  <c r="J198" i="1" s="1"/>
  <c r="J213" i="1" s="1"/>
  <c r="L163" i="1"/>
  <c r="M157" i="1"/>
  <c r="M170" i="1" s="1"/>
  <c r="L168" i="1"/>
  <c r="M155" i="1"/>
  <c r="M168" i="1" s="1"/>
  <c r="N115" i="1"/>
  <c r="T128" i="1" s="1"/>
  <c r="N142" i="1"/>
  <c r="N78" i="1"/>
  <c r="N107" i="1"/>
  <c r="N134" i="1"/>
  <c r="N70" i="1"/>
  <c r="N110" i="1"/>
  <c r="W123" i="1" s="1"/>
  <c r="N137" i="1"/>
  <c r="N73" i="1"/>
  <c r="N140" i="1"/>
  <c r="N113" i="1"/>
  <c r="U126" i="1" s="1"/>
  <c r="N76" i="1"/>
  <c r="N143" i="1"/>
  <c r="N116" i="1"/>
  <c r="T129" i="1" s="1"/>
  <c r="N79" i="1"/>
  <c r="N135" i="1"/>
  <c r="N148" i="1" s="1"/>
  <c r="N161" i="1" s="1"/>
  <c r="N108" i="1"/>
  <c r="N71" i="1"/>
  <c r="L160" i="1"/>
  <c r="AE91" i="2"/>
  <c r="AF89" i="2"/>
  <c r="AF94" i="2" s="1"/>
  <c r="M153" i="1"/>
  <c r="L161" i="1"/>
  <c r="L162" i="1"/>
  <c r="O56" i="1"/>
  <c r="O60" i="1"/>
  <c r="O52" i="1"/>
  <c r="O55" i="1"/>
  <c r="O59" i="1"/>
  <c r="O63" i="1"/>
  <c r="O64" i="1"/>
  <c r="O66" i="1"/>
  <c r="O54" i="1"/>
  <c r="O58" i="1"/>
  <c r="O62" i="1"/>
  <c r="O53" i="1"/>
  <c r="O57" i="1"/>
  <c r="O61" i="1"/>
  <c r="O65" i="1"/>
  <c r="O67" i="1"/>
  <c r="Q40" i="1"/>
  <c r="P41" i="1"/>
  <c r="L170" i="1"/>
  <c r="L11" i="16" l="1"/>
  <c r="O218" i="6"/>
  <c r="M8" i="16"/>
  <c r="Q199" i="6"/>
  <c r="O241" i="6"/>
  <c r="O243" i="6" s="1"/>
  <c r="U41" i="8"/>
  <c r="U61" i="8" s="1"/>
  <c r="U42" i="6"/>
  <c r="U62" i="6" s="1"/>
  <c r="R147" i="8"/>
  <c r="R160" i="8" s="1"/>
  <c r="R173" i="8" s="1"/>
  <c r="R187" i="8" s="1"/>
  <c r="S147" i="8"/>
  <c r="S160" i="8" s="1"/>
  <c r="Q184" i="8"/>
  <c r="Q187" i="8"/>
  <c r="Q198" i="8" s="1"/>
  <c r="Q213" i="8" s="1"/>
  <c r="S152" i="8"/>
  <c r="S165" i="8" s="1"/>
  <c r="R152" i="8"/>
  <c r="R165" i="8" s="1"/>
  <c r="R178" i="8" s="1"/>
  <c r="R192" i="8" s="1"/>
  <c r="U65" i="8"/>
  <c r="R157" i="8"/>
  <c r="R170" i="8" s="1"/>
  <c r="R183" i="8" s="1"/>
  <c r="R197" i="8" s="1"/>
  <c r="S157" i="8"/>
  <c r="S170" i="8" s="1"/>
  <c r="R155" i="8"/>
  <c r="R168" i="8" s="1"/>
  <c r="R181" i="8" s="1"/>
  <c r="R195" i="8" s="1"/>
  <c r="S155" i="8"/>
  <c r="S168" i="8" s="1"/>
  <c r="T64" i="8"/>
  <c r="T60" i="8"/>
  <c r="T56" i="8"/>
  <c r="T52" i="8"/>
  <c r="T67" i="8"/>
  <c r="T63" i="8"/>
  <c r="T59" i="8"/>
  <c r="T55" i="8"/>
  <c r="T66" i="8"/>
  <c r="T62" i="8"/>
  <c r="T58" i="8"/>
  <c r="T54" i="8"/>
  <c r="T65" i="8"/>
  <c r="T61" i="8"/>
  <c r="T57" i="8"/>
  <c r="T53" i="8"/>
  <c r="S148" i="8"/>
  <c r="S161" i="8" s="1"/>
  <c r="R148" i="8"/>
  <c r="R161" i="8" s="1"/>
  <c r="R174" i="8" s="1"/>
  <c r="R188" i="8" s="1"/>
  <c r="S86" i="8"/>
  <c r="S153" i="8"/>
  <c r="S166" i="8" s="1"/>
  <c r="R153" i="8"/>
  <c r="R166" i="8" s="1"/>
  <c r="R179" i="8" s="1"/>
  <c r="R193" i="8" s="1"/>
  <c r="W39" i="8"/>
  <c r="R149" i="8"/>
  <c r="R162" i="8" s="1"/>
  <c r="R175" i="8" s="1"/>
  <c r="R189" i="8" s="1"/>
  <c r="S149" i="8"/>
  <c r="S162" i="8" s="1"/>
  <c r="R86" i="8"/>
  <c r="P184" i="8"/>
  <c r="P187" i="8"/>
  <c r="P198" i="8" s="1"/>
  <c r="P213" i="8" s="1"/>
  <c r="R154" i="8"/>
  <c r="R167" i="8" s="1"/>
  <c r="R180" i="8" s="1"/>
  <c r="R194" i="8" s="1"/>
  <c r="S154" i="8"/>
  <c r="S167" i="8" s="1"/>
  <c r="V40" i="8"/>
  <c r="V49" i="8" s="1"/>
  <c r="S150" i="8"/>
  <c r="S163" i="8" s="1"/>
  <c r="R150" i="8"/>
  <c r="R163" i="8" s="1"/>
  <c r="R176" i="8" s="1"/>
  <c r="R190" i="8" s="1"/>
  <c r="R151" i="8"/>
  <c r="R164" i="8" s="1"/>
  <c r="R177" i="8" s="1"/>
  <c r="R191" i="8" s="1"/>
  <c r="S151" i="8"/>
  <c r="S164" i="8" s="1"/>
  <c r="R156" i="8"/>
  <c r="R169" i="8" s="1"/>
  <c r="S156" i="8"/>
  <c r="S169" i="8" s="1"/>
  <c r="S180" i="6"/>
  <c r="S194" i="6" s="1"/>
  <c r="S174" i="6"/>
  <c r="S188" i="6" s="1"/>
  <c r="S179" i="6"/>
  <c r="S193" i="6" s="1"/>
  <c r="S87" i="6"/>
  <c r="W40" i="6"/>
  <c r="S156" i="6"/>
  <c r="S169" i="6" s="1"/>
  <c r="S182" i="6" s="1"/>
  <c r="S196" i="6" s="1"/>
  <c r="Q185" i="6"/>
  <c r="S150" i="6"/>
  <c r="S163" i="6" s="1"/>
  <c r="S176" i="6" s="1"/>
  <c r="S190" i="6" s="1"/>
  <c r="S157" i="6"/>
  <c r="S170" i="6" s="1"/>
  <c r="S183" i="6" s="1"/>
  <c r="S197" i="6" s="1"/>
  <c r="S151" i="6"/>
  <c r="S164" i="6" s="1"/>
  <c r="S177" i="6" s="1"/>
  <c r="S191" i="6" s="1"/>
  <c r="T62" i="6"/>
  <c r="T65" i="6"/>
  <c r="T61" i="6"/>
  <c r="T57" i="6"/>
  <c r="T68" i="6"/>
  <c r="T64" i="6"/>
  <c r="T60" i="6"/>
  <c r="T56" i="6"/>
  <c r="T53" i="6"/>
  <c r="T67" i="6"/>
  <c r="T63" i="6"/>
  <c r="T59" i="6"/>
  <c r="T55" i="6"/>
  <c r="T66" i="6"/>
  <c r="T58" i="6"/>
  <c r="T54" i="6"/>
  <c r="S178" i="6"/>
  <c r="S192" i="6" s="1"/>
  <c r="S155" i="6"/>
  <c r="S168" i="6" s="1"/>
  <c r="S181" i="6" s="1"/>
  <c r="S195" i="6" s="1"/>
  <c r="U67" i="6"/>
  <c r="R183" i="6"/>
  <c r="R197" i="6" s="1"/>
  <c r="R199" i="6" s="1"/>
  <c r="V41" i="6"/>
  <c r="S175" i="6"/>
  <c r="S189" i="6" s="1"/>
  <c r="S198" i="6"/>
  <c r="AE99" i="2"/>
  <c r="AF99" i="2" s="1"/>
  <c r="M181" i="1"/>
  <c r="M195" i="1" s="1"/>
  <c r="M183" i="1"/>
  <c r="M197" i="1" s="1"/>
  <c r="L183" i="1"/>
  <c r="L197" i="1" s="1"/>
  <c r="O108" i="1"/>
  <c r="O135" i="1"/>
  <c r="O71" i="1"/>
  <c r="O110" i="1"/>
  <c r="O137" i="1"/>
  <c r="O150" i="1" s="1"/>
  <c r="O163" i="1" s="1"/>
  <c r="O73" i="1"/>
  <c r="O78" i="1"/>
  <c r="O115" i="1"/>
  <c r="U128" i="1" s="1"/>
  <c r="O142" i="1"/>
  <c r="O155" i="1" s="1"/>
  <c r="O168" i="1" s="1"/>
  <c r="J239" i="1"/>
  <c r="J241" i="1" s="1"/>
  <c r="J216" i="1"/>
  <c r="Q49" i="1"/>
  <c r="R40" i="1"/>
  <c r="R49" i="1" s="1"/>
  <c r="Q41" i="1"/>
  <c r="O112" i="1"/>
  <c r="W125" i="1" s="1"/>
  <c r="O139" i="1"/>
  <c r="O75" i="1"/>
  <c r="O117" i="1"/>
  <c r="T130" i="1" s="1"/>
  <c r="O144" i="1"/>
  <c r="O80" i="1"/>
  <c r="O109" i="1"/>
  <c r="O136" i="1"/>
  <c r="O149" i="1" s="1"/>
  <c r="O72" i="1"/>
  <c r="O114" i="1"/>
  <c r="V127" i="1" s="1"/>
  <c r="O141" i="1"/>
  <c r="O77" i="1"/>
  <c r="O70" i="1"/>
  <c r="O107" i="1"/>
  <c r="O134" i="1"/>
  <c r="O74" i="1"/>
  <c r="O111" i="1"/>
  <c r="W124" i="1" s="1"/>
  <c r="O138" i="1"/>
  <c r="O151" i="1" s="1"/>
  <c r="O164" i="1" s="1"/>
  <c r="M175" i="1"/>
  <c r="M189" i="1" s="1"/>
  <c r="L175" i="1"/>
  <c r="L189" i="1" s="1"/>
  <c r="N175" i="1"/>
  <c r="N189" i="1" s="1"/>
  <c r="M166" i="1"/>
  <c r="AF90" i="2"/>
  <c r="AF101" i="2" s="1"/>
  <c r="N150" i="1"/>
  <c r="L181" i="1"/>
  <c r="L195" i="1" s="1"/>
  <c r="K239" i="1"/>
  <c r="K241" i="1" s="1"/>
  <c r="K216" i="1"/>
  <c r="L178" i="1"/>
  <c r="L192" i="1" s="1"/>
  <c r="N178" i="1"/>
  <c r="N192" i="1" s="1"/>
  <c r="M178" i="1"/>
  <c r="M192" i="1" s="1"/>
  <c r="N151" i="1"/>
  <c r="N156" i="1"/>
  <c r="N169" i="1" s="1"/>
  <c r="P52" i="1"/>
  <c r="P53" i="1"/>
  <c r="P61" i="1"/>
  <c r="P64" i="1"/>
  <c r="P54" i="1"/>
  <c r="P58" i="1"/>
  <c r="P62" i="1"/>
  <c r="P55" i="1"/>
  <c r="P59" i="1"/>
  <c r="P66" i="1"/>
  <c r="P63" i="1"/>
  <c r="P65" i="1"/>
  <c r="P56" i="1"/>
  <c r="P60" i="1"/>
  <c r="P78" i="1" s="1"/>
  <c r="P57" i="1"/>
  <c r="P67" i="1"/>
  <c r="O116" i="1"/>
  <c r="U129" i="1" s="1"/>
  <c r="O143" i="1"/>
  <c r="O79" i="1"/>
  <c r="O113" i="1"/>
  <c r="V126" i="1" s="1"/>
  <c r="O140" i="1"/>
  <c r="O76" i="1"/>
  <c r="L174" i="1"/>
  <c r="L188" i="1" s="1"/>
  <c r="N174" i="1"/>
  <c r="N188" i="1" s="1"/>
  <c r="M174" i="1"/>
  <c r="M188" i="1" s="1"/>
  <c r="AF91" i="2"/>
  <c r="AG89" i="2"/>
  <c r="AG90" i="2" s="1"/>
  <c r="AG101" i="2" s="1"/>
  <c r="M173" i="1"/>
  <c r="L173" i="1"/>
  <c r="N86" i="1"/>
  <c r="O147" i="1"/>
  <c r="O160" i="1" s="1"/>
  <c r="N147" i="1"/>
  <c r="N183" i="1"/>
  <c r="N197" i="1" s="1"/>
  <c r="L176" i="1"/>
  <c r="L190" i="1" s="1"/>
  <c r="M176" i="1"/>
  <c r="M190" i="1" s="1"/>
  <c r="O148" i="1"/>
  <c r="O161" i="1" s="1"/>
  <c r="O174" i="1" s="1"/>
  <c r="U39" i="1"/>
  <c r="L177" i="1"/>
  <c r="L191" i="1" s="1"/>
  <c r="M177" i="1"/>
  <c r="M191" i="1" s="1"/>
  <c r="N155" i="1"/>
  <c r="N153" i="1"/>
  <c r="N166" i="1" s="1"/>
  <c r="M169" i="1"/>
  <c r="M180" i="1"/>
  <c r="M194" i="1" s="1"/>
  <c r="N180" i="1"/>
  <c r="N194" i="1" s="1"/>
  <c r="L14" i="16" l="1"/>
  <c r="M11" i="16"/>
  <c r="M14" i="16" s="1"/>
  <c r="U63" i="6"/>
  <c r="U53" i="6"/>
  <c r="U54" i="6"/>
  <c r="U60" i="6"/>
  <c r="U142" i="6" s="1"/>
  <c r="U66" i="6"/>
  <c r="U56" i="6"/>
  <c r="U138" i="6" s="1"/>
  <c r="U65" i="6"/>
  <c r="U55" i="6"/>
  <c r="U137" i="6" s="1"/>
  <c r="U64" i="6"/>
  <c r="U57" i="6"/>
  <c r="U75" i="6" s="1"/>
  <c r="U58" i="6"/>
  <c r="U140" i="6" s="1"/>
  <c r="U59" i="6"/>
  <c r="U77" i="6" s="1"/>
  <c r="U68" i="6"/>
  <c r="U61" i="6"/>
  <c r="U116" i="6" s="1"/>
  <c r="U63" i="8"/>
  <c r="U62" i="8"/>
  <c r="U80" i="8" s="1"/>
  <c r="U60" i="8"/>
  <c r="U142" i="8" s="1"/>
  <c r="U66" i="8"/>
  <c r="U67" i="8"/>
  <c r="U64" i="8"/>
  <c r="U58" i="8"/>
  <c r="U113" i="8" s="1"/>
  <c r="U59" i="8"/>
  <c r="U141" i="8" s="1"/>
  <c r="U56" i="8"/>
  <c r="U111" i="8" s="1"/>
  <c r="U57" i="8"/>
  <c r="U75" i="8" s="1"/>
  <c r="U54" i="8"/>
  <c r="U72" i="8" s="1"/>
  <c r="U55" i="8"/>
  <c r="U110" i="8" s="1"/>
  <c r="U52" i="8"/>
  <c r="U107" i="8" s="1"/>
  <c r="U53" i="8"/>
  <c r="U71" i="8" s="1"/>
  <c r="Q214" i="6"/>
  <c r="P214" i="6"/>
  <c r="S183" i="8"/>
  <c r="S197" i="8" s="1"/>
  <c r="S178" i="8"/>
  <c r="S192" i="8" s="1"/>
  <c r="S174" i="8"/>
  <c r="S188" i="8" s="1"/>
  <c r="S177" i="8"/>
  <c r="S191" i="8" s="1"/>
  <c r="S180" i="8"/>
  <c r="S194" i="8" s="1"/>
  <c r="S179" i="8"/>
  <c r="S193" i="8" s="1"/>
  <c r="S181" i="8"/>
  <c r="S195" i="8" s="1"/>
  <c r="S175" i="8"/>
  <c r="S189" i="8" s="1"/>
  <c r="T112" i="8"/>
  <c r="T139" i="8"/>
  <c r="T75" i="8"/>
  <c r="T140" i="8"/>
  <c r="T113" i="8"/>
  <c r="T76" i="8"/>
  <c r="T141" i="8"/>
  <c r="T114" i="8"/>
  <c r="T77" i="8"/>
  <c r="T111" i="8"/>
  <c r="T138" i="8"/>
  <c r="T74" i="8"/>
  <c r="S176" i="8"/>
  <c r="S190" i="8" s="1"/>
  <c r="W40" i="8"/>
  <c r="X40" i="8" s="1"/>
  <c r="X41" i="8" s="1"/>
  <c r="X44" i="8" s="1"/>
  <c r="P216" i="8"/>
  <c r="P239" i="8"/>
  <c r="P241" i="8" s="1"/>
  <c r="T108" i="8"/>
  <c r="T135" i="8"/>
  <c r="T71" i="8"/>
  <c r="T136" i="8"/>
  <c r="T109" i="8"/>
  <c r="T72" i="8"/>
  <c r="T137" i="8"/>
  <c r="T110" i="8"/>
  <c r="T73" i="8"/>
  <c r="T107" i="8"/>
  <c r="T134" i="8"/>
  <c r="T70" i="8"/>
  <c r="V41" i="8"/>
  <c r="S182" i="8"/>
  <c r="S196" i="8" s="1"/>
  <c r="R182" i="8"/>
  <c r="R196" i="8" s="1"/>
  <c r="R198" i="8" s="1"/>
  <c r="R213" i="8" s="1"/>
  <c r="T116" i="8"/>
  <c r="T143" i="8"/>
  <c r="T79" i="8"/>
  <c r="U79" i="8"/>
  <c r="T144" i="8"/>
  <c r="T117" i="8"/>
  <c r="T80" i="8"/>
  <c r="T115" i="8"/>
  <c r="T142" i="8"/>
  <c r="T78" i="8"/>
  <c r="U143" i="8"/>
  <c r="U116" i="8"/>
  <c r="Q216" i="8"/>
  <c r="Q239" i="8"/>
  <c r="Q241" i="8" s="1"/>
  <c r="S173" i="8"/>
  <c r="U144" i="6"/>
  <c r="U117" i="6"/>
  <c r="T113" i="6"/>
  <c r="T140" i="6"/>
  <c r="T76" i="6"/>
  <c r="T145" i="6"/>
  <c r="T118" i="6"/>
  <c r="T81" i="6"/>
  <c r="T142" i="6"/>
  <c r="T115" i="6"/>
  <c r="T78" i="6"/>
  <c r="T116" i="6"/>
  <c r="T143" i="6"/>
  <c r="T79" i="6"/>
  <c r="R185" i="6"/>
  <c r="W41" i="6"/>
  <c r="X41" i="6" s="1"/>
  <c r="X42" i="6" s="1"/>
  <c r="X45" i="6" s="1"/>
  <c r="U110" i="6"/>
  <c r="T109" i="6"/>
  <c r="T136" i="6"/>
  <c r="T72" i="6"/>
  <c r="T141" i="6"/>
  <c r="T114" i="6"/>
  <c r="T77" i="6"/>
  <c r="T138" i="6"/>
  <c r="T111" i="6"/>
  <c r="T74" i="6"/>
  <c r="T112" i="6"/>
  <c r="T139" i="6"/>
  <c r="T75" i="6"/>
  <c r="S199" i="6"/>
  <c r="U78" i="6"/>
  <c r="U108" i="6"/>
  <c r="U135" i="6"/>
  <c r="U71" i="6"/>
  <c r="U136" i="6"/>
  <c r="U109" i="6"/>
  <c r="U72" i="6"/>
  <c r="T137" i="6"/>
  <c r="T110" i="6"/>
  <c r="T73" i="6"/>
  <c r="T108" i="6"/>
  <c r="T135" i="6"/>
  <c r="T71" i="6"/>
  <c r="T117" i="6"/>
  <c r="T144" i="6"/>
  <c r="U80" i="6"/>
  <c r="T80" i="6"/>
  <c r="V50" i="6"/>
  <c r="S185" i="6"/>
  <c r="U74" i="6"/>
  <c r="U145" i="6"/>
  <c r="U118" i="6"/>
  <c r="U81" i="6"/>
  <c r="V42" i="6"/>
  <c r="O188" i="1"/>
  <c r="AG99" i="2"/>
  <c r="M182" i="1"/>
  <c r="M196" i="1" s="1"/>
  <c r="N182" i="1"/>
  <c r="N196" i="1" s="1"/>
  <c r="N160" i="1"/>
  <c r="O173" i="1" s="1"/>
  <c r="O187" i="1" s="1"/>
  <c r="L184" i="1"/>
  <c r="L187" i="1"/>
  <c r="L198" i="1" s="1"/>
  <c r="L213" i="1" s="1"/>
  <c r="P112" i="1"/>
  <c r="P139" i="1"/>
  <c r="P152" i="1" s="1"/>
  <c r="P165" i="1" s="1"/>
  <c r="P75" i="1"/>
  <c r="P138" i="1"/>
  <c r="P111" i="1"/>
  <c r="P74" i="1"/>
  <c r="P141" i="1"/>
  <c r="P154" i="1" s="1"/>
  <c r="P167" i="1" s="1"/>
  <c r="P114" i="1"/>
  <c r="W127" i="1" s="1"/>
  <c r="P77" i="1"/>
  <c r="P144" i="1"/>
  <c r="P157" i="1" s="1"/>
  <c r="P170" i="1" s="1"/>
  <c r="P117" i="1"/>
  <c r="U130" i="1" s="1"/>
  <c r="P80" i="1"/>
  <c r="P136" i="1"/>
  <c r="P149" i="1" s="1"/>
  <c r="P162" i="1" s="1"/>
  <c r="P109" i="1"/>
  <c r="P72" i="1"/>
  <c r="P143" i="1"/>
  <c r="P116" i="1"/>
  <c r="V129" i="1" s="1"/>
  <c r="P107" i="1"/>
  <c r="P134" i="1"/>
  <c r="P70" i="1"/>
  <c r="O156" i="1"/>
  <c r="N164" i="1"/>
  <c r="O153" i="1"/>
  <c r="O166" i="1" s="1"/>
  <c r="O179" i="1" s="1"/>
  <c r="O193" i="1" s="1"/>
  <c r="O154" i="1"/>
  <c r="O152" i="1"/>
  <c r="Q53" i="1"/>
  <c r="Q54" i="1"/>
  <c r="Q58" i="1"/>
  <c r="Q62" i="1"/>
  <c r="Q65" i="1"/>
  <c r="Q67" i="1"/>
  <c r="Q57" i="1"/>
  <c r="Q61" i="1"/>
  <c r="Q52" i="1"/>
  <c r="Q55" i="1"/>
  <c r="Q73" i="1" s="1"/>
  <c r="Q56" i="1"/>
  <c r="Q60" i="1"/>
  <c r="Q64" i="1"/>
  <c r="Q66" i="1"/>
  <c r="Q63" i="1"/>
  <c r="Q59" i="1"/>
  <c r="S40" i="1"/>
  <c r="S49" i="1" s="1"/>
  <c r="R41" i="1"/>
  <c r="O86" i="1"/>
  <c r="N168" i="1"/>
  <c r="V39" i="1"/>
  <c r="M187" i="1"/>
  <c r="AG91" i="2"/>
  <c r="AH89" i="2"/>
  <c r="AG94" i="2"/>
  <c r="P115" i="1"/>
  <c r="V128" i="1" s="1"/>
  <c r="P142" i="1"/>
  <c r="P110" i="1"/>
  <c r="P137" i="1"/>
  <c r="P73" i="1"/>
  <c r="P113" i="1"/>
  <c r="W126" i="1" s="1"/>
  <c r="P140" i="1"/>
  <c r="P153" i="1" s="1"/>
  <c r="P166" i="1" s="1"/>
  <c r="P76" i="1"/>
  <c r="P135" i="1"/>
  <c r="P108" i="1"/>
  <c r="P71" i="1"/>
  <c r="O162" i="1"/>
  <c r="N163" i="1"/>
  <c r="M179" i="1"/>
  <c r="M193" i="1" s="1"/>
  <c r="N179" i="1"/>
  <c r="N193" i="1" s="1"/>
  <c r="O157" i="1"/>
  <c r="P79" i="1"/>
  <c r="P218" i="6" l="1"/>
  <c r="N8" i="16"/>
  <c r="Q218" i="6"/>
  <c r="O8" i="16"/>
  <c r="U115" i="6"/>
  <c r="U114" i="6"/>
  <c r="U108" i="8"/>
  <c r="U141" i="6"/>
  <c r="U154" i="6" s="1"/>
  <c r="U167" i="6" s="1"/>
  <c r="U73" i="6"/>
  <c r="U112" i="8"/>
  <c r="U117" i="8"/>
  <c r="U111" i="6"/>
  <c r="U140" i="8"/>
  <c r="U153" i="8" s="1"/>
  <c r="U166" i="8" s="1"/>
  <c r="U76" i="6"/>
  <c r="U139" i="6"/>
  <c r="U79" i="6"/>
  <c r="U87" i="6" s="1"/>
  <c r="U112" i="6"/>
  <c r="U113" i="6"/>
  <c r="U143" i="6"/>
  <c r="U144" i="8"/>
  <c r="U135" i="8"/>
  <c r="U148" i="8" s="1"/>
  <c r="U161" i="8" s="1"/>
  <c r="U139" i="8"/>
  <c r="U137" i="8"/>
  <c r="U150" i="8" s="1"/>
  <c r="U163" i="8" s="1"/>
  <c r="U77" i="8"/>
  <c r="U114" i="8"/>
  <c r="U73" i="8"/>
  <c r="U115" i="8"/>
  <c r="U78" i="8"/>
  <c r="U109" i="8"/>
  <c r="U136" i="8"/>
  <c r="U74" i="8"/>
  <c r="U76" i="8"/>
  <c r="U70" i="8"/>
  <c r="U134" i="8"/>
  <c r="U138" i="8"/>
  <c r="U151" i="8" s="1"/>
  <c r="U164" i="8" s="1"/>
  <c r="R214" i="6"/>
  <c r="Q241" i="6"/>
  <c r="Q243" i="6" s="1"/>
  <c r="P241" i="6"/>
  <c r="P243" i="6" s="1"/>
  <c r="R239" i="8"/>
  <c r="R241" i="8" s="1"/>
  <c r="R216" i="8"/>
  <c r="T148" i="8"/>
  <c r="T161" i="8" s="1"/>
  <c r="T174" i="8" s="1"/>
  <c r="T188" i="8" s="1"/>
  <c r="R184" i="8"/>
  <c r="S184" i="8"/>
  <c r="S187" i="8"/>
  <c r="S198" i="8" s="1"/>
  <c r="S213" i="8" s="1"/>
  <c r="U147" i="8"/>
  <c r="U160" i="8" s="1"/>
  <c r="T147" i="8"/>
  <c r="T160" i="8" s="1"/>
  <c r="T173" i="8" s="1"/>
  <c r="T187" i="8" s="1"/>
  <c r="T150" i="8"/>
  <c r="T163" i="8" s="1"/>
  <c r="T176" i="8" s="1"/>
  <c r="T190" i="8" s="1"/>
  <c r="U152" i="8"/>
  <c r="U165" i="8" s="1"/>
  <c r="T152" i="8"/>
  <c r="T165" i="8" s="1"/>
  <c r="T178" i="8" s="1"/>
  <c r="T192" i="8" s="1"/>
  <c r="U155" i="8"/>
  <c r="U168" i="8" s="1"/>
  <c r="T155" i="8"/>
  <c r="T168" i="8" s="1"/>
  <c r="T181" i="8" s="1"/>
  <c r="T195" i="8" s="1"/>
  <c r="U157" i="8"/>
  <c r="U170" i="8" s="1"/>
  <c r="T157" i="8"/>
  <c r="T170" i="8" s="1"/>
  <c r="T183" i="8" s="1"/>
  <c r="T197" i="8" s="1"/>
  <c r="U156" i="8"/>
  <c r="U169" i="8" s="1"/>
  <c r="T156" i="8"/>
  <c r="T169" i="8" s="1"/>
  <c r="T86" i="8"/>
  <c r="U149" i="8"/>
  <c r="U162" i="8" s="1"/>
  <c r="T149" i="8"/>
  <c r="T162" i="8" s="1"/>
  <c r="T175" i="8" s="1"/>
  <c r="T189" i="8" s="1"/>
  <c r="T151" i="8"/>
  <c r="T164" i="8" s="1"/>
  <c r="T177" i="8" s="1"/>
  <c r="T191" i="8" s="1"/>
  <c r="T154" i="8"/>
  <c r="T167" i="8" s="1"/>
  <c r="T180" i="8" s="1"/>
  <c r="T194" i="8" s="1"/>
  <c r="U154" i="8"/>
  <c r="U167" i="8" s="1"/>
  <c r="W41" i="8"/>
  <c r="V66" i="8"/>
  <c r="V62" i="8"/>
  <c r="V58" i="8"/>
  <c r="V54" i="8"/>
  <c r="V65" i="8"/>
  <c r="V61" i="8"/>
  <c r="V57" i="8"/>
  <c r="V53" i="8"/>
  <c r="V64" i="8"/>
  <c r="V60" i="8"/>
  <c r="V56" i="8"/>
  <c r="V52" i="8"/>
  <c r="V67" i="8"/>
  <c r="V63" i="8"/>
  <c r="V59" i="8"/>
  <c r="V55" i="8"/>
  <c r="T153" i="8"/>
  <c r="T166" i="8" s="1"/>
  <c r="T179" i="8" s="1"/>
  <c r="T193" i="8" s="1"/>
  <c r="W49" i="8"/>
  <c r="V68" i="6"/>
  <c r="V67" i="6"/>
  <c r="V63" i="6"/>
  <c r="V59" i="6"/>
  <c r="V55" i="6"/>
  <c r="V66" i="6"/>
  <c r="V62" i="6"/>
  <c r="V58" i="6"/>
  <c r="V54" i="6"/>
  <c r="V65" i="6"/>
  <c r="V61" i="6"/>
  <c r="V57" i="6"/>
  <c r="V53" i="6"/>
  <c r="V64" i="6"/>
  <c r="V60" i="6"/>
  <c r="V56" i="6"/>
  <c r="T148" i="6"/>
  <c r="T161" i="6" s="1"/>
  <c r="T174" i="6" s="1"/>
  <c r="T188" i="6" s="1"/>
  <c r="U148" i="6"/>
  <c r="U161" i="6" s="1"/>
  <c r="T150" i="6"/>
  <c r="T163" i="6" s="1"/>
  <c r="T176" i="6" s="1"/>
  <c r="T190" i="6" s="1"/>
  <c r="U150" i="6"/>
  <c r="U163" i="6" s="1"/>
  <c r="U152" i="6"/>
  <c r="U165" i="6" s="1"/>
  <c r="T152" i="6"/>
  <c r="T165" i="6" s="1"/>
  <c r="T178" i="6" s="1"/>
  <c r="T192" i="6" s="1"/>
  <c r="T151" i="6"/>
  <c r="T164" i="6" s="1"/>
  <c r="T177" i="6" s="1"/>
  <c r="T191" i="6" s="1"/>
  <c r="U151" i="6"/>
  <c r="U164" i="6" s="1"/>
  <c r="U156" i="6"/>
  <c r="U169" i="6" s="1"/>
  <c r="T156" i="6"/>
  <c r="T169" i="6" s="1"/>
  <c r="T182" i="6" s="1"/>
  <c r="T196" i="6" s="1"/>
  <c r="U155" i="6"/>
  <c r="U168" i="6" s="1"/>
  <c r="T155" i="6"/>
  <c r="T168" i="6" s="1"/>
  <c r="T181" i="6" s="1"/>
  <c r="T195" i="6" s="1"/>
  <c r="T87" i="6"/>
  <c r="T154" i="6"/>
  <c r="T167" i="6" s="1"/>
  <c r="T180" i="6" s="1"/>
  <c r="T194" i="6" s="1"/>
  <c r="T158" i="6"/>
  <c r="T171" i="6" s="1"/>
  <c r="T184" i="6" s="1"/>
  <c r="T198" i="6" s="1"/>
  <c r="U158" i="6"/>
  <c r="U171" i="6" s="1"/>
  <c r="W42" i="6"/>
  <c r="U157" i="6"/>
  <c r="U170" i="6" s="1"/>
  <c r="T157" i="6"/>
  <c r="T170" i="6" s="1"/>
  <c r="T149" i="6"/>
  <c r="T162" i="6" s="1"/>
  <c r="T175" i="6" s="1"/>
  <c r="T189" i="6" s="1"/>
  <c r="U149" i="6"/>
  <c r="U162" i="6" s="1"/>
  <c r="T153" i="6"/>
  <c r="T166" i="6" s="1"/>
  <c r="T179" i="6" s="1"/>
  <c r="T193" i="6" s="1"/>
  <c r="U153" i="6"/>
  <c r="U166" i="6" s="1"/>
  <c r="W50" i="6"/>
  <c r="P179" i="1"/>
  <c r="P193" i="1" s="1"/>
  <c r="N176" i="1"/>
  <c r="N190" i="1" s="1"/>
  <c r="O175" i="1"/>
  <c r="O189" i="1" s="1"/>
  <c r="P150" i="1"/>
  <c r="P155" i="1"/>
  <c r="AH91" i="2"/>
  <c r="AI89" i="2"/>
  <c r="AH90" i="2"/>
  <c r="M184" i="1"/>
  <c r="W39" i="1"/>
  <c r="O176" i="1"/>
  <c r="O190" i="1" s="1"/>
  <c r="Q114" i="1"/>
  <c r="Q141" i="1"/>
  <c r="Q142" i="1"/>
  <c r="Q155" i="1" s="1"/>
  <c r="Q168" i="1" s="1"/>
  <c r="Q115" i="1"/>
  <c r="W128" i="1" s="1"/>
  <c r="Q110" i="1"/>
  <c r="Q137" i="1"/>
  <c r="Q150" i="1" s="1"/>
  <c r="Q163" i="1" s="1"/>
  <c r="Q116" i="1"/>
  <c r="W129" i="1" s="1"/>
  <c r="Q143" i="1"/>
  <c r="Q79" i="1"/>
  <c r="Q117" i="1"/>
  <c r="V130" i="1" s="1"/>
  <c r="Q144" i="1"/>
  <c r="Q80" i="1"/>
  <c r="Q109" i="1"/>
  <c r="Q136" i="1"/>
  <c r="Q72" i="1"/>
  <c r="O165" i="1"/>
  <c r="P178" i="1" s="1"/>
  <c r="P192" i="1" s="1"/>
  <c r="P175" i="1"/>
  <c r="P189" i="1" s="1"/>
  <c r="O167" i="1"/>
  <c r="P180" i="1" s="1"/>
  <c r="P194" i="1" s="1"/>
  <c r="Q78" i="1"/>
  <c r="N177" i="1"/>
  <c r="N191" i="1" s="1"/>
  <c r="O169" i="1"/>
  <c r="P147" i="1"/>
  <c r="Q77" i="1"/>
  <c r="Q156" i="1"/>
  <c r="Q169" i="1" s="1"/>
  <c r="L239" i="1"/>
  <c r="L241" i="1" s="1"/>
  <c r="L216" i="1"/>
  <c r="N173" i="1"/>
  <c r="O170" i="1"/>
  <c r="P183" i="1" s="1"/>
  <c r="P197" i="1" s="1"/>
  <c r="P148" i="1"/>
  <c r="AH94" i="2"/>
  <c r="M198" i="1"/>
  <c r="M213" i="1" s="1"/>
  <c r="N181" i="1"/>
  <c r="N195" i="1" s="1"/>
  <c r="O181" i="1"/>
  <c r="O195" i="1" s="1"/>
  <c r="R54" i="1"/>
  <c r="R58" i="1"/>
  <c r="R65" i="1"/>
  <c r="R59" i="1"/>
  <c r="R52" i="1"/>
  <c r="R56" i="1"/>
  <c r="R60" i="1"/>
  <c r="R64" i="1"/>
  <c r="R53" i="1"/>
  <c r="R57" i="1"/>
  <c r="R61" i="1"/>
  <c r="R66" i="1"/>
  <c r="R62" i="1"/>
  <c r="R55" i="1"/>
  <c r="R67" i="1"/>
  <c r="R63" i="1"/>
  <c r="T40" i="1"/>
  <c r="S41" i="1"/>
  <c r="Q138" i="1"/>
  <c r="Q151" i="1" s="1"/>
  <c r="Q164" i="1" s="1"/>
  <c r="Q111" i="1"/>
  <c r="Q74" i="1"/>
  <c r="Q107" i="1"/>
  <c r="Q134" i="1"/>
  <c r="Q70" i="1"/>
  <c r="Q112" i="1"/>
  <c r="Q139" i="1"/>
  <c r="Q75" i="1"/>
  <c r="Q140" i="1"/>
  <c r="Q113" i="1"/>
  <c r="Q76" i="1"/>
  <c r="Q108" i="1"/>
  <c r="Q135" i="1"/>
  <c r="Q71" i="1"/>
  <c r="O177" i="1"/>
  <c r="O191" i="1" s="1"/>
  <c r="P86" i="1"/>
  <c r="P151" i="1"/>
  <c r="P156" i="1"/>
  <c r="P169" i="1" s="1"/>
  <c r="O11" i="16" l="1"/>
  <c r="O14" i="16" s="1"/>
  <c r="N11" i="16"/>
  <c r="N14" i="16" s="1"/>
  <c r="R218" i="6"/>
  <c r="P8" i="16"/>
  <c r="U86" i="8"/>
  <c r="S214" i="6"/>
  <c r="R241" i="6"/>
  <c r="R243" i="6" s="1"/>
  <c r="U178" i="8"/>
  <c r="U192" i="8" s="1"/>
  <c r="U173" i="8"/>
  <c r="U187" i="8" s="1"/>
  <c r="U174" i="8"/>
  <c r="U188" i="8" s="1"/>
  <c r="V142" i="8"/>
  <c r="V115" i="8"/>
  <c r="V78" i="8"/>
  <c r="V143" i="8"/>
  <c r="V116" i="8"/>
  <c r="V79" i="8"/>
  <c r="V144" i="8"/>
  <c r="V117" i="8"/>
  <c r="V80" i="8"/>
  <c r="W67" i="8"/>
  <c r="W63" i="8"/>
  <c r="W59" i="8"/>
  <c r="W55" i="8"/>
  <c r="W66" i="8"/>
  <c r="W62" i="8"/>
  <c r="W58" i="8"/>
  <c r="W54" i="8"/>
  <c r="W65" i="8"/>
  <c r="W61" i="8"/>
  <c r="W57" i="8"/>
  <c r="W53" i="8"/>
  <c r="W64" i="8"/>
  <c r="W60" i="8"/>
  <c r="W56" i="8"/>
  <c r="W52" i="8"/>
  <c r="B41" i="8"/>
  <c r="B44" i="8" s="1"/>
  <c r="U180" i="8"/>
  <c r="U194" i="8" s="1"/>
  <c r="V141" i="8"/>
  <c r="V114" i="8"/>
  <c r="V77" i="8"/>
  <c r="V138" i="8"/>
  <c r="V111" i="8"/>
  <c r="V74" i="8"/>
  <c r="V139" i="8"/>
  <c r="V112" i="8"/>
  <c r="V75" i="8"/>
  <c r="V140" i="8"/>
  <c r="V113" i="8"/>
  <c r="V76" i="8"/>
  <c r="S239" i="8"/>
  <c r="S241" i="8" s="1"/>
  <c r="S216" i="8"/>
  <c r="U179" i="8"/>
  <c r="U193" i="8" s="1"/>
  <c r="U175" i="8"/>
  <c r="U189" i="8" s="1"/>
  <c r="U181" i="8"/>
  <c r="U195" i="8" s="1"/>
  <c r="U176" i="8"/>
  <c r="U190" i="8" s="1"/>
  <c r="V137" i="8"/>
  <c r="V110" i="8"/>
  <c r="V73" i="8"/>
  <c r="V134" i="8"/>
  <c r="V107" i="8"/>
  <c r="V70" i="8"/>
  <c r="V135" i="8"/>
  <c r="V108" i="8"/>
  <c r="V71" i="8"/>
  <c r="V136" i="8"/>
  <c r="V109" i="8"/>
  <c r="V72" i="8"/>
  <c r="T182" i="8"/>
  <c r="T196" i="8" s="1"/>
  <c r="T198" i="8" s="1"/>
  <c r="T213" i="8" s="1"/>
  <c r="U182" i="8"/>
  <c r="U196" i="8" s="1"/>
  <c r="U177" i="8"/>
  <c r="U191" i="8" s="1"/>
  <c r="U183" i="8"/>
  <c r="U197" i="8" s="1"/>
  <c r="U182" i="6"/>
  <c r="U196" i="6" s="1"/>
  <c r="U178" i="6"/>
  <c r="U192" i="6" s="1"/>
  <c r="U181" i="6"/>
  <c r="U195" i="6" s="1"/>
  <c r="U177" i="6"/>
  <c r="U191" i="6" s="1"/>
  <c r="U174" i="6"/>
  <c r="U188" i="6" s="1"/>
  <c r="U176" i="6"/>
  <c r="U190" i="6" s="1"/>
  <c r="V135" i="6"/>
  <c r="V108" i="6"/>
  <c r="V71" i="6"/>
  <c r="V136" i="6"/>
  <c r="V109" i="6"/>
  <c r="V72" i="6"/>
  <c r="V137" i="6"/>
  <c r="V110" i="6"/>
  <c r="V73" i="6"/>
  <c r="T183" i="6"/>
  <c r="T197" i="6" s="1"/>
  <c r="T199" i="6" s="1"/>
  <c r="U183" i="6"/>
  <c r="U197" i="6" s="1"/>
  <c r="U179" i="6"/>
  <c r="U193" i="6" s="1"/>
  <c r="V142" i="6"/>
  <c r="V115" i="6"/>
  <c r="V78" i="6"/>
  <c r="V143" i="6"/>
  <c r="V116" i="6"/>
  <c r="V79" i="6"/>
  <c r="V144" i="6"/>
  <c r="V117" i="6"/>
  <c r="V80" i="6"/>
  <c r="V145" i="6"/>
  <c r="V118" i="6"/>
  <c r="V81" i="6"/>
  <c r="W68" i="6"/>
  <c r="W64" i="6"/>
  <c r="W60" i="6"/>
  <c r="W56" i="6"/>
  <c r="W67" i="6"/>
  <c r="W63" i="6"/>
  <c r="W59" i="6"/>
  <c r="W55" i="6"/>
  <c r="W65" i="6"/>
  <c r="W57" i="6"/>
  <c r="W66" i="6"/>
  <c r="W62" i="6"/>
  <c r="W80" i="6" s="1"/>
  <c r="W58" i="6"/>
  <c r="W54" i="6"/>
  <c r="W61" i="6"/>
  <c r="W53" i="6"/>
  <c r="B42" i="6"/>
  <c r="B45" i="6" s="1"/>
  <c r="V138" i="6"/>
  <c r="V111" i="6"/>
  <c r="V74" i="6"/>
  <c r="V139" i="6"/>
  <c r="V112" i="6"/>
  <c r="V75" i="6"/>
  <c r="V140" i="6"/>
  <c r="V113" i="6"/>
  <c r="V76" i="6"/>
  <c r="V141" i="6"/>
  <c r="V114" i="6"/>
  <c r="V77" i="6"/>
  <c r="U175" i="6"/>
  <c r="U189" i="6" s="1"/>
  <c r="U184" i="6"/>
  <c r="U198" i="6" s="1"/>
  <c r="U180" i="6"/>
  <c r="U194" i="6" s="1"/>
  <c r="P164" i="1"/>
  <c r="Q177" i="1" s="1"/>
  <c r="Q191" i="1" s="1"/>
  <c r="Q152" i="1"/>
  <c r="Q86" i="1"/>
  <c r="T49" i="1"/>
  <c r="U40" i="1"/>
  <c r="T41" i="1"/>
  <c r="R117" i="1"/>
  <c r="W130" i="1" s="1"/>
  <c r="R144" i="1"/>
  <c r="R80" i="1"/>
  <c r="R116" i="1"/>
  <c r="R143" i="1"/>
  <c r="R156" i="1" s="1"/>
  <c r="R169" i="1" s="1"/>
  <c r="R108" i="1"/>
  <c r="R135" i="1"/>
  <c r="R71" i="1"/>
  <c r="R115" i="1"/>
  <c r="R142" i="1"/>
  <c r="R155" i="1" s="1"/>
  <c r="R168" i="1" s="1"/>
  <c r="R78" i="1"/>
  <c r="R134" i="1"/>
  <c r="R147" i="1" s="1"/>
  <c r="R160" i="1" s="1"/>
  <c r="R107" i="1"/>
  <c r="R70" i="1"/>
  <c r="R109" i="1"/>
  <c r="R136" i="1"/>
  <c r="R149" i="1" s="1"/>
  <c r="R162" i="1" s="1"/>
  <c r="R72" i="1"/>
  <c r="M216" i="1"/>
  <c r="M239" i="1"/>
  <c r="M241" i="1" s="1"/>
  <c r="P161" i="1"/>
  <c r="N184" i="1"/>
  <c r="N187" i="1"/>
  <c r="N198" i="1" s="1"/>
  <c r="N213" i="1" s="1"/>
  <c r="R79" i="1"/>
  <c r="P160" i="1"/>
  <c r="Q147" i="1"/>
  <c r="Q160" i="1" s="1"/>
  <c r="O182" i="1"/>
  <c r="O196" i="1" s="1"/>
  <c r="P182" i="1"/>
  <c r="P196" i="1" s="1"/>
  <c r="O180" i="1"/>
  <c r="O194" i="1" s="1"/>
  <c r="Q157" i="1"/>
  <c r="R157" i="1"/>
  <c r="R170" i="1" s="1"/>
  <c r="AI91" i="2"/>
  <c r="AJ89" i="2"/>
  <c r="AJ94" i="2" s="1"/>
  <c r="P163" i="1"/>
  <c r="Q176" i="1" s="1"/>
  <c r="Q190" i="1" s="1"/>
  <c r="Q148" i="1"/>
  <c r="Q161" i="1" s="1"/>
  <c r="R148" i="1"/>
  <c r="R161" i="1" s="1"/>
  <c r="Q153" i="1"/>
  <c r="Q166" i="1" s="1"/>
  <c r="S52" i="1"/>
  <c r="S55" i="1"/>
  <c r="S59" i="1"/>
  <c r="S65" i="1"/>
  <c r="S63" i="1"/>
  <c r="S56" i="1"/>
  <c r="S60" i="1"/>
  <c r="S67" i="1"/>
  <c r="S53" i="1"/>
  <c r="S57" i="1"/>
  <c r="S61" i="1"/>
  <c r="S79" i="1" s="1"/>
  <c r="S64" i="1"/>
  <c r="S54" i="1"/>
  <c r="S58" i="1"/>
  <c r="S76" i="1" s="1"/>
  <c r="S62" i="1"/>
  <c r="S66" i="1"/>
  <c r="R110" i="1"/>
  <c r="R137" i="1"/>
  <c r="R73" i="1"/>
  <c r="R139" i="1"/>
  <c r="R112" i="1"/>
  <c r="R75" i="1"/>
  <c r="R138" i="1"/>
  <c r="R111" i="1"/>
  <c r="R74" i="1"/>
  <c r="R141" i="1"/>
  <c r="R154" i="1" s="1"/>
  <c r="R167" i="1" s="1"/>
  <c r="R114" i="1"/>
  <c r="R77" i="1"/>
  <c r="R113" i="1"/>
  <c r="R140" i="1"/>
  <c r="R153" i="1" s="1"/>
  <c r="R166" i="1" s="1"/>
  <c r="R76" i="1"/>
  <c r="O183" i="1"/>
  <c r="O197" i="1" s="1"/>
  <c r="Q182" i="1"/>
  <c r="Q196" i="1" s="1"/>
  <c r="O178" i="1"/>
  <c r="O192" i="1" s="1"/>
  <c r="Q149" i="1"/>
  <c r="Q154" i="1"/>
  <c r="Q167" i="1" s="1"/>
  <c r="Q180" i="1" s="1"/>
  <c r="Q194" i="1" s="1"/>
  <c r="AH101" i="2"/>
  <c r="AH99" i="2"/>
  <c r="AI90" i="2"/>
  <c r="AI101" i="2" s="1"/>
  <c r="AI94" i="2"/>
  <c r="P168" i="1"/>
  <c r="P11" i="16" l="1"/>
  <c r="P14" i="16" s="1"/>
  <c r="S218" i="6"/>
  <c r="Q8" i="16"/>
  <c r="AI99" i="2"/>
  <c r="T214" i="6"/>
  <c r="R8" i="16" s="1"/>
  <c r="S241" i="6"/>
  <c r="S243" i="6" s="1"/>
  <c r="U198" i="8"/>
  <c r="U213" i="8" s="1"/>
  <c r="U239" i="8" s="1"/>
  <c r="U241" i="8" s="1"/>
  <c r="T216" i="8"/>
  <c r="T239" i="8"/>
  <c r="T241" i="8" s="1"/>
  <c r="V150" i="8"/>
  <c r="V163" i="8" s="1"/>
  <c r="V176" i="8" s="1"/>
  <c r="V190" i="8" s="1"/>
  <c r="V152" i="8"/>
  <c r="V165" i="8" s="1"/>
  <c r="V178" i="8" s="1"/>
  <c r="V192" i="8" s="1"/>
  <c r="W115" i="8"/>
  <c r="W142" i="8"/>
  <c r="C142" i="8" s="1"/>
  <c r="W116" i="8"/>
  <c r="W143" i="8"/>
  <c r="C143" i="8" s="1"/>
  <c r="W117" i="8"/>
  <c r="W144" i="8"/>
  <c r="C144" i="8" s="1"/>
  <c r="W80" i="8"/>
  <c r="V157" i="8"/>
  <c r="V170" i="8" s="1"/>
  <c r="V183" i="8" s="1"/>
  <c r="V197" i="8" s="1"/>
  <c r="V156" i="8"/>
  <c r="V169" i="8" s="1"/>
  <c r="V155" i="8"/>
  <c r="V168" i="8" s="1"/>
  <c r="V181" i="8" s="1"/>
  <c r="V195" i="8" s="1"/>
  <c r="V149" i="8"/>
  <c r="V162" i="8" s="1"/>
  <c r="V175" i="8" s="1"/>
  <c r="V189" i="8" s="1"/>
  <c r="V86" i="8"/>
  <c r="V151" i="8"/>
  <c r="V164" i="8" s="1"/>
  <c r="V177" i="8" s="1"/>
  <c r="V191" i="8" s="1"/>
  <c r="W111" i="8"/>
  <c r="W138" i="8"/>
  <c r="C138" i="8" s="1"/>
  <c r="W74" i="8"/>
  <c r="W112" i="8"/>
  <c r="W139" i="8"/>
  <c r="C139" i="8" s="1"/>
  <c r="W75" i="8"/>
  <c r="W113" i="8"/>
  <c r="W140" i="8"/>
  <c r="C140" i="8" s="1"/>
  <c r="W76" i="8"/>
  <c r="W141" i="8"/>
  <c r="C141" i="8" s="1"/>
  <c r="W114" i="8"/>
  <c r="W77" i="8"/>
  <c r="U184" i="8"/>
  <c r="V148" i="8"/>
  <c r="V161" i="8" s="1"/>
  <c r="V174" i="8" s="1"/>
  <c r="V188" i="8" s="1"/>
  <c r="V154" i="8"/>
  <c r="V167" i="8" s="1"/>
  <c r="V180" i="8" s="1"/>
  <c r="V194" i="8" s="1"/>
  <c r="W107" i="8"/>
  <c r="W134" i="8"/>
  <c r="C134" i="8" s="1"/>
  <c r="W70" i="8"/>
  <c r="W108" i="8"/>
  <c r="W135" i="8"/>
  <c r="C135" i="8" s="1"/>
  <c r="W71" i="8"/>
  <c r="W109" i="8"/>
  <c r="W136" i="8"/>
  <c r="C136" i="8" s="1"/>
  <c r="W72" i="8"/>
  <c r="W137" i="8"/>
  <c r="C137" i="8" s="1"/>
  <c r="W110" i="8"/>
  <c r="W73" i="8"/>
  <c r="V147" i="8"/>
  <c r="V160" i="8" s="1"/>
  <c r="V173" i="8" s="1"/>
  <c r="V153" i="8"/>
  <c r="V166" i="8" s="1"/>
  <c r="V179" i="8" s="1"/>
  <c r="V193" i="8" s="1"/>
  <c r="T184" i="8"/>
  <c r="W79" i="8"/>
  <c r="W78" i="8"/>
  <c r="U199" i="6"/>
  <c r="V151" i="6"/>
  <c r="V164" i="6" s="1"/>
  <c r="V177" i="6" s="1"/>
  <c r="V191" i="6" s="1"/>
  <c r="W109" i="6"/>
  <c r="W136" i="6"/>
  <c r="C136" i="6" s="1"/>
  <c r="W72" i="6"/>
  <c r="W112" i="6"/>
  <c r="W139" i="6"/>
  <c r="C139" i="6" s="1"/>
  <c r="W75" i="6"/>
  <c r="W118" i="6"/>
  <c r="W145" i="6"/>
  <c r="C145" i="6" s="1"/>
  <c r="W81" i="6"/>
  <c r="V155" i="6"/>
  <c r="V168" i="6" s="1"/>
  <c r="V181" i="6" s="1"/>
  <c r="V195" i="6" s="1"/>
  <c r="V148" i="6"/>
  <c r="V161" i="6" s="1"/>
  <c r="V174" i="6" s="1"/>
  <c r="V188" i="6" s="1"/>
  <c r="V154" i="6"/>
  <c r="V167" i="6" s="1"/>
  <c r="V180" i="6" s="1"/>
  <c r="V194" i="6" s="1"/>
  <c r="W116" i="6"/>
  <c r="W143" i="6"/>
  <c r="C143" i="6" s="1"/>
  <c r="W79" i="6"/>
  <c r="W114" i="6"/>
  <c r="W141" i="6"/>
  <c r="C141" i="6" s="1"/>
  <c r="W77" i="6"/>
  <c r="W142" i="6"/>
  <c r="C142" i="6" s="1"/>
  <c r="W115" i="6"/>
  <c r="W78" i="6"/>
  <c r="V153" i="6"/>
  <c r="V166" i="6" s="1"/>
  <c r="V179" i="6" s="1"/>
  <c r="V193" i="6" s="1"/>
  <c r="W108" i="6"/>
  <c r="W135" i="6"/>
  <c r="C135" i="6" s="1"/>
  <c r="W71" i="6"/>
  <c r="W117" i="6"/>
  <c r="W144" i="6"/>
  <c r="C144" i="6" s="1"/>
  <c r="W110" i="6"/>
  <c r="W137" i="6"/>
  <c r="C137" i="6" s="1"/>
  <c r="W73" i="6"/>
  <c r="W138" i="6"/>
  <c r="C138" i="6" s="1"/>
  <c r="W111" i="6"/>
  <c r="W74" i="6"/>
  <c r="V158" i="6"/>
  <c r="V171" i="6" s="1"/>
  <c r="V184" i="6" s="1"/>
  <c r="V198" i="6" s="1"/>
  <c r="V157" i="6"/>
  <c r="V170" i="6" s="1"/>
  <c r="V150" i="6"/>
  <c r="V163" i="6" s="1"/>
  <c r="V176" i="6" s="1"/>
  <c r="V190" i="6" s="1"/>
  <c r="V87" i="6"/>
  <c r="U185" i="6"/>
  <c r="V152" i="6"/>
  <c r="V165" i="6" s="1"/>
  <c r="V178" i="6" s="1"/>
  <c r="V192" i="6" s="1"/>
  <c r="W113" i="6"/>
  <c r="W140" i="6"/>
  <c r="C140" i="6" s="1"/>
  <c r="W76" i="6"/>
  <c r="V156" i="6"/>
  <c r="V169" i="6" s="1"/>
  <c r="V182" i="6" s="1"/>
  <c r="V196" i="6" s="1"/>
  <c r="V149" i="6"/>
  <c r="V162" i="6" s="1"/>
  <c r="V175" i="6" s="1"/>
  <c r="V189" i="6" s="1"/>
  <c r="T185" i="6"/>
  <c r="Q174" i="1"/>
  <c r="Q188" i="1" s="1"/>
  <c r="R174" i="1"/>
  <c r="R188" i="1" s="1"/>
  <c r="O198" i="1"/>
  <c r="O213" i="1" s="1"/>
  <c r="O239" i="1" s="1"/>
  <c r="O241" i="1" s="1"/>
  <c r="R179" i="1"/>
  <c r="R193" i="1" s="1"/>
  <c r="R173" i="1"/>
  <c r="R187" i="1" s="1"/>
  <c r="Q173" i="1"/>
  <c r="Q187" i="1" s="1"/>
  <c r="R180" i="1"/>
  <c r="R194" i="1" s="1"/>
  <c r="P181" i="1"/>
  <c r="P195" i="1" s="1"/>
  <c r="Q162" i="1"/>
  <c r="R175" i="1" s="1"/>
  <c r="R189" i="1" s="1"/>
  <c r="O184" i="1"/>
  <c r="S140" i="1"/>
  <c r="S153" i="1" s="1"/>
  <c r="S166" i="1" s="1"/>
  <c r="S179" i="1" s="1"/>
  <c r="S193" i="1" s="1"/>
  <c r="S113" i="1"/>
  <c r="S139" i="1"/>
  <c r="S152" i="1" s="1"/>
  <c r="S165" i="1" s="1"/>
  <c r="S112" i="1"/>
  <c r="S75" i="1"/>
  <c r="S138" i="1"/>
  <c r="S151" i="1" s="1"/>
  <c r="S164" i="1" s="1"/>
  <c r="S111" i="1"/>
  <c r="S74" i="1"/>
  <c r="S137" i="1"/>
  <c r="S150" i="1" s="1"/>
  <c r="S163" i="1" s="1"/>
  <c r="S110" i="1"/>
  <c r="S73" i="1"/>
  <c r="Q179" i="1"/>
  <c r="Q193" i="1" s="1"/>
  <c r="R150" i="1"/>
  <c r="AJ90" i="2"/>
  <c r="AJ101" i="2" s="1"/>
  <c r="P174" i="1"/>
  <c r="P188" i="1" s="1"/>
  <c r="R86" i="1"/>
  <c r="T55" i="1"/>
  <c r="T59" i="1"/>
  <c r="T66" i="1"/>
  <c r="T65" i="1"/>
  <c r="T54" i="1"/>
  <c r="T58" i="1"/>
  <c r="T62" i="1"/>
  <c r="T64" i="1"/>
  <c r="T53" i="1"/>
  <c r="T57" i="1"/>
  <c r="T61" i="1"/>
  <c r="T79" i="1" s="1"/>
  <c r="T63" i="1"/>
  <c r="T52" i="1"/>
  <c r="T56" i="1"/>
  <c r="T60" i="1"/>
  <c r="T78" i="1" s="1"/>
  <c r="T67" i="1"/>
  <c r="Q165" i="1"/>
  <c r="P177" i="1"/>
  <c r="P191" i="1" s="1"/>
  <c r="Q181" i="1"/>
  <c r="Q195" i="1" s="1"/>
  <c r="R151" i="1"/>
  <c r="S144" i="1"/>
  <c r="S117" i="1"/>
  <c r="S136" i="1"/>
  <c r="S109" i="1"/>
  <c r="S72" i="1"/>
  <c r="S143" i="1"/>
  <c r="S116" i="1"/>
  <c r="S108" i="1"/>
  <c r="S135" i="1"/>
  <c r="S71" i="1"/>
  <c r="S142" i="1"/>
  <c r="S155" i="1" s="1"/>
  <c r="S115" i="1"/>
  <c r="S141" i="1"/>
  <c r="S154" i="1" s="1"/>
  <c r="S167" i="1" s="1"/>
  <c r="S114" i="1"/>
  <c r="S77" i="1"/>
  <c r="S134" i="1"/>
  <c r="S107" i="1"/>
  <c r="S70" i="1"/>
  <c r="P176" i="1"/>
  <c r="P190" i="1" s="1"/>
  <c r="R181" i="1"/>
  <c r="R195" i="1" s="1"/>
  <c r="AJ91" i="2"/>
  <c r="AK89" i="2"/>
  <c r="R182" i="1"/>
  <c r="R196" i="1" s="1"/>
  <c r="Q170" i="1"/>
  <c r="R183" i="1" s="1"/>
  <c r="R197" i="1" s="1"/>
  <c r="P173" i="1"/>
  <c r="N239" i="1"/>
  <c r="N241" i="1" s="1"/>
  <c r="N216" i="1"/>
  <c r="S78" i="1"/>
  <c r="S80" i="1"/>
  <c r="U49" i="1"/>
  <c r="V40" i="1"/>
  <c r="U41" i="1"/>
  <c r="R152" i="1"/>
  <c r="R165" i="1" s="1"/>
  <c r="Q11" i="16" l="1"/>
  <c r="Q14" i="16" s="1"/>
  <c r="R11" i="16"/>
  <c r="R14" i="16" s="1"/>
  <c r="T241" i="6"/>
  <c r="T243" i="6" s="1"/>
  <c r="T218" i="6"/>
  <c r="W157" i="8"/>
  <c r="W170" i="8" s="1"/>
  <c r="W155" i="8"/>
  <c r="C155" i="8" s="1"/>
  <c r="U214" i="6"/>
  <c r="S8" i="16" s="1"/>
  <c r="W154" i="8"/>
  <c r="C154" i="8" s="1"/>
  <c r="W149" i="6"/>
  <c r="W162" i="6" s="1"/>
  <c r="W156" i="8"/>
  <c r="C156" i="8" s="1"/>
  <c r="W149" i="8"/>
  <c r="C149" i="8" s="1"/>
  <c r="U216" i="8"/>
  <c r="W151" i="8"/>
  <c r="W164" i="8" s="1"/>
  <c r="C157" i="8"/>
  <c r="W86" i="8"/>
  <c r="W152" i="6"/>
  <c r="W165" i="6" s="1"/>
  <c r="W157" i="6"/>
  <c r="W170" i="6" s="1"/>
  <c r="C170" i="6" s="1"/>
  <c r="W147" i="8"/>
  <c r="V187" i="8"/>
  <c r="W150" i="8"/>
  <c r="V182" i="8"/>
  <c r="V196" i="8" s="1"/>
  <c r="W154" i="6"/>
  <c r="W167" i="6" s="1"/>
  <c r="W153" i="8"/>
  <c r="W152" i="8"/>
  <c r="W148" i="8"/>
  <c r="W150" i="6"/>
  <c r="W163" i="6" s="1"/>
  <c r="W158" i="6"/>
  <c r="W171" i="6" s="1"/>
  <c r="W156" i="6"/>
  <c r="C156" i="6" s="1"/>
  <c r="W148" i="6"/>
  <c r="V183" i="6"/>
  <c r="V197" i="6" s="1"/>
  <c r="V199" i="6" s="1"/>
  <c r="W87" i="6"/>
  <c r="W153" i="6"/>
  <c r="W155" i="6"/>
  <c r="W151" i="6"/>
  <c r="R178" i="1"/>
  <c r="R192" i="1" s="1"/>
  <c r="O216" i="1"/>
  <c r="S178" i="1"/>
  <c r="S192" i="1" s="1"/>
  <c r="S168" i="1"/>
  <c r="S180" i="1"/>
  <c r="S194" i="1" s="1"/>
  <c r="W40" i="1"/>
  <c r="W49" i="1" s="1"/>
  <c r="V41" i="1"/>
  <c r="P184" i="1"/>
  <c r="P187" i="1"/>
  <c r="P198" i="1" s="1"/>
  <c r="P213" i="1" s="1"/>
  <c r="AK91" i="2"/>
  <c r="AL89" i="2"/>
  <c r="AL94" i="2" s="1"/>
  <c r="V49" i="1"/>
  <c r="Q183" i="1"/>
  <c r="Q197" i="1" s="1"/>
  <c r="AK90" i="2"/>
  <c r="AK101" i="2" s="1"/>
  <c r="AK94" i="2"/>
  <c r="S86" i="1"/>
  <c r="S147" i="1"/>
  <c r="S160" i="1" s="1"/>
  <c r="S157" i="1"/>
  <c r="T111" i="1"/>
  <c r="T138" i="1"/>
  <c r="T74" i="1"/>
  <c r="T139" i="1"/>
  <c r="T112" i="1"/>
  <c r="T75" i="1"/>
  <c r="T113" i="1"/>
  <c r="T140" i="1"/>
  <c r="T76" i="1"/>
  <c r="T141" i="1"/>
  <c r="T114" i="1"/>
  <c r="T77" i="1"/>
  <c r="Q175" i="1"/>
  <c r="U53" i="1"/>
  <c r="U57" i="1"/>
  <c r="U61" i="1"/>
  <c r="U67" i="1"/>
  <c r="U54" i="1"/>
  <c r="U58" i="1"/>
  <c r="U62" i="1"/>
  <c r="U65" i="1"/>
  <c r="U55" i="1"/>
  <c r="U59" i="1"/>
  <c r="U64" i="1"/>
  <c r="U52" i="1"/>
  <c r="U56" i="1"/>
  <c r="U60" i="1"/>
  <c r="U66" i="1"/>
  <c r="U63" i="1"/>
  <c r="T154" i="1"/>
  <c r="T167" i="1" s="1"/>
  <c r="T180" i="1" s="1"/>
  <c r="S148" i="1"/>
  <c r="S161" i="1" s="1"/>
  <c r="S156" i="1"/>
  <c r="S169" i="1" s="1"/>
  <c r="R164" i="1"/>
  <c r="S177" i="1" s="1"/>
  <c r="S191" i="1" s="1"/>
  <c r="Q178" i="1"/>
  <c r="Q192" i="1" s="1"/>
  <c r="T115" i="1"/>
  <c r="T142" i="1"/>
  <c r="T155" i="1" s="1"/>
  <c r="T168" i="1" s="1"/>
  <c r="T134" i="1"/>
  <c r="T107" i="1"/>
  <c r="T70" i="1"/>
  <c r="T143" i="1"/>
  <c r="T116" i="1"/>
  <c r="T135" i="1"/>
  <c r="T148" i="1" s="1"/>
  <c r="T161" i="1" s="1"/>
  <c r="T108" i="1"/>
  <c r="T71" i="1"/>
  <c r="T117" i="1"/>
  <c r="T144" i="1"/>
  <c r="T157" i="1" s="1"/>
  <c r="T170" i="1" s="1"/>
  <c r="T80" i="1"/>
  <c r="T136" i="1"/>
  <c r="T149" i="1" s="1"/>
  <c r="T162" i="1" s="1"/>
  <c r="T109" i="1"/>
  <c r="T72" i="1"/>
  <c r="T137" i="1"/>
  <c r="T110" i="1"/>
  <c r="T73" i="1"/>
  <c r="S149" i="1"/>
  <c r="R163" i="1"/>
  <c r="AJ99" i="2"/>
  <c r="AK99" i="2" s="1"/>
  <c r="S11" i="16" l="1"/>
  <c r="S14" i="16" s="1"/>
  <c r="W167" i="8"/>
  <c r="C167" i="8" s="1"/>
  <c r="U241" i="6"/>
  <c r="U243" i="6" s="1"/>
  <c r="U218" i="6"/>
  <c r="W168" i="8"/>
  <c r="C168" i="8" s="1"/>
  <c r="C157" i="6"/>
  <c r="C152" i="6"/>
  <c r="C149" i="6"/>
  <c r="C150" i="6"/>
  <c r="C154" i="6"/>
  <c r="W162" i="8"/>
  <c r="W175" i="8" s="1"/>
  <c r="W189" i="8" s="1"/>
  <c r="C151" i="8"/>
  <c r="W169" i="8"/>
  <c r="C147" i="8"/>
  <c r="W160" i="8"/>
  <c r="C152" i="8"/>
  <c r="W165" i="8"/>
  <c r="C153" i="8"/>
  <c r="W166" i="8"/>
  <c r="C170" i="8"/>
  <c r="W183" i="8"/>
  <c r="W197" i="8" s="1"/>
  <c r="C148" i="8"/>
  <c r="W161" i="8"/>
  <c r="V198" i="8"/>
  <c r="V213" i="8" s="1"/>
  <c r="C164" i="8"/>
  <c r="W177" i="8"/>
  <c r="W191" i="8" s="1"/>
  <c r="C150" i="8"/>
  <c r="W163" i="8"/>
  <c r="V184" i="8"/>
  <c r="C158" i="6"/>
  <c r="V185" i="6"/>
  <c r="W169" i="6"/>
  <c r="W182" i="6" s="1"/>
  <c r="W196" i="6" s="1"/>
  <c r="W183" i="6"/>
  <c r="W197" i="6" s="1"/>
  <c r="C151" i="6"/>
  <c r="W164" i="6"/>
  <c r="C153" i="6"/>
  <c r="W166" i="6"/>
  <c r="C165" i="6"/>
  <c r="W178" i="6"/>
  <c r="W192" i="6" s="1"/>
  <c r="C148" i="6"/>
  <c r="W161" i="6"/>
  <c r="W176" i="6"/>
  <c r="W190" i="6" s="1"/>
  <c r="C163" i="6"/>
  <c r="C155" i="6"/>
  <c r="W168" i="6"/>
  <c r="C167" i="6"/>
  <c r="W180" i="6"/>
  <c r="W194" i="6" s="1"/>
  <c r="C162" i="6"/>
  <c r="W175" i="6"/>
  <c r="W189" i="6" s="1"/>
  <c r="C171" i="6"/>
  <c r="W184" i="6"/>
  <c r="W198" i="6" s="1"/>
  <c r="T194" i="1"/>
  <c r="T181" i="1"/>
  <c r="T195" i="1" s="1"/>
  <c r="T174" i="1"/>
  <c r="T188" i="1" s="1"/>
  <c r="R176" i="1"/>
  <c r="S176" i="1"/>
  <c r="S190" i="1" s="1"/>
  <c r="T150" i="1"/>
  <c r="T163" i="1" s="1"/>
  <c r="T176" i="1" s="1"/>
  <c r="T190" i="1" s="1"/>
  <c r="T156" i="1"/>
  <c r="T169" i="1" s="1"/>
  <c r="T182" i="1" s="1"/>
  <c r="T196" i="1" s="1"/>
  <c r="S182" i="1"/>
  <c r="S196" i="1" s="1"/>
  <c r="S174" i="1"/>
  <c r="S188" i="1" s="1"/>
  <c r="U111" i="1"/>
  <c r="U138" i="1"/>
  <c r="U151" i="1" s="1"/>
  <c r="U164" i="1" s="1"/>
  <c r="U74" i="1"/>
  <c r="U137" i="1"/>
  <c r="U150" i="1" s="1"/>
  <c r="U163" i="1" s="1"/>
  <c r="U110" i="1"/>
  <c r="U73" i="1"/>
  <c r="U144" i="1"/>
  <c r="U157" i="1" s="1"/>
  <c r="U170" i="1" s="1"/>
  <c r="U117" i="1"/>
  <c r="U80" i="1"/>
  <c r="U136" i="1"/>
  <c r="U149" i="1" s="1"/>
  <c r="U162" i="1" s="1"/>
  <c r="U109" i="1"/>
  <c r="U72" i="1"/>
  <c r="U143" i="1"/>
  <c r="U156" i="1" s="1"/>
  <c r="U169" i="1" s="1"/>
  <c r="U116" i="1"/>
  <c r="U79" i="1"/>
  <c r="U135" i="1"/>
  <c r="U108" i="1"/>
  <c r="U71" i="1"/>
  <c r="T153" i="1"/>
  <c r="T166" i="1" s="1"/>
  <c r="T179" i="1" s="1"/>
  <c r="T193" i="1" s="1"/>
  <c r="T152" i="1"/>
  <c r="T165" i="1" s="1"/>
  <c r="T151" i="1"/>
  <c r="T164" i="1" s="1"/>
  <c r="T177" i="1" s="1"/>
  <c r="T191" i="1" s="1"/>
  <c r="S170" i="1"/>
  <c r="S173" i="1"/>
  <c r="AL90" i="2"/>
  <c r="AL101" i="2" s="1"/>
  <c r="S181" i="1"/>
  <c r="S195" i="1" s="1"/>
  <c r="S162" i="1"/>
  <c r="T175" i="1" s="1"/>
  <c r="T189" i="1" s="1"/>
  <c r="T86" i="1"/>
  <c r="R177" i="1"/>
  <c r="R191" i="1" s="1"/>
  <c r="U142" i="1"/>
  <c r="U155" i="1" s="1"/>
  <c r="U168" i="1" s="1"/>
  <c r="U181" i="1" s="1"/>
  <c r="U115" i="1"/>
  <c r="U78" i="1"/>
  <c r="U134" i="1"/>
  <c r="U147" i="1" s="1"/>
  <c r="U160" i="1" s="1"/>
  <c r="U107" i="1"/>
  <c r="U70" i="1"/>
  <c r="U141" i="1"/>
  <c r="U114" i="1"/>
  <c r="U77" i="1"/>
  <c r="U113" i="1"/>
  <c r="U140" i="1"/>
  <c r="U153" i="1" s="1"/>
  <c r="U166" i="1" s="1"/>
  <c r="U76" i="1"/>
  <c r="U139" i="1"/>
  <c r="U152" i="1" s="1"/>
  <c r="U165" i="1" s="1"/>
  <c r="U112" i="1"/>
  <c r="U75" i="1"/>
  <c r="Q189" i="1"/>
  <c r="Q198" i="1" s="1"/>
  <c r="Q213" i="1" s="1"/>
  <c r="Q184" i="1"/>
  <c r="T147" i="1"/>
  <c r="T160" i="1" s="1"/>
  <c r="T173" i="1" s="1"/>
  <c r="AL91" i="2"/>
  <c r="AM89" i="2"/>
  <c r="AM90" i="2" s="1"/>
  <c r="AM101" i="2" s="1"/>
  <c r="P239" i="1"/>
  <c r="P241" i="1" s="1"/>
  <c r="P216" i="1"/>
  <c r="V55" i="1"/>
  <c r="V59" i="1"/>
  <c r="V66" i="1"/>
  <c r="V52" i="1"/>
  <c r="V56" i="1"/>
  <c r="V60" i="1"/>
  <c r="V64" i="1"/>
  <c r="V63" i="1"/>
  <c r="V57" i="1"/>
  <c r="V67" i="1"/>
  <c r="V58" i="1"/>
  <c r="V65" i="1"/>
  <c r="V53" i="1"/>
  <c r="V61" i="1"/>
  <c r="V54" i="1"/>
  <c r="V62" i="1"/>
  <c r="X40" i="1"/>
  <c r="X41" i="1" s="1"/>
  <c r="X44" i="1" s="1"/>
  <c r="W41" i="1"/>
  <c r="W180" i="8" l="1"/>
  <c r="W194" i="8" s="1"/>
  <c r="AM94" i="2"/>
  <c r="W181" i="8"/>
  <c r="W195" i="8" s="1"/>
  <c r="V214" i="6"/>
  <c r="C169" i="6"/>
  <c r="C162" i="8"/>
  <c r="C169" i="8"/>
  <c r="W182" i="8"/>
  <c r="W196" i="8" s="1"/>
  <c r="C163" i="8"/>
  <c r="W176" i="8"/>
  <c r="W190" i="8" s="1"/>
  <c r="C160" i="8"/>
  <c r="W173" i="8"/>
  <c r="V239" i="8"/>
  <c r="V241" i="8" s="1"/>
  <c r="V216" i="8"/>
  <c r="C161" i="8"/>
  <c r="W174" i="8"/>
  <c r="W188" i="8" s="1"/>
  <c r="C165" i="8"/>
  <c r="W178" i="8"/>
  <c r="W192" i="8" s="1"/>
  <c r="W179" i="8"/>
  <c r="W193" i="8" s="1"/>
  <c r="C166" i="8"/>
  <c r="C168" i="6"/>
  <c r="W181" i="6"/>
  <c r="W195" i="6" s="1"/>
  <c r="C161" i="6"/>
  <c r="W174" i="6"/>
  <c r="C164" i="6"/>
  <c r="W177" i="6"/>
  <c r="W191" i="6" s="1"/>
  <c r="C166" i="6"/>
  <c r="W179" i="6"/>
  <c r="W193" i="6" s="1"/>
  <c r="U195" i="1"/>
  <c r="AL99" i="2"/>
  <c r="U182" i="1"/>
  <c r="U196" i="1" s="1"/>
  <c r="U179" i="1"/>
  <c r="U193" i="1" s="1"/>
  <c r="U176" i="1"/>
  <c r="U190" i="1" s="1"/>
  <c r="U175" i="1"/>
  <c r="U189" i="1" s="1"/>
  <c r="U178" i="1"/>
  <c r="U192" i="1" s="1"/>
  <c r="U173" i="1"/>
  <c r="U187" i="1" s="1"/>
  <c r="U183" i="1"/>
  <c r="U197" i="1" s="1"/>
  <c r="U177" i="1"/>
  <c r="U191" i="1" s="1"/>
  <c r="V136" i="1"/>
  <c r="V109" i="1"/>
  <c r="V72" i="1"/>
  <c r="V113" i="1"/>
  <c r="V140" i="1"/>
  <c r="V153" i="1" s="1"/>
  <c r="V166" i="1" s="1"/>
  <c r="V179" i="1" s="1"/>
  <c r="V76" i="1"/>
  <c r="U154" i="1"/>
  <c r="U167" i="1" s="1"/>
  <c r="U180" i="1" s="1"/>
  <c r="U194" i="1" s="1"/>
  <c r="T178" i="1"/>
  <c r="T192" i="1" s="1"/>
  <c r="U148" i="1"/>
  <c r="U161" i="1" s="1"/>
  <c r="U174" i="1" s="1"/>
  <c r="U188" i="1" s="1"/>
  <c r="R184" i="1"/>
  <c r="R190" i="1"/>
  <c r="R198" i="1" s="1"/>
  <c r="R213" i="1" s="1"/>
  <c r="V135" i="1"/>
  <c r="V148" i="1" s="1"/>
  <c r="V161" i="1" s="1"/>
  <c r="V108" i="1"/>
  <c r="V71" i="1"/>
  <c r="V112" i="1"/>
  <c r="V139" i="1"/>
  <c r="V75" i="1"/>
  <c r="V138" i="1"/>
  <c r="V111" i="1"/>
  <c r="V74" i="1"/>
  <c r="V137" i="1"/>
  <c r="V110" i="1"/>
  <c r="V73" i="1"/>
  <c r="AM99" i="2"/>
  <c r="W56" i="1"/>
  <c r="W60" i="1"/>
  <c r="W66" i="1"/>
  <c r="W63" i="1"/>
  <c r="W53" i="1"/>
  <c r="W57" i="1"/>
  <c r="W61" i="1"/>
  <c r="W67" i="1"/>
  <c r="W54" i="1"/>
  <c r="W58" i="1"/>
  <c r="W62" i="1"/>
  <c r="W64" i="1"/>
  <c r="W52" i="1"/>
  <c r="W55" i="1"/>
  <c r="W59" i="1"/>
  <c r="W77" i="1" s="1"/>
  <c r="W65" i="1"/>
  <c r="B41" i="1"/>
  <c r="B44" i="1" s="1"/>
  <c r="V144" i="1"/>
  <c r="V117" i="1"/>
  <c r="V80" i="1"/>
  <c r="V116" i="1"/>
  <c r="V143" i="1"/>
  <c r="V79" i="1"/>
  <c r="V115" i="1"/>
  <c r="V142" i="1"/>
  <c r="V155" i="1" s="1"/>
  <c r="V168" i="1" s="1"/>
  <c r="V181" i="1" s="1"/>
  <c r="V78" i="1"/>
  <c r="V107" i="1"/>
  <c r="V134" i="1"/>
  <c r="V70" i="1"/>
  <c r="V141" i="1"/>
  <c r="V154" i="1" s="1"/>
  <c r="V167" i="1" s="1"/>
  <c r="V114" i="1"/>
  <c r="V77" i="1"/>
  <c r="AM91" i="2"/>
  <c r="AN89" i="2"/>
  <c r="AN94" i="2" s="1"/>
  <c r="Q216" i="1"/>
  <c r="Q239" i="1"/>
  <c r="Q241" i="1" s="1"/>
  <c r="U86" i="1"/>
  <c r="T187" i="1"/>
  <c r="S175" i="1"/>
  <c r="S189" i="1" s="1"/>
  <c r="S187" i="1"/>
  <c r="S183" i="1"/>
  <c r="S197" i="1" s="1"/>
  <c r="T183" i="1"/>
  <c r="T197" i="1" s="1"/>
  <c r="V218" i="6" l="1"/>
  <c r="T8" i="16"/>
  <c r="V241" i="6"/>
  <c r="V243" i="6" s="1"/>
  <c r="W184" i="8"/>
  <c r="W187" i="8"/>
  <c r="W198" i="8" s="1"/>
  <c r="W213" i="8" s="1"/>
  <c r="W185" i="6"/>
  <c r="W188" i="6"/>
  <c r="W199" i="6" s="1"/>
  <c r="V180" i="1"/>
  <c r="V194" i="1" s="1"/>
  <c r="V193" i="1"/>
  <c r="U198" i="1"/>
  <c r="U213" i="1" s="1"/>
  <c r="U216" i="1" s="1"/>
  <c r="S198" i="1"/>
  <c r="S213" i="1" s="1"/>
  <c r="S239" i="1" s="1"/>
  <c r="S241" i="1" s="1"/>
  <c r="V174" i="1"/>
  <c r="V188" i="1" s="1"/>
  <c r="S184" i="1"/>
  <c r="AN90" i="2"/>
  <c r="AN101" i="2" s="1"/>
  <c r="V147" i="1"/>
  <c r="V160" i="1" s="1"/>
  <c r="V173" i="1" s="1"/>
  <c r="V187" i="1" s="1"/>
  <c r="V157" i="1"/>
  <c r="V170" i="1" s="1"/>
  <c r="V183" i="1" s="1"/>
  <c r="V197" i="1" s="1"/>
  <c r="W137" i="1"/>
  <c r="C137" i="1" s="1"/>
  <c r="W110" i="1"/>
  <c r="W113" i="1"/>
  <c r="W140" i="1"/>
  <c r="W76" i="1"/>
  <c r="W112" i="1"/>
  <c r="W139" i="1"/>
  <c r="C139" i="1" s="1"/>
  <c r="W75" i="1"/>
  <c r="W142" i="1"/>
  <c r="W115" i="1"/>
  <c r="W78" i="1"/>
  <c r="W73" i="1"/>
  <c r="R216" i="1"/>
  <c r="R239" i="1"/>
  <c r="R241" i="1" s="1"/>
  <c r="U184" i="1"/>
  <c r="T198" i="1"/>
  <c r="T213" i="1" s="1"/>
  <c r="T184" i="1"/>
  <c r="AN91" i="2"/>
  <c r="AO89" i="2"/>
  <c r="AO90" i="2" s="1"/>
  <c r="AO101" i="2" s="1"/>
  <c r="V86" i="1"/>
  <c r="V195" i="1"/>
  <c r="W141" i="1"/>
  <c r="C141" i="1" s="1"/>
  <c r="W114" i="1"/>
  <c r="W134" i="1"/>
  <c r="C134" i="1" s="1"/>
  <c r="W107" i="1"/>
  <c r="W70" i="1"/>
  <c r="W144" i="1"/>
  <c r="C144" i="1" s="1"/>
  <c r="W117" i="1"/>
  <c r="W80" i="1"/>
  <c r="W109" i="1"/>
  <c r="W136" i="1"/>
  <c r="C136" i="1" s="1"/>
  <c r="W72" i="1"/>
  <c r="W116" i="1"/>
  <c r="W143" i="1"/>
  <c r="C143" i="1" s="1"/>
  <c r="W108" i="1"/>
  <c r="W135" i="1"/>
  <c r="C135" i="1" s="1"/>
  <c r="W71" i="1"/>
  <c r="W111" i="1"/>
  <c r="W138" i="1"/>
  <c r="C138" i="1" s="1"/>
  <c r="W74" i="1"/>
  <c r="V150" i="1"/>
  <c r="V163" i="1" s="1"/>
  <c r="V176" i="1" s="1"/>
  <c r="V190" i="1" s="1"/>
  <c r="W150" i="1"/>
  <c r="W151" i="1"/>
  <c r="V151" i="1"/>
  <c r="V164" i="1" s="1"/>
  <c r="V177" i="1" s="1"/>
  <c r="V191" i="1" s="1"/>
  <c r="V152" i="1"/>
  <c r="V165" i="1" s="1"/>
  <c r="V178" i="1" s="1"/>
  <c r="V192" i="1" s="1"/>
  <c r="V149" i="1"/>
  <c r="V162" i="1" s="1"/>
  <c r="V175" i="1" s="1"/>
  <c r="V189" i="1" s="1"/>
  <c r="V156" i="1"/>
  <c r="V169" i="1" s="1"/>
  <c r="W79" i="1"/>
  <c r="T11" i="16" l="1"/>
  <c r="T14" i="16" s="1"/>
  <c r="W149" i="1"/>
  <c r="W152" i="1"/>
  <c r="AN99" i="2"/>
  <c r="W214" i="6"/>
  <c r="C220" i="6" s="1"/>
  <c r="C221" i="6" s="1"/>
  <c r="W239" i="8"/>
  <c r="W241" i="8" s="1"/>
  <c r="C242" i="8" s="1"/>
  <c r="W216" i="8"/>
  <c r="C217" i="8" s="1"/>
  <c r="C218" i="8"/>
  <c r="C219" i="8" s="1"/>
  <c r="W148" i="1"/>
  <c r="W161" i="1" s="1"/>
  <c r="W154" i="1"/>
  <c r="C154" i="1" s="1"/>
  <c r="U239" i="1"/>
  <c r="U241" i="1" s="1"/>
  <c r="S216" i="1"/>
  <c r="V182" i="1"/>
  <c r="V196" i="1" s="1"/>
  <c r="V198" i="1" s="1"/>
  <c r="V213" i="1" s="1"/>
  <c r="W162" i="1"/>
  <c r="C149" i="1"/>
  <c r="W164" i="1"/>
  <c r="C151" i="1"/>
  <c r="AO91" i="2"/>
  <c r="AP89" i="2"/>
  <c r="AO94" i="2"/>
  <c r="T239" i="1"/>
  <c r="T241" i="1" s="1"/>
  <c r="T216" i="1"/>
  <c r="C142" i="1"/>
  <c r="W155" i="1"/>
  <c r="W157" i="1"/>
  <c r="W165" i="1"/>
  <c r="C152" i="1"/>
  <c r="W163" i="1"/>
  <c r="C150" i="1"/>
  <c r="W86" i="1"/>
  <c r="AO99" i="2"/>
  <c r="C140" i="1"/>
  <c r="W153" i="1"/>
  <c r="W156" i="1"/>
  <c r="W147" i="1"/>
  <c r="U8" i="16" l="1"/>
  <c r="U11" i="16" s="1"/>
  <c r="W218" i="6"/>
  <c r="W241" i="6"/>
  <c r="W243" i="6" s="1"/>
  <c r="C244" i="6" s="1"/>
  <c r="D221" i="8"/>
  <c r="C223" i="8"/>
  <c r="C148" i="1"/>
  <c r="W167" i="1"/>
  <c r="C167" i="1" s="1"/>
  <c r="V184" i="1"/>
  <c r="C156" i="1"/>
  <c r="W169" i="1"/>
  <c r="V239" i="1"/>
  <c r="V241" i="1" s="1"/>
  <c r="V216" i="1"/>
  <c r="C163" i="1"/>
  <c r="W176" i="1"/>
  <c r="W190" i="1" s="1"/>
  <c r="W178" i="1"/>
  <c r="W192" i="1" s="1"/>
  <c r="C165" i="1"/>
  <c r="W170" i="1"/>
  <c r="C157" i="1"/>
  <c r="AQ89" i="2"/>
  <c r="AQ90" i="2" s="1"/>
  <c r="AQ101" i="2" s="1"/>
  <c r="AP91" i="2"/>
  <c r="W177" i="1"/>
  <c r="W191" i="1" s="1"/>
  <c r="C164" i="1"/>
  <c r="C161" i="1"/>
  <c r="W174" i="1"/>
  <c r="W188" i="1" s="1"/>
  <c r="C162" i="1"/>
  <c r="W175" i="1"/>
  <c r="W189" i="1" s="1"/>
  <c r="W160" i="1"/>
  <c r="C147" i="1"/>
  <c r="W166" i="1"/>
  <c r="C153" i="1"/>
  <c r="W180" i="1"/>
  <c r="W194" i="1" s="1"/>
  <c r="W168" i="1"/>
  <c r="C155" i="1"/>
  <c r="AP90" i="2"/>
  <c r="AP101" i="2" s="1"/>
  <c r="AP94" i="2"/>
  <c r="U14" i="16" l="1"/>
  <c r="B19" i="16"/>
  <c r="C219" i="6"/>
  <c r="D21" i="14" s="1"/>
  <c r="D219" i="6"/>
  <c r="D220" i="6" s="1"/>
  <c r="C225" i="6"/>
  <c r="AP99" i="2"/>
  <c r="AQ99" i="2" s="1"/>
  <c r="W179" i="1"/>
  <c r="W193" i="1" s="1"/>
  <c r="C166" i="1"/>
  <c r="C160" i="1"/>
  <c r="W173" i="1"/>
  <c r="AQ91" i="2"/>
  <c r="AR89" i="2"/>
  <c r="AR94" i="2" s="1"/>
  <c r="C169" i="1"/>
  <c r="W182" i="1"/>
  <c r="W196" i="1" s="1"/>
  <c r="C168" i="1"/>
  <c r="W181" i="1"/>
  <c r="W195" i="1" s="1"/>
  <c r="AQ94" i="2"/>
  <c r="W183" i="1"/>
  <c r="W197" i="1" s="1"/>
  <c r="C170" i="1"/>
  <c r="B16" i="16" l="1"/>
  <c r="B18" i="16"/>
  <c r="D223" i="6"/>
  <c r="AR90" i="2"/>
  <c r="AR101" i="2" s="1"/>
  <c r="AR91" i="2"/>
  <c r="AS89" i="2"/>
  <c r="AS90" i="2" s="1"/>
  <c r="AS101" i="2" s="1"/>
  <c r="W184" i="1"/>
  <c r="W187" i="1"/>
  <c r="W198" i="1" s="1"/>
  <c r="W213" i="1" s="1"/>
  <c r="AR99" i="2" l="1"/>
  <c r="AS99" i="2" s="1"/>
  <c r="AS91" i="2"/>
  <c r="AT89" i="2"/>
  <c r="AT94" i="2" s="1"/>
  <c r="AS94" i="2"/>
  <c r="W239" i="1"/>
  <c r="W241" i="1" s="1"/>
  <c r="C242" i="1" s="1"/>
  <c r="W216" i="1"/>
  <c r="C217" i="1" s="1"/>
  <c r="C218" i="1"/>
  <c r="C219" i="1" s="1"/>
  <c r="D221" i="1" l="1"/>
  <c r="C223" i="1"/>
  <c r="AT90" i="2"/>
  <c r="AU89" i="2"/>
  <c r="AU94" i="2" s="1"/>
  <c r="AT91" i="2"/>
  <c r="AU90" i="2" l="1"/>
  <c r="AU101" i="2" s="1"/>
  <c r="AU91" i="2"/>
  <c r="AV89" i="2"/>
  <c r="AT101" i="2"/>
  <c r="AT99" i="2"/>
  <c r="AU99" i="2" s="1"/>
  <c r="AV91" i="2" l="1"/>
  <c r="AW89" i="2"/>
  <c r="AW94" i="2" s="1"/>
  <c r="AV90" i="2"/>
  <c r="AV101" i="2" s="1"/>
  <c r="AV94" i="2"/>
  <c r="AW90" i="2" l="1"/>
  <c r="AW101" i="2" s="1"/>
  <c r="AW91" i="2"/>
  <c r="AX89" i="2"/>
  <c r="AV99" i="2"/>
  <c r="AW99" i="2" l="1"/>
  <c r="AX91" i="2"/>
  <c r="AY89" i="2"/>
  <c r="AX90" i="2"/>
  <c r="AX101" i="2" s="1"/>
  <c r="AX94" i="2"/>
  <c r="AX99" i="2" l="1"/>
  <c r="AY91" i="2"/>
  <c r="AZ89" i="2"/>
  <c r="AZ94" i="2" s="1"/>
  <c r="AY90" i="2"/>
  <c r="AY101" i="2" s="1"/>
  <c r="AY94" i="2"/>
  <c r="AZ90" i="2" l="1"/>
  <c r="AZ101" i="2" s="1"/>
  <c r="AZ91" i="2"/>
  <c r="BA89" i="2"/>
  <c r="BA94" i="2" s="1"/>
  <c r="AY99" i="2"/>
  <c r="AZ99" i="2" l="1"/>
  <c r="BA91" i="2"/>
  <c r="BB89" i="2"/>
  <c r="BB90" i="2" s="1"/>
  <c r="BB101" i="2" s="1"/>
  <c r="BA90" i="2"/>
  <c r="BA101" i="2" s="1"/>
  <c r="BB91" i="2" l="1"/>
  <c r="BC89" i="2"/>
  <c r="BB94" i="2"/>
  <c r="BA99" i="2"/>
  <c r="BB99" i="2" s="1"/>
  <c r="BC91" i="2" l="1"/>
  <c r="BD89" i="2"/>
  <c r="BD90" i="2" s="1"/>
  <c r="BD101" i="2" s="1"/>
  <c r="BC90" i="2"/>
  <c r="BC101" i="2" s="1"/>
  <c r="BC94" i="2"/>
  <c r="BC99" i="2" l="1"/>
  <c r="BD99" i="2" s="1"/>
  <c r="BE89" i="2"/>
  <c r="BE93" i="2" s="1"/>
  <c r="BD91" i="2"/>
  <c r="BE86" i="2"/>
  <c r="BD94" i="2"/>
  <c r="BF86" i="2" l="1"/>
  <c r="BG86" i="2" s="1"/>
  <c r="BH86" i="2" s="1"/>
  <c r="BI86" i="2" s="1"/>
  <c r="BJ86" i="2" s="1"/>
  <c r="BK86" i="2" s="1"/>
  <c r="BL86" i="2" s="1"/>
  <c r="BM86" i="2" s="1"/>
  <c r="BN86" i="2" s="1"/>
  <c r="BO86" i="2" s="1"/>
  <c r="BP86" i="2" s="1"/>
  <c r="BQ86" i="2" s="1"/>
  <c r="BR86" i="2" s="1"/>
  <c r="BS86" i="2" s="1"/>
  <c r="BT86" i="2" s="1"/>
  <c r="BE90" i="2"/>
  <c r="BE101" i="2" s="1"/>
  <c r="BE91" i="2"/>
  <c r="BF89" i="2"/>
  <c r="BF93" i="2" s="1"/>
  <c r="BF90" i="2" l="1"/>
  <c r="BF101" i="2" s="1"/>
  <c r="BG89" i="2"/>
  <c r="BG93" i="2" s="1"/>
  <c r="BF91" i="2"/>
  <c r="BG90" i="2"/>
  <c r="BG101" i="2" s="1"/>
  <c r="BE99" i="2"/>
  <c r="BF99" i="2" s="1"/>
  <c r="BF84" i="2"/>
  <c r="BG99" i="2" l="1"/>
  <c r="BG91" i="2"/>
  <c r="BH89" i="2"/>
  <c r="BH91" i="2" l="1"/>
  <c r="BI89" i="2"/>
  <c r="BH90" i="2"/>
  <c r="BH93" i="2"/>
  <c r="BI91" i="2" l="1"/>
  <c r="BJ89" i="2"/>
  <c r="BH101" i="2"/>
  <c r="BH99" i="2"/>
  <c r="BI90" i="2"/>
  <c r="BI101" i="2" s="1"/>
  <c r="BI93" i="2"/>
  <c r="BI99" i="2" l="1"/>
  <c r="BK89" i="2"/>
  <c r="BK93" i="2" s="1"/>
  <c r="BJ91" i="2"/>
  <c r="BK90" i="2"/>
  <c r="BK101" i="2" s="1"/>
  <c r="BJ90" i="2"/>
  <c r="BJ101" i="2" s="1"/>
  <c r="BJ93" i="2"/>
  <c r="BK91" i="2" l="1"/>
  <c r="BL89" i="2"/>
  <c r="BJ99" i="2"/>
  <c r="BK99" i="2" s="1"/>
  <c r="BL91" i="2" l="1"/>
  <c r="BM89" i="2"/>
  <c r="BL90" i="2"/>
  <c r="BL101" i="2" s="1"/>
  <c r="BL93" i="2"/>
  <c r="BM91" i="2" l="1"/>
  <c r="BN89" i="2"/>
  <c r="BL99" i="2"/>
  <c r="BM90" i="2"/>
  <c r="BM101" i="2" s="1"/>
  <c r="BM93" i="2"/>
  <c r="BO89" i="2" l="1"/>
  <c r="BO93" i="2" s="1"/>
  <c r="BN91" i="2"/>
  <c r="BM99" i="2"/>
  <c r="BN90" i="2"/>
  <c r="BN101" i="2" s="1"/>
  <c r="BN93" i="2"/>
  <c r="BO90" i="2" l="1"/>
  <c r="BO101" i="2" s="1"/>
  <c r="BN99" i="2"/>
  <c r="BO91" i="2"/>
  <c r="BP89" i="2"/>
  <c r="BP93" i="2" s="1"/>
  <c r="BO99" i="2" l="1"/>
  <c r="BP90" i="2"/>
  <c r="BP101" i="2" s="1"/>
  <c r="BP91" i="2"/>
  <c r="BQ89" i="2"/>
  <c r="BP99" i="2" l="1"/>
  <c r="BQ91" i="2"/>
  <c r="BR89" i="2"/>
  <c r="BQ90" i="2"/>
  <c r="BQ101" i="2" s="1"/>
  <c r="BQ93" i="2"/>
  <c r="BS89" i="2" l="1"/>
  <c r="BS93" i="2" s="1"/>
  <c r="BR91" i="2"/>
  <c r="BQ99" i="2"/>
  <c r="BR90" i="2"/>
  <c r="BR101" i="2" s="1"/>
  <c r="BR93" i="2"/>
  <c r="BR99" i="2" l="1"/>
  <c r="BS90" i="2"/>
  <c r="BS101" i="2" s="1"/>
  <c r="BS91" i="2"/>
  <c r="BT89" i="2"/>
  <c r="BT91" i="2" l="1"/>
  <c r="BO92" i="2" s="1"/>
  <c r="BU86" i="2"/>
  <c r="BT90" i="2"/>
  <c r="BT101" i="2" s="1"/>
  <c r="BT93" i="2"/>
  <c r="BP92" i="2"/>
  <c r="BS99" i="2"/>
  <c r="BS92" i="2" l="1"/>
  <c r="BL92" i="2"/>
  <c r="BM92" i="2"/>
  <c r="BK92" i="2"/>
  <c r="BR92" i="2"/>
  <c r="BQ92" i="2"/>
  <c r="BT99" i="2"/>
  <c r="BT95" i="2"/>
  <c r="P95" i="2"/>
  <c r="AL95" i="2"/>
  <c r="I95" i="2"/>
  <c r="W95" i="2"/>
  <c r="AP95" i="2"/>
  <c r="K95" i="2"/>
  <c r="AE95" i="2"/>
  <c r="AZ95" i="2"/>
  <c r="S95" i="2"/>
  <c r="AO95" i="2"/>
  <c r="BC95" i="2"/>
  <c r="Z95" i="2"/>
  <c r="AM95" i="2"/>
  <c r="AJ95" i="2"/>
  <c r="AV95" i="2"/>
  <c r="T95" i="2"/>
  <c r="AH95" i="2"/>
  <c r="BD95" i="2"/>
  <c r="R95" i="2"/>
  <c r="AS95" i="2"/>
  <c r="L95" i="2"/>
  <c r="AC95" i="2"/>
  <c r="AQ95" i="2"/>
  <c r="O95" i="2"/>
  <c r="AF95" i="2"/>
  <c r="BA95" i="2"/>
  <c r="X95" i="2"/>
  <c r="AT95" i="2"/>
  <c r="J95" i="2"/>
  <c r="AA95" i="2"/>
  <c r="AR95" i="2"/>
  <c r="AK95" i="2"/>
  <c r="BB95" i="2"/>
  <c r="V95" i="2"/>
  <c r="AN95" i="2"/>
  <c r="G95" i="2"/>
  <c r="Y95" i="2"/>
  <c r="AY95" i="2"/>
  <c r="M95" i="2"/>
  <c r="AI95" i="2"/>
  <c r="AW95" i="2"/>
  <c r="U95" i="2"/>
  <c r="AG95" i="2"/>
  <c r="H95" i="2"/>
  <c r="AD95" i="2"/>
  <c r="AU95" i="2"/>
  <c r="N95" i="2"/>
  <c r="AB95" i="2"/>
  <c r="AX95" i="2"/>
  <c r="Q95" i="2"/>
  <c r="BF95" i="2"/>
  <c r="BE95" i="2"/>
  <c r="BG95" i="2"/>
  <c r="BI95" i="2"/>
  <c r="BJ95" i="2"/>
  <c r="BH95" i="2"/>
  <c r="BK95" i="2"/>
  <c r="BL95" i="2"/>
  <c r="BM95" i="2"/>
  <c r="BS95" i="2"/>
  <c r="BR95" i="2"/>
  <c r="BP95" i="2"/>
  <c r="BN95" i="2"/>
  <c r="BO95" i="2"/>
  <c r="BQ95" i="2"/>
  <c r="BT92" i="2"/>
  <c r="H92" i="2"/>
  <c r="I92" i="2"/>
  <c r="G92" i="2"/>
  <c r="J92" i="2"/>
  <c r="L92" i="2"/>
  <c r="K92" i="2"/>
  <c r="M92" i="2"/>
  <c r="Q92" i="2"/>
  <c r="S92" i="2"/>
  <c r="N92" i="2"/>
  <c r="O92" i="2"/>
  <c r="P92" i="2"/>
  <c r="R92" i="2"/>
  <c r="U92" i="2"/>
  <c r="T92" i="2"/>
  <c r="W92" i="2"/>
  <c r="V92" i="2"/>
  <c r="X92" i="2"/>
  <c r="Z92" i="2"/>
  <c r="Y92" i="2"/>
  <c r="AD92" i="2"/>
  <c r="AC92" i="2"/>
  <c r="AB92" i="2"/>
  <c r="AA92" i="2"/>
  <c r="AH92" i="2"/>
  <c r="AE92" i="2"/>
  <c r="AF92" i="2"/>
  <c r="AJ92" i="2"/>
  <c r="AG92" i="2"/>
  <c r="AL92" i="2"/>
  <c r="AI92" i="2"/>
  <c r="AM92" i="2"/>
  <c r="AK92" i="2"/>
  <c r="AN92" i="2"/>
  <c r="AP92" i="2"/>
  <c r="AO92" i="2"/>
  <c r="AR92" i="2"/>
  <c r="AQ92" i="2"/>
  <c r="AU92" i="2"/>
  <c r="AS92" i="2"/>
  <c r="AT92" i="2"/>
  <c r="AV92" i="2"/>
  <c r="AW92" i="2"/>
  <c r="AX92" i="2"/>
  <c r="AZ92" i="2"/>
  <c r="AY92" i="2"/>
  <c r="BB92" i="2"/>
  <c r="BC92" i="2"/>
  <c r="BA92" i="2"/>
  <c r="BD92" i="2"/>
  <c r="BE92" i="2"/>
  <c r="BG92" i="2"/>
  <c r="BF92" i="2"/>
  <c r="BH92" i="2"/>
  <c r="BJ92" i="2"/>
  <c r="BI92" i="2"/>
  <c r="BN92" i="2"/>
  <c r="G97" i="2" l="1"/>
  <c r="G96" i="2"/>
</calcChain>
</file>

<file path=xl/comments1.xml><?xml version="1.0" encoding="utf-8"?>
<comments xmlns="http://schemas.openxmlformats.org/spreadsheetml/2006/main">
  <authors>
    <author>Vaio-PC</author>
    <author>derenb</author>
  </authors>
  <commentList>
    <comment ref="B9" authorId="0" shapeId="0">
      <text>
        <r>
          <rPr>
            <b/>
            <sz val="9"/>
            <color indexed="81"/>
            <rFont val="Tahoma"/>
            <family val="2"/>
          </rPr>
          <t>Vaio-PC:</t>
        </r>
        <r>
          <rPr>
            <sz val="9"/>
            <color indexed="81"/>
            <rFont val="Tahoma"/>
            <family val="2"/>
          </rPr>
          <t xml:space="preserve">
Health Indicators, 2011. State Implementing Agency of Mongolia
</t>
        </r>
      </text>
    </comment>
    <comment ref="B11" authorId="1" shapeId="0">
      <text>
        <r>
          <rPr>
            <b/>
            <sz val="8"/>
            <color indexed="81"/>
            <rFont val="Tahoma"/>
            <family val="2"/>
          </rPr>
          <t>derenb:</t>
        </r>
        <r>
          <rPr>
            <sz val="8"/>
            <color indexed="81"/>
            <rFont val="Tahoma"/>
            <family val="2"/>
          </rPr>
          <t xml:space="preserve">
Approximately 28% of population is under 15 and 4% 65 and over.</t>
        </r>
      </text>
    </comment>
    <comment ref="D46" authorId="1" shapeId="0">
      <text>
        <r>
          <rPr>
            <b/>
            <sz val="8"/>
            <color indexed="81"/>
            <rFont val="Tahoma"/>
            <family val="2"/>
          </rPr>
          <t>derenb:</t>
        </r>
        <r>
          <rPr>
            <sz val="8"/>
            <color indexed="81"/>
            <rFont val="Tahoma"/>
            <family val="2"/>
          </rPr>
          <t xml:space="preserve">
68% of population are aged15 - 64</t>
        </r>
      </text>
    </comment>
    <comment ref="A215" authorId="0" shapeId="0">
      <text>
        <r>
          <rPr>
            <b/>
            <sz val="9"/>
            <color indexed="81"/>
            <rFont val="Tahoma"/>
            <family val="2"/>
          </rPr>
          <t>Vaio-PC:</t>
        </r>
        <r>
          <rPr>
            <sz val="9"/>
            <color indexed="81"/>
            <rFont val="Tahoma"/>
            <family val="2"/>
          </rPr>
          <t xml:space="preserve">
Updated based on Mulityear Investment Plan QPR March 
2013</t>
        </r>
      </text>
    </comment>
    <comment ref="B247" authorId="1" shapeId="0">
      <text>
        <r>
          <rPr>
            <b/>
            <sz val="8"/>
            <color indexed="81"/>
            <rFont val="Tahoma"/>
            <family val="2"/>
          </rPr>
          <t>derenb:</t>
        </r>
        <r>
          <rPr>
            <sz val="8"/>
            <color indexed="81"/>
            <rFont val="Tahoma"/>
            <family val="2"/>
          </rPr>
          <t xml:space="preserve">
68% of pop is of working age; 40% of this pop is considered at risk.</t>
        </r>
      </text>
    </comment>
  </commentList>
</comments>
</file>

<file path=xl/comments2.xml><?xml version="1.0" encoding="utf-8"?>
<comments xmlns="http://schemas.openxmlformats.org/spreadsheetml/2006/main">
  <authors>
    <author>Vaio-PC</author>
    <author>derenb</author>
  </authors>
  <commentList>
    <comment ref="B8" authorId="0" shapeId="0">
      <text>
        <r>
          <rPr>
            <b/>
            <sz val="9"/>
            <color indexed="81"/>
            <rFont val="Tahoma"/>
            <family val="2"/>
          </rPr>
          <t>Vaio-PC:</t>
        </r>
        <r>
          <rPr>
            <sz val="9"/>
            <color indexed="81"/>
            <rFont val="Tahoma"/>
            <family val="2"/>
          </rPr>
          <t xml:space="preserve">
World Bank 2013 data
</t>
        </r>
      </text>
    </comment>
    <comment ref="B10" authorId="0" shapeId="0">
      <text>
        <r>
          <rPr>
            <b/>
            <sz val="9"/>
            <color indexed="81"/>
            <rFont val="Tahoma"/>
            <family val="2"/>
          </rPr>
          <t>Vaio-PC:</t>
        </r>
        <r>
          <rPr>
            <sz val="9"/>
            <color indexed="81"/>
            <rFont val="Tahoma"/>
            <family val="2"/>
          </rPr>
          <t xml:space="preserve">
World Bank 2012 database</t>
        </r>
      </text>
    </comment>
    <comment ref="B11" authorId="1" shapeId="0">
      <text>
        <r>
          <rPr>
            <b/>
            <sz val="8"/>
            <color indexed="81"/>
            <rFont val="Tahoma"/>
            <family val="2"/>
          </rPr>
          <t>derenb:</t>
        </r>
        <r>
          <rPr>
            <sz val="8"/>
            <color indexed="81"/>
            <rFont val="Tahoma"/>
            <family val="2"/>
          </rPr>
          <t xml:space="preserve">
Approximately 28% of population is under 15 and 4% 65 and over.</t>
        </r>
      </text>
    </comment>
    <comment ref="B14" authorId="0" shapeId="0">
      <text>
        <r>
          <rPr>
            <b/>
            <sz val="9"/>
            <color indexed="81"/>
            <rFont val="Tahoma"/>
            <family val="2"/>
          </rPr>
          <t>Vaio-PC:</t>
        </r>
        <r>
          <rPr>
            <sz val="9"/>
            <color indexed="81"/>
            <rFont val="Tahoma"/>
            <family val="2"/>
          </rPr>
          <t xml:space="preserve">
Based on 2011 MOH data, population growth rate is 1.92%</t>
        </r>
      </text>
    </comment>
    <comment ref="D45" authorId="1" shapeId="0">
      <text>
        <r>
          <rPr>
            <b/>
            <sz val="8"/>
            <color indexed="81"/>
            <rFont val="Tahoma"/>
            <family val="2"/>
          </rPr>
          <t>derenb:</t>
        </r>
        <r>
          <rPr>
            <sz val="8"/>
            <color indexed="81"/>
            <rFont val="Tahoma"/>
            <family val="2"/>
          </rPr>
          <t xml:space="preserve">
68% of population are aged15 - 64</t>
        </r>
      </text>
    </comment>
    <comment ref="B245" authorId="1" shapeId="0">
      <text>
        <r>
          <rPr>
            <b/>
            <sz val="8"/>
            <color indexed="81"/>
            <rFont val="Tahoma"/>
            <family val="2"/>
          </rPr>
          <t>derenb:</t>
        </r>
        <r>
          <rPr>
            <sz val="8"/>
            <color indexed="81"/>
            <rFont val="Tahoma"/>
            <family val="2"/>
          </rPr>
          <t xml:space="preserve">
68% of pop is of working age; 40% of this pop is considered at risk.</t>
        </r>
      </text>
    </comment>
  </commentList>
</comments>
</file>

<file path=xl/comments3.xml><?xml version="1.0" encoding="utf-8"?>
<comments xmlns="http://schemas.openxmlformats.org/spreadsheetml/2006/main">
  <authors>
    <author>Vaio-PC</author>
  </authors>
  <commentList>
    <comment ref="G1" authorId="0" shapeId="0">
      <text>
        <r>
          <rPr>
            <b/>
            <sz val="9"/>
            <color indexed="81"/>
            <rFont val="Tahoma"/>
            <family val="2"/>
          </rPr>
          <t>Vaio-PC:</t>
        </r>
        <r>
          <rPr>
            <sz val="9"/>
            <color indexed="81"/>
            <rFont val="Tahoma"/>
            <family val="2"/>
          </rPr>
          <t xml:space="preserve">
Screenning started in Aug 2012 upto Dec 2012
</t>
        </r>
      </text>
    </comment>
    <comment ref="G7" authorId="0" shapeId="0">
      <text>
        <r>
          <rPr>
            <b/>
            <sz val="9"/>
            <color indexed="81"/>
            <rFont val="Tahoma"/>
            <family val="2"/>
          </rPr>
          <t>Vaio-PC:</t>
        </r>
        <r>
          <rPr>
            <sz val="9"/>
            <color indexed="81"/>
            <rFont val="Tahoma"/>
            <family val="2"/>
          </rPr>
          <t xml:space="preserve">
Source: Annual Report of Breast Screening 2012
</t>
        </r>
      </text>
    </comment>
    <comment ref="A10" authorId="0" shapeId="0">
      <text>
        <r>
          <rPr>
            <b/>
            <sz val="9"/>
            <color indexed="81"/>
            <rFont val="Tahoma"/>
            <family val="2"/>
          </rPr>
          <t>Vaio-PC:</t>
        </r>
        <r>
          <rPr>
            <sz val="9"/>
            <color indexed="81"/>
            <rFont val="Tahoma"/>
            <family val="2"/>
          </rPr>
          <t xml:space="preserve">
Data provided by Gerelmaa for 2012, screening conducted from Aug-Dec 2012</t>
        </r>
      </text>
    </comment>
    <comment ref="T10" authorId="0" shapeId="0">
      <text>
        <r>
          <rPr>
            <b/>
            <sz val="9"/>
            <color indexed="81"/>
            <rFont val="Tahoma"/>
            <family val="2"/>
          </rPr>
          <t>Vaio-PC:</t>
        </r>
        <r>
          <rPr>
            <sz val="9"/>
            <color indexed="81"/>
            <rFont val="Tahoma"/>
            <family val="2"/>
          </rPr>
          <t xml:space="preserve">
new cases annually; target is 46.4%
</t>
        </r>
      </text>
    </comment>
    <comment ref="G13" authorId="0" shapeId="0">
      <text>
        <r>
          <rPr>
            <b/>
            <sz val="9"/>
            <color indexed="81"/>
            <rFont val="Tahoma"/>
            <family val="2"/>
          </rPr>
          <t>Vaio-PC:</t>
        </r>
        <r>
          <rPr>
            <sz val="9"/>
            <color indexed="81"/>
            <rFont val="Tahoma"/>
            <family val="2"/>
          </rPr>
          <t xml:space="preserve">
Source: Annual Report of Breast Screening 2012
</t>
        </r>
      </text>
    </comment>
    <comment ref="T15" authorId="0" shapeId="0">
      <text>
        <r>
          <rPr>
            <b/>
            <sz val="9"/>
            <color indexed="81"/>
            <rFont val="Tahoma"/>
            <family val="2"/>
          </rPr>
          <t>Vaio-PC:</t>
        </r>
        <r>
          <rPr>
            <sz val="9"/>
            <color indexed="81"/>
            <rFont val="Tahoma"/>
            <family val="2"/>
          </rPr>
          <t xml:space="preserve">
new cases annually; actual is 25%, target is 29.3%
</t>
        </r>
      </text>
    </comment>
  </commentList>
</comments>
</file>

<file path=xl/comments4.xml><?xml version="1.0" encoding="utf-8"?>
<comments xmlns="http://schemas.openxmlformats.org/spreadsheetml/2006/main">
  <authors>
    <author>derenb</author>
  </authors>
  <commentList>
    <comment ref="B11" authorId="0" shapeId="0">
      <text>
        <r>
          <rPr>
            <b/>
            <sz val="8"/>
            <color indexed="81"/>
            <rFont val="Tahoma"/>
            <family val="2"/>
          </rPr>
          <t>derenb:</t>
        </r>
        <r>
          <rPr>
            <sz val="8"/>
            <color indexed="81"/>
            <rFont val="Tahoma"/>
            <family val="2"/>
          </rPr>
          <t xml:space="preserve">
Approximately 28% of population is under 15 and 4% 65 and over.</t>
        </r>
      </text>
    </comment>
    <comment ref="D45" authorId="0" shapeId="0">
      <text>
        <r>
          <rPr>
            <b/>
            <sz val="8"/>
            <color indexed="81"/>
            <rFont val="Tahoma"/>
            <family val="2"/>
          </rPr>
          <t>derenb:</t>
        </r>
        <r>
          <rPr>
            <sz val="8"/>
            <color indexed="81"/>
            <rFont val="Tahoma"/>
            <family val="2"/>
          </rPr>
          <t xml:space="preserve">
68% of population are aged15 - 64</t>
        </r>
      </text>
    </comment>
    <comment ref="B245" authorId="0" shapeId="0">
      <text>
        <r>
          <rPr>
            <b/>
            <sz val="8"/>
            <color indexed="81"/>
            <rFont val="Tahoma"/>
            <family val="2"/>
          </rPr>
          <t>derenb:</t>
        </r>
        <r>
          <rPr>
            <sz val="8"/>
            <color indexed="81"/>
            <rFont val="Tahoma"/>
            <family val="2"/>
          </rPr>
          <t xml:space="preserve">
68% of pop is of working age; 40% of this pop is considered at risk.</t>
        </r>
      </text>
    </comment>
  </commentList>
</comments>
</file>

<file path=xl/comments5.xml><?xml version="1.0" encoding="utf-8"?>
<comments xmlns="http://schemas.openxmlformats.org/spreadsheetml/2006/main">
  <authors>
    <author>Vaio-PC</author>
    <author>Olmstead, Sarah</author>
  </authors>
  <commentList>
    <comment ref="G1" authorId="0" shapeId="0">
      <text>
        <r>
          <rPr>
            <b/>
            <sz val="9"/>
            <color indexed="81"/>
            <rFont val="Tahoma"/>
            <family val="2"/>
          </rPr>
          <t>Vaio-PC:</t>
        </r>
        <r>
          <rPr>
            <sz val="9"/>
            <color indexed="81"/>
            <rFont val="Tahoma"/>
            <family val="2"/>
          </rPr>
          <t xml:space="preserve">
Screenning started in Aug 2012 upto Dec 2012
</t>
        </r>
      </text>
    </comment>
    <comment ref="H14" authorId="1" shapeId="0">
      <text>
        <r>
          <rPr>
            <sz val="9"/>
            <color indexed="81"/>
            <rFont val="Tahoma"/>
            <family val="2"/>
          </rPr>
          <t>Assume continue to treat the 11-15 age group</t>
        </r>
      </text>
    </comment>
    <comment ref="C33" authorId="1" shapeId="0">
      <text>
        <r>
          <rPr>
            <sz val="9"/>
            <color indexed="81"/>
            <rFont val="Tahoma"/>
            <family val="2"/>
          </rPr>
          <t>they also assume 10 dollars per vaccine</t>
        </r>
      </text>
    </comment>
  </commentList>
</comments>
</file>

<file path=xl/comments6.xml><?xml version="1.0" encoding="utf-8"?>
<comments xmlns="http://schemas.openxmlformats.org/spreadsheetml/2006/main">
  <authors>
    <author>Vaio-PC</author>
  </authors>
  <commentList>
    <comment ref="G6" authorId="0" shapeId="0">
      <text>
        <r>
          <rPr>
            <b/>
            <sz val="9"/>
            <color indexed="81"/>
            <rFont val="Tahoma"/>
            <family val="2"/>
          </rPr>
          <t>Vaio-PC:</t>
        </r>
        <r>
          <rPr>
            <sz val="9"/>
            <color indexed="81"/>
            <rFont val="Tahoma"/>
            <family val="2"/>
          </rPr>
          <t xml:space="preserve">
powerpint presentation on AH and DM screening
</t>
        </r>
      </text>
    </comment>
    <comment ref="H6" authorId="0" shapeId="0">
      <text>
        <r>
          <rPr>
            <b/>
            <sz val="9"/>
            <color indexed="81"/>
            <rFont val="Tahoma"/>
            <family val="2"/>
          </rPr>
          <t>Vaio-PC:</t>
        </r>
        <r>
          <rPr>
            <sz val="9"/>
            <color indexed="81"/>
            <rFont val="Tahoma"/>
            <family val="2"/>
          </rPr>
          <t xml:space="preserve">
Source: NCD Screening Data April 2013, Center for Health Development
</t>
        </r>
      </text>
    </comment>
  </commentList>
</comments>
</file>

<file path=xl/comments7.xml><?xml version="1.0" encoding="utf-8"?>
<comments xmlns="http://schemas.openxmlformats.org/spreadsheetml/2006/main">
  <authors>
    <author>derenb</author>
  </authors>
  <commentList>
    <comment ref="B11" authorId="0" shapeId="0">
      <text>
        <r>
          <rPr>
            <b/>
            <sz val="8"/>
            <color indexed="81"/>
            <rFont val="Tahoma"/>
            <family val="2"/>
          </rPr>
          <t>derenb:</t>
        </r>
        <r>
          <rPr>
            <sz val="8"/>
            <color indexed="81"/>
            <rFont val="Tahoma"/>
            <family val="2"/>
          </rPr>
          <t xml:space="preserve">
Approximately 28% of population is under 15 and 4% 65 and over.</t>
        </r>
      </text>
    </comment>
    <comment ref="D45" authorId="0" shapeId="0">
      <text>
        <r>
          <rPr>
            <b/>
            <sz val="8"/>
            <color indexed="81"/>
            <rFont val="Tahoma"/>
            <family val="2"/>
          </rPr>
          <t>derenb:</t>
        </r>
        <r>
          <rPr>
            <sz val="8"/>
            <color indexed="81"/>
            <rFont val="Tahoma"/>
            <family val="2"/>
          </rPr>
          <t xml:space="preserve">
68% of population are aged15 - 64</t>
        </r>
      </text>
    </comment>
    <comment ref="B245" authorId="0" shapeId="0">
      <text>
        <r>
          <rPr>
            <b/>
            <sz val="8"/>
            <color indexed="81"/>
            <rFont val="Tahoma"/>
            <family val="2"/>
          </rPr>
          <t>derenb:</t>
        </r>
        <r>
          <rPr>
            <sz val="8"/>
            <color indexed="81"/>
            <rFont val="Tahoma"/>
            <family val="2"/>
          </rPr>
          <t xml:space="preserve">
68% of pop is of working age; 40% of this pop is considered at risk.</t>
        </r>
      </text>
    </comment>
  </commentList>
</comments>
</file>

<file path=xl/comments8.xml><?xml version="1.0" encoding="utf-8"?>
<comments xmlns="http://schemas.openxmlformats.org/spreadsheetml/2006/main">
  <authors>
    <author>Windows User</author>
  </authors>
  <commentList>
    <comment ref="C10" authorId="0" shapeId="0">
      <text>
        <r>
          <rPr>
            <b/>
            <sz val="9"/>
            <color indexed="81"/>
            <rFont val="Tahoma"/>
            <family val="2"/>
            <charset val="204"/>
          </rPr>
          <t>signed amount - 934,500; damage deducted - 2860.71</t>
        </r>
      </text>
    </comment>
    <comment ref="C11" authorId="0" shapeId="0">
      <text>
        <r>
          <rPr>
            <b/>
            <sz val="9"/>
            <color indexed="81"/>
            <rFont val="Tahoma"/>
            <family val="2"/>
            <charset val="204"/>
          </rPr>
          <t>signed amount - 544,680; damage deducted - 18,435</t>
        </r>
      </text>
    </comment>
    <comment ref="C13" authorId="0" shapeId="0">
      <text>
        <r>
          <rPr>
            <b/>
            <sz val="9"/>
            <color indexed="81"/>
            <rFont val="Tahoma"/>
            <family val="2"/>
            <charset val="204"/>
          </rPr>
          <t>signed amount - 271,542; damage deducted - 441$</t>
        </r>
      </text>
    </comment>
    <comment ref="B14" authorId="0" shapeId="0">
      <text>
        <r>
          <rPr>
            <b/>
            <sz val="9"/>
            <color indexed="81"/>
            <rFont val="Tahoma"/>
            <family val="2"/>
            <charset val="204"/>
          </rPr>
          <t>MNT</t>
        </r>
      </text>
    </comment>
    <comment ref="C14" authorId="0" shapeId="0">
      <text>
        <r>
          <rPr>
            <b/>
            <sz val="9"/>
            <color indexed="81"/>
            <rFont val="Tahoma"/>
            <family val="2"/>
            <charset val="204"/>
          </rPr>
          <t>750,626,000</t>
        </r>
      </text>
    </comment>
    <comment ref="B15" authorId="0" shapeId="0">
      <text>
        <r>
          <rPr>
            <b/>
            <sz val="9"/>
            <color indexed="81"/>
            <rFont val="Tahoma"/>
            <family val="2"/>
            <charset val="204"/>
          </rPr>
          <t>MNT /rate changes/</t>
        </r>
      </text>
    </comment>
    <comment ref="C15" authorId="0" shapeId="0">
      <text>
        <r>
          <rPr>
            <b/>
            <sz val="9"/>
            <color indexed="81"/>
            <rFont val="Tahoma"/>
            <family val="2"/>
            <charset val="204"/>
          </rPr>
          <t>962,500,000 MNT</t>
        </r>
      </text>
    </comment>
    <comment ref="C19" authorId="0" shapeId="0">
      <text>
        <r>
          <rPr>
            <b/>
            <sz val="9"/>
            <color indexed="81"/>
            <rFont val="Tahoma"/>
            <family val="2"/>
            <charset val="204"/>
          </rPr>
          <t>signed amount 97,749.89; damage deducted 38$</t>
        </r>
      </text>
    </comment>
  </commentList>
</comments>
</file>

<file path=xl/comments9.xml><?xml version="1.0" encoding="utf-8"?>
<comments xmlns="http://schemas.openxmlformats.org/spreadsheetml/2006/main">
  <authors>
    <author>Author</author>
  </authors>
  <commentList>
    <comment ref="A75" authorId="0" shapeId="0">
      <text>
        <r>
          <rPr>
            <b/>
            <sz val="9"/>
            <color indexed="81"/>
            <rFont val="Tahoma"/>
            <family val="2"/>
          </rPr>
          <t>Author:</t>
        </r>
        <r>
          <rPr>
            <sz val="9"/>
            <color indexed="81"/>
            <rFont val="Tahoma"/>
            <family val="2"/>
          </rPr>
          <t xml:space="preserve">
Early detection of cervical cancer </t>
        </r>
      </text>
    </comment>
    <comment ref="F75" authorId="0" shapeId="0">
      <text>
        <r>
          <rPr>
            <b/>
            <sz val="9"/>
            <color indexed="81"/>
            <rFont val="Tahoma"/>
            <family val="2"/>
          </rPr>
          <t>Author:</t>
        </r>
        <r>
          <rPr>
            <sz val="9"/>
            <color indexed="81"/>
            <rFont val="Tahoma"/>
            <family val="2"/>
          </rPr>
          <t xml:space="preserve">
According to official letter from NCC
</t>
        </r>
      </text>
    </comment>
  </commentList>
</comments>
</file>

<file path=xl/sharedStrings.xml><?xml version="1.0" encoding="utf-8"?>
<sst xmlns="http://schemas.openxmlformats.org/spreadsheetml/2006/main" count="1607" uniqueCount="641">
  <si>
    <t>Mongolia</t>
  </si>
  <si>
    <t>under 1</t>
  </si>
  <si>
    <t>1-4</t>
  </si>
  <si>
    <t>5-9</t>
  </si>
  <si>
    <t>10-14</t>
  </si>
  <si>
    <t>15-19</t>
  </si>
  <si>
    <t>20-24</t>
  </si>
  <si>
    <t>25-29</t>
  </si>
  <si>
    <t>30-34</t>
  </si>
  <si>
    <t>35-39</t>
  </si>
  <si>
    <t>40-44</t>
  </si>
  <si>
    <t>45-49</t>
  </si>
  <si>
    <t>50-54</t>
  </si>
  <si>
    <t>55-59</t>
  </si>
  <si>
    <t>60-64</t>
  </si>
  <si>
    <t>65+</t>
  </si>
  <si>
    <t xml:space="preserve">CVD Deaths </t>
  </si>
  <si>
    <t>Extrapolated</t>
  </si>
  <si>
    <t>Total</t>
  </si>
  <si>
    <t>% of total</t>
  </si>
  <si>
    <t>Infarction/stroke/circulatory</t>
  </si>
  <si>
    <t xml:space="preserve">Neoplasms </t>
  </si>
  <si>
    <t>Injury/external causes</t>
  </si>
  <si>
    <t xml:space="preserve">Other </t>
  </si>
  <si>
    <t xml:space="preserve">Total </t>
  </si>
  <si>
    <t>Male</t>
  </si>
  <si>
    <t xml:space="preserve">Female </t>
  </si>
  <si>
    <t>Infarction, etc.</t>
  </si>
  <si>
    <t>Neoplasms</t>
  </si>
  <si>
    <t>Injury</t>
  </si>
  <si>
    <t>Other</t>
  </si>
  <si>
    <t>share of deaths</t>
  </si>
  <si>
    <t>With project reduction in CVD deaths</t>
  </si>
  <si>
    <t>Project Year</t>
  </si>
  <si>
    <t>years</t>
  </si>
  <si>
    <t>capacity</t>
  </si>
  <si>
    <t>parameter</t>
  </si>
  <si>
    <t>Capacity during illness</t>
  </si>
  <si>
    <t>Duration of illness (years)</t>
  </si>
  <si>
    <t>Base GDP per Capita (MNT)</t>
  </si>
  <si>
    <t>Evolution of Real GDP/person</t>
  </si>
  <si>
    <t>Age Cohort</t>
  </si>
  <si>
    <t>MNT'000</t>
  </si>
  <si>
    <t>Total MNT'000</t>
  </si>
  <si>
    <t>lnb</t>
  </si>
  <si>
    <t>Given</t>
  </si>
  <si>
    <t>min age</t>
  </si>
  <si>
    <t>max age</t>
  </si>
  <si>
    <t>a</t>
  </si>
  <si>
    <t>Calculated</t>
  </si>
  <si>
    <t>c</t>
  </si>
  <si>
    <t>b</t>
  </si>
  <si>
    <t>share of age cohort</t>
  </si>
  <si>
    <t>2008 total population est.</t>
  </si>
  <si>
    <t>pop share age 15+</t>
  </si>
  <si>
    <t>est. pop share</t>
  </si>
  <si>
    <t>S</t>
  </si>
  <si>
    <t>S-hat</t>
  </si>
  <si>
    <t>est. h(t)</t>
  </si>
  <si>
    <t>Gross death rate (per 1000)</t>
  </si>
  <si>
    <t xml:space="preserve">Annual deaths </t>
  </si>
  <si>
    <t>Neoplasm's</t>
  </si>
  <si>
    <t>annual h by cohort</t>
  </si>
  <si>
    <t>15+</t>
  </si>
  <si>
    <t>k</t>
  </si>
  <si>
    <t>est h.</t>
  </si>
  <si>
    <t>Ave Age 15+</t>
  </si>
  <si>
    <t>deaths</t>
  </si>
  <si>
    <t>Ave Age Death 15+</t>
  </si>
  <si>
    <t>censored</t>
  </si>
  <si>
    <t>Additional Survival Years Distribution</t>
  </si>
  <si>
    <t>Mean yr</t>
  </si>
  <si>
    <t>sd</t>
  </si>
  <si>
    <t>Events &lt;=4</t>
  </si>
  <si>
    <t>Events &gt; 4</t>
  </si>
  <si>
    <t>Adjusted Deaths Events &gt;4</t>
  </si>
  <si>
    <t>Adjusted Deaths Events &lt;=4</t>
  </si>
  <si>
    <t>Total Adjusted Deaths</t>
  </si>
  <si>
    <t>Net GDP Benefits (MNT'000)</t>
  </si>
  <si>
    <t>Adjsustment to Contribution to GDP (MNT'000)</t>
  </si>
  <si>
    <t>Investment</t>
  </si>
  <si>
    <t>Net Benefits</t>
  </si>
  <si>
    <t>ERR</t>
  </si>
  <si>
    <t>GDP 2009 (MNT billion)</t>
  </si>
  <si>
    <t>Total Benefits (MNT'000)</t>
  </si>
  <si>
    <t>Total Prior Health Project Costs costs (USD million)</t>
  </si>
  <si>
    <t>Deferred yr</t>
  </si>
  <si>
    <t xml:space="preserve">of which CVD </t>
  </si>
  <si>
    <t>Original Applied CVD Costs (USD million)</t>
  </si>
  <si>
    <t>Current Proposal</t>
  </si>
  <si>
    <t xml:space="preserve">  Expansion of NCD Programme</t>
  </si>
  <si>
    <t xml:space="preserve">  Expanded CVD (USD million)</t>
  </si>
  <si>
    <t xml:space="preserve">  phasing</t>
  </si>
  <si>
    <t>CVD Clinical Treatments (USD million)</t>
  </si>
  <si>
    <t>Total Investment (USD million)</t>
  </si>
  <si>
    <t>Cost per person at risk  (USD)</t>
  </si>
  <si>
    <t>Recurrent Costs</t>
  </si>
  <si>
    <t>B</t>
  </si>
  <si>
    <t>Population Growth Rate</t>
  </si>
  <si>
    <t>discount rate</t>
  </si>
  <si>
    <t>NPV</t>
  </si>
  <si>
    <t>Upper Bound Estimation Based on Discounted Benefits as Share of current GDP (c.f. Russian NCDI health analysis)</t>
  </si>
  <si>
    <t>Without project growth rate of incidence</t>
  </si>
  <si>
    <t>population growth</t>
  </si>
  <si>
    <t>Incidence without project</t>
  </si>
  <si>
    <t>Population</t>
  </si>
  <si>
    <t>Base GDP per Working Capita (MNT)</t>
  </si>
  <si>
    <t>(2009)</t>
  </si>
  <si>
    <t>Originally CVD constituted 73% of total Benefits</t>
  </si>
  <si>
    <t>on this basis the returns to the expanded health project (excluding the pilot vaccination project) are estimated below</t>
  </si>
  <si>
    <t>Total Costs (MNT'000)</t>
  </si>
  <si>
    <t>% annual decrease</t>
  </si>
  <si>
    <t>CVD</t>
  </si>
  <si>
    <t>Beneficiaries</t>
  </si>
  <si>
    <t>male</t>
  </si>
  <si>
    <t xml:space="preserve">female </t>
  </si>
  <si>
    <t>as before</t>
  </si>
  <si>
    <t xml:space="preserve">Breast </t>
  </si>
  <si>
    <t>NPV Benefits @ 10%</t>
  </si>
  <si>
    <t>ppp rate (MNT/USD)</t>
  </si>
  <si>
    <t>MNT million</t>
  </si>
  <si>
    <t>PPP USD m</t>
  </si>
  <si>
    <t>GDP (MNT billion)</t>
  </si>
  <si>
    <t>Discounted Benefit Share in GDP</t>
  </si>
  <si>
    <t>NPV MCC costs (USD million) @ 10%</t>
  </si>
  <si>
    <t>Benefit per beneficiary (PPP USD)</t>
  </si>
  <si>
    <t>Base GDP per Capita (PPP USD)</t>
  </si>
  <si>
    <t>Accounting for increasing impairment with illness</t>
  </si>
  <si>
    <t>Note: This feature has not been implemented in the analysis</t>
  </si>
  <si>
    <t xml:space="preserve">Analysis Work Area </t>
  </si>
  <si>
    <t>Annual reduction in cases with project</t>
  </si>
  <si>
    <t>CVD Deaths postponed</t>
  </si>
  <si>
    <t>2008 figures by age grouping</t>
  </si>
  <si>
    <t>Age Profile of Deaths Postponed</t>
  </si>
  <si>
    <t>Gross Economic Activity Gained from Avoided Deaths (assuming survival through end of working age)</t>
  </si>
  <si>
    <t>The calculations below adjust gross benefits estimated above because not all persons will survive until the end of working ageg</t>
  </si>
  <si>
    <t>To avoid truncation to zero with rounding for fewer than 5 cases, in the following region treats cases fewer than 5 are treated differently from cases &gt;= 5</t>
  </si>
  <si>
    <t xml:space="preserve">The following is a reality check </t>
  </si>
  <si>
    <t>Economic Growth Rate</t>
  </si>
  <si>
    <t>Economic Growth Rate (based on WEO projections)</t>
  </si>
  <si>
    <t>Economic Analysis of Expansion of the CVD Program to the Entire Population at Risk</t>
  </si>
  <si>
    <t>Rescoping Exercise</t>
  </si>
  <si>
    <t>CVD is the principal component of the existing NCDI Project</t>
  </si>
  <si>
    <t>NPV Net Benefits @ 10%</t>
  </si>
  <si>
    <t>CVD deaths per million</t>
  </si>
  <si>
    <t>Exchange Rate</t>
  </si>
  <si>
    <t xml:space="preserve">NOT USED </t>
  </si>
  <si>
    <t>Cancer Deaths</t>
  </si>
  <si>
    <t>Diabetes Deaths</t>
  </si>
  <si>
    <t>*morbidity especially important!</t>
  </si>
  <si>
    <t>WHERE DID THIS DATA COME FROM</t>
  </si>
  <si>
    <t>WHAT'S .092???</t>
  </si>
  <si>
    <t>average prob death if not by CVD</t>
  </si>
  <si>
    <t>Total prob of death if not by CVD</t>
  </si>
  <si>
    <t>Extrapolated over age 65</t>
  </si>
  <si>
    <t>est. pop share extrap over age 65</t>
  </si>
  <si>
    <t>Injury/ext cause by wking pop</t>
  </si>
  <si>
    <t>Total Population</t>
  </si>
  <si>
    <t>Incidence with project</t>
  </si>
  <si>
    <t>Assumptions</t>
  </si>
  <si>
    <t>Number of precancer detected</t>
  </si>
  <si>
    <t>Percent shift from stage 3-4 cancer detection to stage 1-2 with project</t>
  </si>
  <si>
    <t>Percent shift from stage 3-4 cancer detection to precancer with project</t>
  </si>
  <si>
    <t>Number of cancer screenings per year without project</t>
  </si>
  <si>
    <t>What's a good measure? Total annual or per 1000 screened?</t>
  </si>
  <si>
    <t>Avg cost of treating precancer</t>
  </si>
  <si>
    <t>Avg cost of treating stage 1-2 cancer</t>
  </si>
  <si>
    <t>Avg cost of treating stage 3-4 cancer</t>
  </si>
  <si>
    <t>Avg success rate of treatment- precancer</t>
  </si>
  <si>
    <t>Avg success rate of treatment- stage 1-2</t>
  </si>
  <si>
    <t>Avg success rate of treatment- stage 3-4</t>
  </si>
  <si>
    <t>Percent shift from stage 1-2 cancer detection to precancer with project</t>
  </si>
  <si>
    <t>Do we have morbidity data?</t>
  </si>
  <si>
    <t>HPV Vaccine</t>
  </si>
  <si>
    <t>Number of girls vaccinated</t>
  </si>
  <si>
    <t>Prevalence of HPV in unvaccinated population</t>
  </si>
  <si>
    <t>Percentage of people with HPV get cancer</t>
  </si>
  <si>
    <t>Incremental cost of vaccination</t>
  </si>
  <si>
    <t>Female population</t>
  </si>
  <si>
    <t>Number of diabetes deaths per year</t>
  </si>
  <si>
    <t>Diabetes DALYs?</t>
  </si>
  <si>
    <t>Number of diabetes cases diagnosed per year</t>
  </si>
  <si>
    <t>Number of advanced diabetes cases diagnosed per year</t>
  </si>
  <si>
    <t>Percent shift from advanced diabetes to diabetes with project</t>
  </si>
  <si>
    <t>Percent shift from advanced diabetes to prediabetes with project</t>
  </si>
  <si>
    <t>Percent shift from diabetes to prediabetes with project</t>
  </si>
  <si>
    <t>Avg cost of treating prediabetes</t>
  </si>
  <si>
    <t>Avg cost of treating diabetes</t>
  </si>
  <si>
    <t>Avg cost of treating advanced diabetes</t>
  </si>
  <si>
    <t>Avg effect on life expectancy with prediabetes</t>
  </si>
  <si>
    <t>Avg effect on life expectancy with diabetes</t>
  </si>
  <si>
    <t>Avg effect on life expectancy with advanced diabetes</t>
  </si>
  <si>
    <t xml:space="preserve">Do we have regional disagregation on diabetes cases? </t>
  </si>
  <si>
    <t>Rate of progression from prediabetes to diabetes</t>
  </si>
  <si>
    <t>Rate of progression from diabetes to advanced diabetes</t>
  </si>
  <si>
    <t>Average age of cancer appearance</t>
  </si>
  <si>
    <t>Average cost of treatment of cervical cancer</t>
  </si>
  <si>
    <t>Survival rate of cervical cancer</t>
  </si>
  <si>
    <t>Effect of pubic awareness campaign on diabetes health adherence</t>
  </si>
  <si>
    <t>Effect of food ingredient changes on diabetes health</t>
  </si>
  <si>
    <t>Smoking Ban assumptions</t>
  </si>
  <si>
    <t>Number of smokers</t>
  </si>
  <si>
    <t>Average smoking intensity (number of cigarettes per day?)</t>
  </si>
  <si>
    <t>Percentage reduction of smoking</t>
  </si>
  <si>
    <t>(Fichtenburg and Glantz. "Effect of smoke-free workplaces on smoking behaviour: systematic review," BMJ. 2002 July 27; 325(7357): 188)</t>
  </si>
  <si>
    <t>(Farrelly, Stefan, and Sfekas. "The impact of workplace smoking bans: results from a national survey," Tob Control 1999;8:272-277 doi:10.1136/tc.8.3.272)</t>
  </si>
  <si>
    <t>(Borland, Chapman, Owen, and Hill. "Effects of Workplace Smoking Bans on Cigarette Consumption," February 1990, Vol. 80, No. 2)</t>
  </si>
  <si>
    <t>Literature average</t>
  </si>
  <si>
    <t>(Evans, Farrelly, and Montgomery. "Do Workplace Smoking Bans Reduce Smoking?" American Economic Review, Vol. 89, no. 5 (September 1999): 729-747)</t>
  </si>
  <si>
    <t>Reduction in mortality from reduction in smoking</t>
  </si>
  <si>
    <t>Prevalence of Diabetes</t>
  </si>
  <si>
    <t>Number of Stage 1-2 cervical cancer detected</t>
  </si>
  <si>
    <t>Number of stage 3-4 cervical cancer detected</t>
  </si>
  <si>
    <t>Number of Stage 1-2 breast cancer detected</t>
  </si>
  <si>
    <t>Number of stage 3-4 breast cancer detected</t>
  </si>
  <si>
    <t>Incidence of stroke</t>
  </si>
  <si>
    <t>10.92 per 10,000 population</t>
  </si>
  <si>
    <t>Notes:</t>
  </si>
  <si>
    <t>Targets all 21 aimags (provinces) and approximately 95 percent of the Mongolian adult population for community-level communications for behavioral change, early detection and disease management activities</t>
  </si>
  <si>
    <t>43 to 45 percent of the adult population aged 35-59 nationwide</t>
  </si>
  <si>
    <t>Ten percent of girls aged 9-14 will be targeted over two years for outreach by the HPV vaccine</t>
  </si>
  <si>
    <t>Cervical cancers in the vaccinated group are projected to be reduced by 60-70 percent during the lifetime of these girls.</t>
  </si>
  <si>
    <t>Health Project</t>
  </si>
  <si>
    <t>(a) NCDI Capacity Building Activity</t>
  </si>
  <si>
    <t xml:space="preserve"> (b) NCDI Prevention Activity </t>
  </si>
  <si>
    <t xml:space="preserve"> (d) NCDI Management Activity </t>
  </si>
  <si>
    <t xml:space="preserve">(c) NCDI Early Detection Activity </t>
  </si>
  <si>
    <t xml:space="preserve">(e) Project Administration Costs  </t>
  </si>
  <si>
    <t>CIF</t>
  </si>
  <si>
    <t>Year 1</t>
  </si>
  <si>
    <t>Year 2</t>
  </si>
  <si>
    <t>Year 3</t>
  </si>
  <si>
    <t>Year 4</t>
  </si>
  <si>
    <t>Year 5</t>
  </si>
  <si>
    <t>Screening Targets:</t>
  </si>
  <si>
    <t>Target - 348,920</t>
  </si>
  <si>
    <t>p</t>
  </si>
  <si>
    <t>Arterial Hypertension (AH) - 183,764 (52.7%)</t>
  </si>
  <si>
    <t>Diabetes Mellitus (DM) Type II - 153,183</t>
  </si>
  <si>
    <t>Target - 631,960 (40-64)</t>
  </si>
  <si>
    <t xml:space="preserve">AH - 286,382 </t>
  </si>
  <si>
    <t>Eqpt, guidelines, MNT150-170 M per province</t>
  </si>
  <si>
    <t>Confirmed</t>
  </si>
  <si>
    <t>AH - 17,407 (6.1%)</t>
  </si>
  <si>
    <t xml:space="preserve">DM - 2,760 (1.1%) </t>
  </si>
  <si>
    <t>Breast</t>
  </si>
  <si>
    <t>Cervix uteri</t>
  </si>
  <si>
    <t>Prevalence</t>
  </si>
  <si>
    <t>No</t>
  </si>
  <si>
    <t>per 10,000</t>
  </si>
  <si>
    <t>Incidence</t>
  </si>
  <si>
    <t>Deaths</t>
  </si>
  <si>
    <t>Rate of Early Detection of Cancer</t>
  </si>
  <si>
    <t>Prevalence of people with 5 year survival rate</t>
  </si>
  <si>
    <t xml:space="preserve">      of cervical cance (by %)</t>
  </si>
  <si>
    <t xml:space="preserve">      of breast cance (by %)</t>
  </si>
  <si>
    <t>Change as Planned</t>
  </si>
  <si>
    <t>Death Rates of NCDs</t>
  </si>
  <si>
    <t>Death due to Cardial Infarction (per 10 000)</t>
  </si>
  <si>
    <t>Death due to Stroke (per 10 000)</t>
  </si>
  <si>
    <t>Death due to Cancer (per 10 000)</t>
  </si>
  <si>
    <t>3.0-3.4</t>
  </si>
  <si>
    <t>12.5-14.0</t>
  </si>
  <si>
    <t>11.5-11.7</t>
  </si>
  <si>
    <t>Death due to Road Injuries</t>
  </si>
  <si>
    <t xml:space="preserve">   per 100 000 populaiton</t>
  </si>
  <si>
    <t xml:space="preserve">Prevalence of people with high blood </t>
  </si>
  <si>
    <r>
      <t xml:space="preserve">    glucose (,5.6</t>
    </r>
    <r>
      <rPr>
        <sz val="11"/>
        <color theme="1"/>
        <rFont val="Calibri"/>
        <family val="2"/>
        <scheme val="minor"/>
      </rPr>
      <t>-&lt;6.1 mmol/l)</t>
    </r>
  </si>
  <si>
    <t>Multiyear Plan (Source: Amendment to Compact, Health Project), $</t>
  </si>
  <si>
    <t>Exchange Rate ($:MNT)</t>
  </si>
  <si>
    <t>Annual growth rate (%) - 1.92</t>
  </si>
  <si>
    <t>Percentage of population</t>
  </si>
  <si>
    <t xml:space="preserve">Male </t>
  </si>
  <si>
    <t>Female</t>
  </si>
  <si>
    <t>Population (2011) - 2,811,666 (MOH Health Indicator, 2011); Male - 1,366,853   Female - 1,444,813</t>
  </si>
  <si>
    <t xml:space="preserve">   5-14 years</t>
  </si>
  <si>
    <t xml:space="preserve">   0-4 years</t>
  </si>
  <si>
    <t xml:space="preserve">   65 years and above</t>
  </si>
  <si>
    <t>Per Capita GDP at current</t>
  </si>
  <si>
    <t xml:space="preserve">  prices (US$)</t>
  </si>
  <si>
    <t xml:space="preserve">Prevalence, Indidence, Deaths of Malignant Neoplasms, 2011 </t>
  </si>
  <si>
    <t>Health Indicators - Mongolia 2011 (Source: GOM Health Indicators 2011)</t>
  </si>
  <si>
    <t>Target 2012</t>
  </si>
  <si>
    <t>Number of New Cases</t>
  </si>
  <si>
    <t>Number of Deaths</t>
  </si>
  <si>
    <t>Cancer</t>
  </si>
  <si>
    <t>-Breast</t>
  </si>
  <si>
    <t>-Cervix</t>
  </si>
  <si>
    <t>Circulatory</t>
  </si>
  <si>
    <t>-Acute myocardial infarction</t>
  </si>
  <si>
    <t>-Cerebrovascular diseases</t>
  </si>
  <si>
    <t>-Hypertension</t>
  </si>
  <si>
    <t>-Ischaemic heart disease</t>
  </si>
  <si>
    <t>Diabetes mellitus</t>
  </si>
  <si>
    <t>Road Injuries</t>
  </si>
  <si>
    <t>[i] The atlas of heart disease and stroke, 2004. WHO</t>
  </si>
  <si>
    <t xml:space="preserve">According to the WHO data of 2002, Mongolia is considered as the country with highest burden of stroke estimating DALYs (disability adjusted life years or healthy years </t>
  </si>
  <si>
    <t>of life lost to stroke) as high as 20 years[i]. In 2008, mortality due to diseases of the circulatory system was 32% in males and 39% in females.</t>
  </si>
  <si>
    <t>10,92 cases per 10,000 population in 2010</t>
  </si>
  <si>
    <t>Incidence of Stroke</t>
  </si>
  <si>
    <t>MCC Investment Cost</t>
  </si>
  <si>
    <t>$8.3 million</t>
  </si>
  <si>
    <t>0.8 million additional</t>
  </si>
  <si>
    <t>$9.1 million Total</t>
  </si>
  <si>
    <t>Percent of cervical cancer cases detected early</t>
  </si>
  <si>
    <r>
      <t>Percent of cervical cancer cases diagnosed in 1</t>
    </r>
    <r>
      <rPr>
        <vertAlign val="superscript"/>
        <sz val="10"/>
        <rFont val="Arial Narrow"/>
        <family val="2"/>
      </rPr>
      <t>st</t>
    </r>
    <r>
      <rPr>
        <sz val="10"/>
        <rFont val="Arial Narrow"/>
        <family val="2"/>
      </rPr>
      <t xml:space="preserve"> or 2</t>
    </r>
    <r>
      <rPr>
        <vertAlign val="superscript"/>
        <sz val="10"/>
        <rFont val="Arial Narrow"/>
        <family val="2"/>
      </rPr>
      <t>nd</t>
    </r>
    <r>
      <rPr>
        <sz val="10"/>
        <rFont val="Arial Narrow"/>
        <family val="2"/>
      </rPr>
      <t xml:space="preserve"> stages </t>
    </r>
  </si>
  <si>
    <t>Percent</t>
  </si>
  <si>
    <t xml:space="preserve">Annually </t>
  </si>
  <si>
    <t>DoH</t>
  </si>
  <si>
    <t>Nominator is the number of new cases diagnosed at 0 (in situ), first or second stage of cervical cancer. Denominator is Number of all new cervical cancer cases. Calculated as percentage</t>
  </si>
  <si>
    <t>Report from DoH/NCC</t>
  </si>
  <si>
    <t>183 of 348 new cases /52.6%/</t>
  </si>
  <si>
    <t xml:space="preserve">Detected new cases of breast cancer in early stage (stages 1 and 2) </t>
  </si>
  <si>
    <t>Annually</t>
  </si>
  <si>
    <t>NCC</t>
  </si>
  <si>
    <t>Calculation method has to be clarified!</t>
  </si>
  <si>
    <t>NCC Recall system project team</t>
  </si>
  <si>
    <t>38 of 152 new cases /25.0%/</t>
  </si>
  <si>
    <t>Indicators Revised by NCC</t>
  </si>
  <si>
    <t>Total Investment Cost (MNT)</t>
  </si>
  <si>
    <t>Total Investment Cost ($)</t>
  </si>
  <si>
    <t>Prevalence of breast cancer (number)</t>
  </si>
  <si>
    <t>Prevalence of cervical cancer (number)</t>
  </si>
  <si>
    <t>Number of breast and cerivcal cancer deaths per year (number)</t>
  </si>
  <si>
    <t xml:space="preserve">Cancer Deaths </t>
  </si>
  <si>
    <t>Number of breast cancer screenings per year with project</t>
  </si>
  <si>
    <t xml:space="preserve">Number with positive findings </t>
  </si>
  <si>
    <t>No of People to be Screened for Hypertension</t>
  </si>
  <si>
    <t>Actual number screened for hypertension'</t>
  </si>
  <si>
    <t>Proven High Blood Pressure</t>
  </si>
  <si>
    <t>Source: NCD Screening Data 2013</t>
  </si>
  <si>
    <t>Number of people screened for Diabetes Mellitus II</t>
  </si>
  <si>
    <t>Economic Growth Rate (based on WEO projections, April 2013)</t>
  </si>
  <si>
    <t xml:space="preserve">2008 total population </t>
  </si>
  <si>
    <t>GDP, Current Prices ($)</t>
  </si>
  <si>
    <t>GDP, Current Prices (MNT'000)</t>
  </si>
  <si>
    <t>Per Capita GDP (MNT)</t>
  </si>
  <si>
    <t>Diabetes</t>
  </si>
  <si>
    <t xml:space="preserve"> Number of target people – 631960</t>
  </si>
  <si>
    <t xml:space="preserve"> People were involved in AH screening– 286382 (45,3%)</t>
  </si>
  <si>
    <t xml:space="preserve"> People were involved in DM type II – 244602 (38,7%)</t>
  </si>
  <si>
    <t xml:space="preserve">(07 April, 2012  – 1st quarter of 2013)
</t>
  </si>
  <si>
    <t>Screening of Arterial Hypertesion and Diabetes Mellitus</t>
  </si>
  <si>
    <t xml:space="preserve">21 provinces level:  </t>
  </si>
  <si>
    <t xml:space="preserve">People were involved in AH screening: </t>
  </si>
  <si>
    <t xml:space="preserve">People were involved in DM screening: </t>
  </si>
  <si>
    <t>Ulaanbaatar level:</t>
  </si>
  <si>
    <t xml:space="preserve">   -Normal  – 118734 (64.6%)</t>
  </si>
  <si>
    <t xml:space="preserve">   -Cases were possible – 27023 ( 14.7%)</t>
  </si>
  <si>
    <t xml:space="preserve">   -Cases confirmed –14418 (7,8%)</t>
  </si>
  <si>
    <t xml:space="preserve">   -Normal   – 138791 (90.6%)</t>
  </si>
  <si>
    <t xml:space="preserve">   -Cases were fasting glycaemia – 9832 (6.4%)</t>
  </si>
  <si>
    <t xml:space="preserve">   -Cases confirmed –1725 (1.1%)</t>
  </si>
  <si>
    <t xml:space="preserve">   -Normal  – 65293 (63.6%)</t>
  </si>
  <si>
    <t xml:space="preserve">   -Cases were possible – 14723 (14.3%)</t>
  </si>
  <si>
    <t xml:space="preserve">    -Cases confirmed –– 2989 (2.9%)</t>
  </si>
  <si>
    <t xml:space="preserve">    -Normal   – 78016 (85.3%)</t>
  </si>
  <si>
    <t xml:space="preserve">    -Cases were fasting glycaemia – 9683 (10.6%)</t>
  </si>
  <si>
    <t xml:space="preserve">    -Cases confirmed –1035 (1.1%)</t>
  </si>
  <si>
    <t>National level:</t>
  </si>
  <si>
    <t xml:space="preserve">    -Normal  – 184027 (64.3%)</t>
  </si>
  <si>
    <t xml:space="preserve">   -Normal   – 216807 (88.6%)</t>
  </si>
  <si>
    <t xml:space="preserve">   -Cases confirmed –2760 (1.1%)</t>
  </si>
  <si>
    <t xml:space="preserve">   -Cases were fasting glycaemia – 19515 (7.8%)</t>
  </si>
  <si>
    <t xml:space="preserve">     -Cases were confirmed –17407 (6,1%)</t>
  </si>
  <si>
    <t xml:space="preserve">     -Cases were possible – 41761 ( 14.6%)</t>
  </si>
  <si>
    <t>Number of prediabetes cases diagnosed per year (with fasting glycaema)</t>
  </si>
  <si>
    <t>hypertension, cerebrovascular disease</t>
  </si>
  <si>
    <t>Economic Growth Rate (based on WEO 2013 projections)</t>
  </si>
  <si>
    <t>Subactivity</t>
  </si>
  <si>
    <t xml:space="preserve">Revised Description </t>
  </si>
  <si>
    <t>2009</t>
  </si>
  <si>
    <t>A</t>
  </si>
  <si>
    <t>NCDI Capacity Building Activity</t>
  </si>
  <si>
    <t>01</t>
  </si>
  <si>
    <t>A1 - Technical Assistance on NCDI Capacity Building Activity</t>
  </si>
  <si>
    <t>EPOS Health Management</t>
  </si>
  <si>
    <t>02</t>
  </si>
  <si>
    <t>A2 - Technical Assistance on Stroke and MI activity</t>
  </si>
  <si>
    <t>World Health Organization</t>
  </si>
  <si>
    <t>03</t>
  </si>
  <si>
    <t>A3 - Technical capacity building / Equipment, Commodities and Drugs</t>
  </si>
  <si>
    <t>03-1</t>
  </si>
  <si>
    <t>A3 - TCB - site transportation - Bodi</t>
  </si>
  <si>
    <t>Site specific development - vecihle</t>
  </si>
  <si>
    <t>03-2</t>
  </si>
  <si>
    <t>A3 - TCB - basic laboratory equipment - MedImpex</t>
  </si>
  <si>
    <t>Hypertension, diabetes - screening equipment</t>
  </si>
  <si>
    <t>03-3</t>
  </si>
  <si>
    <t>A3 - TCB - training facility - Anun</t>
  </si>
  <si>
    <t>Site specific development - training facility</t>
  </si>
  <si>
    <t>03-4</t>
  </si>
  <si>
    <t>A3 - NCDI Lot 1 MedImpex</t>
  </si>
  <si>
    <t>Hypertension, diabetes - screening supplies</t>
  </si>
  <si>
    <t>03-5</t>
  </si>
  <si>
    <t>A3 - NCDI Lot 2 Setunari</t>
  </si>
  <si>
    <t>03-6</t>
  </si>
  <si>
    <t>A3 - NCDI Lot 3, 6 MEIC Onom</t>
  </si>
  <si>
    <t>Hypertension, diabetes drugs /450,000USD/, others cervical cancer - screening equipment</t>
  </si>
  <si>
    <t>03-7</t>
  </si>
  <si>
    <t>A3 - NCDI Lot 4 Simed</t>
  </si>
  <si>
    <t>Mammography machines</t>
  </si>
  <si>
    <t>03-8</t>
  </si>
  <si>
    <t>A3 - NCDI Lot 5 Simed</t>
  </si>
  <si>
    <t>Cervical cancer case management</t>
  </si>
  <si>
    <t>03-9</t>
  </si>
  <si>
    <t>A3 - NCDI Lot 7, 8 Monos</t>
  </si>
  <si>
    <t>Cervical cancer screening supplies</t>
  </si>
  <si>
    <t>03-10</t>
  </si>
  <si>
    <t>A3 - NCDI Lot 9 Gyals</t>
  </si>
  <si>
    <t>Breast cancer screening supplies</t>
  </si>
  <si>
    <t>03-11</t>
  </si>
  <si>
    <t>A3 - Cabling - 289 contract</t>
  </si>
  <si>
    <t>Stroke and MI</t>
  </si>
  <si>
    <t>03-12</t>
  </si>
  <si>
    <t>A3 - Contingency A activity - other goods</t>
  </si>
  <si>
    <t>04</t>
  </si>
  <si>
    <t>A4 - RTI intervention</t>
  </si>
  <si>
    <t>04-1</t>
  </si>
  <si>
    <t>A4 - RTI - basic life support equipment - Monos</t>
  </si>
  <si>
    <t>Basic life support equipment</t>
  </si>
  <si>
    <t>04-2</t>
  </si>
  <si>
    <t>A4 - RTI - Ambulance</t>
  </si>
  <si>
    <t>Ambulance</t>
  </si>
  <si>
    <t>04-3</t>
  </si>
  <si>
    <t>A4 - RTI intervention - Registry</t>
  </si>
  <si>
    <t>Traffic accident information system</t>
  </si>
  <si>
    <t>04-4</t>
  </si>
  <si>
    <t>Black spot intervention</t>
  </si>
  <si>
    <t>04-5</t>
  </si>
  <si>
    <t>A4 - DoH equipment</t>
  </si>
  <si>
    <t>IT equipment</t>
  </si>
  <si>
    <t>05</t>
  </si>
  <si>
    <t>A5 - Monitoring and Evaluation - DoH</t>
  </si>
  <si>
    <t>05-1</t>
  </si>
  <si>
    <t>A5 - DoH agreement</t>
  </si>
  <si>
    <t>M&amp;E and sustainability</t>
  </si>
  <si>
    <t>05-2</t>
  </si>
  <si>
    <t>A5 - CHD agreement</t>
  </si>
  <si>
    <t>06</t>
  </si>
  <si>
    <t>A6 - ESA Mitigation - MedImpex</t>
  </si>
  <si>
    <t>Health waste management equipment</t>
  </si>
  <si>
    <t>NCDI Prevention Activity</t>
  </si>
  <si>
    <t>B1 - Technical Assistance on NCDI Prevention Activity</t>
  </si>
  <si>
    <t>01-1</t>
  </si>
  <si>
    <t>B1 -EPOS</t>
  </si>
  <si>
    <t>01-2</t>
  </si>
  <si>
    <t>B1 - Other administration</t>
  </si>
  <si>
    <t>B2 - Behavior Change Interventions / IEC Materials</t>
  </si>
  <si>
    <t>02-1</t>
  </si>
  <si>
    <t>B2 - BCC contractor</t>
  </si>
  <si>
    <t>BCC and social marketing contractor</t>
  </si>
  <si>
    <t>Strip</t>
  </si>
  <si>
    <t>02-2</t>
  </si>
  <si>
    <t>B2 - BCC/IEC activity - contingency B activity</t>
  </si>
  <si>
    <t>BCC and social marketing activities</t>
  </si>
  <si>
    <t>B3 - Competitive Small Grants Program</t>
  </si>
  <si>
    <t>Competitive small grants /some for health promotion/</t>
  </si>
  <si>
    <t>B4 - HPV Vaccination Program - NCCD</t>
  </si>
  <si>
    <t>HPV vaccine program</t>
  </si>
  <si>
    <t>C</t>
  </si>
  <si>
    <t>NCDI Early Detection Activity</t>
  </si>
  <si>
    <t>C1 - Technical Assistance on NCDI Early Detection Activity</t>
  </si>
  <si>
    <t>C2 - Training Program</t>
  </si>
  <si>
    <t>C2 - Training Logistic Contractor</t>
  </si>
  <si>
    <t>Nationwide training program</t>
  </si>
  <si>
    <t>C2 - Master of Public Health program</t>
  </si>
  <si>
    <t>Master of health program</t>
  </si>
  <si>
    <t>C3 - Contingency - NCDI screening</t>
  </si>
  <si>
    <t>D</t>
  </si>
  <si>
    <t>NCDI Management Activity</t>
  </si>
  <si>
    <t>D1 - Consultancy services on NCDI management activity by IC</t>
  </si>
  <si>
    <t>D2 - Scaling up Stroke and MI prevention, early detection and case management services</t>
  </si>
  <si>
    <t>Stroke and MI equipment</t>
  </si>
  <si>
    <t>D2 - Stroke and MI - lot 1&amp;2</t>
  </si>
  <si>
    <t>D2 - Stroke and MI - lot 3</t>
  </si>
  <si>
    <t>02-3</t>
  </si>
  <si>
    <t>D2 - Stroke and MI - 228 Lot 1</t>
  </si>
  <si>
    <t>02-4</t>
  </si>
  <si>
    <t>D2 - Stroke and MI - 228 Lot 2</t>
  </si>
  <si>
    <t>02-6</t>
  </si>
  <si>
    <t>D2 - Cabling</t>
  </si>
  <si>
    <t>02-7</t>
  </si>
  <si>
    <t>D2 - Other fees</t>
  </si>
  <si>
    <t>02-9</t>
  </si>
  <si>
    <t>D2 - Lot 3 Amendment additional equipment</t>
  </si>
  <si>
    <t>02-11</t>
  </si>
  <si>
    <t>D2 - Stroke and MI - refurbishment</t>
  </si>
  <si>
    <t>D3 - Cancer registry and other HIS - NCC</t>
  </si>
  <si>
    <t>Cancer registry and recall system</t>
  </si>
  <si>
    <t>E</t>
  </si>
  <si>
    <t>Total Disbursements ($)</t>
  </si>
  <si>
    <t>Total Disbursements (MNT)</t>
  </si>
  <si>
    <t>Recurrent Cost (per Condition Precedent)</t>
  </si>
  <si>
    <t>10 years</t>
  </si>
  <si>
    <t>5 years</t>
  </si>
  <si>
    <t>2017</t>
  </si>
  <si>
    <t>2018</t>
  </si>
  <si>
    <t>2019</t>
  </si>
  <si>
    <t>2020</t>
  </si>
  <si>
    <t>2021</t>
  </si>
  <si>
    <t>2022</t>
  </si>
  <si>
    <t>2023</t>
  </si>
  <si>
    <t>2016</t>
  </si>
  <si>
    <t>Total ($)</t>
  </si>
  <si>
    <t>Total (MNT)</t>
  </si>
  <si>
    <t>Equipment Replacement</t>
  </si>
  <si>
    <t xml:space="preserve">Life of </t>
  </si>
  <si>
    <t>Equipment</t>
  </si>
  <si>
    <t>prevalence of HPV</t>
  </si>
  <si>
    <t>Incidence of cervical cancer, annual</t>
  </si>
  <si>
    <t>MoH figures</t>
  </si>
  <si>
    <t>Incidence of cervical cancer (per 10,000)</t>
  </si>
  <si>
    <t>MoH/MCC estimates lifetime risk of .0249 (based on inc of 83/100,000)</t>
  </si>
  <si>
    <t>Number of cervical cancer deaths per year (number)</t>
  </si>
  <si>
    <t>Estimate costs to be 2,890 - 3612 per cancer prevented</t>
  </si>
  <si>
    <t>Number of cerivcal cancer deaths per year (per 10,000)</t>
  </si>
  <si>
    <t>Deaths as a percentage of incidence</t>
  </si>
  <si>
    <t>Percentage of girls targeted for vaccine during pilot</t>
  </si>
  <si>
    <t>MoH, MCC figures</t>
  </si>
  <si>
    <t>Percentage of target reached, pilot</t>
  </si>
  <si>
    <t>Percentage of girls targeted for vaccine during scale-up</t>
  </si>
  <si>
    <t>Percentage of target reached, scale-up</t>
  </si>
  <si>
    <t>Deaths averted</t>
  </si>
  <si>
    <t>Female population, age 11-15</t>
  </si>
  <si>
    <t>Number of girls vaccinated in pilot</t>
  </si>
  <si>
    <t>Girls vaccinated yearly in scale-up</t>
  </si>
  <si>
    <t>Percentage of girls vaccinated that would otherwise contract HPV</t>
  </si>
  <si>
    <t>Percentage of girls vaccinated that would otherwise get cervical cancer, using hosp incidence</t>
  </si>
  <si>
    <t>Percentage of girls vaccinated that would otherwise get cervical cancer, using govt incidence</t>
  </si>
  <si>
    <t>Percentage of girls vaccinated that would otherwise die from cervical cancer, hosp incidence</t>
  </si>
  <si>
    <t>Percentage of girls vaccinated that would otherwise die from cervical cancer, govt incidence</t>
  </si>
  <si>
    <t>Average lifetime earnings saved, assuming all cases occur in target screening age group, hosp incidence</t>
  </si>
  <si>
    <t>Average lifetime earnings saved, assuming all cases occur in target screening age group, govt incidence</t>
  </si>
  <si>
    <t>Costs</t>
  </si>
  <si>
    <t>unit</t>
  </si>
  <si>
    <t>MCC administrative costs</t>
  </si>
  <si>
    <t>USD</t>
  </si>
  <si>
    <t>Mongolian Ministry of Health</t>
  </si>
  <si>
    <t>Catholic Medical Mission Board</t>
  </si>
  <si>
    <t>WHO</t>
  </si>
  <si>
    <t>Axios Foundation</t>
  </si>
  <si>
    <t>Cost savings from scale up</t>
  </si>
  <si>
    <t>percentage</t>
  </si>
  <si>
    <t>Cost of ongoing program</t>
  </si>
  <si>
    <t>Costs according to MoH estimates</t>
  </si>
  <si>
    <t>dollars/girl, admin</t>
  </si>
  <si>
    <t>Total Costs</t>
  </si>
  <si>
    <t>Net Benefits (with hosp accounting)</t>
  </si>
  <si>
    <t>Net Benefits (with govt accounting)</t>
  </si>
  <si>
    <t>NPV (with hosp accounting)</t>
  </si>
  <si>
    <t>NPV (with govt accounting)</t>
  </si>
  <si>
    <t>ERR &amp; Sensitivity Analysis</t>
  </si>
  <si>
    <t>One should read this sheet first, as it offers a summary of the project, a list of components, and states the economic rationale for the project.</t>
  </si>
  <si>
    <t>Project Description</t>
  </si>
  <si>
    <t>21% over 20 years</t>
  </si>
  <si>
    <t>Individuals bear a portion (~15% currently) of treatment costs</t>
  </si>
  <si>
    <t>Savings in the costs of treating individuals experiencing these diseases and injuries</t>
  </si>
  <si>
    <t>Benefit streams included in ERR</t>
  </si>
  <si>
    <t xml:space="preserve">The Project funds NCDI outreach, screening, and disease management for a significant proportion of the Mongolian population (up to 60%, as estimated by population linked to the proposed intervention sites) over the five year term of the Compact, with extensive monitoring, evaluation and feedback to ensure successful interventions and the transmission of best practices to all participants. </t>
  </si>
  <si>
    <t>$17.0 million</t>
  </si>
  <si>
    <t>Amount of MCC funds</t>
  </si>
  <si>
    <t>Mongolia: Health</t>
  </si>
  <si>
    <t>Last updated: 8/16/2007</t>
  </si>
  <si>
    <t>NCDI = non-communicable diseases and injuries</t>
  </si>
  <si>
    <t xml:space="preserve">   The economic analysis considered extended years of life for the population due to reductions in the prevalence and severity of NCDI as well as savings in treatment costs. These benefits will depend critically upon the success with which the Mongolian health system can extend treatment coverage to individuals in the earliest stages of disease, as early treatment would increase life expectancy at costs that are low and cost effective to individuals and the health care system. Individuals bear a portion of treatment costs, estimated at approximately 15 percent; a large part of treatment cost savings is expected to accrue to the health care system (effectively the Government of Mongolia). In principle, the population at large should benefit from these cost savings through incremental domestic transfers and/or increases in public investment. The ERR analysis does not include assessments of benefits ensuing from increased workplace and road safety, which would increase the base ERR estimated here. </t>
  </si>
  <si>
    <t>Economic Rationale</t>
  </si>
  <si>
    <t xml:space="preserve">         1.      Research on NCDI related behaviors and practices in Mongolia</t>
  </si>
  <si>
    <t xml:space="preserve">   The Health Project focuses on extending the productive years and productivity of the labor force by reducing the incidence and severity of non-communicable diseases and injuries such as cancer, cardiovascular disease, diabetes and preventable accidents and trauma, and reducing and refocusing total health expenditure. Specifically, the Health Project will support:</t>
  </si>
  <si>
    <t>Components</t>
  </si>
  <si>
    <t xml:space="preserve">   The Mongolia Compact, therefore, focuses on the health and well-being of the Mongolian labor force by reducing the incidence and severity of disease and injuries, and reducing and refocusing total health expenditures. The Health Project will support research on NCDI-related behaviors and practices in Mongolia; site visits to successful NCDI programs in other countries; communications and education interventions to promote risk behavior changes; new treatment and disease management protocols; a limited amount of equipment and intensive in-service training for early detection of cervical and breast cancers; and training of physicians and general medical personnel in NCDI disease management. MCC will fund NCDI outreach, screening, and disease management for a significant proportion of the Mongolian population (up to 60%, as estimated by population linked to the proposed intervention sites) over the five-year term of the Compact, with extensive monitoring, evaluation and feedback to ensure successful interventions and the transmission of best practices to all participants.</t>
  </si>
  <si>
    <t>Summary</t>
  </si>
  <si>
    <t xml:space="preserve">Economic rate of return (ERR): </t>
  </si>
  <si>
    <t>45 - 75%</t>
  </si>
  <si>
    <t>Cervical Cancer Survival Rate in Year 5 and Later</t>
  </si>
  <si>
    <t>Specific</t>
  </si>
  <si>
    <t>70 - 90%</t>
  </si>
  <si>
    <t>Among the new patients receiving treatment for diabetes as a result of the project, the share who will suffer from stage I diabetes (as opposed to stage II or III) in year 3 of the project</t>
  </si>
  <si>
    <r>
      <t xml:space="preserve">   </t>
    </r>
    <r>
      <rPr>
        <u/>
        <sz val="10"/>
        <color indexed="12"/>
        <rFont val="Arial"/>
        <family val="2"/>
      </rPr>
      <t>User's Guide</t>
    </r>
  </si>
  <si>
    <t>0 - 5%</t>
  </si>
  <si>
    <t>Annual Reduction in Incidence of Diabetes After Year 3</t>
  </si>
  <si>
    <r>
      <t xml:space="preserve">   </t>
    </r>
    <r>
      <rPr>
        <u/>
        <sz val="10"/>
        <color indexed="12"/>
        <rFont val="Arial"/>
        <family val="2"/>
      </rPr>
      <t>Project Description</t>
    </r>
  </si>
  <si>
    <t>40 - 50%</t>
  </si>
  <si>
    <t>Among the new patients receiving treatment for hypertension as a result of the project, the share who will suffer from stage I hypertension  (as opposed to stage II, III or IV) in year 3 of the project</t>
  </si>
  <si>
    <t xml:space="preserve">   More Info</t>
  </si>
  <si>
    <t>All specific parameters used in ERR computation are limited to 0 &lt;= x &lt;= 100%</t>
  </si>
  <si>
    <t>Annual Reduction in Incidence of Hypertension After Year 3</t>
  </si>
  <si>
    <t>80 - 120%</t>
  </si>
  <si>
    <t>Actual benefits as a percentage of estimated benefits</t>
  </si>
  <si>
    <t>Actual costs as a percentage of estimated costs</t>
  </si>
  <si>
    <t>All summary parameters set to initial values?</t>
  </si>
  <si>
    <t xml:space="preserve">Values used in ERR computation </t>
  </si>
  <si>
    <t>Plausible Range</t>
  </si>
  <si>
    <t>MCC Estimate</t>
  </si>
  <si>
    <t>User Input</t>
  </si>
  <si>
    <t>Parameter values</t>
  </si>
  <si>
    <t>Description of key parameters</t>
  </si>
  <si>
    <t>Parameter type</t>
  </si>
  <si>
    <r>
      <t>Change the "</t>
    </r>
    <r>
      <rPr>
        <sz val="10"/>
        <color indexed="12"/>
        <rFont val="Arial"/>
        <family val="2"/>
      </rPr>
      <t>User Input</t>
    </r>
    <r>
      <rPr>
        <sz val="11"/>
        <color theme="1"/>
        <rFont val="Calibri"/>
        <family val="2"/>
        <scheme val="minor"/>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1"/>
        <color theme="1"/>
        <rFont val="Calibri"/>
        <family val="2"/>
        <scheme val="minor"/>
      </rPr>
      <t>" button at right.  Be sure to reset all summary parameters to their original values ("MCC Estimate" values) before changing specific parameters.</t>
    </r>
  </si>
  <si>
    <t>Last updated:  8/16/2007</t>
  </si>
  <si>
    <t>ERR and sensitivity analysis</t>
  </si>
  <si>
    <t>Summary of ERR calculations.</t>
  </si>
  <si>
    <t xml:space="preserve">ERR </t>
  </si>
  <si>
    <t>This worksheet presents the aggregated costs and benefits from the project activities year-by-year, calculating a combined ERR.</t>
  </si>
  <si>
    <t>Cost-Benefit Summary</t>
  </si>
  <si>
    <t>This worksheet highlights key assumptions and summarizes how the ERR may change due to varying costs and benefits.</t>
  </si>
  <si>
    <t>Table of Contents</t>
  </si>
  <si>
    <t>ERR estimations and time horizon</t>
  </si>
  <si>
    <t>Costs included in ERR (not borne by MCC)</t>
  </si>
  <si>
    <t>Date of ERR</t>
  </si>
  <si>
    <t>Original ERR</t>
  </si>
  <si>
    <t>ERR Version</t>
  </si>
  <si>
    <t>The Health Project focuses on extending the productive years and productivity of the labor force by reducing the incidence and severity of non-communicable diseases and injuries (NCDIs) such as cancer, cardiovascular disease (CVD), diabetes and preventable accidents and trauma, and reducing and refocusing total health expenditure. Specifically, the Health Project will support:</t>
  </si>
  <si>
    <t>1. Research on NCDI related behaviors and practices in Mongolia</t>
  </si>
  <si>
    <t>Closeout ERR</t>
  </si>
  <si>
    <t>10.6% over 20 years</t>
  </si>
  <si>
    <t>Individuals bear a portion (~15% currently) of treatment costs, equipment replacement costs</t>
  </si>
  <si>
    <t>Extended years of life for the population due to reductions in the prevalence and severity of non-communicable diseases and injuries.</t>
  </si>
  <si>
    <r>
      <t xml:space="preserve">   Mongolia’s rapidly increasing rates of Non-Communicable Diseases and Injuries, or </t>
    </r>
    <r>
      <rPr>
        <i/>
        <sz val="10"/>
        <rFont val="Arial"/>
        <family val="2"/>
      </rPr>
      <t>NCDI,</t>
    </r>
    <r>
      <rPr>
        <sz val="11"/>
        <rFont val="Calibri"/>
        <family val="2"/>
        <scheme val="minor"/>
      </rPr>
      <t xml:space="preserve"> such as cardiovascular disease, diabetes, cancer and injury-induced trauma, have prompted the Government of Mongolia to look at making significant investments into modernizing their health care system. Mongolia’s mortality and morbidity rates from cardiovascular disease and cancers greatly exceed those of Western countries and now represent the major cause of death and disability, and the underdeveloped trauma response and emergency medical care in Mongolia, as well as the lack of prevention-based health care, has had a negative impact on productivity.</t>
    </r>
  </si>
  <si>
    <t>Last updated: 03/20/2019</t>
  </si>
  <si>
    <t xml:space="preserve">Compact Implementation </t>
  </si>
  <si>
    <t>Year</t>
  </si>
  <si>
    <t xml:space="preserve">Calendar Year </t>
  </si>
  <si>
    <t>Total Benefits (MTN'000)</t>
  </si>
  <si>
    <t>Total Costs (MTN'000)</t>
  </si>
  <si>
    <t>Net Benefits (USD)</t>
  </si>
  <si>
    <t>Total Benefits (USD)</t>
  </si>
  <si>
    <t>Total Costs (USD)</t>
  </si>
  <si>
    <t>NPV of Net Benefits (USD)</t>
  </si>
  <si>
    <t xml:space="preserve">Summary ERR </t>
  </si>
  <si>
    <t>NPV of Benefits (USD)</t>
  </si>
  <si>
    <t>NPV of Costs (USD)</t>
  </si>
  <si>
    <t>$41.8 million</t>
  </si>
  <si>
    <t>2. Communications and education interventions to promote risk behavior changes</t>
  </si>
  <si>
    <t>3. New treatment and disease management protocols</t>
  </si>
  <si>
    <t>4. A limited amount of equipment and intensive in-service training for early detection of cervical and breast cancers</t>
  </si>
  <si>
    <t>5. Training of physicians and general medical personnel in NCDI disease management.</t>
  </si>
  <si>
    <t xml:space="preserve">         2.      Communications and education interventions to promote risk behavior changes</t>
  </si>
  <si>
    <t xml:space="preserve">         3.      New treatment and disease management protocols</t>
  </si>
  <si>
    <t xml:space="preserve">         4.      A limited amount of equipment and intensive in-service training for early detection of cervical and breast cancers</t>
  </si>
  <si>
    <t xml:space="preserve">         5.      Training of physicians and general medical personnel in NCDI disease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</si>
</sst>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0.000000"/>
    <numFmt numFmtId="167" formatCode="0,"/>
    <numFmt numFmtId="168" formatCode="0,,,"/>
    <numFmt numFmtId="169" formatCode="0,,"/>
    <numFmt numFmtId="170" formatCode="0.0,,"/>
    <numFmt numFmtId="171" formatCode="0.0,,,"/>
    <numFmt numFmtId="172" formatCode="0.00,,,"/>
    <numFmt numFmtId="173" formatCode="_(* #,##0_);_(* \(#,##0\);_(* &quot;-&quot;??_);_(@_)"/>
    <numFmt numFmtId="174" formatCode="_-* #,##0.00\ _€_-;\-* #,##0.00\ _€_-;_-* &quot;-&quot;??\ _€_-;_-@_-"/>
    <numFmt numFmtId="175" formatCode="_-* #,##0.00\ &quot;€&quot;_-;\-* #,##0.00\ &quot;€&quot;_-;_-* &quot;-&quot;??\ &quot;€&quot;_-;_-@_-"/>
    <numFmt numFmtId="176" formatCode="_(&quot;€&quot;* #,##0.00_);_(&quot;€&quot;* \(#,##0.00\);_(&quot;€&quot;* &quot;-&quot;??_);_(@_)"/>
  </numFmts>
  <fonts count="81">
    <font>
      <sz val="11"/>
      <color theme="1"/>
      <name val="Calibri"/>
      <family val="2"/>
      <scheme val="minor"/>
    </font>
    <font>
      <sz val="11"/>
      <color theme="1"/>
      <name val="Calibri"/>
      <family val="2"/>
      <scheme val="minor"/>
    </font>
    <font>
      <sz val="10"/>
      <name val="Arial"/>
      <family val="2"/>
    </font>
    <font>
      <sz val="9"/>
      <name val="Arial Mon"/>
      <family val="2"/>
    </font>
    <font>
      <b/>
      <sz val="12"/>
      <color theme="1"/>
      <name val="Times New Roman"/>
      <family val="1"/>
    </font>
    <font>
      <b/>
      <sz val="12"/>
      <color rgb="FF1F497D"/>
      <name val="Times New Roman"/>
      <family val="1"/>
    </font>
    <font>
      <sz val="12"/>
      <color theme="1"/>
      <name val="Times New Roman"/>
      <family val="1"/>
    </font>
    <font>
      <sz val="12"/>
      <name val="Times New Roman"/>
      <family val="1"/>
    </font>
    <font>
      <sz val="8"/>
      <color indexed="81"/>
      <name val="Tahoma"/>
      <family val="2"/>
    </font>
    <font>
      <b/>
      <sz val="8"/>
      <color indexed="81"/>
      <name val="Tahoma"/>
      <family val="2"/>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2"/>
      <color theme="1"/>
      <name val="Calibri"/>
      <family val="2"/>
      <scheme val="minor"/>
    </font>
    <font>
      <b/>
      <sz val="12"/>
      <color theme="1"/>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u/>
      <sz val="11"/>
      <color theme="10"/>
      <name val="Calibri"/>
      <family val="2"/>
    </font>
    <font>
      <b/>
      <sz val="10"/>
      <color theme="3" tint="-0.249977111117893"/>
      <name val="Arial Narrow"/>
      <family val="2"/>
    </font>
    <font>
      <sz val="10"/>
      <name val="Arial Narrow"/>
      <family val="2"/>
    </font>
    <font>
      <vertAlign val="superscript"/>
      <sz val="10"/>
      <name val="Arial Narrow"/>
      <family val="2"/>
    </font>
    <font>
      <sz val="9"/>
      <name val="Arial Narrow"/>
      <family val="2"/>
    </font>
    <font>
      <i/>
      <sz val="10"/>
      <color indexed="10"/>
      <name val="Arial Narrow"/>
      <family val="2"/>
    </font>
    <font>
      <sz val="11"/>
      <color rgb="FF000000"/>
      <name val="Times New Roman"/>
      <family val="1"/>
    </font>
    <font>
      <b/>
      <sz val="11"/>
      <color rgb="FF000000"/>
      <name val="Times New Roman"/>
      <family val="1"/>
    </font>
    <font>
      <b/>
      <sz val="11"/>
      <color rgb="FF000000"/>
      <name val="Arial"/>
      <family val="2"/>
    </font>
    <font>
      <sz val="11"/>
      <color rgb="FF000000"/>
      <name val="Arial"/>
      <family val="2"/>
    </font>
    <font>
      <b/>
      <sz val="9"/>
      <color theme="1"/>
      <name val="Times New Roman"/>
      <family val="1"/>
    </font>
    <font>
      <b/>
      <sz val="9"/>
      <name val="Times New Roman"/>
      <family val="1"/>
    </font>
    <font>
      <sz val="9"/>
      <color theme="1"/>
      <name val="Times New Roman"/>
      <family val="1"/>
    </font>
    <font>
      <sz val="9"/>
      <name val="Times New Roman"/>
      <family val="1"/>
    </font>
    <font>
      <sz val="9"/>
      <color theme="3"/>
      <name val="Times New Roman"/>
      <family val="1"/>
    </font>
    <font>
      <b/>
      <sz val="9"/>
      <color indexed="81"/>
      <name val="Tahoma"/>
      <family val="2"/>
      <charset val="204"/>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2"/>
      <color theme="1"/>
      <name val="Arial Narrow"/>
      <family val="2"/>
    </font>
    <font>
      <sz val="10"/>
      <name val="Arial"/>
      <family val="2"/>
      <charset val="204"/>
    </font>
    <font>
      <b/>
      <sz val="18"/>
      <color indexed="56"/>
      <name val="Cambria"/>
      <family val="2"/>
    </font>
    <font>
      <sz val="11"/>
      <color indexed="10"/>
      <name val="Calibri"/>
      <family val="2"/>
    </font>
    <font>
      <b/>
      <sz val="11"/>
      <color theme="1"/>
      <name val="Calibri"/>
      <family val="2"/>
      <charset val="204"/>
      <scheme val="minor"/>
    </font>
    <font>
      <sz val="10"/>
      <color indexed="63"/>
      <name val="Arial"/>
      <family val="2"/>
    </font>
    <font>
      <u/>
      <sz val="10"/>
      <color indexed="12"/>
      <name val="Arial"/>
      <family val="2"/>
    </font>
    <font>
      <i/>
      <sz val="10"/>
      <name val="Arial"/>
      <family val="2"/>
    </font>
    <font>
      <b/>
      <sz val="10"/>
      <name val="Arial"/>
      <family val="2"/>
    </font>
    <font>
      <b/>
      <sz val="16"/>
      <name val="Arial"/>
      <family val="2"/>
    </font>
    <font>
      <sz val="8"/>
      <color indexed="17"/>
      <name val="Arial"/>
      <family val="2"/>
    </font>
    <font>
      <sz val="14"/>
      <name val="Arial"/>
      <family val="2"/>
    </font>
    <font>
      <b/>
      <sz val="10"/>
      <color indexed="9"/>
      <name val="Arial"/>
      <family val="2"/>
    </font>
    <font>
      <sz val="9"/>
      <color indexed="55"/>
      <name val="Arial"/>
      <family val="2"/>
    </font>
    <font>
      <b/>
      <sz val="10"/>
      <color indexed="12"/>
      <name val="Arial"/>
      <family val="2"/>
    </font>
    <font>
      <sz val="10"/>
      <color indexed="12"/>
      <name val="Arial"/>
      <family val="2"/>
    </font>
    <font>
      <sz val="10"/>
      <color indexed="9"/>
      <name val="Arial"/>
      <family val="2"/>
    </font>
    <font>
      <b/>
      <sz val="10"/>
      <color indexed="55"/>
      <name val="Arial"/>
      <family val="2"/>
    </font>
    <font>
      <b/>
      <sz val="12"/>
      <name val="Arial"/>
      <family val="2"/>
    </font>
    <font>
      <sz val="10"/>
      <color indexed="23"/>
      <name val="Arial"/>
      <family val="2"/>
    </font>
    <font>
      <u/>
      <sz val="10"/>
      <color theme="10"/>
      <name val="Arial"/>
      <family val="2"/>
    </font>
    <font>
      <sz val="10"/>
      <name val="Times New Roman"/>
      <family val="1"/>
    </font>
    <font>
      <b/>
      <sz val="10"/>
      <color theme="0" tint="-0.499984740745262"/>
      <name val="Arial"/>
      <family val="2"/>
    </font>
    <font>
      <sz val="10"/>
      <color rgb="FFFF0000"/>
      <name val="Arial"/>
      <family val="2"/>
    </font>
    <font>
      <sz val="8"/>
      <color rgb="FFFF0000"/>
      <name val="Arial"/>
      <family val="2"/>
    </font>
    <font>
      <b/>
      <sz val="10"/>
      <color rgb="FF0000FF"/>
      <name val="Arial"/>
      <family val="2"/>
    </font>
    <font>
      <b/>
      <i/>
      <u/>
      <sz val="11"/>
      <color theme="1"/>
      <name val="Calibri"/>
      <family val="2"/>
      <scheme val="minor"/>
    </font>
    <font>
      <sz val="11"/>
      <name val="Calibri"/>
      <family val="2"/>
      <scheme val="minor"/>
    </font>
    <font>
      <sz val="8"/>
      <color rgb="FF008000"/>
      <name val="Arial"/>
      <family val="2"/>
    </font>
    <font>
      <b/>
      <sz val="14"/>
      <name val="Arial"/>
      <family val="2"/>
    </font>
    <font>
      <sz val="10"/>
      <color theme="1"/>
      <name val="Arial"/>
      <family val="2"/>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3" tint="0.79998168889431442"/>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CC66"/>
        <bgColor indexed="64"/>
      </patternFill>
    </fill>
    <fill>
      <patternFill patternType="solid">
        <fgColor rgb="FF99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style="medium">
        <color rgb="FF000000"/>
      </top>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double">
        <color indexed="9"/>
      </right>
      <top style="double">
        <color indexed="9"/>
      </top>
      <bottom style="double">
        <color indexed="9"/>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183">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9" fillId="0" borderId="0" applyNumberFormat="0" applyFill="0" applyBorder="0" applyAlignment="0" applyProtection="0">
      <alignment vertical="top"/>
      <protection locked="0"/>
    </xf>
    <xf numFmtId="43" fontId="2" fillId="0" borderId="0" applyFont="0" applyFill="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23" borderId="29" applyNumberFormat="0" applyAlignment="0" applyProtection="0"/>
    <xf numFmtId="0" fontId="38" fillId="6" borderId="0" applyNumberFormat="0" applyBorder="0" applyAlignment="0" applyProtection="0"/>
    <xf numFmtId="0" fontId="39" fillId="23" borderId="30" applyNumberFormat="0" applyAlignment="0" applyProtection="0"/>
    <xf numFmtId="0" fontId="39" fillId="23" borderId="30" applyNumberFormat="0" applyAlignment="0" applyProtection="0"/>
    <xf numFmtId="0" fontId="40" fillId="24" borderId="3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1" fillId="10" borderId="30" applyNumberFormat="0" applyAlignment="0" applyProtection="0"/>
    <xf numFmtId="0" fontId="42" fillId="0" borderId="32"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33" applyNumberFormat="0" applyFill="0" applyAlignment="0" applyProtection="0"/>
    <xf numFmtId="0" fontId="46" fillId="0" borderId="34" applyNumberFormat="0" applyFill="0" applyAlignment="0" applyProtection="0"/>
    <xf numFmtId="0" fontId="47" fillId="0" borderId="35" applyNumberFormat="0" applyFill="0" applyAlignment="0" applyProtection="0"/>
    <xf numFmtId="0" fontId="47" fillId="0" borderId="0" applyNumberFormat="0" applyFill="0" applyBorder="0" applyAlignment="0" applyProtection="0"/>
    <xf numFmtId="0" fontId="41" fillId="10" borderId="30" applyNumberFormat="0" applyAlignment="0" applyProtection="0"/>
    <xf numFmtId="0" fontId="48" fillId="0" borderId="36" applyNumberFormat="0" applyFill="0" applyAlignment="0" applyProtection="0"/>
    <xf numFmtId="0" fontId="49" fillId="25" borderId="0" applyNumberFormat="0" applyBorder="0" applyAlignment="0" applyProtection="0"/>
    <xf numFmtId="0" fontId="2" fillId="0" borderId="0"/>
    <xf numFmtId="0" fontId="2" fillId="0" borderId="0"/>
    <xf numFmtId="0" fontId="2" fillId="0" borderId="0"/>
    <xf numFmtId="0" fontId="2" fillId="0" borderId="0"/>
    <xf numFmtId="0" fontId="50" fillId="0" borderId="0"/>
    <xf numFmtId="0" fontId="1" fillId="0" borderId="0"/>
    <xf numFmtId="0" fontId="51" fillId="0" borderId="0"/>
    <xf numFmtId="0" fontId="1" fillId="0" borderId="0"/>
    <xf numFmtId="0" fontId="2" fillId="26" borderId="37" applyNumberFormat="0" applyFont="0" applyAlignment="0" applyProtection="0"/>
    <xf numFmtId="0" fontId="37" fillId="23" borderId="29" applyNumberFormat="0" applyAlignment="0" applyProtection="0"/>
    <xf numFmtId="0" fontId="2" fillId="0" borderId="0"/>
    <xf numFmtId="0" fontId="2" fillId="0" borderId="0"/>
    <xf numFmtId="0" fontId="2" fillId="0" borderId="0"/>
    <xf numFmtId="0" fontId="2" fillId="0" borderId="0"/>
    <xf numFmtId="0" fontId="35" fillId="0" borderId="0"/>
    <xf numFmtId="0" fontId="52" fillId="0" borderId="0" applyNumberFormat="0" applyFill="0" applyBorder="0" applyAlignment="0" applyProtection="0"/>
    <xf numFmtId="0" fontId="42" fillId="0" borderId="32" applyNumberFormat="0" applyFill="0" applyAlignment="0" applyProtection="0"/>
    <xf numFmtId="44" fontId="2"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4" fontId="1" fillId="0" borderId="0" applyFont="0" applyFill="0" applyBorder="0" applyAlignment="0" applyProtection="0"/>
    <xf numFmtId="0" fontId="5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70" fillId="0" borderId="0" applyNumberFormat="0" applyFill="0" applyBorder="0" applyAlignment="0" applyProtection="0"/>
    <xf numFmtId="0" fontId="2" fillId="0" borderId="0"/>
    <xf numFmtId="0" fontId="71" fillId="0" borderId="0"/>
  </cellStyleXfs>
  <cellXfs count="418">
    <xf numFmtId="0" fontId="0" fillId="0" borderId="0" xfId="0"/>
    <xf numFmtId="0" fontId="0" fillId="0" borderId="4" xfId="0" applyBorder="1"/>
    <xf numFmtId="0" fontId="0" fillId="0" borderId="5" xfId="0" applyBorder="1"/>
    <xf numFmtId="0" fontId="0" fillId="0" borderId="3" xfId="0" applyBorder="1"/>
    <xf numFmtId="164" fontId="0" fillId="0" borderId="0" xfId="1" applyNumberFormat="1" applyFont="1"/>
    <xf numFmtId="0" fontId="4" fillId="0" borderId="6" xfId="0" applyFont="1" applyBorder="1" applyAlignment="1">
      <alignment vertical="top" wrapText="1"/>
    </xf>
    <xf numFmtId="0" fontId="5"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165" fontId="0" fillId="0" borderId="0" xfId="0" applyNumberFormat="1"/>
    <xf numFmtId="0" fontId="5" fillId="0" borderId="14" xfId="0" applyFont="1" applyBorder="1" applyAlignment="1">
      <alignment vertical="top" wrapText="1"/>
    </xf>
    <xf numFmtId="0" fontId="7" fillId="0" borderId="15" xfId="0" applyFont="1" applyBorder="1"/>
    <xf numFmtId="0" fontId="7" fillId="0" borderId="16" xfId="0" applyFont="1" applyBorder="1"/>
    <xf numFmtId="0" fontId="7" fillId="0" borderId="17" xfId="0" applyFont="1" applyBorder="1"/>
    <xf numFmtId="0" fontId="7" fillId="0" borderId="0" xfId="0" applyFont="1"/>
    <xf numFmtId="0" fontId="6" fillId="0" borderId="0" xfId="0" applyFont="1" applyFill="1" applyBorder="1" applyAlignment="1">
      <alignment horizontal="right" vertical="top"/>
    </xf>
    <xf numFmtId="166" fontId="0" fillId="0" borderId="0" xfId="0" applyNumberFormat="1"/>
    <xf numFmtId="1" fontId="0" fillId="0" borderId="0" xfId="0" applyNumberFormat="1"/>
    <xf numFmtId="0" fontId="0" fillId="0" borderId="0" xfId="0" applyAlignment="1">
      <alignment horizontal="right"/>
    </xf>
    <xf numFmtId="167" fontId="0" fillId="0" borderId="0" xfId="0" applyNumberFormat="1"/>
    <xf numFmtId="0" fontId="0" fillId="2" borderId="0" xfId="0" applyFill="1"/>
    <xf numFmtId="166" fontId="0" fillId="2" borderId="0" xfId="0" applyNumberFormat="1" applyFill="1"/>
    <xf numFmtId="167" fontId="0" fillId="0" borderId="3" xfId="0" applyNumberFormat="1" applyBorder="1"/>
    <xf numFmtId="0" fontId="2" fillId="0" borderId="0" xfId="0" applyFont="1"/>
    <xf numFmtId="9" fontId="0" fillId="0" borderId="0" xfId="1" applyFont="1"/>
    <xf numFmtId="168" fontId="0" fillId="0" borderId="0" xfId="0" applyNumberFormat="1"/>
    <xf numFmtId="0" fontId="0" fillId="0" borderId="0" xfId="0" applyAlignment="1">
      <alignment horizontal="left"/>
    </xf>
    <xf numFmtId="0" fontId="0" fillId="0" borderId="0" xfId="0" applyAlignment="1"/>
    <xf numFmtId="169" fontId="0" fillId="0" borderId="0" xfId="0" applyNumberFormat="1"/>
    <xf numFmtId="170" fontId="0" fillId="0" borderId="0" xfId="0" applyNumberFormat="1"/>
    <xf numFmtId="1" fontId="0" fillId="0" borderId="0" xfId="1" applyNumberFormat="1" applyFont="1"/>
    <xf numFmtId="49" fontId="0" fillId="0" borderId="0" xfId="0" quotePrefix="1" applyNumberFormat="1"/>
    <xf numFmtId="164" fontId="0" fillId="2" borderId="0" xfId="1" applyNumberFormat="1" applyFont="1" applyFill="1"/>
    <xf numFmtId="0" fontId="10" fillId="0" borderId="0" xfId="0" applyFont="1"/>
    <xf numFmtId="0" fontId="0" fillId="0" borderId="18" xfId="0" applyBorder="1" applyAlignment="1">
      <alignment horizontal="right"/>
    </xf>
    <xf numFmtId="0" fontId="0" fillId="0" borderId="19" xfId="0" applyBorder="1"/>
    <xf numFmtId="1" fontId="0" fillId="0" borderId="19" xfId="0" applyNumberFormat="1" applyBorder="1"/>
    <xf numFmtId="0" fontId="0" fillId="0" borderId="20" xfId="0" applyBorder="1"/>
    <xf numFmtId="0" fontId="0" fillId="0" borderId="21" xfId="0" applyBorder="1"/>
    <xf numFmtId="0" fontId="0" fillId="0" borderId="0" xfId="0" applyBorder="1"/>
    <xf numFmtId="0" fontId="0" fillId="0" borderId="22" xfId="0" applyBorder="1"/>
    <xf numFmtId="164" fontId="0" fillId="0" borderId="0" xfId="1" applyNumberFormat="1" applyFont="1" applyBorder="1"/>
    <xf numFmtId="168" fontId="0" fillId="0" borderId="0" xfId="0" applyNumberFormat="1" applyBorder="1"/>
    <xf numFmtId="171" fontId="0" fillId="0" borderId="0" xfId="0" applyNumberFormat="1" applyBorder="1"/>
    <xf numFmtId="172" fontId="0" fillId="0" borderId="0" xfId="0" applyNumberFormat="1" applyBorder="1"/>
    <xf numFmtId="172" fontId="0" fillId="0" borderId="22" xfId="0" applyNumberFormat="1" applyBorder="1"/>
    <xf numFmtId="0" fontId="0" fillId="0" borderId="2" xfId="0" applyBorder="1"/>
    <xf numFmtId="1" fontId="0" fillId="0" borderId="3" xfId="0" applyNumberFormat="1" applyBorder="1"/>
    <xf numFmtId="9" fontId="0" fillId="0" borderId="3" xfId="1" applyFont="1" applyBorder="1"/>
    <xf numFmtId="0" fontId="0" fillId="0" borderId="23" xfId="0" applyBorder="1"/>
    <xf numFmtId="0" fontId="0" fillId="3" borderId="1" xfId="0" applyFill="1" applyBorder="1"/>
    <xf numFmtId="173" fontId="0" fillId="3" borderId="1" xfId="4" applyNumberFormat="1" applyFont="1" applyFill="1" applyBorder="1"/>
    <xf numFmtId="164" fontId="11" fillId="0" borderId="0" xfId="1" applyNumberFormat="1" applyFont="1"/>
    <xf numFmtId="0" fontId="0" fillId="4" borderId="0" xfId="0" applyFill="1"/>
    <xf numFmtId="164" fontId="0" fillId="4" borderId="0" xfId="1" applyNumberFormat="1" applyFont="1" applyFill="1"/>
    <xf numFmtId="1" fontId="0" fillId="4" borderId="0" xfId="0" applyNumberFormat="1" applyFill="1"/>
    <xf numFmtId="0" fontId="0" fillId="0" borderId="0" xfId="0" applyFont="1"/>
    <xf numFmtId="9" fontId="0" fillId="0" borderId="0" xfId="0" applyNumberFormat="1"/>
    <xf numFmtId="10" fontId="0" fillId="0" borderId="0" xfId="0" applyNumberFormat="1"/>
    <xf numFmtId="0" fontId="0" fillId="0" borderId="0" xfId="0" quotePrefix="1"/>
    <xf numFmtId="0" fontId="14" fillId="0" borderId="0" xfId="0" applyFont="1"/>
    <xf numFmtId="0" fontId="0" fillId="0" borderId="21"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5" xfId="0" applyBorder="1"/>
    <xf numFmtId="0" fontId="10" fillId="0" borderId="18" xfId="0" applyFont="1" applyBorder="1"/>
    <xf numFmtId="0" fontId="10" fillId="0" borderId="19" xfId="0" applyFont="1" applyBorder="1" applyAlignment="1">
      <alignment horizontal="center"/>
    </xf>
    <xf numFmtId="0" fontId="10" fillId="0" borderId="2" xfId="0" applyFont="1" applyBorder="1"/>
    <xf numFmtId="0" fontId="10" fillId="0" borderId="3" xfId="0" applyFont="1" applyBorder="1" applyAlignment="1">
      <alignment horizontal="center"/>
    </xf>
    <xf numFmtId="0" fontId="10" fillId="0" borderId="23" xfId="0" applyFont="1" applyBorder="1" applyAlignment="1">
      <alignment horizontal="center"/>
    </xf>
    <xf numFmtId="0" fontId="0" fillId="0" borderId="18" xfId="0" applyNumberFormat="1" applyBorder="1"/>
    <xf numFmtId="173" fontId="0" fillId="0" borderId="19" xfId="4" applyNumberFormat="1" applyFont="1" applyBorder="1"/>
    <xf numFmtId="173" fontId="0" fillId="0" borderId="20" xfId="4" applyNumberFormat="1" applyFont="1" applyBorder="1"/>
    <xf numFmtId="0" fontId="0" fillId="0" borderId="21" xfId="0" applyNumberFormat="1" applyBorder="1"/>
    <xf numFmtId="173" fontId="0" fillId="0" borderId="0" xfId="4" applyNumberFormat="1" applyFont="1" applyBorder="1"/>
    <xf numFmtId="173" fontId="0" fillId="0" borderId="22" xfId="4" applyNumberFormat="1" applyFont="1" applyBorder="1"/>
    <xf numFmtId="0" fontId="0" fillId="0" borderId="2" xfId="0" applyNumberFormat="1" applyBorder="1"/>
    <xf numFmtId="173" fontId="0" fillId="0" borderId="3" xfId="4" applyNumberFormat="1" applyFont="1" applyBorder="1"/>
    <xf numFmtId="173" fontId="0" fillId="0" borderId="23" xfId="4" applyNumberFormat="1" applyFont="1" applyBorder="1"/>
    <xf numFmtId="0" fontId="10" fillId="0" borderId="4" xfId="0" applyNumberFormat="1" applyFont="1" applyBorder="1"/>
    <xf numFmtId="173" fontId="10" fillId="0" borderId="5" xfId="0" applyNumberFormat="1" applyFont="1" applyBorder="1"/>
    <xf numFmtId="3" fontId="0" fillId="0" borderId="0" xfId="0" applyNumberFormat="1"/>
    <xf numFmtId="0" fontId="10" fillId="0" borderId="19" xfId="0" applyFont="1" applyBorder="1"/>
    <xf numFmtId="0" fontId="14" fillId="0" borderId="0" xfId="0" applyFont="1" applyBorder="1"/>
    <xf numFmtId="0" fontId="14" fillId="0" borderId="3" xfId="0" applyFont="1" applyBorder="1"/>
    <xf numFmtId="0" fontId="15" fillId="0" borderId="0" xfId="0" applyFont="1" applyFill="1" applyBorder="1"/>
    <xf numFmtId="0" fontId="16" fillId="0" borderId="18" xfId="0" applyFont="1" applyBorder="1"/>
    <xf numFmtId="0" fontId="0" fillId="0" borderId="27" xfId="0" applyBorder="1"/>
    <xf numFmtId="0" fontId="17" fillId="0" borderId="18" xfId="0" applyFont="1" applyBorder="1"/>
    <xf numFmtId="0" fontId="10" fillId="0" borderId="0" xfId="0" applyFont="1" applyBorder="1" applyAlignment="1">
      <alignment horizontal="center"/>
    </xf>
    <xf numFmtId="0" fontId="10" fillId="0" borderId="22" xfId="0" applyFont="1" applyBorder="1" applyAlignment="1">
      <alignment horizontal="center"/>
    </xf>
    <xf numFmtId="0" fontId="0" fillId="0" borderId="22" xfId="0" quotePrefix="1" applyBorder="1" applyAlignment="1">
      <alignment horizontal="center"/>
    </xf>
    <xf numFmtId="0" fontId="0" fillId="0" borderId="23" xfId="0" quotePrefix="1" applyBorder="1" applyAlignment="1">
      <alignment horizontal="center"/>
    </xf>
    <xf numFmtId="0" fontId="0" fillId="0" borderId="18" xfId="0" applyBorder="1"/>
    <xf numFmtId="0" fontId="10" fillId="0" borderId="20" xfId="0" applyFont="1" applyBorder="1"/>
    <xf numFmtId="0" fontId="17" fillId="0" borderId="21" xfId="0" applyFont="1" applyBorder="1"/>
    <xf numFmtId="0" fontId="0" fillId="0" borderId="21" xfId="0" quotePrefix="1" applyBorder="1"/>
    <xf numFmtId="0" fontId="18" fillId="0" borderId="21" xfId="0" applyFont="1" applyFill="1" applyBorder="1"/>
    <xf numFmtId="0" fontId="0" fillId="0" borderId="2" xfId="0" quotePrefix="1" applyBorder="1"/>
    <xf numFmtId="173" fontId="0" fillId="0" borderId="18" xfId="4" applyNumberFormat="1" applyFont="1" applyBorder="1" applyAlignment="1">
      <alignment horizontal="center"/>
    </xf>
    <xf numFmtId="173" fontId="0" fillId="0" borderId="19" xfId="4" applyNumberFormat="1" applyFont="1" applyBorder="1" applyAlignment="1">
      <alignment horizontal="center"/>
    </xf>
    <xf numFmtId="173" fontId="0" fillId="0" borderId="20" xfId="4" applyNumberFormat="1" applyFont="1" applyBorder="1" applyAlignment="1">
      <alignment horizontal="center"/>
    </xf>
    <xf numFmtId="173" fontId="0" fillId="0" borderId="21" xfId="4" applyNumberFormat="1" applyFont="1" applyBorder="1"/>
    <xf numFmtId="173" fontId="0" fillId="0" borderId="2" xfId="4" applyNumberFormat="1" applyFont="1" applyBorder="1"/>
    <xf numFmtId="173" fontId="0" fillId="0" borderId="24" xfId="4" applyNumberFormat="1" applyFont="1" applyBorder="1" applyAlignment="1">
      <alignment horizontal="center"/>
    </xf>
    <xf numFmtId="173" fontId="0" fillId="0" borderId="25" xfId="4" applyNumberFormat="1" applyFont="1" applyBorder="1"/>
    <xf numFmtId="173" fontId="0" fillId="0" borderId="27" xfId="4" applyNumberFormat="1" applyFont="1" applyBorder="1"/>
    <xf numFmtId="0" fontId="10" fillId="0" borderId="23" xfId="0" applyFont="1" applyBorder="1"/>
    <xf numFmtId="0" fontId="10" fillId="0" borderId="1" xfId="0" applyFont="1" applyBorder="1" applyAlignment="1">
      <alignment horizontal="center"/>
    </xf>
    <xf numFmtId="0" fontId="10" fillId="0" borderId="4" xfId="0" applyFont="1" applyBorder="1" applyAlignment="1">
      <alignment horizontal="center"/>
    </xf>
    <xf numFmtId="0" fontId="10" fillId="0" borderId="26" xfId="0" applyFont="1" applyBorder="1" applyAlignment="1">
      <alignment horizontal="center"/>
    </xf>
    <xf numFmtId="0" fontId="18" fillId="0" borderId="18" xfId="0" applyFont="1" applyBorder="1"/>
    <xf numFmtId="0" fontId="0" fillId="0" borderId="4" xfId="0" applyFill="1" applyBorder="1"/>
    <xf numFmtId="173" fontId="0" fillId="0" borderId="4" xfId="4" applyNumberFormat="1" applyFont="1" applyFill="1" applyBorder="1"/>
    <xf numFmtId="173" fontId="0" fillId="0" borderId="1" xfId="4" applyNumberFormat="1" applyFont="1" applyFill="1" applyBorder="1"/>
    <xf numFmtId="173" fontId="0" fillId="0" borderId="26" xfId="4" applyNumberFormat="1" applyFont="1" applyFill="1" applyBorder="1"/>
    <xf numFmtId="0" fontId="0" fillId="0" borderId="1" xfId="0" applyBorder="1"/>
    <xf numFmtId="0" fontId="6" fillId="0" borderId="0" xfId="0" applyFont="1"/>
    <xf numFmtId="0" fontId="19" fillId="0" borderId="0" xfId="5" applyAlignment="1" applyProtection="1"/>
    <xf numFmtId="0" fontId="20" fillId="2" borderId="1" xfId="0" applyFont="1" applyFill="1" applyBorder="1" applyAlignment="1">
      <alignment vertical="top" wrapText="1"/>
    </xf>
    <xf numFmtId="0" fontId="21" fillId="0" borderId="1" xfId="0" applyFont="1" applyFill="1" applyBorder="1" applyAlignment="1">
      <alignment vertical="top"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Border="1" applyAlignment="1">
      <alignment vertical="top" wrapText="1"/>
    </xf>
    <xf numFmtId="0" fontId="0" fillId="2" borderId="1" xfId="0" applyFill="1" applyBorder="1" applyAlignment="1">
      <alignment vertical="center" wrapText="1"/>
    </xf>
    <xf numFmtId="0" fontId="23" fillId="0" borderId="1" xfId="0" applyFont="1" applyBorder="1" applyAlignment="1">
      <alignment vertical="top" wrapText="1"/>
    </xf>
    <xf numFmtId="0" fontId="21" fillId="2" borderId="1" xfId="0" applyFont="1" applyFill="1" applyBorder="1" applyAlignment="1">
      <alignment vertical="top" wrapText="1"/>
    </xf>
    <xf numFmtId="164" fontId="0" fillId="0" borderId="3" xfId="1" applyNumberFormat="1" applyFont="1" applyBorder="1"/>
    <xf numFmtId="173" fontId="0" fillId="0" borderId="0" xfId="4" applyNumberFormat="1" applyFont="1"/>
    <xf numFmtId="173" fontId="0" fillId="0" borderId="0" xfId="0" applyNumberFormat="1"/>
    <xf numFmtId="0" fontId="0" fillId="2" borderId="0" xfId="0" applyFill="1" applyAlignment="1">
      <alignment horizontal="right"/>
    </xf>
    <xf numFmtId="167" fontId="0" fillId="2" borderId="0" xfId="0" applyNumberFormat="1" applyFill="1"/>
    <xf numFmtId="173" fontId="0" fillId="2" borderId="0" xfId="4" applyNumberFormat="1" applyFont="1" applyFill="1"/>
    <xf numFmtId="167" fontId="0" fillId="2" borderId="3" xfId="0" applyNumberFormat="1" applyFill="1" applyBorder="1"/>
    <xf numFmtId="1" fontId="0" fillId="4" borderId="0" xfId="1" applyNumberFormat="1" applyFont="1" applyFill="1"/>
    <xf numFmtId="0" fontId="0" fillId="0" borderId="0" xfId="0" applyFill="1"/>
    <xf numFmtId="9" fontId="0" fillId="0" borderId="22" xfId="1" applyFont="1" applyBorder="1"/>
    <xf numFmtId="0" fontId="10" fillId="0" borderId="0" xfId="0" applyNumberFormat="1" applyFont="1" applyFill="1" applyBorder="1"/>
    <xf numFmtId="0" fontId="6" fillId="0" borderId="0" xfId="0" applyFont="1" applyFill="1" applyBorder="1" applyAlignment="1">
      <alignment vertical="top" wrapText="1"/>
    </xf>
    <xf numFmtId="1" fontId="6" fillId="0" borderId="28" xfId="0" applyNumberFormat="1" applyFont="1" applyFill="1" applyBorder="1" applyAlignment="1">
      <alignment vertical="top" wrapText="1"/>
    </xf>
    <xf numFmtId="0" fontId="27" fillId="0" borderId="0" xfId="0" applyFont="1" applyAlignment="1">
      <alignment horizontal="left" readingOrder="1"/>
    </xf>
    <xf numFmtId="0" fontId="28" fillId="0" borderId="0" xfId="0" applyFont="1" applyAlignment="1">
      <alignment horizontal="left" readingOrder="1"/>
    </xf>
    <xf numFmtId="0" fontId="25" fillId="0" borderId="21" xfId="0" applyFont="1" applyBorder="1" applyAlignment="1">
      <alignment readingOrder="1"/>
    </xf>
    <xf numFmtId="0" fontId="25" fillId="0" borderId="0" xfId="0" applyFont="1" applyBorder="1" applyAlignment="1">
      <alignment readingOrder="1"/>
    </xf>
    <xf numFmtId="0" fontId="26" fillId="0" borderId="18" xfId="0" applyFont="1" applyBorder="1" applyAlignment="1">
      <alignment readingOrder="1"/>
    </xf>
    <xf numFmtId="0" fontId="26" fillId="0" borderId="20" xfId="0" applyFont="1" applyBorder="1" applyAlignment="1">
      <alignment readingOrder="1"/>
    </xf>
    <xf numFmtId="0" fontId="27" fillId="2" borderId="0" xfId="0" applyFont="1" applyFill="1" applyAlignment="1">
      <alignment horizontal="left" readingOrder="1"/>
    </xf>
    <xf numFmtId="0" fontId="0" fillId="2" borderId="0" xfId="0" applyFont="1" applyFill="1"/>
    <xf numFmtId="0" fontId="28" fillId="2" borderId="0" xfId="0" applyFont="1" applyFill="1" applyAlignment="1">
      <alignment horizontal="left" readingOrder="1"/>
    </xf>
    <xf numFmtId="173" fontId="0" fillId="3" borderId="0" xfId="4" applyNumberFormat="1" applyFont="1" applyFill="1" applyBorder="1"/>
    <xf numFmtId="173" fontId="0" fillId="3" borderId="3" xfId="4" applyNumberFormat="1" applyFont="1" applyFill="1" applyBorder="1"/>
    <xf numFmtId="173" fontId="0" fillId="3" borderId="5" xfId="4" applyNumberFormat="1" applyFont="1" applyFill="1" applyBorder="1"/>
    <xf numFmtId="173" fontId="0" fillId="3" borderId="0" xfId="0" applyNumberFormat="1" applyFill="1"/>
    <xf numFmtId="0" fontId="0" fillId="3" borderId="0" xfId="0" applyFill="1"/>
    <xf numFmtId="164" fontId="11" fillId="2" borderId="0" xfId="1" applyNumberFormat="1" applyFont="1" applyFill="1"/>
    <xf numFmtId="164" fontId="0" fillId="3" borderId="0" xfId="1" applyNumberFormat="1" applyFont="1" applyFill="1"/>
    <xf numFmtId="43" fontId="31" fillId="0" borderId="0" xfId="6" applyNumberFormat="1" applyFont="1" applyFill="1" applyAlignment="1">
      <alignment vertical="center"/>
    </xf>
    <xf numFmtId="49" fontId="31" fillId="0" borderId="0" xfId="6" applyNumberFormat="1" applyFont="1" applyFill="1" applyAlignment="1">
      <alignment vertical="center" wrapText="1"/>
    </xf>
    <xf numFmtId="43" fontId="32" fillId="0" borderId="0" xfId="6" applyNumberFormat="1" applyFont="1" applyFill="1" applyAlignment="1">
      <alignment vertical="center"/>
    </xf>
    <xf numFmtId="43" fontId="29" fillId="2" borderId="1" xfId="6" applyNumberFormat="1" applyFont="1" applyFill="1" applyBorder="1" applyAlignment="1">
      <alignment horizontal="center" vertical="center" wrapText="1"/>
    </xf>
    <xf numFmtId="43" fontId="30" fillId="2" borderId="1" xfId="6" applyNumberFormat="1" applyFont="1" applyFill="1" applyBorder="1" applyAlignment="1">
      <alignment vertical="center" wrapText="1"/>
    </xf>
    <xf numFmtId="43" fontId="29" fillId="0" borderId="1" xfId="6" applyNumberFormat="1" applyFont="1" applyFill="1" applyBorder="1" applyAlignment="1">
      <alignment horizontal="center" vertical="center" wrapText="1"/>
    </xf>
    <xf numFmtId="43" fontId="30" fillId="0" borderId="1" xfId="6" applyNumberFormat="1" applyFont="1" applyFill="1" applyBorder="1" applyAlignment="1">
      <alignment horizontal="left" vertical="center" wrapText="1"/>
    </xf>
    <xf numFmtId="43" fontId="30" fillId="0" borderId="1" xfId="6" applyNumberFormat="1" applyFont="1" applyFill="1" applyBorder="1" applyAlignment="1">
      <alignment vertical="center" wrapText="1"/>
    </xf>
    <xf numFmtId="43" fontId="33" fillId="0" borderId="1" xfId="6" applyNumberFormat="1" applyFont="1" applyFill="1" applyBorder="1" applyAlignment="1">
      <alignment horizontal="center" vertical="center" wrapText="1"/>
    </xf>
    <xf numFmtId="43" fontId="33" fillId="0" borderId="1" xfId="6" applyNumberFormat="1" applyFont="1" applyFill="1" applyBorder="1" applyAlignment="1">
      <alignment horizontal="left" vertical="center" wrapText="1" indent="1"/>
    </xf>
    <xf numFmtId="43" fontId="32" fillId="0" borderId="1" xfId="6" applyNumberFormat="1" applyFont="1" applyFill="1" applyBorder="1" applyAlignment="1">
      <alignment vertical="center" wrapText="1"/>
    </xf>
    <xf numFmtId="43" fontId="33" fillId="0" borderId="0" xfId="6" applyNumberFormat="1" applyFont="1" applyFill="1" applyAlignment="1">
      <alignment vertical="center"/>
    </xf>
    <xf numFmtId="49" fontId="33" fillId="0" borderId="1" xfId="6" applyNumberFormat="1" applyFont="1" applyFill="1" applyBorder="1" applyAlignment="1">
      <alignment horizontal="center" vertical="center" wrapText="1"/>
    </xf>
    <xf numFmtId="43" fontId="30" fillId="0" borderId="0" xfId="6" applyNumberFormat="1" applyFont="1" applyFill="1" applyAlignment="1">
      <alignment vertical="center"/>
    </xf>
    <xf numFmtId="43" fontId="32" fillId="2" borderId="1" xfId="6" applyNumberFormat="1" applyFont="1" applyFill="1" applyBorder="1" applyAlignment="1">
      <alignment vertical="center" wrapText="1"/>
    </xf>
    <xf numFmtId="43" fontId="30" fillId="0" borderId="1" xfId="6" applyNumberFormat="1" applyFont="1" applyFill="1" applyBorder="1" applyAlignment="1">
      <alignment vertical="center"/>
    </xf>
    <xf numFmtId="43" fontId="30" fillId="2" borderId="1" xfId="6" applyNumberFormat="1" applyFont="1" applyFill="1" applyBorder="1" applyAlignment="1">
      <alignment horizontal="left" vertical="center" wrapText="1"/>
    </xf>
    <xf numFmtId="43" fontId="30" fillId="2" borderId="1" xfId="6" applyNumberFormat="1" applyFont="1" applyFill="1" applyBorder="1" applyAlignment="1">
      <alignment vertical="center"/>
    </xf>
    <xf numFmtId="43" fontId="32" fillId="0" borderId="0" xfId="6" applyNumberFormat="1" applyFont="1"/>
    <xf numFmtId="43" fontId="32" fillId="0" borderId="0" xfId="6" applyNumberFormat="1" applyFont="1" applyFill="1"/>
    <xf numFmtId="0" fontId="10" fillId="0" borderId="0" xfId="0" applyNumberFormat="1" applyFont="1" applyBorder="1"/>
    <xf numFmtId="173" fontId="0" fillId="0" borderId="5" xfId="0" applyNumberFormat="1" applyBorder="1"/>
    <xf numFmtId="0" fontId="0" fillId="0" borderId="18" xfId="0" applyNumberFormat="1" applyFill="1" applyBorder="1"/>
    <xf numFmtId="173" fontId="0" fillId="0" borderId="26" xfId="0" applyNumberFormat="1" applyBorder="1"/>
    <xf numFmtId="43" fontId="0" fillId="0" borderId="0" xfId="0" applyNumberFormat="1" applyBorder="1"/>
    <xf numFmtId="173" fontId="0" fillId="0" borderId="22" xfId="0" applyNumberFormat="1" applyBorder="1"/>
    <xf numFmtId="173" fontId="0" fillId="0" borderId="0" xfId="0" applyNumberFormat="1" applyBorder="1"/>
    <xf numFmtId="43" fontId="32" fillId="27" borderId="1" xfId="6" applyNumberFormat="1" applyFont="1" applyFill="1" applyBorder="1" applyAlignment="1">
      <alignment vertical="center" wrapText="1"/>
    </xf>
    <xf numFmtId="43" fontId="32" fillId="28" borderId="1" xfId="6" applyNumberFormat="1" applyFont="1" applyFill="1" applyBorder="1" applyAlignment="1">
      <alignment vertical="center" wrapText="1"/>
    </xf>
    <xf numFmtId="43" fontId="30" fillId="28" borderId="1" xfId="6" applyNumberFormat="1" applyFont="1" applyFill="1" applyBorder="1" applyAlignment="1">
      <alignment vertical="center" wrapText="1"/>
    </xf>
    <xf numFmtId="167" fontId="0" fillId="2" borderId="0" xfId="0" applyNumberFormat="1" applyFill="1" applyBorder="1"/>
    <xf numFmtId="49" fontId="29" fillId="0" borderId="21" xfId="6" applyNumberFormat="1" applyFont="1" applyFill="1" applyBorder="1" applyAlignment="1">
      <alignment horizontal="center" vertical="center" wrapText="1"/>
    </xf>
    <xf numFmtId="49" fontId="29" fillId="0" borderId="0" xfId="6" applyNumberFormat="1" applyFont="1" applyFill="1" applyBorder="1" applyAlignment="1">
      <alignment horizontal="center" vertical="center" wrapText="1"/>
    </xf>
    <xf numFmtId="49" fontId="29" fillId="0" borderId="22" xfId="6" applyNumberFormat="1" applyFont="1" applyFill="1" applyBorder="1" applyAlignment="1">
      <alignment horizontal="center" vertical="center" wrapText="1"/>
    </xf>
    <xf numFmtId="43" fontId="32" fillId="0" borderId="21" xfId="6" applyNumberFormat="1" applyFont="1" applyFill="1" applyBorder="1" applyAlignment="1">
      <alignment vertical="center"/>
    </xf>
    <xf numFmtId="43" fontId="32" fillId="0" borderId="0" xfId="6" applyNumberFormat="1" applyFont="1" applyFill="1" applyBorder="1" applyAlignment="1">
      <alignment vertical="center"/>
    </xf>
    <xf numFmtId="43" fontId="32" fillId="0" borderId="22" xfId="6" applyNumberFormat="1" applyFont="1" applyFill="1" applyBorder="1" applyAlignment="1">
      <alignment vertical="center"/>
    </xf>
    <xf numFmtId="43" fontId="33" fillId="0" borderId="21" xfId="6" applyNumberFormat="1" applyFont="1" applyFill="1" applyBorder="1" applyAlignment="1">
      <alignment vertical="center"/>
    </xf>
    <xf numFmtId="43" fontId="33" fillId="0" borderId="0" xfId="6" applyNumberFormat="1" applyFont="1" applyFill="1" applyBorder="1" applyAlignment="1">
      <alignment vertical="center"/>
    </xf>
    <xf numFmtId="43" fontId="33" fillId="0" borderId="22" xfId="6" applyNumberFormat="1" applyFont="1" applyFill="1" applyBorder="1" applyAlignment="1">
      <alignment vertical="center"/>
    </xf>
    <xf numFmtId="173" fontId="33" fillId="0" borderId="21" xfId="6" applyNumberFormat="1" applyFont="1" applyFill="1" applyBorder="1" applyAlignment="1">
      <alignment vertical="center"/>
    </xf>
    <xf numFmtId="173" fontId="33" fillId="0" borderId="0" xfId="6" applyNumberFormat="1" applyFont="1" applyFill="1" applyBorder="1" applyAlignment="1">
      <alignment vertical="center"/>
    </xf>
    <xf numFmtId="173" fontId="33" fillId="0" borderId="22" xfId="6" applyNumberFormat="1" applyFont="1" applyFill="1" applyBorder="1" applyAlignment="1">
      <alignment vertical="center"/>
    </xf>
    <xf numFmtId="43" fontId="30" fillId="0" borderId="21" xfId="6" applyNumberFormat="1" applyFont="1" applyFill="1" applyBorder="1" applyAlignment="1">
      <alignment vertical="center"/>
    </xf>
    <xf numFmtId="43" fontId="30" fillId="0" borderId="0" xfId="6" applyNumberFormat="1" applyFont="1" applyFill="1" applyBorder="1" applyAlignment="1">
      <alignment vertical="center"/>
    </xf>
    <xf numFmtId="43" fontId="30" fillId="0" borderId="22" xfId="6" applyNumberFormat="1" applyFont="1" applyFill="1" applyBorder="1" applyAlignment="1">
      <alignment vertical="center"/>
    </xf>
    <xf numFmtId="43" fontId="31" fillId="0" borderId="24" xfId="6" applyNumberFormat="1" applyFont="1" applyFill="1" applyBorder="1" applyAlignment="1">
      <alignment vertical="center"/>
    </xf>
    <xf numFmtId="43" fontId="32" fillId="0" borderId="25" xfId="6" applyNumberFormat="1" applyFont="1" applyFill="1" applyBorder="1" applyAlignment="1">
      <alignment vertical="center"/>
    </xf>
    <xf numFmtId="43" fontId="33" fillId="0" borderId="25" xfId="6" applyNumberFormat="1" applyFont="1" applyFill="1" applyBorder="1" applyAlignment="1">
      <alignment vertical="center"/>
    </xf>
    <xf numFmtId="43" fontId="30" fillId="0" borderId="25" xfId="6" applyNumberFormat="1" applyFont="1" applyFill="1" applyBorder="1" applyAlignment="1">
      <alignment vertical="center"/>
    </xf>
    <xf numFmtId="43" fontId="29" fillId="0" borderId="24" xfId="6" applyNumberFormat="1" applyFont="1" applyFill="1" applyBorder="1" applyAlignment="1">
      <alignment horizontal="center" vertical="center"/>
    </xf>
    <xf numFmtId="49" fontId="29" fillId="0" borderId="25" xfId="6" applyNumberFormat="1" applyFont="1" applyFill="1" applyBorder="1" applyAlignment="1">
      <alignment horizontal="center" vertical="center" wrapText="1"/>
    </xf>
    <xf numFmtId="43" fontId="30" fillId="0" borderId="25" xfId="6" applyNumberFormat="1" applyFont="1" applyFill="1" applyBorder="1" applyAlignment="1">
      <alignment horizontal="center" vertical="center"/>
    </xf>
    <xf numFmtId="173" fontId="33" fillId="0" borderId="25" xfId="6" applyNumberFormat="1" applyFont="1" applyFill="1" applyBorder="1" applyAlignment="1">
      <alignment vertical="center"/>
    </xf>
    <xf numFmtId="173" fontId="30" fillId="0" borderId="21" xfId="6" applyNumberFormat="1" applyFont="1" applyFill="1" applyBorder="1" applyAlignment="1">
      <alignment vertical="center"/>
    </xf>
    <xf numFmtId="173" fontId="30" fillId="0" borderId="0" xfId="6" applyNumberFormat="1" applyFont="1" applyFill="1" applyBorder="1" applyAlignment="1">
      <alignment vertical="center"/>
    </xf>
    <xf numFmtId="173" fontId="30" fillId="0" borderId="22" xfId="6" applyNumberFormat="1" applyFont="1" applyFill="1" applyBorder="1" applyAlignment="1">
      <alignment vertical="center"/>
    </xf>
    <xf numFmtId="43" fontId="30" fillId="0" borderId="27" xfId="6" applyNumberFormat="1" applyFont="1" applyFill="1" applyBorder="1" applyAlignment="1">
      <alignment vertical="center"/>
    </xf>
    <xf numFmtId="173" fontId="30" fillId="0" borderId="2" xfId="6" applyNumberFormat="1" applyFont="1" applyFill="1" applyBorder="1"/>
    <xf numFmtId="173" fontId="30" fillId="0" borderId="3" xfId="6" applyNumberFormat="1" applyFont="1" applyFill="1" applyBorder="1"/>
    <xf numFmtId="173" fontId="30" fillId="0" borderId="23" xfId="6" applyNumberFormat="1" applyFont="1" applyFill="1" applyBorder="1"/>
    <xf numFmtId="0" fontId="54" fillId="0" borderId="0" xfId="0" applyFont="1" applyAlignment="1">
      <alignment horizontal="center"/>
    </xf>
    <xf numFmtId="173" fontId="0" fillId="0" borderId="0" xfId="4" applyNumberFormat="1" applyFont="1" applyFill="1"/>
    <xf numFmtId="8" fontId="0" fillId="0" borderId="0" xfId="0" applyNumberFormat="1"/>
    <xf numFmtId="0" fontId="2" fillId="0" borderId="0" xfId="155"/>
    <xf numFmtId="0" fontId="2" fillId="0" borderId="0" xfId="155" applyBorder="1"/>
    <xf numFmtId="0" fontId="2" fillId="0" borderId="0" xfId="155" applyBorder="1" applyAlignment="1">
      <alignment horizontal="left" vertical="top"/>
    </xf>
    <xf numFmtId="0" fontId="61" fillId="0" borderId="0" xfId="155" applyFont="1" applyBorder="1"/>
    <xf numFmtId="0" fontId="59" fillId="0" borderId="0" xfId="155" applyFont="1" applyBorder="1" applyAlignment="1"/>
    <xf numFmtId="164" fontId="58" fillId="0" borderId="0" xfId="155" applyNumberFormat="1" applyFont="1" applyBorder="1" applyAlignment="1">
      <alignment horizontal="center"/>
    </xf>
    <xf numFmtId="0" fontId="58" fillId="0" borderId="0" xfId="155" applyFont="1" applyAlignment="1">
      <alignment horizontal="right"/>
    </xf>
    <xf numFmtId="164" fontId="62" fillId="0" borderId="0" xfId="177" applyNumberFormat="1" applyFont="1" applyFill="1" applyBorder="1" applyAlignment="1">
      <alignment horizontal="center"/>
    </xf>
    <xf numFmtId="9" fontId="62" fillId="29" borderId="1" xfId="177" applyNumberFormat="1" applyFont="1" applyFill="1" applyBorder="1" applyAlignment="1">
      <alignment horizontal="center"/>
    </xf>
    <xf numFmtId="0" fontId="58" fillId="0" borderId="0" xfId="155" applyFont="1" applyFill="1" applyAlignment="1">
      <alignment horizontal="left" vertical="center" wrapText="1"/>
    </xf>
    <xf numFmtId="0" fontId="58" fillId="0" borderId="0" xfId="155" applyFont="1" applyFill="1" applyAlignment="1">
      <alignment vertical="center" wrapText="1"/>
    </xf>
    <xf numFmtId="9" fontId="2" fillId="30" borderId="27" xfId="155" applyNumberFormat="1" applyFont="1" applyFill="1" applyBorder="1" applyAlignment="1">
      <alignment horizontal="center" vertical="center"/>
    </xf>
    <xf numFmtId="0" fontId="2" fillId="0" borderId="23" xfId="155" applyBorder="1" applyAlignment="1">
      <alignment horizontal="center" vertical="center"/>
    </xf>
    <xf numFmtId="9" fontId="2" fillId="0" borderId="27" xfId="155" applyNumberFormat="1" applyBorder="1" applyAlignment="1">
      <alignment horizontal="center" vertical="center"/>
    </xf>
    <xf numFmtId="9" fontId="64" fillId="31" borderId="2" xfId="155" applyNumberFormat="1" applyFont="1" applyFill="1" applyBorder="1" applyAlignment="1">
      <alignment horizontal="center" vertical="center"/>
    </xf>
    <xf numFmtId="0" fontId="2" fillId="0" borderId="3" xfId="155" applyBorder="1" applyAlignment="1">
      <alignment vertical="center" wrapText="1"/>
    </xf>
    <xf numFmtId="0" fontId="2" fillId="0" borderId="27" xfId="155" applyBorder="1" applyAlignment="1">
      <alignment vertical="center"/>
    </xf>
    <xf numFmtId="9" fontId="2" fillId="30" borderId="25" xfId="177" applyFont="1" applyFill="1" applyBorder="1" applyAlignment="1">
      <alignment horizontal="center" vertical="center"/>
    </xf>
    <xf numFmtId="0" fontId="2" fillId="0" borderId="22" xfId="178" applyFont="1" applyBorder="1" applyAlignment="1">
      <alignment horizontal="center" vertical="center"/>
    </xf>
    <xf numFmtId="9" fontId="2" fillId="0" borderId="25" xfId="177" applyBorder="1" applyAlignment="1">
      <alignment horizontal="center" vertical="center"/>
    </xf>
    <xf numFmtId="9" fontId="64" fillId="31" borderId="21" xfId="177" applyFont="1" applyFill="1" applyBorder="1" applyAlignment="1">
      <alignment horizontal="center" vertical="center"/>
    </xf>
    <xf numFmtId="0" fontId="2" fillId="0" borderId="0" xfId="178" applyFont="1" applyBorder="1" applyAlignment="1">
      <alignment vertical="center" wrapText="1"/>
    </xf>
    <xf numFmtId="0" fontId="2" fillId="0" borderId="25" xfId="155" applyBorder="1" applyAlignment="1">
      <alignment vertical="center"/>
    </xf>
    <xf numFmtId="0" fontId="65" fillId="0" borderId="27" xfId="176" applyFont="1" applyBorder="1" applyAlignment="1" applyProtection="1">
      <alignment vertical="center"/>
    </xf>
    <xf numFmtId="0" fontId="65" fillId="0" borderId="25" xfId="176" applyFont="1" applyBorder="1" applyAlignment="1" applyProtection="1">
      <alignment vertical="center"/>
    </xf>
    <xf numFmtId="0" fontId="58" fillId="0" borderId="1" xfId="155" applyFont="1" applyBorder="1" applyAlignment="1">
      <alignment vertical="center"/>
    </xf>
    <xf numFmtId="9" fontId="2" fillId="30" borderId="24" xfId="177" applyFont="1" applyFill="1" applyBorder="1" applyAlignment="1">
      <alignment horizontal="center" vertical="center"/>
    </xf>
    <xf numFmtId="0" fontId="2" fillId="0" borderId="20" xfId="178" applyFont="1" applyBorder="1" applyAlignment="1">
      <alignment horizontal="center" vertical="center"/>
    </xf>
    <xf numFmtId="9" fontId="2" fillId="0" borderId="24" xfId="177" applyBorder="1" applyAlignment="1">
      <alignment horizontal="center" vertical="center"/>
    </xf>
    <xf numFmtId="9" fontId="64" fillId="31" borderId="18" xfId="177" applyFont="1" applyFill="1" applyBorder="1" applyAlignment="1">
      <alignment horizontal="center" vertical="center"/>
    </xf>
    <xf numFmtId="0" fontId="2" fillId="0" borderId="19" xfId="178" applyFont="1" applyBorder="1" applyAlignment="1">
      <alignment vertical="center" wrapText="1"/>
    </xf>
    <xf numFmtId="0" fontId="2" fillId="0" borderId="24" xfId="155" applyBorder="1" applyAlignment="1">
      <alignment vertical="center"/>
    </xf>
    <xf numFmtId="0" fontId="58" fillId="0" borderId="5" xfId="155" applyFont="1" applyFill="1" applyBorder="1" applyAlignment="1">
      <alignment vertical="center" wrapText="1"/>
    </xf>
    <xf numFmtId="0" fontId="66" fillId="0" borderId="0" xfId="155" applyFont="1" applyAlignment="1">
      <alignment horizontal="center" vertical="center"/>
    </xf>
    <xf numFmtId="0" fontId="2" fillId="0" borderId="27" xfId="155" applyFill="1" applyBorder="1" applyAlignment="1">
      <alignment vertical="center"/>
    </xf>
    <xf numFmtId="0" fontId="67" fillId="0" borderId="27" xfId="155" applyFont="1" applyFill="1" applyBorder="1" applyAlignment="1">
      <alignment horizontal="center" vertical="center" wrapText="1"/>
    </xf>
    <xf numFmtId="9" fontId="2" fillId="30" borderId="25" xfId="155" applyNumberFormat="1" applyFont="1" applyFill="1" applyBorder="1" applyAlignment="1">
      <alignment horizontal="center" vertical="center"/>
    </xf>
    <xf numFmtId="0" fontId="2" fillId="0" borderId="22" xfId="155" applyBorder="1" applyAlignment="1">
      <alignment horizontal="center" vertical="center"/>
    </xf>
    <xf numFmtId="9" fontId="2" fillId="0" borderId="25" xfId="155" applyNumberFormat="1" applyBorder="1" applyAlignment="1">
      <alignment horizontal="center" vertical="center"/>
    </xf>
    <xf numFmtId="9" fontId="64" fillId="31" borderId="21" xfId="155" applyNumberFormat="1" applyFont="1" applyFill="1" applyBorder="1" applyAlignment="1">
      <alignment horizontal="center" vertical="center"/>
    </xf>
    <xf numFmtId="0" fontId="2" fillId="0" borderId="0" xfId="155" applyBorder="1" applyAlignment="1">
      <alignment vertical="center" wrapText="1"/>
    </xf>
    <xf numFmtId="0" fontId="2" fillId="0" borderId="25" xfId="155" applyFill="1" applyBorder="1" applyAlignment="1">
      <alignment vertical="center"/>
    </xf>
    <xf numFmtId="0" fontId="68" fillId="0" borderId="0" xfId="155" applyFont="1"/>
    <xf numFmtId="0" fontId="2" fillId="0" borderId="0" xfId="155" applyFont="1"/>
    <xf numFmtId="0" fontId="69" fillId="0" borderId="24" xfId="155" applyFont="1" applyBorder="1" applyAlignment="1">
      <alignment horizontal="center" vertical="center" wrapText="1"/>
    </xf>
    <xf numFmtId="0" fontId="2" fillId="0" borderId="43" xfId="155" applyFont="1" applyBorder="1" applyAlignment="1">
      <alignment horizontal="center" vertical="center" wrapText="1"/>
    </xf>
    <xf numFmtId="0" fontId="2" fillId="0" borderId="44" xfId="155" applyFont="1" applyBorder="1" applyAlignment="1">
      <alignment horizontal="center" vertical="center" wrapText="1"/>
    </xf>
    <xf numFmtId="0" fontId="64" fillId="0" borderId="43" xfId="155" applyFont="1" applyBorder="1" applyAlignment="1">
      <alignment horizontal="center" vertical="center" wrapText="1"/>
    </xf>
    <xf numFmtId="14" fontId="60" fillId="0" borderId="0" xfId="155" applyNumberFormat="1" applyFont="1" applyAlignment="1">
      <alignment horizontal="right" vertical="top"/>
    </xf>
    <xf numFmtId="0" fontId="61" fillId="0" borderId="0" xfId="155" applyFont="1"/>
    <xf numFmtId="0" fontId="60" fillId="0" borderId="0" xfId="155" applyFont="1" applyAlignment="1">
      <alignment horizontal="right" vertical="top"/>
    </xf>
    <xf numFmtId="0" fontId="59" fillId="0" borderId="0" xfId="155" applyFont="1"/>
    <xf numFmtId="0" fontId="2" fillId="0" borderId="0" xfId="179"/>
    <xf numFmtId="0" fontId="57" fillId="0" borderId="0" xfId="179" applyFont="1"/>
    <xf numFmtId="0" fontId="2" fillId="0" borderId="0" xfId="179" applyFont="1" applyBorder="1" applyAlignment="1">
      <alignment horizontal="left" wrapText="1"/>
    </xf>
    <xf numFmtId="0" fontId="56" fillId="0" borderId="0" xfId="180" applyFont="1" applyBorder="1" applyAlignment="1" applyProtection="1">
      <alignment horizontal="left" wrapText="1"/>
    </xf>
    <xf numFmtId="0" fontId="70" fillId="0" borderId="0" xfId="180" applyBorder="1" applyAlignment="1" applyProtection="1">
      <alignment horizontal="left" wrapText="1"/>
    </xf>
    <xf numFmtId="0" fontId="2" fillId="0" borderId="0" xfId="179" applyAlignment="1">
      <alignment wrapText="1"/>
    </xf>
    <xf numFmtId="0" fontId="2" fillId="0" borderId="0" xfId="179" applyFont="1" applyBorder="1" applyAlignment="1">
      <alignment wrapText="1"/>
    </xf>
    <xf numFmtId="0" fontId="2" fillId="0" borderId="0" xfId="179" applyFont="1" applyFill="1" applyBorder="1" applyAlignment="1">
      <alignment vertical="top" wrapText="1"/>
    </xf>
    <xf numFmtId="0" fontId="2" fillId="0" borderId="47" xfId="181" applyBorder="1" applyAlignment="1">
      <alignment vertical="center" wrapText="1"/>
    </xf>
    <xf numFmtId="0" fontId="70" fillId="0" borderId="0" xfId="180"/>
    <xf numFmtId="0" fontId="2" fillId="0" borderId="47" xfId="181" applyBorder="1" applyAlignment="1">
      <alignment vertical="center"/>
    </xf>
    <xf numFmtId="0" fontId="2" fillId="0" borderId="0" xfId="181" applyBorder="1" applyAlignment="1">
      <alignment vertical="center" wrapText="1"/>
    </xf>
    <xf numFmtId="0" fontId="70" fillId="0" borderId="0" xfId="180" applyFill="1" applyBorder="1" applyAlignment="1">
      <alignment vertical="top" wrapText="1"/>
    </xf>
    <xf numFmtId="0" fontId="2" fillId="0" borderId="0" xfId="182" applyNumberFormat="1" applyFont="1" applyBorder="1" applyAlignment="1"/>
    <xf numFmtId="0" fontId="2" fillId="0" borderId="0" xfId="179" applyFont="1" applyBorder="1"/>
    <xf numFmtId="0" fontId="2" fillId="0" borderId="0" xfId="179" applyNumberFormat="1" applyFont="1" applyBorder="1" applyAlignment="1">
      <alignment horizontal="left" wrapText="1"/>
    </xf>
    <xf numFmtId="0" fontId="70" fillId="0" borderId="0" xfId="180" applyNumberFormat="1" applyBorder="1" applyAlignment="1">
      <alignment horizontal="left" wrapText="1"/>
    </xf>
    <xf numFmtId="0" fontId="2" fillId="0" borderId="0" xfId="182" applyFont="1" applyBorder="1" applyAlignment="1">
      <alignment horizontal="left" wrapText="1"/>
    </xf>
    <xf numFmtId="0" fontId="2" fillId="0" borderId="0" xfId="182" applyNumberFormat="1" applyFont="1" applyBorder="1" applyAlignment="1">
      <alignment horizontal="left" wrapText="1"/>
    </xf>
    <xf numFmtId="0" fontId="55" fillId="0" borderId="0" xfId="179" applyFont="1" applyBorder="1"/>
    <xf numFmtId="0" fontId="2" fillId="0" borderId="0" xfId="179" applyNumberFormat="1" applyFont="1" applyBorder="1" applyAlignment="1">
      <alignment wrapText="1"/>
    </xf>
    <xf numFmtId="0" fontId="56" fillId="0" borderId="0" xfId="180" applyNumberFormat="1" applyFont="1" applyBorder="1" applyAlignment="1" applyProtection="1">
      <alignment horizontal="left" wrapText="1"/>
    </xf>
    <xf numFmtId="0" fontId="56" fillId="0" borderId="0" xfId="180" applyFont="1" applyFill="1" applyBorder="1" applyAlignment="1" applyProtection="1">
      <alignment horizontal="left" vertical="top" wrapText="1"/>
    </xf>
    <xf numFmtId="0" fontId="70" fillId="0" borderId="0" xfId="180" applyFill="1" applyBorder="1" applyAlignment="1" applyProtection="1">
      <alignment horizontal="left" vertical="top" wrapText="1"/>
    </xf>
    <xf numFmtId="0" fontId="2" fillId="0" borderId="0" xfId="179" applyFont="1" applyBorder="1" applyAlignment="1">
      <alignment horizontal="left"/>
    </xf>
    <xf numFmtId="0" fontId="2" fillId="0" borderId="0" xfId="182" applyFont="1" applyBorder="1" applyAlignment="1">
      <alignment horizontal="left" vertical="top" wrapText="1"/>
    </xf>
    <xf numFmtId="0" fontId="56" fillId="0" borderId="0" xfId="180" applyFont="1" applyBorder="1" applyAlignment="1" applyProtection="1">
      <alignment horizontal="left" vertical="top" wrapText="1"/>
    </xf>
    <xf numFmtId="0" fontId="70" fillId="0" borderId="0" xfId="180" applyBorder="1" applyAlignment="1" applyProtection="1">
      <alignment horizontal="left" vertical="top" wrapText="1"/>
    </xf>
    <xf numFmtId="0" fontId="58" fillId="0" borderId="0" xfId="0" applyFont="1" applyBorder="1" applyAlignment="1">
      <alignment horizontal="left" wrapText="1"/>
    </xf>
    <xf numFmtId="0" fontId="2" fillId="0" borderId="0" xfId="179" applyFont="1" applyFill="1" applyBorder="1" applyAlignment="1">
      <alignment horizontal="left" vertical="center" wrapText="1"/>
    </xf>
    <xf numFmtId="9" fontId="2" fillId="0" borderId="48" xfId="179" applyNumberFormat="1" applyFont="1" applyBorder="1" applyAlignment="1">
      <alignment horizontal="left" vertical="center" wrapText="1"/>
    </xf>
    <xf numFmtId="9" fontId="2" fillId="0" borderId="24" xfId="179" applyNumberFormat="1" applyFont="1" applyFill="1" applyBorder="1" applyAlignment="1">
      <alignment horizontal="left" vertical="center" wrapText="1"/>
    </xf>
    <xf numFmtId="0" fontId="58" fillId="0" borderId="49" xfId="0" applyFont="1" applyBorder="1"/>
    <xf numFmtId="0" fontId="2" fillId="0" borderId="50" xfId="179" applyBorder="1"/>
    <xf numFmtId="0" fontId="2" fillId="0" borderId="1" xfId="179" applyFont="1" applyFill="1" applyBorder="1" applyAlignment="1">
      <alignment vertical="center" wrapText="1"/>
    </xf>
    <xf numFmtId="0" fontId="58" fillId="0" borderId="40" xfId="179" applyFont="1" applyBorder="1" applyAlignment="1">
      <alignment horizontal="left" vertical="center" wrapText="1"/>
    </xf>
    <xf numFmtId="0" fontId="2" fillId="0" borderId="27" xfId="179" applyFont="1" applyFill="1" applyBorder="1" applyAlignment="1">
      <alignment vertical="center" wrapText="1"/>
    </xf>
    <xf numFmtId="0" fontId="2" fillId="0" borderId="25" xfId="179" applyFont="1" applyFill="1" applyBorder="1" applyAlignment="1">
      <alignment horizontal="justify" vertical="center" wrapText="1"/>
    </xf>
    <xf numFmtId="0" fontId="2" fillId="0" borderId="0" xfId="179" applyBorder="1"/>
    <xf numFmtId="0" fontId="2" fillId="0" borderId="0" xfId="179" applyAlignment="1">
      <alignment vertical="center"/>
    </xf>
    <xf numFmtId="0" fontId="2" fillId="0" borderId="50" xfId="179" applyBorder="1" applyAlignment="1">
      <alignment vertical="center"/>
    </xf>
    <xf numFmtId="6" fontId="2" fillId="0" borderId="1" xfId="179" applyNumberFormat="1" applyFont="1" applyFill="1" applyBorder="1" applyAlignment="1">
      <alignment horizontal="left" vertical="center" wrapText="1"/>
    </xf>
    <xf numFmtId="14" fontId="2" fillId="0" borderId="1" xfId="179" applyNumberFormat="1" applyFont="1" applyFill="1" applyBorder="1" applyAlignment="1">
      <alignment horizontal="left" vertical="center" wrapText="1"/>
    </xf>
    <xf numFmtId="0" fontId="58" fillId="0" borderId="50" xfId="179" applyFont="1" applyBorder="1" applyAlignment="1">
      <alignment vertical="center"/>
    </xf>
    <xf numFmtId="0" fontId="72" fillId="0" borderId="52" xfId="0" applyFont="1" applyBorder="1"/>
    <xf numFmtId="0" fontId="58" fillId="0" borderId="53" xfId="179" applyFont="1" applyBorder="1" applyAlignment="1">
      <alignment horizontal="left" vertical="center" wrapText="1"/>
    </xf>
    <xf numFmtId="0" fontId="60" fillId="0" borderId="0" xfId="179" applyFont="1" applyAlignment="1"/>
    <xf numFmtId="0" fontId="2" fillId="0" borderId="24" xfId="179" applyFont="1" applyFill="1" applyBorder="1" applyAlignment="1">
      <alignment horizontal="justify" vertical="top" wrapText="1"/>
    </xf>
    <xf numFmtId="0" fontId="2" fillId="0" borderId="25" xfId="179" applyFont="1" applyFill="1" applyBorder="1" applyAlignment="1">
      <alignment horizontal="justify" vertical="top"/>
    </xf>
    <xf numFmtId="0" fontId="2" fillId="0" borderId="41" xfId="0" applyFont="1" applyBorder="1" applyAlignment="1">
      <alignment horizontal="justify" vertical="top" wrapText="1"/>
    </xf>
    <xf numFmtId="0" fontId="72" fillId="0" borderId="51" xfId="0" applyFont="1" applyBorder="1" applyAlignment="1"/>
    <xf numFmtId="10" fontId="2" fillId="0" borderId="4" xfId="179" applyNumberFormat="1" applyFont="1" applyFill="1" applyBorder="1" applyAlignment="1">
      <alignment horizontal="left" vertical="center" wrapText="1"/>
    </xf>
    <xf numFmtId="14" fontId="2" fillId="0" borderId="4" xfId="179" applyNumberFormat="1" applyFont="1" applyFill="1" applyBorder="1" applyAlignment="1">
      <alignment horizontal="left" vertical="center" wrapText="1"/>
    </xf>
    <xf numFmtId="44" fontId="0" fillId="2" borderId="0" xfId="175" applyFont="1" applyFill="1"/>
    <xf numFmtId="44" fontId="0" fillId="0" borderId="0" xfId="175" applyFont="1"/>
    <xf numFmtId="0" fontId="73" fillId="0" borderId="0" xfId="155" applyFont="1" applyBorder="1"/>
    <xf numFmtId="14" fontId="74" fillId="0" borderId="0" xfId="155" applyNumberFormat="1" applyFont="1" applyBorder="1" applyAlignment="1">
      <alignment horizontal="right" vertical="top"/>
    </xf>
    <xf numFmtId="0" fontId="76" fillId="2" borderId="0" xfId="0" applyFont="1" applyFill="1" applyAlignment="1">
      <alignment horizontal="right"/>
    </xf>
    <xf numFmtId="0" fontId="76" fillId="2" borderId="0" xfId="0" applyFont="1" applyFill="1"/>
    <xf numFmtId="170" fontId="76" fillId="2" borderId="0" xfId="0" applyNumberFormat="1" applyFont="1" applyFill="1"/>
    <xf numFmtId="0" fontId="2" fillId="0" borderId="24" xfId="179" applyFont="1" applyFill="1" applyBorder="1" applyAlignment="1">
      <alignment horizontal="justify" vertical="top"/>
    </xf>
    <xf numFmtId="0" fontId="2" fillId="0" borderId="21" xfId="179" applyFont="1" applyFill="1" applyBorder="1" applyAlignment="1"/>
    <xf numFmtId="0" fontId="2" fillId="0" borderId="2" xfId="179" applyFont="1" applyFill="1" applyBorder="1" applyAlignment="1">
      <alignment horizontal="left"/>
    </xf>
    <xf numFmtId="0" fontId="2" fillId="0" borderId="4" xfId="179" applyFont="1" applyFill="1" applyBorder="1" applyAlignment="1">
      <alignment vertical="center" wrapText="1"/>
    </xf>
    <xf numFmtId="0" fontId="2" fillId="0" borderId="0" xfId="155" applyFont="1" applyBorder="1"/>
    <xf numFmtId="0" fontId="61" fillId="0" borderId="0" xfId="155" applyFont="1" applyBorder="1" applyAlignment="1">
      <alignment horizontal="left"/>
    </xf>
    <xf numFmtId="0" fontId="58" fillId="0" borderId="0" xfId="155" applyFont="1" applyBorder="1"/>
    <xf numFmtId="0" fontId="2" fillId="0" borderId="0" xfId="155" applyNumberFormat="1" applyFont="1" applyBorder="1" applyAlignment="1">
      <alignment vertical="top" wrapText="1"/>
    </xf>
    <xf numFmtId="0" fontId="58" fillId="0" borderId="0" xfId="155" applyNumberFormat="1" applyFont="1" applyBorder="1" applyAlignment="1">
      <alignment vertical="top" wrapText="1"/>
    </xf>
    <xf numFmtId="0" fontId="2" fillId="0" borderId="0" xfId="155" applyFont="1" applyBorder="1" applyAlignment="1">
      <alignment horizontal="justify" vertical="top" wrapText="1"/>
    </xf>
    <xf numFmtId="0" fontId="58" fillId="0" borderId="0" xfId="155" applyFont="1" applyBorder="1" applyAlignment="1">
      <alignment horizontal="justify" vertical="top" wrapText="1"/>
    </xf>
    <xf numFmtId="0" fontId="2" fillId="0" borderId="0" xfId="155" applyNumberFormat="1" applyFont="1" applyBorder="1" applyAlignment="1">
      <alignment wrapText="1"/>
    </xf>
    <xf numFmtId="0" fontId="2" fillId="0" borderId="0" xfId="155" applyFont="1" applyFill="1" applyBorder="1" applyAlignment="1">
      <alignment horizontal="justify" vertical="top" wrapText="1"/>
    </xf>
    <xf numFmtId="49" fontId="78" fillId="0" borderId="0" xfId="179" applyNumberFormat="1" applyFont="1" applyAlignment="1">
      <alignment horizontal="right"/>
    </xf>
    <xf numFmtId="0" fontId="59" fillId="0" borderId="0" xfId="179" applyFont="1" applyBorder="1" applyAlignment="1"/>
    <xf numFmtId="0" fontId="79" fillId="0" borderId="0" xfId="179" applyFont="1" applyBorder="1" applyAlignment="1">
      <alignment horizontal="left"/>
    </xf>
    <xf numFmtId="0" fontId="18" fillId="32" borderId="0" xfId="0" applyFont="1" applyFill="1" applyAlignment="1">
      <alignment horizontal="center"/>
    </xf>
    <xf numFmtId="0" fontId="18" fillId="28" borderId="0" xfId="0" applyFont="1" applyFill="1" applyAlignment="1">
      <alignment horizontal="center"/>
    </xf>
    <xf numFmtId="0" fontId="10" fillId="33" borderId="0" xfId="0" applyFont="1" applyFill="1"/>
    <xf numFmtId="0" fontId="10" fillId="34" borderId="0" xfId="0" applyFont="1" applyFill="1"/>
    <xf numFmtId="0" fontId="10" fillId="35" borderId="0" xfId="0" applyFont="1" applyFill="1"/>
    <xf numFmtId="0" fontId="10" fillId="0" borderId="0" xfId="0" applyFont="1" applyFill="1"/>
    <xf numFmtId="164" fontId="10" fillId="0" borderId="0" xfId="0" applyNumberFormat="1" applyFont="1"/>
    <xf numFmtId="8" fontId="10" fillId="0" borderId="0" xfId="0" applyNumberFormat="1" applyFont="1"/>
    <xf numFmtId="0" fontId="0" fillId="0" borderId="3" xfId="0" applyFont="1" applyBorder="1"/>
    <xf numFmtId="0" fontId="54" fillId="0" borderId="3" xfId="0" applyFont="1" applyBorder="1" applyAlignment="1">
      <alignment horizontal="center"/>
    </xf>
    <xf numFmtId="44" fontId="0" fillId="0" borderId="0" xfId="0" applyNumberFormat="1"/>
    <xf numFmtId="43" fontId="0" fillId="0" borderId="0" xfId="4" applyFont="1"/>
    <xf numFmtId="43" fontId="0" fillId="0" borderId="0" xfId="0" applyNumberFormat="1"/>
    <xf numFmtId="0" fontId="80" fillId="0" borderId="0" xfId="179" applyFont="1" applyAlignment="1">
      <alignment vertical="center"/>
    </xf>
    <xf numFmtId="0" fontId="2" fillId="0" borderId="0" xfId="182" applyFont="1" applyBorder="1" applyAlignment="1">
      <alignment horizontal="left" wrapText="1"/>
    </xf>
    <xf numFmtId="0" fontId="2" fillId="0" borderId="21" xfId="179" applyFont="1" applyFill="1" applyBorder="1" applyAlignment="1">
      <alignment horizontal="left" vertical="top" wrapText="1"/>
    </xf>
    <xf numFmtId="0" fontId="2" fillId="0" borderId="24" xfId="179" applyFont="1" applyFill="1" applyBorder="1" applyAlignment="1">
      <alignment horizontal="left" vertical="center" wrapText="1"/>
    </xf>
    <xf numFmtId="0" fontId="2" fillId="0" borderId="25" xfId="179" applyFont="1" applyFill="1" applyBorder="1" applyAlignment="1">
      <alignment horizontal="left" vertical="center" wrapText="1"/>
    </xf>
    <xf numFmtId="0" fontId="58" fillId="0" borderId="39" xfId="0" applyFont="1" applyBorder="1" applyAlignment="1">
      <alignment vertical="center"/>
    </xf>
    <xf numFmtId="0" fontId="58" fillId="0" borderId="38" xfId="0" applyFont="1" applyBorder="1" applyAlignment="1">
      <alignment vertical="center"/>
    </xf>
    <xf numFmtId="0" fontId="58" fillId="0" borderId="42" xfId="0" applyFont="1" applyBorder="1" applyAlignment="1">
      <alignment vertical="center"/>
    </xf>
    <xf numFmtId="0" fontId="58" fillId="0" borderId="39" xfId="179" applyFont="1" applyBorder="1" applyAlignment="1">
      <alignment vertical="center" wrapText="1"/>
    </xf>
    <xf numFmtId="0" fontId="58" fillId="0" borderId="38" xfId="179" applyFont="1" applyBorder="1" applyAlignment="1">
      <alignment vertical="center" wrapText="1"/>
    </xf>
    <xf numFmtId="0" fontId="58" fillId="0" borderId="42" xfId="179" applyFont="1" applyBorder="1" applyAlignment="1">
      <alignment vertical="center" wrapText="1"/>
    </xf>
    <xf numFmtId="0" fontId="2" fillId="0" borderId="0" xfId="179" applyNumberFormat="1" applyFont="1" applyBorder="1" applyAlignment="1">
      <alignment horizontal="left" wrapText="1"/>
    </xf>
    <xf numFmtId="0" fontId="59" fillId="0" borderId="0" xfId="179" applyFont="1" applyAlignment="1">
      <alignment horizontal="center" vertical="center"/>
    </xf>
    <xf numFmtId="0" fontId="61" fillId="0" borderId="0" xfId="179" applyFont="1" applyBorder="1" applyAlignment="1">
      <alignment horizontal="center"/>
    </xf>
    <xf numFmtId="0" fontId="2" fillId="0" borderId="0" xfId="182" applyFont="1" applyBorder="1" applyAlignment="1">
      <alignment horizontal="left" vertical="top" wrapText="1"/>
    </xf>
    <xf numFmtId="0" fontId="2" fillId="0" borderId="0" xfId="182" applyNumberFormat="1" applyFont="1" applyFill="1" applyBorder="1" applyAlignment="1">
      <alignment horizontal="left" wrapText="1"/>
    </xf>
    <xf numFmtId="0" fontId="2" fillId="0" borderId="0" xfId="182" applyNumberFormat="1" applyFont="1" applyBorder="1" applyAlignment="1">
      <alignment horizontal="left" wrapText="1"/>
    </xf>
    <xf numFmtId="0" fontId="70" fillId="0" borderId="0" xfId="180" applyFill="1" applyBorder="1" applyAlignment="1">
      <alignment vertical="top" wrapText="1"/>
    </xf>
    <xf numFmtId="0" fontId="2" fillId="0" borderId="0" xfId="155" applyBorder="1" applyAlignment="1">
      <alignment horizontal="left" vertical="top"/>
    </xf>
    <xf numFmtId="0" fontId="2" fillId="0" borderId="0" xfId="155" applyAlignment="1">
      <alignment horizontal="left" wrapText="1"/>
    </xf>
    <xf numFmtId="0" fontId="58" fillId="0" borderId="0" xfId="155" applyFont="1" applyFill="1" applyAlignment="1">
      <alignment horizontal="left" vertical="center" wrapText="1"/>
    </xf>
    <xf numFmtId="0" fontId="2" fillId="0" borderId="19" xfId="155" applyBorder="1" applyAlignment="1">
      <alignment horizontal="center"/>
    </xf>
    <xf numFmtId="0" fontId="63" fillId="0" borderId="21" xfId="155" applyFont="1" applyBorder="1" applyAlignment="1">
      <alignment horizontal="center" vertical="center" wrapText="1"/>
    </xf>
    <xf numFmtId="0" fontId="68" fillId="0" borderId="20" xfId="155" applyFont="1" applyBorder="1" applyAlignment="1">
      <alignment vertical="center"/>
    </xf>
    <xf numFmtId="0" fontId="68" fillId="0" borderId="45" xfId="155" applyFont="1" applyBorder="1" applyAlignment="1">
      <alignment vertical="center"/>
    </xf>
    <xf numFmtId="0" fontId="68" fillId="0" borderId="4" xfId="155" applyFont="1" applyBorder="1" applyAlignment="1">
      <alignment horizontal="center"/>
    </xf>
    <xf numFmtId="0" fontId="68" fillId="0" borderId="5" xfId="155" applyFont="1" applyBorder="1" applyAlignment="1">
      <alignment horizontal="center"/>
    </xf>
    <xf numFmtId="0" fontId="68" fillId="0" borderId="26" xfId="155" applyFont="1" applyBorder="1" applyAlignment="1">
      <alignment horizontal="center"/>
    </xf>
    <xf numFmtId="0" fontId="58" fillId="0" borderId="24" xfId="155" applyFont="1" applyFill="1" applyBorder="1" applyAlignment="1">
      <alignment horizontal="left" vertical="center"/>
    </xf>
    <xf numFmtId="0" fontId="58" fillId="0" borderId="46" xfId="155" applyFont="1" applyFill="1" applyBorder="1" applyAlignment="1">
      <alignment horizontal="left" vertical="center"/>
    </xf>
    <xf numFmtId="49" fontId="78" fillId="0" borderId="0" xfId="179" applyNumberFormat="1" applyFont="1" applyAlignment="1">
      <alignment horizontal="right"/>
    </xf>
    <xf numFmtId="0" fontId="3" fillId="0" borderId="1" xfId="3"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1" xfId="2" applyFont="1" applyBorder="1" applyAlignment="1">
      <alignment horizontal="center" vertical="center" wrapText="1"/>
    </xf>
    <xf numFmtId="16" fontId="3" fillId="0" borderId="1" xfId="3" quotePrefix="1" applyNumberFormat="1" applyFont="1" applyFill="1" applyBorder="1" applyAlignment="1">
      <alignment horizontal="center" vertical="center"/>
    </xf>
    <xf numFmtId="0" fontId="3" fillId="0" borderId="1" xfId="3" quotePrefix="1" applyFont="1" applyFill="1" applyBorder="1" applyAlignment="1">
      <alignment horizontal="center" vertical="center"/>
    </xf>
    <xf numFmtId="43" fontId="29" fillId="0" borderId="18" xfId="6" applyNumberFormat="1" applyFont="1" applyFill="1" applyBorder="1" applyAlignment="1">
      <alignment horizontal="center" vertical="center"/>
    </xf>
    <xf numFmtId="43" fontId="29" fillId="0" borderId="19" xfId="6" applyNumberFormat="1" applyFont="1" applyFill="1" applyBorder="1" applyAlignment="1">
      <alignment horizontal="center" vertical="center"/>
    </xf>
    <xf numFmtId="43" fontId="29" fillId="0" borderId="20" xfId="6" applyNumberFormat="1" applyFont="1" applyFill="1" applyBorder="1" applyAlignment="1">
      <alignment horizontal="center" vertical="center"/>
    </xf>
    <xf numFmtId="49" fontId="30" fillId="0" borderId="1" xfId="6" applyNumberFormat="1" applyFont="1" applyFill="1" applyBorder="1" applyAlignment="1">
      <alignment horizontal="center" vertical="center" wrapText="1"/>
    </xf>
    <xf numFmtId="43" fontId="29" fillId="0" borderId="1" xfId="6" applyNumberFormat="1" applyFont="1" applyFill="1" applyBorder="1" applyAlignment="1">
      <alignment horizontal="center" vertical="center" wrapText="1"/>
    </xf>
    <xf numFmtId="43" fontId="30" fillId="0" borderId="1" xfId="6" applyNumberFormat="1" applyFont="1" applyFill="1" applyBorder="1" applyAlignment="1">
      <alignment horizontal="center" vertical="center" wrapText="1"/>
    </xf>
    <xf numFmtId="0" fontId="10" fillId="0" borderId="3" xfId="0" applyFont="1" applyBorder="1" applyAlignment="1">
      <alignment horizontal="center"/>
    </xf>
    <xf numFmtId="0" fontId="21" fillId="0" borderId="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4" fillId="0" borderId="2" xfId="0" applyFont="1" applyFill="1" applyBorder="1" applyAlignment="1">
      <alignment horizontal="center" vertical="top" wrapText="1"/>
    </xf>
    <xf numFmtId="0" fontId="24" fillId="0" borderId="23" xfId="0" applyFont="1" applyFill="1" applyBorder="1" applyAlignment="1">
      <alignment horizontal="center" vertical="top" wrapText="1"/>
    </xf>
    <xf numFmtId="0" fontId="0" fillId="0" borderId="1" xfId="0" applyFill="1" applyBorder="1" applyAlignment="1">
      <alignment horizontal="left"/>
    </xf>
    <xf numFmtId="0" fontId="0" fillId="0" borderId="23" xfId="0"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26" xfId="0" applyFont="1" applyBorder="1" applyAlignment="1">
      <alignment horizontal="center"/>
    </xf>
  </cellXfs>
  <cellStyles count="183">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Ausgabe" xfId="31"/>
    <cellStyle name="Bad 2" xfId="32"/>
    <cellStyle name="Berechnung" xfId="33"/>
    <cellStyle name="Calculation 2" xfId="34"/>
    <cellStyle name="Check Cell 2" xfId="35"/>
    <cellStyle name="Comma" xfId="4" builtinId="3"/>
    <cellStyle name="Comma 10" xfId="36"/>
    <cellStyle name="Comma 10 2" xfId="37"/>
    <cellStyle name="Comma 10 2 2" xfId="38"/>
    <cellStyle name="Comma 10 3" xfId="39"/>
    <cellStyle name="Comma 10 3 2" xfId="40"/>
    <cellStyle name="Comma 10 4" xfId="41"/>
    <cellStyle name="Comma 10 4 2" xfId="42"/>
    <cellStyle name="Comma 10 5" xfId="43"/>
    <cellStyle name="Comma 11" xfId="44"/>
    <cellStyle name="Comma 11 2" xfId="45"/>
    <cellStyle name="Comma 11 2 2" xfId="46"/>
    <cellStyle name="Comma 11 3" xfId="47"/>
    <cellStyle name="Comma 11 3 2" xfId="48"/>
    <cellStyle name="Comma 11 4" xfId="49"/>
    <cellStyle name="Comma 11 4 2" xfId="50"/>
    <cellStyle name="Comma 12" xfId="51"/>
    <cellStyle name="Comma 12 2" xfId="52"/>
    <cellStyle name="Comma 12 2 2" xfId="53"/>
    <cellStyle name="Comma 12 3" xfId="54"/>
    <cellStyle name="Comma 12 3 2" xfId="55"/>
    <cellStyle name="Comma 12 4" xfId="56"/>
    <cellStyle name="Comma 12 4 2" xfId="57"/>
    <cellStyle name="Comma 12 5" xfId="58"/>
    <cellStyle name="Comma 13" xfId="59"/>
    <cellStyle name="Comma 13 2" xfId="60"/>
    <cellStyle name="Comma 13 2 2" xfId="61"/>
    <cellStyle name="Comma 13 3" xfId="62"/>
    <cellStyle name="Comma 13 3 2" xfId="63"/>
    <cellStyle name="Comma 13 4" xfId="64"/>
    <cellStyle name="Comma 13 4 2" xfId="65"/>
    <cellStyle name="Comma 13 5" xfId="66"/>
    <cellStyle name="Comma 14" xfId="67"/>
    <cellStyle name="Comma 14 2" xfId="68"/>
    <cellStyle name="Comma 15" xfId="69"/>
    <cellStyle name="Comma 15 2" xfId="70"/>
    <cellStyle name="Comma 2" xfId="6"/>
    <cellStyle name="Comma 2 2" xfId="71"/>
    <cellStyle name="Comma 2 2 2" xfId="72"/>
    <cellStyle name="Comma 2 3" xfId="73"/>
    <cellStyle name="Comma 2 3 2" xfId="74"/>
    <cellStyle name="Comma 2 4" xfId="75"/>
    <cellStyle name="Comma 2 4 2" xfId="76"/>
    <cellStyle name="Comma 2 5" xfId="77"/>
    <cellStyle name="Comma 2 5 2" xfId="78"/>
    <cellStyle name="Comma 2 6" xfId="79"/>
    <cellStyle name="Comma 3" xfId="80"/>
    <cellStyle name="Comma 3 2" xfId="81"/>
    <cellStyle name="Comma 3 2 2" xfId="82"/>
    <cellStyle name="Comma 3 3" xfId="83"/>
    <cellStyle name="Comma 3 3 2" xfId="84"/>
    <cellStyle name="Comma 3 4" xfId="85"/>
    <cellStyle name="Comma 3 4 2" xfId="86"/>
    <cellStyle name="Comma 3 5" xfId="87"/>
    <cellStyle name="Comma 4" xfId="88"/>
    <cellStyle name="Comma 4 2" xfId="89"/>
    <cellStyle name="Comma 4 2 2" xfId="90"/>
    <cellStyle name="Comma 4 2 3" xfId="91"/>
    <cellStyle name="Comma 4 3" xfId="92"/>
    <cellStyle name="Comma 4 3 2" xfId="93"/>
    <cellStyle name="Comma 4 4" xfId="94"/>
    <cellStyle name="Comma 4 4 2" xfId="95"/>
    <cellStyle name="Comma 4 5" xfId="96"/>
    <cellStyle name="Comma 5" xfId="97"/>
    <cellStyle name="Comma 5 2" xfId="98"/>
    <cellStyle name="Comma 5 2 2" xfId="99"/>
    <cellStyle name="Comma 5 3" xfId="100"/>
    <cellStyle name="Comma 5 3 2" xfId="101"/>
    <cellStyle name="Comma 5 4" xfId="102"/>
    <cellStyle name="Comma 5 4 2" xfId="103"/>
    <cellStyle name="Comma 5 5" xfId="104"/>
    <cellStyle name="Comma 6" xfId="105"/>
    <cellStyle name="Comma 6 2" xfId="106"/>
    <cellStyle name="Comma 6 2 2" xfId="107"/>
    <cellStyle name="Comma 6 3" xfId="108"/>
    <cellStyle name="Comma 6 3 2" xfId="109"/>
    <cellStyle name="Comma 6 4" xfId="110"/>
    <cellStyle name="Comma 6 4 2" xfId="111"/>
    <cellStyle name="Comma 7" xfId="112"/>
    <cellStyle name="Comma 7 2" xfId="113"/>
    <cellStyle name="Comma 7 2 2" xfId="114"/>
    <cellStyle name="Comma 7 3" xfId="115"/>
    <cellStyle name="Comma 7 3 2" xfId="116"/>
    <cellStyle name="Comma 7 4" xfId="117"/>
    <cellStyle name="Comma 7 4 2" xfId="118"/>
    <cellStyle name="Comma 7 5" xfId="119"/>
    <cellStyle name="Comma 8" xfId="120"/>
    <cellStyle name="Comma 8 2" xfId="121"/>
    <cellStyle name="Comma 8 2 2" xfId="122"/>
    <cellStyle name="Comma 8 3" xfId="123"/>
    <cellStyle name="Comma 8 3 2" xfId="124"/>
    <cellStyle name="Comma 8 4" xfId="125"/>
    <cellStyle name="Comma 8 4 2" xfId="126"/>
    <cellStyle name="Comma 9" xfId="127"/>
    <cellStyle name="Comma 9 2" xfId="128"/>
    <cellStyle name="Comma 9 2 2" xfId="129"/>
    <cellStyle name="Comma 9 3" xfId="130"/>
    <cellStyle name="Comma 9 3 2" xfId="131"/>
    <cellStyle name="Comma 9 4" xfId="132"/>
    <cellStyle name="Comma 9 4 2" xfId="133"/>
    <cellStyle name="Comma 9 5" xfId="134"/>
    <cellStyle name="Currency" xfId="175" builtinId="4"/>
    <cellStyle name="Currency 2" xfId="135"/>
    <cellStyle name="Currency 2 2" xfId="136"/>
    <cellStyle name="Currency 3" xfId="137"/>
    <cellStyle name="Currency 4" xfId="138"/>
    <cellStyle name="Currency 5" xfId="139"/>
    <cellStyle name="Dezimal 2" xfId="140"/>
    <cellStyle name="Dezimal 2 2" xfId="141"/>
    <cellStyle name="Dezimal 3" xfId="142"/>
    <cellStyle name="Eingabe" xfId="143"/>
    <cellStyle name="Ergebnis" xfId="144"/>
    <cellStyle name="Erklärender Text" xfId="145"/>
    <cellStyle name="Explanatory Text 2" xfId="146"/>
    <cellStyle name="Good 2" xfId="147"/>
    <cellStyle name="Heading 1 2" xfId="148"/>
    <cellStyle name="Heading 2 2" xfId="149"/>
    <cellStyle name="Heading 3 2" xfId="150"/>
    <cellStyle name="Heading 4 2" xfId="151"/>
    <cellStyle name="Hyperlink" xfId="5" builtinId="8"/>
    <cellStyle name="Hyperlink 2" xfId="176"/>
    <cellStyle name="Hyperlink 3" xfId="180"/>
    <cellStyle name="Input 2" xfId="152"/>
    <cellStyle name="Linked Cell 2" xfId="153"/>
    <cellStyle name="Neutral 2" xfId="154"/>
    <cellStyle name="Normal" xfId="0" builtinId="0"/>
    <cellStyle name="Normal 2" xfId="155"/>
    <cellStyle name="Normal 2 2" xfId="156"/>
    <cellStyle name="Normal 2 2 3" xfId="2"/>
    <cellStyle name="Normal 2 2 5" xfId="3"/>
    <cellStyle name="Normal 2 4" xfId="181"/>
    <cellStyle name="Normal 3" xfId="157"/>
    <cellStyle name="Normal 3 2" xfId="158"/>
    <cellStyle name="Normal 4" xfId="159"/>
    <cellStyle name="Normal 5" xfId="160"/>
    <cellStyle name="Normal 6" xfId="161"/>
    <cellStyle name="Normal 7" xfId="162"/>
    <cellStyle name="Normal_ConsolidatedAg_IM_Clean" xfId="179"/>
    <cellStyle name="Normal_FeederRoadAnalysis_IM_Clean - v4" xfId="182"/>
    <cellStyle name="Normal_Mongolia Rail ERR.IM Cleaned" xfId="178"/>
    <cellStyle name="Note 2" xfId="163"/>
    <cellStyle name="Output 2" xfId="164"/>
    <cellStyle name="Percent" xfId="1" builtinId="5"/>
    <cellStyle name="Percent 2" xfId="177"/>
    <cellStyle name="Standard 2" xfId="165"/>
    <cellStyle name="Standard 2 2" xfId="166"/>
    <cellStyle name="Standard 2 2 2" xfId="167"/>
    <cellStyle name="Standard 3" xfId="168"/>
    <cellStyle name="Standard_Def" xfId="169"/>
    <cellStyle name="Title 2" xfId="170"/>
    <cellStyle name="Total 2" xfId="171"/>
    <cellStyle name="Währung 2" xfId="172"/>
    <cellStyle name="Warnender Text" xfId="173"/>
    <cellStyle name="Warning Text 2" xfId="174"/>
  </cellStyles>
  <dxfs count="2">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Distribution of MCC Estimated ERR Given Uncertainties in Key Parameter Values</a:t>
            </a:r>
          </a:p>
          <a:p>
            <a:pPr>
              <a:defRPr sz="1200" b="1" i="0" u="none" strike="noStrike" baseline="0">
                <a:solidFill>
                  <a:srgbClr val="000000"/>
                </a:solidFill>
                <a:latin typeface="Arial"/>
                <a:ea typeface="Arial"/>
                <a:cs typeface="Arial"/>
              </a:defRPr>
            </a:pPr>
            <a:r>
              <a:rPr lang="en-US" sz="1025" b="1" i="0" u="none" strike="noStrike" baseline="0">
                <a:solidFill>
                  <a:srgbClr val="000000"/>
                </a:solidFill>
                <a:latin typeface="Arial"/>
                <a:cs typeface="Arial"/>
              </a:rPr>
              <a:t>(as of 8/16/2007)</a:t>
            </a:r>
          </a:p>
        </c:rich>
      </c:tx>
      <c:layout>
        <c:manualLayout>
          <c:xMode val="edge"/>
          <c:yMode val="edge"/>
          <c:x val="0.15565509518477044"/>
          <c:y val="3.1941031941031942E-2"/>
        </c:manualLayout>
      </c:layout>
      <c:overlay val="0"/>
      <c:spPr>
        <a:noFill/>
        <a:ln w="25400">
          <a:noFill/>
        </a:ln>
      </c:spPr>
    </c:title>
    <c:autoTitleDeleted val="0"/>
    <c:plotArea>
      <c:layout>
        <c:manualLayout>
          <c:layoutTarget val="inner"/>
          <c:xMode val="edge"/>
          <c:yMode val="edge"/>
          <c:x val="6.6069428891377374E-2"/>
          <c:y val="0.21867321867321868"/>
          <c:w val="0.89585666293393063"/>
          <c:h val="0.60933660933660938"/>
        </c:manualLayout>
      </c:layout>
      <c:scatterChart>
        <c:scatterStyle val="lineMarker"/>
        <c:varyColors val="0"/>
        <c:ser>
          <c:idx val="0"/>
          <c:order val="0"/>
          <c:tx>
            <c:v>Default1</c:v>
          </c:tx>
          <c:spPr>
            <a:ln w="19050">
              <a:noFill/>
            </a:ln>
          </c:spPr>
          <c:marker>
            <c:symbol val="none"/>
          </c:marker>
          <c:yVal>
            <c:numLit>
              <c:formatCode>General</c:formatCode>
              <c:ptCount val="1"/>
              <c:pt idx="0">
                <c:v>0</c:v>
              </c:pt>
            </c:numLit>
          </c:yVal>
          <c:smooth val="0"/>
        </c:ser>
        <c:ser>
          <c:idx val="1"/>
          <c:order val="1"/>
          <c:tx>
            <c:v>Default2</c:v>
          </c:tx>
          <c:spPr>
            <a:ln w="19050">
              <a:noFill/>
            </a:ln>
          </c:spPr>
          <c:marker>
            <c:symbol val="none"/>
          </c:marker>
          <c:yVal>
            <c:numLit>
              <c:formatCode>General</c:formatCode>
              <c:ptCount val="1"/>
            </c:numLit>
          </c:yVal>
          <c:smooth val="0"/>
        </c:ser>
        <c:ser>
          <c:idx val="2"/>
          <c:order val="2"/>
          <c:spPr>
            <a:ln w="3175">
              <a:solidFill>
                <a:srgbClr val="800000"/>
              </a:solidFill>
              <a:prstDash val="solid"/>
            </a:ln>
          </c:spPr>
          <c:marker>
            <c:symbol val="none"/>
          </c:marker>
          <c:xVal>
            <c:numLit>
              <c:formatCode>General</c:formatCode>
              <c:ptCount val="3107"/>
              <c:pt idx="0">
                <c:v>1.8623631447553635E-2</c:v>
              </c:pt>
              <c:pt idx="1">
                <c:v>1.8623631447553635E-2</c:v>
              </c:pt>
              <c:pt idx="2">
                <c:v>1.8854642989734809E-2</c:v>
              </c:pt>
              <c:pt idx="3">
                <c:v>1.8854642989734809E-2</c:v>
              </c:pt>
              <c:pt idx="4">
                <c:v>1.9085654531915984E-2</c:v>
              </c:pt>
              <c:pt idx="5">
                <c:v>1.9085654531915984E-2</c:v>
              </c:pt>
              <c:pt idx="6">
                <c:v>1.9316666074097155E-2</c:v>
              </c:pt>
              <c:pt idx="7">
                <c:v>1.9316666074097155E-2</c:v>
              </c:pt>
              <c:pt idx="8">
                <c:v>1.954767761627833E-2</c:v>
              </c:pt>
              <c:pt idx="9">
                <c:v>1.954767761627833E-2</c:v>
              </c:pt>
              <c:pt idx="10">
                <c:v>1.9778689158459505E-2</c:v>
              </c:pt>
              <c:pt idx="11">
                <c:v>1.9778689158459505E-2</c:v>
              </c:pt>
              <c:pt idx="12">
                <c:v>2.0009700700640679E-2</c:v>
              </c:pt>
              <c:pt idx="13">
                <c:v>2.0009700700640679E-2</c:v>
              </c:pt>
              <c:pt idx="14">
                <c:v>2.0240712242821854E-2</c:v>
              </c:pt>
              <c:pt idx="15">
                <c:v>2.0240712242821854E-2</c:v>
              </c:pt>
              <c:pt idx="16">
                <c:v>2.0471723785003025E-2</c:v>
              </c:pt>
              <c:pt idx="17">
                <c:v>2.0471723785003025E-2</c:v>
              </c:pt>
              <c:pt idx="18">
                <c:v>2.07027353271842E-2</c:v>
              </c:pt>
              <c:pt idx="19">
                <c:v>2.07027353271842E-2</c:v>
              </c:pt>
              <c:pt idx="20">
                <c:v>2.0933746869365374E-2</c:v>
              </c:pt>
              <c:pt idx="21">
                <c:v>2.0933746869365374E-2</c:v>
              </c:pt>
              <c:pt idx="22">
                <c:v>2.1164758411546549E-2</c:v>
              </c:pt>
              <c:pt idx="23">
                <c:v>2.1164758411546549E-2</c:v>
              </c:pt>
              <c:pt idx="24">
                <c:v>2.1395769953727724E-2</c:v>
              </c:pt>
              <c:pt idx="25">
                <c:v>2.1395769953727724E-2</c:v>
              </c:pt>
              <c:pt idx="26">
                <c:v>2.1626781495908895E-2</c:v>
              </c:pt>
              <c:pt idx="27">
                <c:v>2.1626781495908895E-2</c:v>
              </c:pt>
              <c:pt idx="28">
                <c:v>2.185779303809007E-2</c:v>
              </c:pt>
              <c:pt idx="29">
                <c:v>2.185779303809007E-2</c:v>
              </c:pt>
              <c:pt idx="30">
                <c:v>2.2088804580271244E-2</c:v>
              </c:pt>
              <c:pt idx="31">
                <c:v>2.2088804580271244E-2</c:v>
              </c:pt>
              <c:pt idx="32">
                <c:v>2.2319816122452419E-2</c:v>
              </c:pt>
              <c:pt idx="33">
                <c:v>2.2319816122452419E-2</c:v>
              </c:pt>
              <c:pt idx="34">
                <c:v>2.2550827664633594E-2</c:v>
              </c:pt>
              <c:pt idx="35">
                <c:v>2.2550827664633594E-2</c:v>
              </c:pt>
              <c:pt idx="36">
                <c:v>2.2781839206814765E-2</c:v>
              </c:pt>
              <c:pt idx="37">
                <c:v>2.2781839206814765E-2</c:v>
              </c:pt>
              <c:pt idx="38">
                <c:v>2.301285074899594E-2</c:v>
              </c:pt>
              <c:pt idx="39">
                <c:v>2.301285074899594E-2</c:v>
              </c:pt>
              <c:pt idx="40">
                <c:v>2.3243862291177114E-2</c:v>
              </c:pt>
              <c:pt idx="41">
                <c:v>2.3243862291177114E-2</c:v>
              </c:pt>
              <c:pt idx="42">
                <c:v>2.3474873833358289E-2</c:v>
              </c:pt>
              <c:pt idx="43">
                <c:v>2.3474873833358289E-2</c:v>
              </c:pt>
              <c:pt idx="44">
                <c:v>2.3705885375539464E-2</c:v>
              </c:pt>
              <c:pt idx="45">
                <c:v>2.3705885375539464E-2</c:v>
              </c:pt>
              <c:pt idx="46">
                <c:v>2.3936896917720635E-2</c:v>
              </c:pt>
              <c:pt idx="47">
                <c:v>2.3936896917720635E-2</c:v>
              </c:pt>
              <c:pt idx="48">
                <c:v>2.4167908459901809E-2</c:v>
              </c:pt>
              <c:pt idx="49">
                <c:v>2.4167908459901809E-2</c:v>
              </c:pt>
              <c:pt idx="50">
                <c:v>2.4398920002082984E-2</c:v>
              </c:pt>
              <c:pt idx="51">
                <c:v>2.4398920002082984E-2</c:v>
              </c:pt>
              <c:pt idx="52">
                <c:v>2.4629931544264159E-2</c:v>
              </c:pt>
              <c:pt idx="53">
                <c:v>2.4629931544264159E-2</c:v>
              </c:pt>
              <c:pt idx="54">
                <c:v>2.4860943086445333E-2</c:v>
              </c:pt>
              <c:pt idx="55">
                <c:v>2.4860943086445333E-2</c:v>
              </c:pt>
              <c:pt idx="56">
                <c:v>2.5091954628626505E-2</c:v>
              </c:pt>
              <c:pt idx="57">
                <c:v>2.5091954628626505E-2</c:v>
              </c:pt>
              <c:pt idx="58">
                <c:v>2.5322966170807679E-2</c:v>
              </c:pt>
              <c:pt idx="59">
                <c:v>2.5322966170807679E-2</c:v>
              </c:pt>
              <c:pt idx="60">
                <c:v>2.5553977712988854E-2</c:v>
              </c:pt>
              <c:pt idx="61">
                <c:v>2.5553977712988854E-2</c:v>
              </c:pt>
              <c:pt idx="62">
                <c:v>2.5784989255170029E-2</c:v>
              </c:pt>
              <c:pt idx="63">
                <c:v>2.5784989255170029E-2</c:v>
              </c:pt>
              <c:pt idx="64">
                <c:v>2.6016000797351203E-2</c:v>
              </c:pt>
              <c:pt idx="65">
                <c:v>2.6016000797351203E-2</c:v>
              </c:pt>
              <c:pt idx="66">
                <c:v>2.6247012339532375E-2</c:v>
              </c:pt>
              <c:pt idx="67">
                <c:v>2.6247012339532375E-2</c:v>
              </c:pt>
              <c:pt idx="68">
                <c:v>2.6478023881713549E-2</c:v>
              </c:pt>
              <c:pt idx="69">
                <c:v>2.6478023881713549E-2</c:v>
              </c:pt>
              <c:pt idx="70">
                <c:v>2.6709035423894724E-2</c:v>
              </c:pt>
              <c:pt idx="71">
                <c:v>2.6709035423894724E-2</c:v>
              </c:pt>
              <c:pt idx="72">
                <c:v>2.6940046966075895E-2</c:v>
              </c:pt>
              <c:pt idx="73">
                <c:v>2.6940046966075895E-2</c:v>
              </c:pt>
              <c:pt idx="74">
                <c:v>2.7171058508257073E-2</c:v>
              </c:pt>
              <c:pt idx="75">
                <c:v>2.7171058508257073E-2</c:v>
              </c:pt>
              <c:pt idx="76">
                <c:v>2.7402070050438244E-2</c:v>
              </c:pt>
              <c:pt idx="77">
                <c:v>2.7402070050438244E-2</c:v>
              </c:pt>
              <c:pt idx="78">
                <c:v>2.7633081592619419E-2</c:v>
              </c:pt>
              <c:pt idx="79">
                <c:v>2.7633081592619419E-2</c:v>
              </c:pt>
              <c:pt idx="80">
                <c:v>2.7864093134800594E-2</c:v>
              </c:pt>
              <c:pt idx="81">
                <c:v>2.7864093134800594E-2</c:v>
              </c:pt>
              <c:pt idx="82">
                <c:v>2.8095104676981765E-2</c:v>
              </c:pt>
              <c:pt idx="83">
                <c:v>2.8095104676981765E-2</c:v>
              </c:pt>
              <c:pt idx="84">
                <c:v>2.8326116219162943E-2</c:v>
              </c:pt>
              <c:pt idx="85">
                <c:v>2.8326116219162943E-2</c:v>
              </c:pt>
              <c:pt idx="86">
                <c:v>2.8557127761344114E-2</c:v>
              </c:pt>
              <c:pt idx="87">
                <c:v>2.8557127761344114E-2</c:v>
              </c:pt>
              <c:pt idx="88">
                <c:v>2.8788139303525289E-2</c:v>
              </c:pt>
              <c:pt idx="89">
                <c:v>2.8788139303525289E-2</c:v>
              </c:pt>
              <c:pt idx="90">
                <c:v>2.9019150845706464E-2</c:v>
              </c:pt>
              <c:pt idx="91">
                <c:v>2.9019150845706464E-2</c:v>
              </c:pt>
              <c:pt idx="92">
                <c:v>2.9250162387887635E-2</c:v>
              </c:pt>
              <c:pt idx="93">
                <c:v>2.9250162387887635E-2</c:v>
              </c:pt>
              <c:pt idx="94">
                <c:v>2.9481173930068813E-2</c:v>
              </c:pt>
              <c:pt idx="95">
                <c:v>2.9481173930068813E-2</c:v>
              </c:pt>
              <c:pt idx="96">
                <c:v>2.9712185472249984E-2</c:v>
              </c:pt>
              <c:pt idx="97">
                <c:v>2.9712185472249984E-2</c:v>
              </c:pt>
              <c:pt idx="98">
                <c:v>2.9943197014431159E-2</c:v>
              </c:pt>
              <c:pt idx="99">
                <c:v>2.9943197014431159E-2</c:v>
              </c:pt>
              <c:pt idx="100">
                <c:v>3.0174208556612334E-2</c:v>
              </c:pt>
              <c:pt idx="101">
                <c:v>3.0174208556612334E-2</c:v>
              </c:pt>
              <c:pt idx="102">
                <c:v>3.0405220098793505E-2</c:v>
              </c:pt>
              <c:pt idx="103">
                <c:v>3.0405220098793505E-2</c:v>
              </c:pt>
              <c:pt idx="104">
                <c:v>3.0636231640974683E-2</c:v>
              </c:pt>
              <c:pt idx="105">
                <c:v>3.0636231640974683E-2</c:v>
              </c:pt>
              <c:pt idx="106">
                <c:v>3.0867243183155854E-2</c:v>
              </c:pt>
              <c:pt idx="107">
                <c:v>3.0867243183155854E-2</c:v>
              </c:pt>
              <c:pt idx="108">
                <c:v>3.1098254725337029E-2</c:v>
              </c:pt>
              <c:pt idx="109">
                <c:v>3.1098254725337029E-2</c:v>
              </c:pt>
              <c:pt idx="110">
                <c:v>3.1329266267518203E-2</c:v>
              </c:pt>
              <c:pt idx="111">
                <c:v>3.1329266267518203E-2</c:v>
              </c:pt>
              <c:pt idx="112">
                <c:v>3.1560277809699375E-2</c:v>
              </c:pt>
              <c:pt idx="113">
                <c:v>3.1560277809699375E-2</c:v>
              </c:pt>
              <c:pt idx="114">
                <c:v>3.1791289351880553E-2</c:v>
              </c:pt>
              <c:pt idx="115">
                <c:v>3.1791289351880553E-2</c:v>
              </c:pt>
              <c:pt idx="116">
                <c:v>3.2022300894061724E-2</c:v>
              </c:pt>
              <c:pt idx="117">
                <c:v>3.2022300894061724E-2</c:v>
              </c:pt>
              <c:pt idx="118">
                <c:v>3.2253312436242895E-2</c:v>
              </c:pt>
              <c:pt idx="119">
                <c:v>3.2253312436242895E-2</c:v>
              </c:pt>
              <c:pt idx="120">
                <c:v>3.2484323978424073E-2</c:v>
              </c:pt>
              <c:pt idx="121">
                <c:v>3.2484323978424073E-2</c:v>
              </c:pt>
              <c:pt idx="122">
                <c:v>3.2715335520605245E-2</c:v>
              </c:pt>
              <c:pt idx="123">
                <c:v>3.2715335520605245E-2</c:v>
              </c:pt>
              <c:pt idx="124">
                <c:v>3.2946347062786423E-2</c:v>
              </c:pt>
              <c:pt idx="125">
                <c:v>3.2946347062786423E-2</c:v>
              </c:pt>
              <c:pt idx="126">
                <c:v>3.3177358604967594E-2</c:v>
              </c:pt>
              <c:pt idx="127">
                <c:v>3.3177358604967594E-2</c:v>
              </c:pt>
              <c:pt idx="128">
                <c:v>3.3408370147148772E-2</c:v>
              </c:pt>
              <c:pt idx="129">
                <c:v>3.3408370147148772E-2</c:v>
              </c:pt>
              <c:pt idx="130">
                <c:v>3.3639381689329943E-2</c:v>
              </c:pt>
              <c:pt idx="131">
                <c:v>3.3639381689329943E-2</c:v>
              </c:pt>
              <c:pt idx="132">
                <c:v>3.3870393231511114E-2</c:v>
              </c:pt>
              <c:pt idx="133">
                <c:v>3.3870393231511114E-2</c:v>
              </c:pt>
              <c:pt idx="134">
                <c:v>3.4101404773692293E-2</c:v>
              </c:pt>
              <c:pt idx="135">
                <c:v>3.4101404773692293E-2</c:v>
              </c:pt>
              <c:pt idx="136">
                <c:v>3.4332416315873464E-2</c:v>
              </c:pt>
              <c:pt idx="137">
                <c:v>3.4332416315873464E-2</c:v>
              </c:pt>
              <c:pt idx="138">
                <c:v>3.4563427858054635E-2</c:v>
              </c:pt>
              <c:pt idx="139">
                <c:v>3.4563427858054635E-2</c:v>
              </c:pt>
              <c:pt idx="140">
                <c:v>3.4794439400235813E-2</c:v>
              </c:pt>
              <c:pt idx="141">
                <c:v>3.4794439400235813E-2</c:v>
              </c:pt>
              <c:pt idx="142">
                <c:v>3.5025450942416991E-2</c:v>
              </c:pt>
              <c:pt idx="143">
                <c:v>3.5025450942416991E-2</c:v>
              </c:pt>
              <c:pt idx="144">
                <c:v>3.5124455889066063E-2</c:v>
              </c:pt>
              <c:pt idx="145">
                <c:v>3.5124455889066063E-2</c:v>
              </c:pt>
              <c:pt idx="146">
                <c:v>3.5124455889066063E-2</c:v>
              </c:pt>
              <c:pt idx="147">
                <c:v>3.5124455889066063E-2</c:v>
              </c:pt>
              <c:pt idx="148">
                <c:v>3.5124455889066063E-2</c:v>
              </c:pt>
              <c:pt idx="149">
                <c:v>3.5124455889066063E-2</c:v>
              </c:pt>
              <c:pt idx="150">
                <c:v>3.5355467431247234E-2</c:v>
              </c:pt>
              <c:pt idx="151">
                <c:v>3.5355467431247234E-2</c:v>
              </c:pt>
              <c:pt idx="152">
                <c:v>3.5586478973428412E-2</c:v>
              </c:pt>
              <c:pt idx="153">
                <c:v>3.5586478973428412E-2</c:v>
              </c:pt>
              <c:pt idx="154">
                <c:v>3.5817490515609583E-2</c:v>
              </c:pt>
              <c:pt idx="155">
                <c:v>3.5817490515609583E-2</c:v>
              </c:pt>
              <c:pt idx="156">
                <c:v>3.6048502057790761E-2</c:v>
              </c:pt>
              <c:pt idx="157">
                <c:v>3.6048502057790761E-2</c:v>
              </c:pt>
              <c:pt idx="158">
                <c:v>3.6279513599971933E-2</c:v>
              </c:pt>
              <c:pt idx="159">
                <c:v>3.6279513599971933E-2</c:v>
              </c:pt>
              <c:pt idx="160">
                <c:v>3.6510525142153104E-2</c:v>
              </c:pt>
              <c:pt idx="161">
                <c:v>3.6510525142153104E-2</c:v>
              </c:pt>
              <c:pt idx="162">
                <c:v>3.6741536684334282E-2</c:v>
              </c:pt>
              <c:pt idx="163">
                <c:v>3.6741536684334282E-2</c:v>
              </c:pt>
              <c:pt idx="164">
                <c:v>3.6972548226515453E-2</c:v>
              </c:pt>
              <c:pt idx="165">
                <c:v>3.6972548226515453E-2</c:v>
              </c:pt>
              <c:pt idx="166">
                <c:v>3.7203559768696631E-2</c:v>
              </c:pt>
              <c:pt idx="167">
                <c:v>3.7203559768696631E-2</c:v>
              </c:pt>
              <c:pt idx="168">
                <c:v>3.7434571310877802E-2</c:v>
              </c:pt>
              <c:pt idx="169">
                <c:v>3.7434571310877802E-2</c:v>
              </c:pt>
              <c:pt idx="170">
                <c:v>3.7665582853058974E-2</c:v>
              </c:pt>
              <c:pt idx="171">
                <c:v>3.7665582853058974E-2</c:v>
              </c:pt>
              <c:pt idx="172">
                <c:v>3.7896594395240152E-2</c:v>
              </c:pt>
              <c:pt idx="173">
                <c:v>3.7896594395240152E-2</c:v>
              </c:pt>
              <c:pt idx="174">
                <c:v>3.8127605937421323E-2</c:v>
              </c:pt>
              <c:pt idx="175">
                <c:v>3.8127605937421323E-2</c:v>
              </c:pt>
              <c:pt idx="176">
                <c:v>3.8358617479602501E-2</c:v>
              </c:pt>
              <c:pt idx="177">
                <c:v>3.8358617479602501E-2</c:v>
              </c:pt>
              <c:pt idx="178">
                <c:v>3.8589629021783672E-2</c:v>
              </c:pt>
              <c:pt idx="179">
                <c:v>3.8589629021783672E-2</c:v>
              </c:pt>
              <c:pt idx="180">
                <c:v>3.8820640563964844E-2</c:v>
              </c:pt>
              <c:pt idx="181">
                <c:v>3.8820640563964844E-2</c:v>
              </c:pt>
              <c:pt idx="182">
                <c:v>3.9051652106146022E-2</c:v>
              </c:pt>
              <c:pt idx="183">
                <c:v>3.9051652106146022E-2</c:v>
              </c:pt>
              <c:pt idx="184">
                <c:v>3.9282663648327193E-2</c:v>
              </c:pt>
              <c:pt idx="185">
                <c:v>3.9282663648327193E-2</c:v>
              </c:pt>
              <c:pt idx="186">
                <c:v>3.9513675190508371E-2</c:v>
              </c:pt>
              <c:pt idx="187">
                <c:v>3.9513675190508371E-2</c:v>
              </c:pt>
              <c:pt idx="188">
                <c:v>3.9744686732689542E-2</c:v>
              </c:pt>
              <c:pt idx="189">
                <c:v>3.9744686732689542E-2</c:v>
              </c:pt>
              <c:pt idx="190">
                <c:v>3.9975698274870713E-2</c:v>
              </c:pt>
              <c:pt idx="191">
                <c:v>3.9975698274870713E-2</c:v>
              </c:pt>
              <c:pt idx="192">
                <c:v>4.0206709817051892E-2</c:v>
              </c:pt>
              <c:pt idx="193">
                <c:v>4.0206709817051892E-2</c:v>
              </c:pt>
              <c:pt idx="194">
                <c:v>4.0437721359233063E-2</c:v>
              </c:pt>
              <c:pt idx="195">
                <c:v>4.0437721359233063E-2</c:v>
              </c:pt>
              <c:pt idx="196">
                <c:v>4.0668732901414234E-2</c:v>
              </c:pt>
              <c:pt idx="197">
                <c:v>4.0668732901414234E-2</c:v>
              </c:pt>
              <c:pt idx="198">
                <c:v>4.0899744443595412E-2</c:v>
              </c:pt>
              <c:pt idx="199">
                <c:v>4.0899744443595412E-2</c:v>
              </c:pt>
              <c:pt idx="200">
                <c:v>4.1130755985776583E-2</c:v>
              </c:pt>
              <c:pt idx="201">
                <c:v>4.1130755985776583E-2</c:v>
              </c:pt>
              <c:pt idx="202">
                <c:v>4.1361767527957762E-2</c:v>
              </c:pt>
              <c:pt idx="203">
                <c:v>4.1361767527957762E-2</c:v>
              </c:pt>
              <c:pt idx="204">
                <c:v>4.1592779070138933E-2</c:v>
              </c:pt>
              <c:pt idx="205">
                <c:v>4.1592779070138933E-2</c:v>
              </c:pt>
              <c:pt idx="206">
                <c:v>4.1823790612320111E-2</c:v>
              </c:pt>
              <c:pt idx="207">
                <c:v>4.1823790612320111E-2</c:v>
              </c:pt>
              <c:pt idx="208">
                <c:v>4.2054802154501282E-2</c:v>
              </c:pt>
              <c:pt idx="209">
                <c:v>4.2054802154501282E-2</c:v>
              </c:pt>
              <c:pt idx="210">
                <c:v>4.2285813696682453E-2</c:v>
              </c:pt>
              <c:pt idx="211">
                <c:v>4.2285813696682453E-2</c:v>
              </c:pt>
              <c:pt idx="212">
                <c:v>4.2516825238863631E-2</c:v>
              </c:pt>
              <c:pt idx="213">
                <c:v>4.2516825238863631E-2</c:v>
              </c:pt>
              <c:pt idx="214">
                <c:v>4.2747836781044803E-2</c:v>
              </c:pt>
              <c:pt idx="215">
                <c:v>4.2747836781044803E-2</c:v>
              </c:pt>
              <c:pt idx="216">
                <c:v>4.2978848323225974E-2</c:v>
              </c:pt>
              <c:pt idx="217">
                <c:v>4.2978848323225974E-2</c:v>
              </c:pt>
              <c:pt idx="218">
                <c:v>4.3209859865407152E-2</c:v>
              </c:pt>
              <c:pt idx="219">
                <c:v>4.3209859865407152E-2</c:v>
              </c:pt>
              <c:pt idx="220">
                <c:v>4.3440871407588323E-2</c:v>
              </c:pt>
              <c:pt idx="221">
                <c:v>4.3440871407588323E-2</c:v>
              </c:pt>
              <c:pt idx="222">
                <c:v>4.3671882949769501E-2</c:v>
              </c:pt>
              <c:pt idx="223">
                <c:v>4.3671882949769501E-2</c:v>
              </c:pt>
              <c:pt idx="224">
                <c:v>4.3902894491950673E-2</c:v>
              </c:pt>
              <c:pt idx="225">
                <c:v>4.3902894491950673E-2</c:v>
              </c:pt>
              <c:pt idx="226">
                <c:v>4.4133906034131851E-2</c:v>
              </c:pt>
              <c:pt idx="227">
                <c:v>4.4133906034131851E-2</c:v>
              </c:pt>
              <c:pt idx="228">
                <c:v>4.4364917576313022E-2</c:v>
              </c:pt>
              <c:pt idx="229">
                <c:v>4.4364917576313022E-2</c:v>
              </c:pt>
              <c:pt idx="230">
                <c:v>4.4595929118494193E-2</c:v>
              </c:pt>
              <c:pt idx="231">
                <c:v>4.4595929118494193E-2</c:v>
              </c:pt>
              <c:pt idx="232">
                <c:v>4.4826940660675371E-2</c:v>
              </c:pt>
              <c:pt idx="233">
                <c:v>4.4826940660675371E-2</c:v>
              </c:pt>
              <c:pt idx="234">
                <c:v>4.5057952202856542E-2</c:v>
              </c:pt>
              <c:pt idx="235">
                <c:v>4.5057952202856542E-2</c:v>
              </c:pt>
              <c:pt idx="236">
                <c:v>4.5288963745037714E-2</c:v>
              </c:pt>
              <c:pt idx="237">
                <c:v>4.5288963745037714E-2</c:v>
              </c:pt>
              <c:pt idx="238">
                <c:v>4.5519975287218892E-2</c:v>
              </c:pt>
              <c:pt idx="239">
                <c:v>4.5519975287218892E-2</c:v>
              </c:pt>
              <c:pt idx="240">
                <c:v>4.5750986829400063E-2</c:v>
              </c:pt>
              <c:pt idx="241">
                <c:v>4.5750986829400063E-2</c:v>
              </c:pt>
              <c:pt idx="242">
                <c:v>4.5981998371581241E-2</c:v>
              </c:pt>
              <c:pt idx="243">
                <c:v>4.5981998371581241E-2</c:v>
              </c:pt>
              <c:pt idx="244">
                <c:v>4.6213009913762412E-2</c:v>
              </c:pt>
              <c:pt idx="245">
                <c:v>4.6213009913762412E-2</c:v>
              </c:pt>
              <c:pt idx="246">
                <c:v>4.644402145594359E-2</c:v>
              </c:pt>
              <c:pt idx="247">
                <c:v>4.644402145594359E-2</c:v>
              </c:pt>
              <c:pt idx="248">
                <c:v>4.6675032998124762E-2</c:v>
              </c:pt>
              <c:pt idx="249">
                <c:v>4.6675032998124762E-2</c:v>
              </c:pt>
              <c:pt idx="250">
                <c:v>4.6906044540305933E-2</c:v>
              </c:pt>
              <c:pt idx="251">
                <c:v>4.6906044540305933E-2</c:v>
              </c:pt>
              <c:pt idx="252">
                <c:v>4.7137056082487111E-2</c:v>
              </c:pt>
              <c:pt idx="253">
                <c:v>4.7137056082487111E-2</c:v>
              </c:pt>
              <c:pt idx="254">
                <c:v>4.7368067624668282E-2</c:v>
              </c:pt>
              <c:pt idx="255">
                <c:v>4.7368067624668282E-2</c:v>
              </c:pt>
              <c:pt idx="256">
                <c:v>4.7599079166849453E-2</c:v>
              </c:pt>
              <c:pt idx="257">
                <c:v>4.7599079166849453E-2</c:v>
              </c:pt>
              <c:pt idx="258">
                <c:v>4.7830090709030632E-2</c:v>
              </c:pt>
              <c:pt idx="259">
                <c:v>4.7830090709030632E-2</c:v>
              </c:pt>
              <c:pt idx="260">
                <c:v>4.8061102251211803E-2</c:v>
              </c:pt>
              <c:pt idx="261">
                <c:v>4.8061102251211803E-2</c:v>
              </c:pt>
              <c:pt idx="262">
                <c:v>4.8292113793392981E-2</c:v>
              </c:pt>
              <c:pt idx="263">
                <c:v>4.8292113793392981E-2</c:v>
              </c:pt>
              <c:pt idx="264">
                <c:v>4.8523125335574152E-2</c:v>
              </c:pt>
              <c:pt idx="265">
                <c:v>4.8523125335574152E-2</c:v>
              </c:pt>
              <c:pt idx="266">
                <c:v>4.875413687775533E-2</c:v>
              </c:pt>
              <c:pt idx="267">
                <c:v>4.875413687775533E-2</c:v>
              </c:pt>
              <c:pt idx="268">
                <c:v>4.8985148419936501E-2</c:v>
              </c:pt>
              <c:pt idx="269">
                <c:v>4.8985148419936501E-2</c:v>
              </c:pt>
              <c:pt idx="270">
                <c:v>4.9216159962117673E-2</c:v>
              </c:pt>
              <c:pt idx="271">
                <c:v>4.9216159962117673E-2</c:v>
              </c:pt>
              <c:pt idx="272">
                <c:v>4.9447171504298851E-2</c:v>
              </c:pt>
              <c:pt idx="273">
                <c:v>4.9447171504298851E-2</c:v>
              </c:pt>
              <c:pt idx="274">
                <c:v>4.9678183046480022E-2</c:v>
              </c:pt>
              <c:pt idx="275">
                <c:v>4.9678183046480022E-2</c:v>
              </c:pt>
              <c:pt idx="276">
                <c:v>4.9909194588661193E-2</c:v>
              </c:pt>
              <c:pt idx="277">
                <c:v>4.9909194588661193E-2</c:v>
              </c:pt>
              <c:pt idx="278">
                <c:v>5.0140206130842371E-2</c:v>
              </c:pt>
              <c:pt idx="279">
                <c:v>5.0140206130842371E-2</c:v>
              </c:pt>
              <c:pt idx="280">
                <c:v>5.0371217673023543E-2</c:v>
              </c:pt>
              <c:pt idx="281">
                <c:v>5.0371217673023543E-2</c:v>
              </c:pt>
              <c:pt idx="282">
                <c:v>5.0602229215204721E-2</c:v>
              </c:pt>
              <c:pt idx="283">
                <c:v>5.0602229215204721E-2</c:v>
              </c:pt>
              <c:pt idx="284">
                <c:v>5.0833240757385892E-2</c:v>
              </c:pt>
              <c:pt idx="285">
                <c:v>5.0833240757385892E-2</c:v>
              </c:pt>
              <c:pt idx="286">
                <c:v>5.106425229956707E-2</c:v>
              </c:pt>
              <c:pt idx="287">
                <c:v>5.106425229956707E-2</c:v>
              </c:pt>
              <c:pt idx="288">
                <c:v>5.1295263841748241E-2</c:v>
              </c:pt>
              <c:pt idx="289">
                <c:v>5.1295263841748241E-2</c:v>
              </c:pt>
              <c:pt idx="290">
                <c:v>5.1526275383929412E-2</c:v>
              </c:pt>
              <c:pt idx="291">
                <c:v>5.1526275383929412E-2</c:v>
              </c:pt>
              <c:pt idx="292">
                <c:v>5.1625280330578484E-2</c:v>
              </c:pt>
              <c:pt idx="293">
                <c:v>5.1625280330578484E-2</c:v>
              </c:pt>
              <c:pt idx="294">
                <c:v>5.1625280330578484E-2</c:v>
              </c:pt>
              <c:pt idx="295">
                <c:v>5.1625280330578484E-2</c:v>
              </c:pt>
              <c:pt idx="296">
                <c:v>5.1625280330578484E-2</c:v>
              </c:pt>
              <c:pt idx="297">
                <c:v>5.1625280330578484E-2</c:v>
              </c:pt>
              <c:pt idx="298">
                <c:v>5.1856291872759655E-2</c:v>
              </c:pt>
              <c:pt idx="299">
                <c:v>5.1856291872759655E-2</c:v>
              </c:pt>
              <c:pt idx="300">
                <c:v>5.2087303414940833E-2</c:v>
              </c:pt>
              <c:pt idx="301">
                <c:v>5.2087303414940833E-2</c:v>
              </c:pt>
              <c:pt idx="302">
                <c:v>5.2318314957122004E-2</c:v>
              </c:pt>
              <c:pt idx="303">
                <c:v>5.2318314957122004E-2</c:v>
              </c:pt>
              <c:pt idx="304">
                <c:v>5.2549326499303183E-2</c:v>
              </c:pt>
              <c:pt idx="305">
                <c:v>5.2549326499303183E-2</c:v>
              </c:pt>
              <c:pt idx="306">
                <c:v>5.2780338041484354E-2</c:v>
              </c:pt>
              <c:pt idx="307">
                <c:v>5.2780338041484354E-2</c:v>
              </c:pt>
              <c:pt idx="308">
                <c:v>5.3011349583665525E-2</c:v>
              </c:pt>
              <c:pt idx="309">
                <c:v>5.3011349583665525E-2</c:v>
              </c:pt>
              <c:pt idx="310">
                <c:v>5.3242361125846703E-2</c:v>
              </c:pt>
              <c:pt idx="311">
                <c:v>5.3242361125846703E-2</c:v>
              </c:pt>
              <c:pt idx="312">
                <c:v>5.3473372668027874E-2</c:v>
              </c:pt>
              <c:pt idx="313">
                <c:v>5.3473372668027874E-2</c:v>
              </c:pt>
              <c:pt idx="314">
                <c:v>5.3704384210209052E-2</c:v>
              </c:pt>
              <c:pt idx="315">
                <c:v>5.3704384210209052E-2</c:v>
              </c:pt>
              <c:pt idx="316">
                <c:v>5.3935395752390224E-2</c:v>
              </c:pt>
              <c:pt idx="317">
                <c:v>5.3935395752390224E-2</c:v>
              </c:pt>
              <c:pt idx="318">
                <c:v>5.4166407294571395E-2</c:v>
              </c:pt>
              <c:pt idx="319">
                <c:v>5.4166407294571395E-2</c:v>
              </c:pt>
              <c:pt idx="320">
                <c:v>5.4397418836752573E-2</c:v>
              </c:pt>
              <c:pt idx="321">
                <c:v>5.4397418836752573E-2</c:v>
              </c:pt>
              <c:pt idx="322">
                <c:v>5.4628430378933744E-2</c:v>
              </c:pt>
              <c:pt idx="323">
                <c:v>5.4628430378933744E-2</c:v>
              </c:pt>
              <c:pt idx="324">
                <c:v>5.4859441921114922E-2</c:v>
              </c:pt>
              <c:pt idx="325">
                <c:v>5.4859441921114922E-2</c:v>
              </c:pt>
              <c:pt idx="326">
                <c:v>5.5090453463296093E-2</c:v>
              </c:pt>
              <c:pt idx="327">
                <c:v>5.5090453463296093E-2</c:v>
              </c:pt>
              <c:pt idx="328">
                <c:v>5.5321465005477265E-2</c:v>
              </c:pt>
              <c:pt idx="329">
                <c:v>5.5321465005477265E-2</c:v>
              </c:pt>
              <c:pt idx="330">
                <c:v>5.5552476547658443E-2</c:v>
              </c:pt>
              <c:pt idx="331">
                <c:v>5.5552476547658443E-2</c:v>
              </c:pt>
              <c:pt idx="332">
                <c:v>5.5783488089839614E-2</c:v>
              </c:pt>
              <c:pt idx="333">
                <c:v>5.5783488089839614E-2</c:v>
              </c:pt>
              <c:pt idx="334">
                <c:v>5.6014499632020792E-2</c:v>
              </c:pt>
              <c:pt idx="335">
                <c:v>5.6014499632020792E-2</c:v>
              </c:pt>
              <c:pt idx="336">
                <c:v>5.6245511174201963E-2</c:v>
              </c:pt>
              <c:pt idx="337">
                <c:v>5.6245511174201963E-2</c:v>
              </c:pt>
              <c:pt idx="338">
                <c:v>5.6476522716383135E-2</c:v>
              </c:pt>
              <c:pt idx="339">
                <c:v>5.6476522716383135E-2</c:v>
              </c:pt>
              <c:pt idx="340">
                <c:v>5.6707534258564313E-2</c:v>
              </c:pt>
              <c:pt idx="341">
                <c:v>5.6707534258564313E-2</c:v>
              </c:pt>
              <c:pt idx="342">
                <c:v>5.6938545800745484E-2</c:v>
              </c:pt>
              <c:pt idx="343">
                <c:v>5.6938545800745484E-2</c:v>
              </c:pt>
              <c:pt idx="344">
                <c:v>5.7169557342926655E-2</c:v>
              </c:pt>
              <c:pt idx="345">
                <c:v>5.7169557342926655E-2</c:v>
              </c:pt>
              <c:pt idx="346">
                <c:v>5.7400568885107833E-2</c:v>
              </c:pt>
              <c:pt idx="347">
                <c:v>5.7400568885107833E-2</c:v>
              </c:pt>
              <c:pt idx="348">
                <c:v>5.7631580427289004E-2</c:v>
              </c:pt>
              <c:pt idx="349">
                <c:v>5.7631580427289004E-2</c:v>
              </c:pt>
              <c:pt idx="350">
                <c:v>5.7862591969470183E-2</c:v>
              </c:pt>
              <c:pt idx="351">
                <c:v>5.7862591969470183E-2</c:v>
              </c:pt>
              <c:pt idx="352">
                <c:v>5.8093603511651354E-2</c:v>
              </c:pt>
              <c:pt idx="353">
                <c:v>5.8093603511651354E-2</c:v>
              </c:pt>
              <c:pt idx="354">
                <c:v>5.8324615053832532E-2</c:v>
              </c:pt>
              <c:pt idx="355">
                <c:v>5.8324615053832532E-2</c:v>
              </c:pt>
              <c:pt idx="356">
                <c:v>5.8555626596013703E-2</c:v>
              </c:pt>
              <c:pt idx="357">
                <c:v>5.8555626596013703E-2</c:v>
              </c:pt>
              <c:pt idx="358">
                <c:v>5.8786638138194874E-2</c:v>
              </c:pt>
              <c:pt idx="359">
                <c:v>5.8786638138194874E-2</c:v>
              </c:pt>
              <c:pt idx="360">
                <c:v>5.9017649680376053E-2</c:v>
              </c:pt>
              <c:pt idx="361">
                <c:v>5.9017649680376053E-2</c:v>
              </c:pt>
              <c:pt idx="362">
                <c:v>5.9248661222557224E-2</c:v>
              </c:pt>
              <c:pt idx="363">
                <c:v>5.9248661222557224E-2</c:v>
              </c:pt>
              <c:pt idx="364">
                <c:v>5.9479672764738395E-2</c:v>
              </c:pt>
              <c:pt idx="365">
                <c:v>5.9479672764738395E-2</c:v>
              </c:pt>
              <c:pt idx="366">
                <c:v>5.9710684306919573E-2</c:v>
              </c:pt>
              <c:pt idx="367">
                <c:v>5.9710684306919573E-2</c:v>
              </c:pt>
              <c:pt idx="368">
                <c:v>5.9941695849100744E-2</c:v>
              </c:pt>
              <c:pt idx="369">
                <c:v>5.9941695849100744E-2</c:v>
              </c:pt>
              <c:pt idx="370">
                <c:v>6.0172707391281922E-2</c:v>
              </c:pt>
              <c:pt idx="371">
                <c:v>6.0172707391281922E-2</c:v>
              </c:pt>
              <c:pt idx="372">
                <c:v>6.0403718933463094E-2</c:v>
              </c:pt>
              <c:pt idx="373">
                <c:v>6.0403718933463094E-2</c:v>
              </c:pt>
              <c:pt idx="374">
                <c:v>6.0634730475644272E-2</c:v>
              </c:pt>
              <c:pt idx="375">
                <c:v>6.0634730475644272E-2</c:v>
              </c:pt>
              <c:pt idx="376">
                <c:v>6.0865742017825443E-2</c:v>
              </c:pt>
              <c:pt idx="377">
                <c:v>6.0865742017825443E-2</c:v>
              </c:pt>
              <c:pt idx="378">
                <c:v>6.1096753560006614E-2</c:v>
              </c:pt>
              <c:pt idx="379">
                <c:v>6.1096753560006614E-2</c:v>
              </c:pt>
              <c:pt idx="380">
                <c:v>6.1327765102187792E-2</c:v>
              </c:pt>
              <c:pt idx="381">
                <c:v>6.1327765102187792E-2</c:v>
              </c:pt>
              <c:pt idx="382">
                <c:v>6.1558776644368964E-2</c:v>
              </c:pt>
              <c:pt idx="383">
                <c:v>6.1558776644368964E-2</c:v>
              </c:pt>
              <c:pt idx="384">
                <c:v>6.1789788186550135E-2</c:v>
              </c:pt>
              <c:pt idx="385">
                <c:v>6.1789788186550135E-2</c:v>
              </c:pt>
              <c:pt idx="386">
                <c:v>6.2020799728731313E-2</c:v>
              </c:pt>
              <c:pt idx="387">
                <c:v>6.2020799728731313E-2</c:v>
              </c:pt>
              <c:pt idx="388">
                <c:v>6.2251811270912484E-2</c:v>
              </c:pt>
              <c:pt idx="389">
                <c:v>6.2251811270912484E-2</c:v>
              </c:pt>
              <c:pt idx="390">
                <c:v>6.2482822813093662E-2</c:v>
              </c:pt>
              <c:pt idx="391">
                <c:v>6.2482822813093662E-2</c:v>
              </c:pt>
              <c:pt idx="392">
                <c:v>6.2713834355274833E-2</c:v>
              </c:pt>
              <c:pt idx="393">
                <c:v>6.2713834355274833E-2</c:v>
              </c:pt>
              <c:pt idx="394">
                <c:v>6.2944845897456012E-2</c:v>
              </c:pt>
              <c:pt idx="395">
                <c:v>6.2944845897456012E-2</c:v>
              </c:pt>
              <c:pt idx="396">
                <c:v>6.317585743963719E-2</c:v>
              </c:pt>
              <c:pt idx="397">
                <c:v>6.317585743963719E-2</c:v>
              </c:pt>
              <c:pt idx="398">
                <c:v>6.3406868981818354E-2</c:v>
              </c:pt>
              <c:pt idx="399">
                <c:v>6.3406868981818354E-2</c:v>
              </c:pt>
              <c:pt idx="400">
                <c:v>6.3637880523999532E-2</c:v>
              </c:pt>
              <c:pt idx="401">
                <c:v>6.3637880523999532E-2</c:v>
              </c:pt>
              <c:pt idx="402">
                <c:v>6.386889206618071E-2</c:v>
              </c:pt>
              <c:pt idx="403">
                <c:v>6.386889206618071E-2</c:v>
              </c:pt>
              <c:pt idx="404">
                <c:v>6.4099903608361875E-2</c:v>
              </c:pt>
              <c:pt idx="405">
                <c:v>6.4099903608361875E-2</c:v>
              </c:pt>
              <c:pt idx="406">
                <c:v>6.4330915150543053E-2</c:v>
              </c:pt>
              <c:pt idx="407">
                <c:v>6.4330915150543053E-2</c:v>
              </c:pt>
              <c:pt idx="408">
                <c:v>6.4561926692724231E-2</c:v>
              </c:pt>
              <c:pt idx="409">
                <c:v>6.4561926692724231E-2</c:v>
              </c:pt>
              <c:pt idx="410">
                <c:v>6.4792938234905395E-2</c:v>
              </c:pt>
              <c:pt idx="411">
                <c:v>6.4792938234905395E-2</c:v>
              </c:pt>
              <c:pt idx="412">
                <c:v>6.5023949777086573E-2</c:v>
              </c:pt>
              <c:pt idx="413">
                <c:v>6.5023949777086573E-2</c:v>
              </c:pt>
              <c:pt idx="414">
                <c:v>6.5254961319267751E-2</c:v>
              </c:pt>
              <c:pt idx="415">
                <c:v>6.5254961319267751E-2</c:v>
              </c:pt>
              <c:pt idx="416">
                <c:v>6.5485972861448916E-2</c:v>
              </c:pt>
              <c:pt idx="417">
                <c:v>6.5485972861448916E-2</c:v>
              </c:pt>
              <c:pt idx="418">
                <c:v>6.5716984403630094E-2</c:v>
              </c:pt>
              <c:pt idx="419">
                <c:v>6.5716984403630094E-2</c:v>
              </c:pt>
              <c:pt idx="420">
                <c:v>6.5947995945811272E-2</c:v>
              </c:pt>
              <c:pt idx="421">
                <c:v>6.5947995945811272E-2</c:v>
              </c:pt>
              <c:pt idx="422">
                <c:v>6.6179007487992436E-2</c:v>
              </c:pt>
              <c:pt idx="423">
                <c:v>6.6179007487992436E-2</c:v>
              </c:pt>
              <c:pt idx="424">
                <c:v>6.6410019030173614E-2</c:v>
              </c:pt>
              <c:pt idx="425">
                <c:v>6.6410019030173614E-2</c:v>
              </c:pt>
              <c:pt idx="426">
                <c:v>6.6641030572354792E-2</c:v>
              </c:pt>
              <c:pt idx="427">
                <c:v>6.6641030572354792E-2</c:v>
              </c:pt>
              <c:pt idx="428">
                <c:v>6.6872042114535971E-2</c:v>
              </c:pt>
              <c:pt idx="429">
                <c:v>6.6872042114535971E-2</c:v>
              </c:pt>
              <c:pt idx="430">
                <c:v>6.7103053656717135E-2</c:v>
              </c:pt>
              <c:pt idx="431">
                <c:v>6.7103053656717135E-2</c:v>
              </c:pt>
              <c:pt idx="432">
                <c:v>6.7334065198898313E-2</c:v>
              </c:pt>
              <c:pt idx="433">
                <c:v>6.7334065198898313E-2</c:v>
              </c:pt>
              <c:pt idx="434">
                <c:v>6.7565076741079491E-2</c:v>
              </c:pt>
              <c:pt idx="435">
                <c:v>6.7565076741079491E-2</c:v>
              </c:pt>
              <c:pt idx="436">
                <c:v>6.7796088283260669E-2</c:v>
              </c:pt>
              <c:pt idx="437">
                <c:v>6.7796088283260669E-2</c:v>
              </c:pt>
              <c:pt idx="438">
                <c:v>6.8027099825441834E-2</c:v>
              </c:pt>
              <c:pt idx="439">
                <c:v>6.8027099825441834E-2</c:v>
              </c:pt>
              <c:pt idx="440">
                <c:v>6.8126104772090912E-2</c:v>
              </c:pt>
              <c:pt idx="441">
                <c:v>6.8126104772090912E-2</c:v>
              </c:pt>
              <c:pt idx="442">
                <c:v>6.8126104772090912E-2</c:v>
              </c:pt>
              <c:pt idx="443">
                <c:v>6.8126104772090912E-2</c:v>
              </c:pt>
              <c:pt idx="444">
                <c:v>6.8126104772090912E-2</c:v>
              </c:pt>
              <c:pt idx="445">
                <c:v>6.8126104772090912E-2</c:v>
              </c:pt>
              <c:pt idx="446">
                <c:v>6.835711631427209E-2</c:v>
              </c:pt>
              <c:pt idx="447">
                <c:v>6.835711631427209E-2</c:v>
              </c:pt>
              <c:pt idx="448">
                <c:v>6.8588127856453254E-2</c:v>
              </c:pt>
              <c:pt idx="449">
                <c:v>6.8588127856453254E-2</c:v>
              </c:pt>
              <c:pt idx="450">
                <c:v>6.8819139398634432E-2</c:v>
              </c:pt>
              <c:pt idx="451">
                <c:v>6.8819139398634432E-2</c:v>
              </c:pt>
              <c:pt idx="452">
                <c:v>6.9050150940815611E-2</c:v>
              </c:pt>
              <c:pt idx="453">
                <c:v>6.9050150940815611E-2</c:v>
              </c:pt>
              <c:pt idx="454">
                <c:v>6.9281162482996789E-2</c:v>
              </c:pt>
              <c:pt idx="455">
                <c:v>6.9281162482996789E-2</c:v>
              </c:pt>
              <c:pt idx="456">
                <c:v>6.9512174025177953E-2</c:v>
              </c:pt>
              <c:pt idx="457">
                <c:v>6.9512174025177953E-2</c:v>
              </c:pt>
              <c:pt idx="458">
                <c:v>6.9743185567359131E-2</c:v>
              </c:pt>
              <c:pt idx="459">
                <c:v>6.9743185567359131E-2</c:v>
              </c:pt>
              <c:pt idx="460">
                <c:v>6.9974197109540309E-2</c:v>
              </c:pt>
              <c:pt idx="461">
                <c:v>6.9974197109540309E-2</c:v>
              </c:pt>
              <c:pt idx="462">
                <c:v>7.0205208651721474E-2</c:v>
              </c:pt>
              <c:pt idx="463">
                <c:v>7.0205208651721474E-2</c:v>
              </c:pt>
              <c:pt idx="464">
                <c:v>7.0436220193902652E-2</c:v>
              </c:pt>
              <c:pt idx="465">
                <c:v>7.0436220193902652E-2</c:v>
              </c:pt>
              <c:pt idx="466">
                <c:v>7.066723173608383E-2</c:v>
              </c:pt>
              <c:pt idx="467">
                <c:v>7.066723173608383E-2</c:v>
              </c:pt>
              <c:pt idx="468">
                <c:v>7.0898243278264994E-2</c:v>
              </c:pt>
              <c:pt idx="469">
                <c:v>7.0898243278264994E-2</c:v>
              </c:pt>
              <c:pt idx="470">
                <c:v>7.1129254820446172E-2</c:v>
              </c:pt>
              <c:pt idx="471">
                <c:v>7.1129254820446172E-2</c:v>
              </c:pt>
              <c:pt idx="472">
                <c:v>7.136026636262735E-2</c:v>
              </c:pt>
              <c:pt idx="473">
                <c:v>7.136026636262735E-2</c:v>
              </c:pt>
              <c:pt idx="474">
                <c:v>7.1591277904808515E-2</c:v>
              </c:pt>
              <c:pt idx="475">
                <c:v>7.1591277904808515E-2</c:v>
              </c:pt>
              <c:pt idx="476">
                <c:v>7.1822289446989693E-2</c:v>
              </c:pt>
              <c:pt idx="477">
                <c:v>7.1822289446989693E-2</c:v>
              </c:pt>
              <c:pt idx="478">
                <c:v>7.2053300989170871E-2</c:v>
              </c:pt>
              <c:pt idx="479">
                <c:v>7.2053300989170871E-2</c:v>
              </c:pt>
              <c:pt idx="480">
                <c:v>7.2284312531352049E-2</c:v>
              </c:pt>
              <c:pt idx="481">
                <c:v>7.2284312531352049E-2</c:v>
              </c:pt>
              <c:pt idx="482">
                <c:v>7.2515324073533213E-2</c:v>
              </c:pt>
              <c:pt idx="483">
                <c:v>7.2515324073533213E-2</c:v>
              </c:pt>
              <c:pt idx="484">
                <c:v>7.2746335615714391E-2</c:v>
              </c:pt>
              <c:pt idx="485">
                <c:v>7.2746335615714391E-2</c:v>
              </c:pt>
              <c:pt idx="486">
                <c:v>7.297734715789557E-2</c:v>
              </c:pt>
              <c:pt idx="487">
                <c:v>7.297734715789557E-2</c:v>
              </c:pt>
              <c:pt idx="488">
                <c:v>7.3208358700076734E-2</c:v>
              </c:pt>
              <c:pt idx="489">
                <c:v>7.3208358700076734E-2</c:v>
              </c:pt>
              <c:pt idx="490">
                <c:v>7.3439370242257912E-2</c:v>
              </c:pt>
              <c:pt idx="491">
                <c:v>7.3439370242257912E-2</c:v>
              </c:pt>
              <c:pt idx="492">
                <c:v>7.367038178443909E-2</c:v>
              </c:pt>
              <c:pt idx="493">
                <c:v>7.367038178443909E-2</c:v>
              </c:pt>
              <c:pt idx="494">
                <c:v>7.3901393326620268E-2</c:v>
              </c:pt>
              <c:pt idx="495">
                <c:v>7.3901393326620268E-2</c:v>
              </c:pt>
              <c:pt idx="496">
                <c:v>7.4132404868801433E-2</c:v>
              </c:pt>
              <c:pt idx="497">
                <c:v>7.4132404868801433E-2</c:v>
              </c:pt>
              <c:pt idx="498">
                <c:v>7.4363416410982611E-2</c:v>
              </c:pt>
              <c:pt idx="499">
                <c:v>7.4363416410982611E-2</c:v>
              </c:pt>
              <c:pt idx="500">
                <c:v>7.4594427953163789E-2</c:v>
              </c:pt>
              <c:pt idx="501">
                <c:v>7.4594427953163789E-2</c:v>
              </c:pt>
              <c:pt idx="502">
                <c:v>7.4825439495344953E-2</c:v>
              </c:pt>
              <c:pt idx="503">
                <c:v>7.4825439495344953E-2</c:v>
              </c:pt>
              <c:pt idx="504">
                <c:v>7.5056451037526131E-2</c:v>
              </c:pt>
              <c:pt idx="505">
                <c:v>7.5056451037526131E-2</c:v>
              </c:pt>
              <c:pt idx="506">
                <c:v>7.5287462579707309E-2</c:v>
              </c:pt>
              <c:pt idx="507">
                <c:v>7.5287462579707309E-2</c:v>
              </c:pt>
              <c:pt idx="508">
                <c:v>7.5518474121888474E-2</c:v>
              </c:pt>
              <c:pt idx="509">
                <c:v>7.5518474121888474E-2</c:v>
              </c:pt>
              <c:pt idx="510">
                <c:v>7.5749485664069652E-2</c:v>
              </c:pt>
              <c:pt idx="511">
                <c:v>7.5749485664069652E-2</c:v>
              </c:pt>
              <c:pt idx="512">
                <c:v>7.598049720625083E-2</c:v>
              </c:pt>
              <c:pt idx="513">
                <c:v>7.598049720625083E-2</c:v>
              </c:pt>
              <c:pt idx="514">
                <c:v>7.6211508748431994E-2</c:v>
              </c:pt>
              <c:pt idx="515">
                <c:v>7.6211508748431994E-2</c:v>
              </c:pt>
              <c:pt idx="516">
                <c:v>7.6442520290613172E-2</c:v>
              </c:pt>
              <c:pt idx="517">
                <c:v>7.6442520290613172E-2</c:v>
              </c:pt>
              <c:pt idx="518">
                <c:v>7.667353183279435E-2</c:v>
              </c:pt>
              <c:pt idx="519">
                <c:v>7.667353183279435E-2</c:v>
              </c:pt>
              <c:pt idx="520">
                <c:v>7.6904543374975529E-2</c:v>
              </c:pt>
              <c:pt idx="521">
                <c:v>7.6904543374975529E-2</c:v>
              </c:pt>
              <c:pt idx="522">
                <c:v>7.7135554917156693E-2</c:v>
              </c:pt>
              <c:pt idx="523">
                <c:v>7.7135554917156693E-2</c:v>
              </c:pt>
              <c:pt idx="524">
                <c:v>7.7366566459337871E-2</c:v>
              </c:pt>
              <c:pt idx="525">
                <c:v>7.7366566459337871E-2</c:v>
              </c:pt>
              <c:pt idx="526">
                <c:v>7.7597578001519049E-2</c:v>
              </c:pt>
              <c:pt idx="527">
                <c:v>7.7597578001519049E-2</c:v>
              </c:pt>
              <c:pt idx="528">
                <c:v>7.7828589543700213E-2</c:v>
              </c:pt>
              <c:pt idx="529">
                <c:v>7.7828589543700213E-2</c:v>
              </c:pt>
              <c:pt idx="530">
                <c:v>7.8059601085881392E-2</c:v>
              </c:pt>
              <c:pt idx="531">
                <c:v>7.8059601085881392E-2</c:v>
              </c:pt>
              <c:pt idx="532">
                <c:v>7.829061262806257E-2</c:v>
              </c:pt>
              <c:pt idx="533">
                <c:v>7.829061262806257E-2</c:v>
              </c:pt>
              <c:pt idx="534">
                <c:v>7.8521624170243748E-2</c:v>
              </c:pt>
              <c:pt idx="535">
                <c:v>7.8521624170243748E-2</c:v>
              </c:pt>
              <c:pt idx="536">
                <c:v>7.8752635712424912E-2</c:v>
              </c:pt>
              <c:pt idx="537">
                <c:v>7.8752635712424912E-2</c:v>
              </c:pt>
              <c:pt idx="538">
                <c:v>7.898364725460609E-2</c:v>
              </c:pt>
              <c:pt idx="539">
                <c:v>7.898364725460609E-2</c:v>
              </c:pt>
              <c:pt idx="540">
                <c:v>7.9214658796787268E-2</c:v>
              </c:pt>
              <c:pt idx="541">
                <c:v>7.9214658796787268E-2</c:v>
              </c:pt>
              <c:pt idx="542">
                <c:v>7.9445670338968433E-2</c:v>
              </c:pt>
              <c:pt idx="543">
                <c:v>7.9445670338968433E-2</c:v>
              </c:pt>
              <c:pt idx="544">
                <c:v>7.9676681881149611E-2</c:v>
              </c:pt>
              <c:pt idx="545">
                <c:v>7.9676681881149611E-2</c:v>
              </c:pt>
              <c:pt idx="546">
                <c:v>7.9907693423330789E-2</c:v>
              </c:pt>
              <c:pt idx="547">
                <c:v>7.9907693423330789E-2</c:v>
              </c:pt>
              <c:pt idx="548">
                <c:v>8.0138704965511953E-2</c:v>
              </c:pt>
              <c:pt idx="549">
                <c:v>8.0138704965511953E-2</c:v>
              </c:pt>
              <c:pt idx="550">
                <c:v>8.0369716507693131E-2</c:v>
              </c:pt>
              <c:pt idx="551">
                <c:v>8.0369716507693131E-2</c:v>
              </c:pt>
              <c:pt idx="552">
                <c:v>8.0600728049874309E-2</c:v>
              </c:pt>
              <c:pt idx="553">
                <c:v>8.0600728049874309E-2</c:v>
              </c:pt>
              <c:pt idx="554">
                <c:v>8.0831739592055474E-2</c:v>
              </c:pt>
              <c:pt idx="555">
                <c:v>8.0831739592055474E-2</c:v>
              </c:pt>
              <c:pt idx="556">
                <c:v>8.1062751134236652E-2</c:v>
              </c:pt>
              <c:pt idx="557">
                <c:v>8.1062751134236652E-2</c:v>
              </c:pt>
              <c:pt idx="558">
                <c:v>8.129376267641783E-2</c:v>
              </c:pt>
              <c:pt idx="559">
                <c:v>8.129376267641783E-2</c:v>
              </c:pt>
              <c:pt idx="560">
                <c:v>8.1524774218598994E-2</c:v>
              </c:pt>
              <c:pt idx="561">
                <c:v>8.1524774218598994E-2</c:v>
              </c:pt>
              <c:pt idx="562">
                <c:v>8.1755785760780172E-2</c:v>
              </c:pt>
              <c:pt idx="563">
                <c:v>8.1755785760780172E-2</c:v>
              </c:pt>
              <c:pt idx="564">
                <c:v>8.1986797302961351E-2</c:v>
              </c:pt>
              <c:pt idx="565">
                <c:v>8.1986797302961351E-2</c:v>
              </c:pt>
              <c:pt idx="566">
                <c:v>8.2217808845142529E-2</c:v>
              </c:pt>
              <c:pt idx="567">
                <c:v>8.2217808845142529E-2</c:v>
              </c:pt>
              <c:pt idx="568">
                <c:v>8.2448820387323693E-2</c:v>
              </c:pt>
              <c:pt idx="569">
                <c:v>8.2448820387323693E-2</c:v>
              </c:pt>
              <c:pt idx="570">
                <c:v>8.2679831929504871E-2</c:v>
              </c:pt>
              <c:pt idx="571">
                <c:v>8.2679831929504871E-2</c:v>
              </c:pt>
              <c:pt idx="572">
                <c:v>8.2910843471686049E-2</c:v>
              </c:pt>
              <c:pt idx="573">
                <c:v>8.2910843471686049E-2</c:v>
              </c:pt>
              <c:pt idx="574">
                <c:v>8.3141855013867227E-2</c:v>
              </c:pt>
              <c:pt idx="575">
                <c:v>8.3141855013867227E-2</c:v>
              </c:pt>
              <c:pt idx="576">
                <c:v>8.3372866556048392E-2</c:v>
              </c:pt>
              <c:pt idx="577">
                <c:v>8.3372866556048392E-2</c:v>
              </c:pt>
              <c:pt idx="578">
                <c:v>8.360387809822957E-2</c:v>
              </c:pt>
              <c:pt idx="579">
                <c:v>8.360387809822957E-2</c:v>
              </c:pt>
              <c:pt idx="580">
                <c:v>8.3834889640410748E-2</c:v>
              </c:pt>
              <c:pt idx="581">
                <c:v>8.3834889640410748E-2</c:v>
              </c:pt>
              <c:pt idx="582">
                <c:v>8.4065901182591912E-2</c:v>
              </c:pt>
              <c:pt idx="583">
                <c:v>8.4065901182591912E-2</c:v>
              </c:pt>
              <c:pt idx="584">
                <c:v>8.429691272477309E-2</c:v>
              </c:pt>
              <c:pt idx="585">
                <c:v>8.429691272477309E-2</c:v>
              </c:pt>
              <c:pt idx="586">
                <c:v>8.4527924266954269E-2</c:v>
              </c:pt>
              <c:pt idx="587">
                <c:v>8.4527924266954269E-2</c:v>
              </c:pt>
              <c:pt idx="588">
                <c:v>8.4626929213603333E-2</c:v>
              </c:pt>
              <c:pt idx="589">
                <c:v>8.4626929213603333E-2</c:v>
              </c:pt>
              <c:pt idx="590">
                <c:v>8.4626929213603333E-2</c:v>
              </c:pt>
              <c:pt idx="591">
                <c:v>8.4626929213603333E-2</c:v>
              </c:pt>
              <c:pt idx="592">
                <c:v>8.4626929213603333E-2</c:v>
              </c:pt>
              <c:pt idx="593">
                <c:v>8.4626929213603333E-2</c:v>
              </c:pt>
              <c:pt idx="594">
                <c:v>8.4857940755784511E-2</c:v>
              </c:pt>
              <c:pt idx="595">
                <c:v>8.4857940755784511E-2</c:v>
              </c:pt>
              <c:pt idx="596">
                <c:v>8.5088952297965675E-2</c:v>
              </c:pt>
              <c:pt idx="597">
                <c:v>8.5088952297965675E-2</c:v>
              </c:pt>
              <c:pt idx="598">
                <c:v>8.5319963840146854E-2</c:v>
              </c:pt>
              <c:pt idx="599">
                <c:v>8.5319963840146854E-2</c:v>
              </c:pt>
              <c:pt idx="600">
                <c:v>8.5550975382328032E-2</c:v>
              </c:pt>
              <c:pt idx="601">
                <c:v>8.5550975382328032E-2</c:v>
              </c:pt>
              <c:pt idx="602">
                <c:v>8.5781986924509196E-2</c:v>
              </c:pt>
              <c:pt idx="603">
                <c:v>8.5781986924509196E-2</c:v>
              </c:pt>
              <c:pt idx="604">
                <c:v>8.6012998466690374E-2</c:v>
              </c:pt>
              <c:pt idx="605">
                <c:v>8.6012998466690374E-2</c:v>
              </c:pt>
              <c:pt idx="606">
                <c:v>8.6244010008871552E-2</c:v>
              </c:pt>
              <c:pt idx="607">
                <c:v>8.6244010008871552E-2</c:v>
              </c:pt>
              <c:pt idx="608">
                <c:v>8.647502155105273E-2</c:v>
              </c:pt>
              <c:pt idx="609">
                <c:v>8.647502155105273E-2</c:v>
              </c:pt>
              <c:pt idx="610">
                <c:v>8.6706033093233895E-2</c:v>
              </c:pt>
              <c:pt idx="611">
                <c:v>8.6706033093233895E-2</c:v>
              </c:pt>
              <c:pt idx="612">
                <c:v>8.6937044635415073E-2</c:v>
              </c:pt>
              <c:pt idx="613">
                <c:v>8.6937044635415073E-2</c:v>
              </c:pt>
              <c:pt idx="614">
                <c:v>8.7168056177596251E-2</c:v>
              </c:pt>
              <c:pt idx="615">
                <c:v>8.7168056177596251E-2</c:v>
              </c:pt>
              <c:pt idx="616">
                <c:v>8.7399067719777415E-2</c:v>
              </c:pt>
              <c:pt idx="617">
                <c:v>8.7399067719777415E-2</c:v>
              </c:pt>
              <c:pt idx="618">
                <c:v>8.7630079261958593E-2</c:v>
              </c:pt>
              <c:pt idx="619">
                <c:v>8.7630079261958593E-2</c:v>
              </c:pt>
              <c:pt idx="620">
                <c:v>8.7861090804139771E-2</c:v>
              </c:pt>
              <c:pt idx="621">
                <c:v>8.7861090804139771E-2</c:v>
              </c:pt>
              <c:pt idx="622">
                <c:v>8.809210234632095E-2</c:v>
              </c:pt>
              <c:pt idx="623">
                <c:v>8.809210234632095E-2</c:v>
              </c:pt>
              <c:pt idx="624">
                <c:v>8.8323113888502114E-2</c:v>
              </c:pt>
              <c:pt idx="625">
                <c:v>8.8323113888502114E-2</c:v>
              </c:pt>
              <c:pt idx="626">
                <c:v>8.8554125430683292E-2</c:v>
              </c:pt>
              <c:pt idx="627">
                <c:v>8.8554125430683292E-2</c:v>
              </c:pt>
              <c:pt idx="628">
                <c:v>8.878513697286447E-2</c:v>
              </c:pt>
              <c:pt idx="629">
                <c:v>8.878513697286447E-2</c:v>
              </c:pt>
              <c:pt idx="630">
                <c:v>8.9016148515045634E-2</c:v>
              </c:pt>
              <c:pt idx="631">
                <c:v>8.9016148515045634E-2</c:v>
              </c:pt>
              <c:pt idx="632">
                <c:v>8.9247160057226813E-2</c:v>
              </c:pt>
              <c:pt idx="633">
                <c:v>8.9247160057226813E-2</c:v>
              </c:pt>
              <c:pt idx="634">
                <c:v>8.9478171599407991E-2</c:v>
              </c:pt>
              <c:pt idx="635">
                <c:v>8.9478171599407991E-2</c:v>
              </c:pt>
              <c:pt idx="636">
                <c:v>8.9709183141589155E-2</c:v>
              </c:pt>
              <c:pt idx="637">
                <c:v>8.9709183141589155E-2</c:v>
              </c:pt>
              <c:pt idx="638">
                <c:v>8.9940194683770333E-2</c:v>
              </c:pt>
              <c:pt idx="639">
                <c:v>8.9940194683770333E-2</c:v>
              </c:pt>
              <c:pt idx="640">
                <c:v>9.0171206225951511E-2</c:v>
              </c:pt>
              <c:pt idx="641">
                <c:v>9.0171206225951511E-2</c:v>
              </c:pt>
              <c:pt idx="642">
                <c:v>9.0402217768132676E-2</c:v>
              </c:pt>
              <c:pt idx="643">
                <c:v>9.0402217768132676E-2</c:v>
              </c:pt>
              <c:pt idx="644">
                <c:v>9.0633229310313854E-2</c:v>
              </c:pt>
              <c:pt idx="645">
                <c:v>9.0633229310313854E-2</c:v>
              </c:pt>
              <c:pt idx="646">
                <c:v>9.0864240852495032E-2</c:v>
              </c:pt>
              <c:pt idx="647">
                <c:v>9.0864240852495032E-2</c:v>
              </c:pt>
              <c:pt idx="648">
                <c:v>9.109525239467621E-2</c:v>
              </c:pt>
              <c:pt idx="649">
                <c:v>9.109525239467621E-2</c:v>
              </c:pt>
              <c:pt idx="650">
                <c:v>9.1326263936857374E-2</c:v>
              </c:pt>
              <c:pt idx="651">
                <c:v>9.1326263936857374E-2</c:v>
              </c:pt>
              <c:pt idx="652">
                <c:v>9.1557275479038552E-2</c:v>
              </c:pt>
              <c:pt idx="653">
                <c:v>9.1557275479038552E-2</c:v>
              </c:pt>
              <c:pt idx="654">
                <c:v>9.178828702121973E-2</c:v>
              </c:pt>
              <c:pt idx="655">
                <c:v>9.178828702121973E-2</c:v>
              </c:pt>
              <c:pt idx="656">
                <c:v>9.2019298563400895E-2</c:v>
              </c:pt>
              <c:pt idx="657">
                <c:v>9.2019298563400895E-2</c:v>
              </c:pt>
              <c:pt idx="658">
                <c:v>9.2250310105582073E-2</c:v>
              </c:pt>
              <c:pt idx="659">
                <c:v>9.2250310105582073E-2</c:v>
              </c:pt>
              <c:pt idx="660">
                <c:v>9.2481321647763251E-2</c:v>
              </c:pt>
              <c:pt idx="661">
                <c:v>9.2481321647763251E-2</c:v>
              </c:pt>
              <c:pt idx="662">
                <c:v>9.2712333189944429E-2</c:v>
              </c:pt>
              <c:pt idx="663">
                <c:v>9.2712333189944429E-2</c:v>
              </c:pt>
              <c:pt idx="664">
                <c:v>9.2943344732125593E-2</c:v>
              </c:pt>
              <c:pt idx="665">
                <c:v>9.2943344732125593E-2</c:v>
              </c:pt>
              <c:pt idx="666">
                <c:v>9.3174356274306772E-2</c:v>
              </c:pt>
              <c:pt idx="667">
                <c:v>9.3174356274306772E-2</c:v>
              </c:pt>
              <c:pt idx="668">
                <c:v>9.340536781648795E-2</c:v>
              </c:pt>
              <c:pt idx="669">
                <c:v>9.340536781648795E-2</c:v>
              </c:pt>
              <c:pt idx="670">
                <c:v>9.3636379358669114E-2</c:v>
              </c:pt>
              <c:pt idx="671">
                <c:v>9.3636379358669114E-2</c:v>
              </c:pt>
              <c:pt idx="672">
                <c:v>9.3867390900850292E-2</c:v>
              </c:pt>
              <c:pt idx="673">
                <c:v>9.3867390900850292E-2</c:v>
              </c:pt>
              <c:pt idx="674">
                <c:v>9.409840244303147E-2</c:v>
              </c:pt>
              <c:pt idx="675">
                <c:v>9.409840244303147E-2</c:v>
              </c:pt>
              <c:pt idx="676">
                <c:v>9.4329413985212635E-2</c:v>
              </c:pt>
              <c:pt idx="677">
                <c:v>9.4329413985212635E-2</c:v>
              </c:pt>
              <c:pt idx="678">
                <c:v>9.4560425527393813E-2</c:v>
              </c:pt>
              <c:pt idx="679">
                <c:v>9.4560425527393813E-2</c:v>
              </c:pt>
              <c:pt idx="680">
                <c:v>9.4791437069574991E-2</c:v>
              </c:pt>
              <c:pt idx="681">
                <c:v>9.4791437069574991E-2</c:v>
              </c:pt>
              <c:pt idx="682">
                <c:v>9.5022448611756155E-2</c:v>
              </c:pt>
              <c:pt idx="683">
                <c:v>9.5022448611756155E-2</c:v>
              </c:pt>
              <c:pt idx="684">
                <c:v>9.5253460153937333E-2</c:v>
              </c:pt>
              <c:pt idx="685">
                <c:v>9.5253460153937333E-2</c:v>
              </c:pt>
              <c:pt idx="686">
                <c:v>9.5484471696118511E-2</c:v>
              </c:pt>
              <c:pt idx="687">
                <c:v>9.5484471696118511E-2</c:v>
              </c:pt>
              <c:pt idx="688">
                <c:v>9.5715483238299676E-2</c:v>
              </c:pt>
              <c:pt idx="689">
                <c:v>9.5715483238299676E-2</c:v>
              </c:pt>
              <c:pt idx="690">
                <c:v>9.5946494780480854E-2</c:v>
              </c:pt>
              <c:pt idx="691">
                <c:v>9.5946494780480854E-2</c:v>
              </c:pt>
              <c:pt idx="692">
                <c:v>9.6177506322662032E-2</c:v>
              </c:pt>
              <c:pt idx="693">
                <c:v>9.6177506322662032E-2</c:v>
              </c:pt>
              <c:pt idx="694">
                <c:v>9.640851786484321E-2</c:v>
              </c:pt>
              <c:pt idx="695">
                <c:v>9.640851786484321E-2</c:v>
              </c:pt>
              <c:pt idx="696">
                <c:v>9.6639529407024374E-2</c:v>
              </c:pt>
              <c:pt idx="697">
                <c:v>9.6639529407024374E-2</c:v>
              </c:pt>
              <c:pt idx="698">
                <c:v>9.6870540949205552E-2</c:v>
              </c:pt>
              <c:pt idx="699">
                <c:v>9.6870540949205552E-2</c:v>
              </c:pt>
              <c:pt idx="700">
                <c:v>9.7101552491386731E-2</c:v>
              </c:pt>
              <c:pt idx="701">
                <c:v>9.7101552491386731E-2</c:v>
              </c:pt>
              <c:pt idx="702">
                <c:v>9.7332564033567909E-2</c:v>
              </c:pt>
              <c:pt idx="703">
                <c:v>9.7332564033567909E-2</c:v>
              </c:pt>
              <c:pt idx="704">
                <c:v>9.7563575575749073E-2</c:v>
              </c:pt>
              <c:pt idx="705">
                <c:v>9.7563575575749073E-2</c:v>
              </c:pt>
              <c:pt idx="706">
                <c:v>9.7794587117930251E-2</c:v>
              </c:pt>
              <c:pt idx="707">
                <c:v>9.7794587117930251E-2</c:v>
              </c:pt>
              <c:pt idx="708">
                <c:v>9.8025598660111429E-2</c:v>
              </c:pt>
              <c:pt idx="709">
                <c:v>9.8025598660111429E-2</c:v>
              </c:pt>
              <c:pt idx="710">
                <c:v>9.8256610202292594E-2</c:v>
              </c:pt>
              <c:pt idx="711">
                <c:v>9.8256610202292594E-2</c:v>
              </c:pt>
              <c:pt idx="712">
                <c:v>9.8487621744473772E-2</c:v>
              </c:pt>
              <c:pt idx="713">
                <c:v>9.8487621744473772E-2</c:v>
              </c:pt>
              <c:pt idx="714">
                <c:v>9.871863328665495E-2</c:v>
              </c:pt>
              <c:pt idx="715">
                <c:v>9.871863328665495E-2</c:v>
              </c:pt>
              <c:pt idx="716">
                <c:v>9.8949644828836114E-2</c:v>
              </c:pt>
              <c:pt idx="717">
                <c:v>9.8949644828836114E-2</c:v>
              </c:pt>
              <c:pt idx="718">
                <c:v>9.9180656371017292E-2</c:v>
              </c:pt>
              <c:pt idx="719">
                <c:v>9.9180656371017292E-2</c:v>
              </c:pt>
              <c:pt idx="720">
                <c:v>9.941166791319847E-2</c:v>
              </c:pt>
              <c:pt idx="721">
                <c:v>9.941166791319847E-2</c:v>
              </c:pt>
              <c:pt idx="722">
                <c:v>9.9642679455379635E-2</c:v>
              </c:pt>
              <c:pt idx="723">
                <c:v>9.9642679455379635E-2</c:v>
              </c:pt>
              <c:pt idx="724">
                <c:v>9.9873690997560813E-2</c:v>
              </c:pt>
              <c:pt idx="725">
                <c:v>9.9873690997560813E-2</c:v>
              </c:pt>
              <c:pt idx="726">
                <c:v>0.10010470253974199</c:v>
              </c:pt>
              <c:pt idx="727">
                <c:v>0.10010470253974199</c:v>
              </c:pt>
              <c:pt idx="728">
                <c:v>0.10033571408192316</c:v>
              </c:pt>
              <c:pt idx="729">
                <c:v>0.10033571408192316</c:v>
              </c:pt>
              <c:pt idx="730">
                <c:v>0.10056672562410433</c:v>
              </c:pt>
              <c:pt idx="731">
                <c:v>0.10056672562410433</c:v>
              </c:pt>
              <c:pt idx="732">
                <c:v>0.10079773716628551</c:v>
              </c:pt>
              <c:pt idx="733">
                <c:v>0.10079773716628551</c:v>
              </c:pt>
              <c:pt idx="734">
                <c:v>0.10102874870846669</c:v>
              </c:pt>
              <c:pt idx="735">
                <c:v>0.10102874870846669</c:v>
              </c:pt>
              <c:pt idx="736">
                <c:v>0.10112775365511577</c:v>
              </c:pt>
              <c:pt idx="737">
                <c:v>0.10112775365511577</c:v>
              </c:pt>
              <c:pt idx="738">
                <c:v>0.10112775365511577</c:v>
              </c:pt>
              <c:pt idx="739">
                <c:v>0.10112775365511577</c:v>
              </c:pt>
              <c:pt idx="740">
                <c:v>0.10112775365511577</c:v>
              </c:pt>
              <c:pt idx="741">
                <c:v>0.10112775365511577</c:v>
              </c:pt>
              <c:pt idx="742">
                <c:v>0.10135876519729695</c:v>
              </c:pt>
              <c:pt idx="743">
                <c:v>0.10135876519729695</c:v>
              </c:pt>
              <c:pt idx="744">
                <c:v>0.10158977673947811</c:v>
              </c:pt>
              <c:pt idx="745">
                <c:v>0.10158977673947811</c:v>
              </c:pt>
              <c:pt idx="746">
                <c:v>0.10182078828165929</c:v>
              </c:pt>
              <c:pt idx="747">
                <c:v>0.10182078828165929</c:v>
              </c:pt>
              <c:pt idx="748">
                <c:v>0.10205179982384047</c:v>
              </c:pt>
              <c:pt idx="749">
                <c:v>0.10205179982384047</c:v>
              </c:pt>
              <c:pt idx="750">
                <c:v>0.10228281136602163</c:v>
              </c:pt>
              <c:pt idx="751">
                <c:v>0.10228281136602163</c:v>
              </c:pt>
              <c:pt idx="752">
                <c:v>0.10251382290820281</c:v>
              </c:pt>
              <c:pt idx="753">
                <c:v>0.10251382290820281</c:v>
              </c:pt>
              <c:pt idx="754">
                <c:v>0.10274483445038399</c:v>
              </c:pt>
              <c:pt idx="755">
                <c:v>0.10274483445038399</c:v>
              </c:pt>
              <c:pt idx="756">
                <c:v>0.10297584599256517</c:v>
              </c:pt>
              <c:pt idx="757">
                <c:v>0.10297584599256517</c:v>
              </c:pt>
              <c:pt idx="758">
                <c:v>0.10320685753474633</c:v>
              </c:pt>
              <c:pt idx="759">
                <c:v>0.10320685753474633</c:v>
              </c:pt>
              <c:pt idx="760">
                <c:v>0.10343786907692751</c:v>
              </c:pt>
              <c:pt idx="761">
                <c:v>0.10343786907692751</c:v>
              </c:pt>
              <c:pt idx="762">
                <c:v>0.10366888061910869</c:v>
              </c:pt>
              <c:pt idx="763">
                <c:v>0.10366888061910869</c:v>
              </c:pt>
              <c:pt idx="764">
                <c:v>0.10389989216128985</c:v>
              </c:pt>
              <c:pt idx="765">
                <c:v>0.10389989216128985</c:v>
              </c:pt>
              <c:pt idx="766">
                <c:v>0.10413090370347103</c:v>
              </c:pt>
              <c:pt idx="767">
                <c:v>0.10413090370347103</c:v>
              </c:pt>
              <c:pt idx="768">
                <c:v>0.10436191524565221</c:v>
              </c:pt>
              <c:pt idx="769">
                <c:v>0.10436191524565221</c:v>
              </c:pt>
              <c:pt idx="770">
                <c:v>0.10459292678783338</c:v>
              </c:pt>
              <c:pt idx="771">
                <c:v>0.10459292678783338</c:v>
              </c:pt>
              <c:pt idx="772">
                <c:v>0.10482393833001455</c:v>
              </c:pt>
              <c:pt idx="773">
                <c:v>0.10482393833001455</c:v>
              </c:pt>
              <c:pt idx="774">
                <c:v>0.10505494987219573</c:v>
              </c:pt>
              <c:pt idx="775">
                <c:v>0.10505494987219573</c:v>
              </c:pt>
              <c:pt idx="776">
                <c:v>0.10528596141437691</c:v>
              </c:pt>
              <c:pt idx="777">
                <c:v>0.10528596141437691</c:v>
              </c:pt>
              <c:pt idx="778">
                <c:v>0.10551697295655807</c:v>
              </c:pt>
              <c:pt idx="779">
                <c:v>0.10551697295655807</c:v>
              </c:pt>
              <c:pt idx="780">
                <c:v>0.10574798449873925</c:v>
              </c:pt>
              <c:pt idx="781">
                <c:v>0.10574798449873925</c:v>
              </c:pt>
              <c:pt idx="782">
                <c:v>0.10597899604092043</c:v>
              </c:pt>
              <c:pt idx="783">
                <c:v>0.10597899604092043</c:v>
              </c:pt>
              <c:pt idx="784">
                <c:v>0.10621000758310159</c:v>
              </c:pt>
              <c:pt idx="785">
                <c:v>0.10621000758310159</c:v>
              </c:pt>
              <c:pt idx="786">
                <c:v>0.10644101912528277</c:v>
              </c:pt>
              <c:pt idx="787">
                <c:v>0.10644101912528277</c:v>
              </c:pt>
              <c:pt idx="788">
                <c:v>0.10667203066746395</c:v>
              </c:pt>
              <c:pt idx="789">
                <c:v>0.10667203066746395</c:v>
              </c:pt>
              <c:pt idx="790">
                <c:v>0.10690304220964511</c:v>
              </c:pt>
              <c:pt idx="791">
                <c:v>0.10690304220964511</c:v>
              </c:pt>
              <c:pt idx="792">
                <c:v>0.10713405375182629</c:v>
              </c:pt>
              <c:pt idx="793">
                <c:v>0.10713405375182629</c:v>
              </c:pt>
              <c:pt idx="794">
                <c:v>0.10736506529400747</c:v>
              </c:pt>
              <c:pt idx="795">
                <c:v>0.10736506529400747</c:v>
              </c:pt>
              <c:pt idx="796">
                <c:v>0.10759607683618864</c:v>
              </c:pt>
              <c:pt idx="797">
                <c:v>0.10759607683618864</c:v>
              </c:pt>
              <c:pt idx="798">
                <c:v>0.10782708837836981</c:v>
              </c:pt>
              <c:pt idx="799">
                <c:v>0.10782708837836981</c:v>
              </c:pt>
              <c:pt idx="800">
                <c:v>0.10805809992055099</c:v>
              </c:pt>
              <c:pt idx="801">
                <c:v>0.10805809992055099</c:v>
              </c:pt>
              <c:pt idx="802">
                <c:v>0.10828911146273217</c:v>
              </c:pt>
              <c:pt idx="803">
                <c:v>0.10828911146273217</c:v>
              </c:pt>
              <c:pt idx="804">
                <c:v>0.10852012300491333</c:v>
              </c:pt>
              <c:pt idx="805">
                <c:v>0.10852012300491333</c:v>
              </c:pt>
              <c:pt idx="806">
                <c:v>0.10875113454709451</c:v>
              </c:pt>
              <c:pt idx="807">
                <c:v>0.10875113454709451</c:v>
              </c:pt>
              <c:pt idx="808">
                <c:v>0.10898214608927569</c:v>
              </c:pt>
              <c:pt idx="809">
                <c:v>0.10898214608927569</c:v>
              </c:pt>
              <c:pt idx="810">
                <c:v>0.10921315763145686</c:v>
              </c:pt>
              <c:pt idx="811">
                <c:v>0.10921315763145686</c:v>
              </c:pt>
              <c:pt idx="812">
                <c:v>0.10944416917363803</c:v>
              </c:pt>
              <c:pt idx="813">
                <c:v>0.10944416917363803</c:v>
              </c:pt>
              <c:pt idx="814">
                <c:v>0.10967518071581921</c:v>
              </c:pt>
              <c:pt idx="815">
                <c:v>0.10967518071581921</c:v>
              </c:pt>
              <c:pt idx="816">
                <c:v>0.10990619225800038</c:v>
              </c:pt>
              <c:pt idx="817">
                <c:v>0.10990619225800038</c:v>
              </c:pt>
              <c:pt idx="818">
                <c:v>0.11013720380018155</c:v>
              </c:pt>
              <c:pt idx="819">
                <c:v>0.11013720380018155</c:v>
              </c:pt>
              <c:pt idx="820">
                <c:v>0.11036821534236273</c:v>
              </c:pt>
              <c:pt idx="821">
                <c:v>0.11036821534236273</c:v>
              </c:pt>
              <c:pt idx="822">
                <c:v>0.11059922688454391</c:v>
              </c:pt>
              <c:pt idx="823">
                <c:v>0.11059922688454391</c:v>
              </c:pt>
              <c:pt idx="824">
                <c:v>0.11083023842672507</c:v>
              </c:pt>
              <c:pt idx="825">
                <c:v>0.11083023842672507</c:v>
              </c:pt>
              <c:pt idx="826">
                <c:v>0.11106124996890625</c:v>
              </c:pt>
              <c:pt idx="827">
                <c:v>0.11106124996890625</c:v>
              </c:pt>
              <c:pt idx="828">
                <c:v>0.11129226151108743</c:v>
              </c:pt>
              <c:pt idx="829">
                <c:v>0.11129226151108743</c:v>
              </c:pt>
              <c:pt idx="830">
                <c:v>0.11152327305326859</c:v>
              </c:pt>
              <c:pt idx="831">
                <c:v>0.11152327305326859</c:v>
              </c:pt>
              <c:pt idx="832">
                <c:v>0.11175428459544977</c:v>
              </c:pt>
              <c:pt idx="833">
                <c:v>0.11175428459544977</c:v>
              </c:pt>
              <c:pt idx="834">
                <c:v>0.11198529613763095</c:v>
              </c:pt>
              <c:pt idx="835">
                <c:v>0.11198529613763095</c:v>
              </c:pt>
              <c:pt idx="836">
                <c:v>0.11221630767981211</c:v>
              </c:pt>
              <c:pt idx="837">
                <c:v>0.11221630767981211</c:v>
              </c:pt>
              <c:pt idx="838">
                <c:v>0.11244731922199329</c:v>
              </c:pt>
              <c:pt idx="839">
                <c:v>0.11244731922199329</c:v>
              </c:pt>
              <c:pt idx="840">
                <c:v>0.11267833076417447</c:v>
              </c:pt>
              <c:pt idx="841">
                <c:v>0.11267833076417447</c:v>
              </c:pt>
              <c:pt idx="842">
                <c:v>0.11290934230635565</c:v>
              </c:pt>
              <c:pt idx="843">
                <c:v>0.11290934230635565</c:v>
              </c:pt>
              <c:pt idx="844">
                <c:v>0.11314035384853681</c:v>
              </c:pt>
              <c:pt idx="845">
                <c:v>0.11314035384853681</c:v>
              </c:pt>
              <c:pt idx="846">
                <c:v>0.11337136539071799</c:v>
              </c:pt>
              <c:pt idx="847">
                <c:v>0.11337136539071799</c:v>
              </c:pt>
              <c:pt idx="848">
                <c:v>0.11360237693289917</c:v>
              </c:pt>
              <c:pt idx="849">
                <c:v>0.11360237693289917</c:v>
              </c:pt>
              <c:pt idx="850">
                <c:v>0.11383338847508034</c:v>
              </c:pt>
              <c:pt idx="851">
                <c:v>0.11383338847508034</c:v>
              </c:pt>
              <c:pt idx="852">
                <c:v>0.11406440001726151</c:v>
              </c:pt>
              <c:pt idx="853">
                <c:v>0.11406440001726151</c:v>
              </c:pt>
              <c:pt idx="854">
                <c:v>0.11429541155944269</c:v>
              </c:pt>
              <c:pt idx="855">
                <c:v>0.11429541155944269</c:v>
              </c:pt>
              <c:pt idx="856">
                <c:v>0.11452642310162386</c:v>
              </c:pt>
              <c:pt idx="857">
                <c:v>0.11452642310162386</c:v>
              </c:pt>
              <c:pt idx="858">
                <c:v>0.11475743464380503</c:v>
              </c:pt>
              <c:pt idx="859">
                <c:v>0.11475743464380503</c:v>
              </c:pt>
              <c:pt idx="860">
                <c:v>0.11498844618598621</c:v>
              </c:pt>
              <c:pt idx="861">
                <c:v>0.11498844618598621</c:v>
              </c:pt>
              <c:pt idx="862">
                <c:v>0.11521945772816738</c:v>
              </c:pt>
              <c:pt idx="863">
                <c:v>0.11521945772816738</c:v>
              </c:pt>
              <c:pt idx="864">
                <c:v>0.11545046927034855</c:v>
              </c:pt>
              <c:pt idx="865">
                <c:v>0.11545046927034855</c:v>
              </c:pt>
              <c:pt idx="866">
                <c:v>0.11568148081252973</c:v>
              </c:pt>
              <c:pt idx="867">
                <c:v>0.11568148081252973</c:v>
              </c:pt>
              <c:pt idx="868">
                <c:v>0.11591249235471091</c:v>
              </c:pt>
              <c:pt idx="869">
                <c:v>0.11591249235471091</c:v>
              </c:pt>
              <c:pt idx="870">
                <c:v>0.11614350389689207</c:v>
              </c:pt>
              <c:pt idx="871">
                <c:v>0.11614350389689207</c:v>
              </c:pt>
              <c:pt idx="872">
                <c:v>0.11637451543907325</c:v>
              </c:pt>
              <c:pt idx="873">
                <c:v>0.11637451543907325</c:v>
              </c:pt>
              <c:pt idx="874">
                <c:v>0.11660552698125443</c:v>
              </c:pt>
              <c:pt idx="875">
                <c:v>0.11660552698125443</c:v>
              </c:pt>
              <c:pt idx="876">
                <c:v>0.11683653852343559</c:v>
              </c:pt>
              <c:pt idx="877">
                <c:v>0.11683653852343559</c:v>
              </c:pt>
              <c:pt idx="878">
                <c:v>0.11706755006561677</c:v>
              </c:pt>
              <c:pt idx="879">
                <c:v>0.11706755006561677</c:v>
              </c:pt>
              <c:pt idx="880">
                <c:v>0.11729856160779795</c:v>
              </c:pt>
              <c:pt idx="881">
                <c:v>0.11729856160779795</c:v>
              </c:pt>
              <c:pt idx="882">
                <c:v>0.11752957314997912</c:v>
              </c:pt>
              <c:pt idx="883">
                <c:v>0.11752957314997912</c:v>
              </c:pt>
              <c:pt idx="884">
                <c:v>0.11762857809662819</c:v>
              </c:pt>
              <c:pt idx="885">
                <c:v>0.11762857809662819</c:v>
              </c:pt>
              <c:pt idx="886">
                <c:v>0.11762857809662819</c:v>
              </c:pt>
              <c:pt idx="887">
                <c:v>0.11762857809662819</c:v>
              </c:pt>
              <c:pt idx="888">
                <c:v>0.11762857809662819</c:v>
              </c:pt>
              <c:pt idx="889">
                <c:v>0.11762857809662819</c:v>
              </c:pt>
              <c:pt idx="890">
                <c:v>0.11785958963880937</c:v>
              </c:pt>
              <c:pt idx="891">
                <c:v>0.11785958963880937</c:v>
              </c:pt>
              <c:pt idx="892">
                <c:v>0.11809060118099053</c:v>
              </c:pt>
              <c:pt idx="893">
                <c:v>0.11809060118099053</c:v>
              </c:pt>
              <c:pt idx="894">
                <c:v>0.11832161272317171</c:v>
              </c:pt>
              <c:pt idx="895">
                <c:v>0.11832161272317171</c:v>
              </c:pt>
              <c:pt idx="896">
                <c:v>0.11855262426535289</c:v>
              </c:pt>
              <c:pt idx="897">
                <c:v>0.11855262426535289</c:v>
              </c:pt>
              <c:pt idx="898">
                <c:v>0.11878363580753407</c:v>
              </c:pt>
              <c:pt idx="899">
                <c:v>0.11878363580753407</c:v>
              </c:pt>
              <c:pt idx="900">
                <c:v>0.11901464734971523</c:v>
              </c:pt>
              <c:pt idx="901">
                <c:v>0.11901464734971523</c:v>
              </c:pt>
              <c:pt idx="902">
                <c:v>0.11924565889189641</c:v>
              </c:pt>
              <c:pt idx="903">
                <c:v>0.11924565889189641</c:v>
              </c:pt>
              <c:pt idx="904">
                <c:v>0.11947667043407759</c:v>
              </c:pt>
              <c:pt idx="905">
                <c:v>0.11947667043407759</c:v>
              </c:pt>
              <c:pt idx="906">
                <c:v>0.11970768197625875</c:v>
              </c:pt>
              <c:pt idx="907">
                <c:v>0.11970768197625875</c:v>
              </c:pt>
              <c:pt idx="908">
                <c:v>0.11993869351843993</c:v>
              </c:pt>
              <c:pt idx="909">
                <c:v>0.11993869351843993</c:v>
              </c:pt>
              <c:pt idx="910">
                <c:v>0.12016970506062111</c:v>
              </c:pt>
              <c:pt idx="911">
                <c:v>0.12016970506062111</c:v>
              </c:pt>
              <c:pt idx="912">
                <c:v>0.12040071660280227</c:v>
              </c:pt>
              <c:pt idx="913">
                <c:v>0.12040071660280227</c:v>
              </c:pt>
              <c:pt idx="914">
                <c:v>0.12063172814498345</c:v>
              </c:pt>
              <c:pt idx="915">
                <c:v>0.12063172814498345</c:v>
              </c:pt>
              <c:pt idx="916">
                <c:v>0.12086273968716463</c:v>
              </c:pt>
              <c:pt idx="917">
                <c:v>0.12086273968716463</c:v>
              </c:pt>
              <c:pt idx="918">
                <c:v>0.12109375122934579</c:v>
              </c:pt>
              <c:pt idx="919">
                <c:v>0.12109375122934579</c:v>
              </c:pt>
              <c:pt idx="920">
                <c:v>0.12132476277152697</c:v>
              </c:pt>
              <c:pt idx="921">
                <c:v>0.12132476277152697</c:v>
              </c:pt>
              <c:pt idx="922">
                <c:v>0.12155577431370815</c:v>
              </c:pt>
              <c:pt idx="923">
                <c:v>0.12155577431370815</c:v>
              </c:pt>
              <c:pt idx="924">
                <c:v>0.12178678585588933</c:v>
              </c:pt>
              <c:pt idx="925">
                <c:v>0.12178678585588933</c:v>
              </c:pt>
              <c:pt idx="926">
                <c:v>0.12201779739807049</c:v>
              </c:pt>
              <c:pt idx="927">
                <c:v>0.12201779739807049</c:v>
              </c:pt>
              <c:pt idx="928">
                <c:v>0.12224880894025167</c:v>
              </c:pt>
              <c:pt idx="929">
                <c:v>0.12224880894025167</c:v>
              </c:pt>
              <c:pt idx="930">
                <c:v>0.12247982048243285</c:v>
              </c:pt>
              <c:pt idx="931">
                <c:v>0.12247982048243285</c:v>
              </c:pt>
              <c:pt idx="932">
                <c:v>0.12271083202461401</c:v>
              </c:pt>
              <c:pt idx="933">
                <c:v>0.12271083202461401</c:v>
              </c:pt>
              <c:pt idx="934">
                <c:v>0.12294184356679519</c:v>
              </c:pt>
              <c:pt idx="935">
                <c:v>0.12294184356679519</c:v>
              </c:pt>
              <c:pt idx="936">
                <c:v>0.12317285510897637</c:v>
              </c:pt>
              <c:pt idx="937">
                <c:v>0.12317285510897637</c:v>
              </c:pt>
              <c:pt idx="938">
                <c:v>0.12340386665115755</c:v>
              </c:pt>
              <c:pt idx="939">
                <c:v>0.12340386665115755</c:v>
              </c:pt>
              <c:pt idx="940">
                <c:v>0.12363487819333871</c:v>
              </c:pt>
              <c:pt idx="941">
                <c:v>0.12363487819333871</c:v>
              </c:pt>
              <c:pt idx="942">
                <c:v>0.12386588973551989</c:v>
              </c:pt>
              <c:pt idx="943">
                <c:v>0.12386588973551989</c:v>
              </c:pt>
              <c:pt idx="944">
                <c:v>0.12409690127770107</c:v>
              </c:pt>
              <c:pt idx="945">
                <c:v>0.12409690127770107</c:v>
              </c:pt>
              <c:pt idx="946">
                <c:v>0.12432791281988223</c:v>
              </c:pt>
              <c:pt idx="947">
                <c:v>0.12432791281988223</c:v>
              </c:pt>
              <c:pt idx="948">
                <c:v>0.12455892436206341</c:v>
              </c:pt>
              <c:pt idx="949">
                <c:v>0.12455892436206341</c:v>
              </c:pt>
              <c:pt idx="950">
                <c:v>0.12478993590424459</c:v>
              </c:pt>
              <c:pt idx="951">
                <c:v>0.12478993590424459</c:v>
              </c:pt>
              <c:pt idx="952">
                <c:v>0.12502094744642575</c:v>
              </c:pt>
              <c:pt idx="953">
                <c:v>0.12502094744642575</c:v>
              </c:pt>
              <c:pt idx="954">
                <c:v>0.12525195898860694</c:v>
              </c:pt>
              <c:pt idx="955">
                <c:v>0.12525195898860694</c:v>
              </c:pt>
              <c:pt idx="956">
                <c:v>0.12548297053078811</c:v>
              </c:pt>
              <c:pt idx="957">
                <c:v>0.12548297053078811</c:v>
              </c:pt>
              <c:pt idx="958">
                <c:v>0.12571398207296927</c:v>
              </c:pt>
              <c:pt idx="959">
                <c:v>0.12571398207296927</c:v>
              </c:pt>
              <c:pt idx="960">
                <c:v>0.12594499361515046</c:v>
              </c:pt>
              <c:pt idx="961">
                <c:v>0.12594499361515046</c:v>
              </c:pt>
              <c:pt idx="962">
                <c:v>0.12617600515733163</c:v>
              </c:pt>
              <c:pt idx="963">
                <c:v>0.12617600515733163</c:v>
              </c:pt>
              <c:pt idx="964">
                <c:v>0.12640701669951279</c:v>
              </c:pt>
              <c:pt idx="965">
                <c:v>0.12640701669951279</c:v>
              </c:pt>
              <c:pt idx="966">
                <c:v>0.12663802824169398</c:v>
              </c:pt>
              <c:pt idx="967">
                <c:v>0.12663802824169398</c:v>
              </c:pt>
              <c:pt idx="968">
                <c:v>0.12686903978387515</c:v>
              </c:pt>
              <c:pt idx="969">
                <c:v>0.12686903978387515</c:v>
              </c:pt>
              <c:pt idx="970">
                <c:v>0.12710005132605631</c:v>
              </c:pt>
              <c:pt idx="971">
                <c:v>0.12710005132605631</c:v>
              </c:pt>
              <c:pt idx="972">
                <c:v>0.1273310628682375</c:v>
              </c:pt>
              <c:pt idx="973">
                <c:v>0.1273310628682375</c:v>
              </c:pt>
              <c:pt idx="974">
                <c:v>0.12756207441041867</c:v>
              </c:pt>
              <c:pt idx="975">
                <c:v>0.12756207441041867</c:v>
              </c:pt>
              <c:pt idx="976">
                <c:v>0.12779308595259983</c:v>
              </c:pt>
              <c:pt idx="977">
                <c:v>0.12779308595259983</c:v>
              </c:pt>
              <c:pt idx="978">
                <c:v>0.12802409749478103</c:v>
              </c:pt>
              <c:pt idx="979">
                <c:v>0.12802409749478103</c:v>
              </c:pt>
              <c:pt idx="980">
                <c:v>0.12825510903696219</c:v>
              </c:pt>
              <c:pt idx="981">
                <c:v>0.12825510903696219</c:v>
              </c:pt>
              <c:pt idx="982">
                <c:v>0.12848612057914335</c:v>
              </c:pt>
              <c:pt idx="983">
                <c:v>0.12848612057914335</c:v>
              </c:pt>
              <c:pt idx="984">
                <c:v>0.12871713212132455</c:v>
              </c:pt>
              <c:pt idx="985">
                <c:v>0.12871713212132455</c:v>
              </c:pt>
              <c:pt idx="986">
                <c:v>0.12894814366350571</c:v>
              </c:pt>
              <c:pt idx="987">
                <c:v>0.12894814366350571</c:v>
              </c:pt>
              <c:pt idx="988">
                <c:v>0.1291791552056869</c:v>
              </c:pt>
              <c:pt idx="989">
                <c:v>0.1291791552056869</c:v>
              </c:pt>
              <c:pt idx="990">
                <c:v>0.12941016674786807</c:v>
              </c:pt>
              <c:pt idx="991">
                <c:v>0.12941016674786807</c:v>
              </c:pt>
              <c:pt idx="992">
                <c:v>0.12964117829004923</c:v>
              </c:pt>
              <c:pt idx="993">
                <c:v>0.12964117829004923</c:v>
              </c:pt>
              <c:pt idx="994">
                <c:v>0.12987218983223042</c:v>
              </c:pt>
              <c:pt idx="995">
                <c:v>0.12987218983223042</c:v>
              </c:pt>
              <c:pt idx="996">
                <c:v>0.13010320137441159</c:v>
              </c:pt>
              <c:pt idx="997">
                <c:v>0.13010320137441159</c:v>
              </c:pt>
              <c:pt idx="998">
                <c:v>0.13033421291659275</c:v>
              </c:pt>
              <c:pt idx="999">
                <c:v>0.13033421291659275</c:v>
              </c:pt>
              <c:pt idx="1000">
                <c:v>0.13056522445877394</c:v>
              </c:pt>
              <c:pt idx="1001">
                <c:v>0.13056522445877394</c:v>
              </c:pt>
              <c:pt idx="1002">
                <c:v>0.13079623600095511</c:v>
              </c:pt>
              <c:pt idx="1003">
                <c:v>0.13079623600095511</c:v>
              </c:pt>
              <c:pt idx="1004">
                <c:v>0.13102724754313627</c:v>
              </c:pt>
              <c:pt idx="1005">
                <c:v>0.13102724754313627</c:v>
              </c:pt>
              <c:pt idx="1006">
                <c:v>0.13125825908531746</c:v>
              </c:pt>
              <c:pt idx="1007">
                <c:v>0.13125825908531746</c:v>
              </c:pt>
              <c:pt idx="1008">
                <c:v>0.13148927062749863</c:v>
              </c:pt>
              <c:pt idx="1009">
                <c:v>0.13148927062749863</c:v>
              </c:pt>
              <c:pt idx="1010">
                <c:v>0.13172028216967979</c:v>
              </c:pt>
              <c:pt idx="1011">
                <c:v>0.13172028216967979</c:v>
              </c:pt>
              <c:pt idx="1012">
                <c:v>0.13195129371186098</c:v>
              </c:pt>
              <c:pt idx="1013">
                <c:v>0.13195129371186098</c:v>
              </c:pt>
              <c:pt idx="1014">
                <c:v>0.13218230525404215</c:v>
              </c:pt>
              <c:pt idx="1015">
                <c:v>0.13218230525404215</c:v>
              </c:pt>
              <c:pt idx="1016">
                <c:v>0.13241331679622331</c:v>
              </c:pt>
              <c:pt idx="1017">
                <c:v>0.13241331679622331</c:v>
              </c:pt>
              <c:pt idx="1018">
                <c:v>0.1326443283384045</c:v>
              </c:pt>
              <c:pt idx="1019">
                <c:v>0.1326443283384045</c:v>
              </c:pt>
              <c:pt idx="1020">
                <c:v>0.13287533988058567</c:v>
              </c:pt>
              <c:pt idx="1021">
                <c:v>0.13287533988058567</c:v>
              </c:pt>
              <c:pt idx="1022">
                <c:v>0.13310635142276683</c:v>
              </c:pt>
              <c:pt idx="1023">
                <c:v>0.13310635142276683</c:v>
              </c:pt>
              <c:pt idx="1024">
                <c:v>0.13333736296494803</c:v>
              </c:pt>
              <c:pt idx="1025">
                <c:v>0.13333736296494803</c:v>
              </c:pt>
              <c:pt idx="1026">
                <c:v>0.13356837450712919</c:v>
              </c:pt>
              <c:pt idx="1027">
                <c:v>0.13356837450712919</c:v>
              </c:pt>
              <c:pt idx="1028">
                <c:v>0.13379938604931035</c:v>
              </c:pt>
              <c:pt idx="1029">
                <c:v>0.13379938604931035</c:v>
              </c:pt>
              <c:pt idx="1030">
                <c:v>0.13403039759149155</c:v>
              </c:pt>
              <c:pt idx="1031">
                <c:v>0.13403039759149155</c:v>
              </c:pt>
              <c:pt idx="1032">
                <c:v>0.13412940253814062</c:v>
              </c:pt>
              <c:pt idx="1033">
                <c:v>0.13412940253814062</c:v>
              </c:pt>
              <c:pt idx="1034">
                <c:v>0.13412940253814062</c:v>
              </c:pt>
              <c:pt idx="1035">
                <c:v>0.13412940253814062</c:v>
              </c:pt>
              <c:pt idx="1036">
                <c:v>0.13412940253814062</c:v>
              </c:pt>
              <c:pt idx="1037">
                <c:v>0.13412940253814062</c:v>
              </c:pt>
              <c:pt idx="1038">
                <c:v>0.13436041408032179</c:v>
              </c:pt>
              <c:pt idx="1039">
                <c:v>0.13436041408032179</c:v>
              </c:pt>
              <c:pt idx="1040">
                <c:v>0.13459142562250298</c:v>
              </c:pt>
              <c:pt idx="1041">
                <c:v>0.13459142562250298</c:v>
              </c:pt>
              <c:pt idx="1042">
                <c:v>0.13482243716468414</c:v>
              </c:pt>
              <c:pt idx="1043">
                <c:v>0.13482243716468414</c:v>
              </c:pt>
              <c:pt idx="1044">
                <c:v>0.13505344870686531</c:v>
              </c:pt>
              <c:pt idx="1045">
                <c:v>0.13505344870686531</c:v>
              </c:pt>
              <c:pt idx="1046">
                <c:v>0.1352844602490465</c:v>
              </c:pt>
              <c:pt idx="1047">
                <c:v>0.1352844602490465</c:v>
              </c:pt>
              <c:pt idx="1048">
                <c:v>0.13551547179122767</c:v>
              </c:pt>
              <c:pt idx="1049">
                <c:v>0.13551547179122767</c:v>
              </c:pt>
              <c:pt idx="1050">
                <c:v>0.13574648333340883</c:v>
              </c:pt>
              <c:pt idx="1051">
                <c:v>0.13574648333340883</c:v>
              </c:pt>
              <c:pt idx="1052">
                <c:v>0.13597749487559002</c:v>
              </c:pt>
              <c:pt idx="1053">
                <c:v>0.13597749487559002</c:v>
              </c:pt>
              <c:pt idx="1054">
                <c:v>0.13620850641777119</c:v>
              </c:pt>
              <c:pt idx="1055">
                <c:v>0.13620850641777119</c:v>
              </c:pt>
              <c:pt idx="1056">
                <c:v>0.13643951795995235</c:v>
              </c:pt>
              <c:pt idx="1057">
                <c:v>0.13643951795995235</c:v>
              </c:pt>
              <c:pt idx="1058">
                <c:v>0.13667052950213354</c:v>
              </c:pt>
              <c:pt idx="1059">
                <c:v>0.13667052950213354</c:v>
              </c:pt>
              <c:pt idx="1060">
                <c:v>0.13690154104431471</c:v>
              </c:pt>
              <c:pt idx="1061">
                <c:v>0.13690154104431471</c:v>
              </c:pt>
              <c:pt idx="1062">
                <c:v>0.1371325525864959</c:v>
              </c:pt>
              <c:pt idx="1063">
                <c:v>0.1371325525864959</c:v>
              </c:pt>
              <c:pt idx="1064">
                <c:v>0.13736356412867706</c:v>
              </c:pt>
              <c:pt idx="1065">
                <c:v>0.13736356412867706</c:v>
              </c:pt>
              <c:pt idx="1066">
                <c:v>0.13759457567085823</c:v>
              </c:pt>
              <c:pt idx="1067">
                <c:v>0.13759457567085823</c:v>
              </c:pt>
              <c:pt idx="1068">
                <c:v>0.13782558721303942</c:v>
              </c:pt>
              <c:pt idx="1069">
                <c:v>0.13782558721303942</c:v>
              </c:pt>
              <c:pt idx="1070">
                <c:v>0.13805659875522058</c:v>
              </c:pt>
              <c:pt idx="1071">
                <c:v>0.13805659875522058</c:v>
              </c:pt>
              <c:pt idx="1072">
                <c:v>0.13828761029740175</c:v>
              </c:pt>
              <c:pt idx="1073">
                <c:v>0.13828761029740175</c:v>
              </c:pt>
              <c:pt idx="1074">
                <c:v>0.13851862183958294</c:v>
              </c:pt>
              <c:pt idx="1075">
                <c:v>0.13851862183958294</c:v>
              </c:pt>
              <c:pt idx="1076">
                <c:v>0.1387496333817641</c:v>
              </c:pt>
              <c:pt idx="1077">
                <c:v>0.1387496333817641</c:v>
              </c:pt>
              <c:pt idx="1078">
                <c:v>0.13898064492394527</c:v>
              </c:pt>
              <c:pt idx="1079">
                <c:v>0.13898064492394527</c:v>
              </c:pt>
              <c:pt idx="1080">
                <c:v>0.13921165646612646</c:v>
              </c:pt>
              <c:pt idx="1081">
                <c:v>0.13921165646612646</c:v>
              </c:pt>
              <c:pt idx="1082">
                <c:v>0.13944266800830762</c:v>
              </c:pt>
              <c:pt idx="1083">
                <c:v>0.13944266800830762</c:v>
              </c:pt>
              <c:pt idx="1084">
                <c:v>0.13967367955048879</c:v>
              </c:pt>
              <c:pt idx="1085">
                <c:v>0.13967367955048879</c:v>
              </c:pt>
              <c:pt idx="1086">
                <c:v>0.13990469109266998</c:v>
              </c:pt>
              <c:pt idx="1087">
                <c:v>0.13990469109266998</c:v>
              </c:pt>
              <c:pt idx="1088">
                <c:v>0.14013570263485114</c:v>
              </c:pt>
              <c:pt idx="1089">
                <c:v>0.14013570263485114</c:v>
              </c:pt>
              <c:pt idx="1090">
                <c:v>0.14036671417703231</c:v>
              </c:pt>
              <c:pt idx="1091">
                <c:v>0.14036671417703231</c:v>
              </c:pt>
              <c:pt idx="1092">
                <c:v>0.1405977257192135</c:v>
              </c:pt>
              <c:pt idx="1093">
                <c:v>0.1405977257192135</c:v>
              </c:pt>
              <c:pt idx="1094">
                <c:v>0.14082873726139467</c:v>
              </c:pt>
              <c:pt idx="1095">
                <c:v>0.14082873726139467</c:v>
              </c:pt>
              <c:pt idx="1096">
                <c:v>0.14105974880357586</c:v>
              </c:pt>
              <c:pt idx="1097">
                <c:v>0.14105974880357586</c:v>
              </c:pt>
              <c:pt idx="1098">
                <c:v>0.14129076034575702</c:v>
              </c:pt>
              <c:pt idx="1099">
                <c:v>0.14129076034575702</c:v>
              </c:pt>
              <c:pt idx="1100">
                <c:v>0.14152177188793819</c:v>
              </c:pt>
              <c:pt idx="1101">
                <c:v>0.14152177188793819</c:v>
              </c:pt>
              <c:pt idx="1102">
                <c:v>0.14175278343011938</c:v>
              </c:pt>
              <c:pt idx="1103">
                <c:v>0.14175278343011938</c:v>
              </c:pt>
              <c:pt idx="1104">
                <c:v>0.14198379497230054</c:v>
              </c:pt>
              <c:pt idx="1105">
                <c:v>0.14198379497230054</c:v>
              </c:pt>
              <c:pt idx="1106">
                <c:v>0.14221480651448171</c:v>
              </c:pt>
              <c:pt idx="1107">
                <c:v>0.14221480651448171</c:v>
              </c:pt>
              <c:pt idx="1108">
                <c:v>0.1424458180566629</c:v>
              </c:pt>
              <c:pt idx="1109">
                <c:v>0.1424458180566629</c:v>
              </c:pt>
              <c:pt idx="1110">
                <c:v>0.14267682959884406</c:v>
              </c:pt>
              <c:pt idx="1111">
                <c:v>0.14267682959884406</c:v>
              </c:pt>
              <c:pt idx="1112">
                <c:v>0.14290784114102523</c:v>
              </c:pt>
              <c:pt idx="1113">
                <c:v>0.14290784114102523</c:v>
              </c:pt>
              <c:pt idx="1114">
                <c:v>0.14313885268320642</c:v>
              </c:pt>
              <c:pt idx="1115">
                <c:v>0.14313885268320642</c:v>
              </c:pt>
              <c:pt idx="1116">
                <c:v>0.14336986422538758</c:v>
              </c:pt>
              <c:pt idx="1117">
                <c:v>0.14336986422538758</c:v>
              </c:pt>
              <c:pt idx="1118">
                <c:v>0.14360087576756875</c:v>
              </c:pt>
              <c:pt idx="1119">
                <c:v>0.14360087576756875</c:v>
              </c:pt>
              <c:pt idx="1120">
                <c:v>0.14383188730974994</c:v>
              </c:pt>
              <c:pt idx="1121">
                <c:v>0.14383188730974994</c:v>
              </c:pt>
              <c:pt idx="1122">
                <c:v>0.1440628988519311</c:v>
              </c:pt>
              <c:pt idx="1123">
                <c:v>0.1440628988519311</c:v>
              </c:pt>
              <c:pt idx="1124">
                <c:v>0.14429391039411227</c:v>
              </c:pt>
              <c:pt idx="1125">
                <c:v>0.14429391039411227</c:v>
              </c:pt>
              <c:pt idx="1126">
                <c:v>0.14452492193629346</c:v>
              </c:pt>
              <c:pt idx="1127">
                <c:v>0.14452492193629346</c:v>
              </c:pt>
              <c:pt idx="1128">
                <c:v>0.14475593347847462</c:v>
              </c:pt>
              <c:pt idx="1129">
                <c:v>0.14475593347847462</c:v>
              </c:pt>
              <c:pt idx="1130">
                <c:v>0.14498694502065579</c:v>
              </c:pt>
              <c:pt idx="1131">
                <c:v>0.14498694502065579</c:v>
              </c:pt>
              <c:pt idx="1132">
                <c:v>0.14521795656283698</c:v>
              </c:pt>
              <c:pt idx="1133">
                <c:v>0.14521795656283698</c:v>
              </c:pt>
              <c:pt idx="1134">
                <c:v>0.14544896810501814</c:v>
              </c:pt>
              <c:pt idx="1135">
                <c:v>0.14544896810501814</c:v>
              </c:pt>
              <c:pt idx="1136">
                <c:v>0.14567997964719931</c:v>
              </c:pt>
              <c:pt idx="1137">
                <c:v>0.14567997964719931</c:v>
              </c:pt>
              <c:pt idx="1138">
                <c:v>0.1459109911893805</c:v>
              </c:pt>
              <c:pt idx="1139">
                <c:v>0.1459109911893805</c:v>
              </c:pt>
              <c:pt idx="1140">
                <c:v>0.14614200273156167</c:v>
              </c:pt>
              <c:pt idx="1141">
                <c:v>0.14614200273156167</c:v>
              </c:pt>
              <c:pt idx="1142">
                <c:v>0.14637301427374283</c:v>
              </c:pt>
              <c:pt idx="1143">
                <c:v>0.14637301427374283</c:v>
              </c:pt>
              <c:pt idx="1144">
                <c:v>0.14660402581592402</c:v>
              </c:pt>
              <c:pt idx="1145">
                <c:v>0.14660402581592402</c:v>
              </c:pt>
              <c:pt idx="1146">
                <c:v>0.14683503735810519</c:v>
              </c:pt>
              <c:pt idx="1147">
                <c:v>0.14683503735810519</c:v>
              </c:pt>
              <c:pt idx="1148">
                <c:v>0.14706604890028638</c:v>
              </c:pt>
              <c:pt idx="1149">
                <c:v>0.14706604890028638</c:v>
              </c:pt>
              <c:pt idx="1150">
                <c:v>0.14729706044246754</c:v>
              </c:pt>
              <c:pt idx="1151">
                <c:v>0.14729706044246754</c:v>
              </c:pt>
              <c:pt idx="1152">
                <c:v>0.14752807198464871</c:v>
              </c:pt>
              <c:pt idx="1153">
                <c:v>0.14752807198464871</c:v>
              </c:pt>
              <c:pt idx="1154">
                <c:v>0.1477590835268299</c:v>
              </c:pt>
              <c:pt idx="1155">
                <c:v>0.1477590835268299</c:v>
              </c:pt>
              <c:pt idx="1156">
                <c:v>0.14799009506901106</c:v>
              </c:pt>
              <c:pt idx="1157">
                <c:v>0.14799009506901106</c:v>
              </c:pt>
              <c:pt idx="1158">
                <c:v>0.14822110661119223</c:v>
              </c:pt>
              <c:pt idx="1159">
                <c:v>0.14822110661119223</c:v>
              </c:pt>
              <c:pt idx="1160">
                <c:v>0.14845211815337342</c:v>
              </c:pt>
              <c:pt idx="1161">
                <c:v>0.14845211815337342</c:v>
              </c:pt>
              <c:pt idx="1162">
                <c:v>0.14868312969555458</c:v>
              </c:pt>
              <c:pt idx="1163">
                <c:v>0.14868312969555458</c:v>
              </c:pt>
              <c:pt idx="1164">
                <c:v>0.14891414123773575</c:v>
              </c:pt>
              <c:pt idx="1165">
                <c:v>0.14891414123773575</c:v>
              </c:pt>
              <c:pt idx="1166">
                <c:v>0.14914515277991694</c:v>
              </c:pt>
              <c:pt idx="1167">
                <c:v>0.14914515277991694</c:v>
              </c:pt>
              <c:pt idx="1168">
                <c:v>0.1493761643220981</c:v>
              </c:pt>
              <c:pt idx="1169">
                <c:v>0.1493761643220981</c:v>
              </c:pt>
              <c:pt idx="1170">
                <c:v>0.14960717586427927</c:v>
              </c:pt>
              <c:pt idx="1171">
                <c:v>0.14960717586427927</c:v>
              </c:pt>
              <c:pt idx="1172">
                <c:v>0.14983818740646046</c:v>
              </c:pt>
              <c:pt idx="1173">
                <c:v>0.14983818740646046</c:v>
              </c:pt>
              <c:pt idx="1174">
                <c:v>0.15006919894864162</c:v>
              </c:pt>
              <c:pt idx="1175">
                <c:v>0.15006919894864162</c:v>
              </c:pt>
              <c:pt idx="1176">
                <c:v>0.15030021049082282</c:v>
              </c:pt>
              <c:pt idx="1177">
                <c:v>0.15030021049082282</c:v>
              </c:pt>
              <c:pt idx="1178">
                <c:v>0.15053122203300398</c:v>
              </c:pt>
              <c:pt idx="1179">
                <c:v>0.15053122203300398</c:v>
              </c:pt>
              <c:pt idx="1180">
                <c:v>0.15063022697965303</c:v>
              </c:pt>
              <c:pt idx="1181">
                <c:v>0.15063022697965303</c:v>
              </c:pt>
              <c:pt idx="1182">
                <c:v>0.15063022697965303</c:v>
              </c:pt>
              <c:pt idx="1183">
                <c:v>0.15063022697965303</c:v>
              </c:pt>
              <c:pt idx="1184">
                <c:v>0.15063022697965303</c:v>
              </c:pt>
              <c:pt idx="1185">
                <c:v>0.15063022697965303</c:v>
              </c:pt>
              <c:pt idx="1186">
                <c:v>0.1508612385218342</c:v>
              </c:pt>
              <c:pt idx="1187">
                <c:v>0.1508612385218342</c:v>
              </c:pt>
              <c:pt idx="1188">
                <c:v>0.15109225006401539</c:v>
              </c:pt>
              <c:pt idx="1189">
                <c:v>0.15109225006401539</c:v>
              </c:pt>
              <c:pt idx="1190">
                <c:v>0.15132326160619655</c:v>
              </c:pt>
              <c:pt idx="1191">
                <c:v>0.15132326160619655</c:v>
              </c:pt>
              <c:pt idx="1192">
                <c:v>0.15155427314837772</c:v>
              </c:pt>
              <c:pt idx="1193">
                <c:v>0.15155427314837772</c:v>
              </c:pt>
              <c:pt idx="1194">
                <c:v>0.15178528469055891</c:v>
              </c:pt>
              <c:pt idx="1195">
                <c:v>0.15178528469055891</c:v>
              </c:pt>
              <c:pt idx="1196">
                <c:v>0.15201629623274007</c:v>
              </c:pt>
              <c:pt idx="1197">
                <c:v>0.15201629623274007</c:v>
              </c:pt>
              <c:pt idx="1198">
                <c:v>0.15224730777492124</c:v>
              </c:pt>
              <c:pt idx="1199">
                <c:v>0.15224730777492124</c:v>
              </c:pt>
              <c:pt idx="1200">
                <c:v>0.15247831931710243</c:v>
              </c:pt>
              <c:pt idx="1201">
                <c:v>0.15247831931710243</c:v>
              </c:pt>
              <c:pt idx="1202">
                <c:v>0.15270933085928359</c:v>
              </c:pt>
              <c:pt idx="1203">
                <c:v>0.15270933085928359</c:v>
              </c:pt>
              <c:pt idx="1204">
                <c:v>0.15294034240146476</c:v>
              </c:pt>
              <c:pt idx="1205">
                <c:v>0.15294034240146476</c:v>
              </c:pt>
              <c:pt idx="1206">
                <c:v>0.15317135394364595</c:v>
              </c:pt>
              <c:pt idx="1207">
                <c:v>0.15317135394364595</c:v>
              </c:pt>
              <c:pt idx="1208">
                <c:v>0.15340236548582711</c:v>
              </c:pt>
              <c:pt idx="1209">
                <c:v>0.15340236548582711</c:v>
              </c:pt>
              <c:pt idx="1210">
                <c:v>0.15363337702800831</c:v>
              </c:pt>
              <c:pt idx="1211">
                <c:v>0.15363337702800831</c:v>
              </c:pt>
              <c:pt idx="1212">
                <c:v>0.15386438857018947</c:v>
              </c:pt>
              <c:pt idx="1213">
                <c:v>0.15386438857018947</c:v>
              </c:pt>
              <c:pt idx="1214">
                <c:v>0.15409540011237063</c:v>
              </c:pt>
              <c:pt idx="1215">
                <c:v>0.15409540011237063</c:v>
              </c:pt>
              <c:pt idx="1216">
                <c:v>0.15432641165455183</c:v>
              </c:pt>
              <c:pt idx="1217">
                <c:v>0.15432641165455183</c:v>
              </c:pt>
              <c:pt idx="1218">
                <c:v>0.15455742319673299</c:v>
              </c:pt>
              <c:pt idx="1219">
                <c:v>0.15455742319673299</c:v>
              </c:pt>
              <c:pt idx="1220">
                <c:v>0.15478843473891415</c:v>
              </c:pt>
              <c:pt idx="1221">
                <c:v>0.15478843473891415</c:v>
              </c:pt>
              <c:pt idx="1222">
                <c:v>0.15501944628109535</c:v>
              </c:pt>
              <c:pt idx="1223">
                <c:v>0.15501944628109535</c:v>
              </c:pt>
              <c:pt idx="1224">
                <c:v>0.15525045782327651</c:v>
              </c:pt>
              <c:pt idx="1225">
                <c:v>0.15525045782327651</c:v>
              </c:pt>
              <c:pt idx="1226">
                <c:v>0.15548146936545768</c:v>
              </c:pt>
              <c:pt idx="1227">
                <c:v>0.15548146936545768</c:v>
              </c:pt>
              <c:pt idx="1228">
                <c:v>0.15571248090763887</c:v>
              </c:pt>
              <c:pt idx="1229">
                <c:v>0.15571248090763887</c:v>
              </c:pt>
              <c:pt idx="1230">
                <c:v>0.15594349244982003</c:v>
              </c:pt>
              <c:pt idx="1231">
                <c:v>0.15594349244982003</c:v>
              </c:pt>
              <c:pt idx="1232">
                <c:v>0.1561745039920012</c:v>
              </c:pt>
              <c:pt idx="1233">
                <c:v>0.1561745039920012</c:v>
              </c:pt>
              <c:pt idx="1234">
                <c:v>0.15640551553418239</c:v>
              </c:pt>
              <c:pt idx="1235">
                <c:v>0.15640551553418239</c:v>
              </c:pt>
              <c:pt idx="1236">
                <c:v>0.15663652707636355</c:v>
              </c:pt>
              <c:pt idx="1237">
                <c:v>0.15663652707636355</c:v>
              </c:pt>
              <c:pt idx="1238">
                <c:v>0.15686753861854472</c:v>
              </c:pt>
              <c:pt idx="1239">
                <c:v>0.15686753861854472</c:v>
              </c:pt>
              <c:pt idx="1240">
                <c:v>0.15709855016072591</c:v>
              </c:pt>
              <c:pt idx="1241">
                <c:v>0.15709855016072591</c:v>
              </c:pt>
              <c:pt idx="1242">
                <c:v>0.15732956170290707</c:v>
              </c:pt>
              <c:pt idx="1243">
                <c:v>0.15732956170290707</c:v>
              </c:pt>
              <c:pt idx="1244">
                <c:v>0.15756057324508826</c:v>
              </c:pt>
              <c:pt idx="1245">
                <c:v>0.15756057324508826</c:v>
              </c:pt>
              <c:pt idx="1246">
                <c:v>0.15779158478726943</c:v>
              </c:pt>
              <c:pt idx="1247">
                <c:v>0.15779158478726943</c:v>
              </c:pt>
              <c:pt idx="1248">
                <c:v>0.15802259632945059</c:v>
              </c:pt>
              <c:pt idx="1249">
                <c:v>0.15802259632945059</c:v>
              </c:pt>
              <c:pt idx="1250">
                <c:v>0.15825360787163179</c:v>
              </c:pt>
              <c:pt idx="1251">
                <c:v>0.15825360787163179</c:v>
              </c:pt>
              <c:pt idx="1252">
                <c:v>0.15848461941381295</c:v>
              </c:pt>
              <c:pt idx="1253">
                <c:v>0.15848461941381295</c:v>
              </c:pt>
              <c:pt idx="1254">
                <c:v>0.15871563095599411</c:v>
              </c:pt>
              <c:pt idx="1255">
                <c:v>0.15871563095599411</c:v>
              </c:pt>
              <c:pt idx="1256">
                <c:v>0.15894664249817531</c:v>
              </c:pt>
              <c:pt idx="1257">
                <c:v>0.15894664249817531</c:v>
              </c:pt>
              <c:pt idx="1258">
                <c:v>0.15917765404035647</c:v>
              </c:pt>
              <c:pt idx="1259">
                <c:v>0.15917765404035647</c:v>
              </c:pt>
              <c:pt idx="1260">
                <c:v>0.15940866558253763</c:v>
              </c:pt>
              <c:pt idx="1261">
                <c:v>0.15940866558253763</c:v>
              </c:pt>
              <c:pt idx="1262">
                <c:v>0.15963967712471883</c:v>
              </c:pt>
              <c:pt idx="1263">
                <c:v>0.15963967712471883</c:v>
              </c:pt>
              <c:pt idx="1264">
                <c:v>0.15987068866689999</c:v>
              </c:pt>
              <c:pt idx="1265">
                <c:v>0.15987068866689999</c:v>
              </c:pt>
              <c:pt idx="1266">
                <c:v>0.16010170020908115</c:v>
              </c:pt>
              <c:pt idx="1267">
                <c:v>0.16010170020908115</c:v>
              </c:pt>
              <c:pt idx="1268">
                <c:v>0.16033271175126235</c:v>
              </c:pt>
              <c:pt idx="1269">
                <c:v>0.16033271175126235</c:v>
              </c:pt>
              <c:pt idx="1270">
                <c:v>0.16056372329344351</c:v>
              </c:pt>
              <c:pt idx="1271">
                <c:v>0.16056372329344351</c:v>
              </c:pt>
              <c:pt idx="1272">
                <c:v>0.16079473483562468</c:v>
              </c:pt>
              <c:pt idx="1273">
                <c:v>0.16079473483562468</c:v>
              </c:pt>
              <c:pt idx="1274">
                <c:v>0.16102574637780587</c:v>
              </c:pt>
              <c:pt idx="1275">
                <c:v>0.16102574637780587</c:v>
              </c:pt>
              <c:pt idx="1276">
                <c:v>0.16125675791998703</c:v>
              </c:pt>
              <c:pt idx="1277">
                <c:v>0.16125675791998703</c:v>
              </c:pt>
              <c:pt idx="1278">
                <c:v>0.1614877694621682</c:v>
              </c:pt>
              <c:pt idx="1279">
                <c:v>0.1614877694621682</c:v>
              </c:pt>
              <c:pt idx="1280">
                <c:v>0.16171878100434939</c:v>
              </c:pt>
              <c:pt idx="1281">
                <c:v>0.16171878100434939</c:v>
              </c:pt>
              <c:pt idx="1282">
                <c:v>0.16194979254653055</c:v>
              </c:pt>
              <c:pt idx="1283">
                <c:v>0.16194979254653055</c:v>
              </c:pt>
              <c:pt idx="1284">
                <c:v>0.16218080408871172</c:v>
              </c:pt>
              <c:pt idx="1285">
                <c:v>0.16218080408871172</c:v>
              </c:pt>
              <c:pt idx="1286">
                <c:v>0.16241181563089291</c:v>
              </c:pt>
              <c:pt idx="1287">
                <c:v>0.16241181563089291</c:v>
              </c:pt>
              <c:pt idx="1288">
                <c:v>0.16264282717307407</c:v>
              </c:pt>
              <c:pt idx="1289">
                <c:v>0.16264282717307407</c:v>
              </c:pt>
              <c:pt idx="1290">
                <c:v>0.16287383871525524</c:v>
              </c:pt>
              <c:pt idx="1291">
                <c:v>0.16287383871525524</c:v>
              </c:pt>
              <c:pt idx="1292">
                <c:v>0.16310485025743643</c:v>
              </c:pt>
              <c:pt idx="1293">
                <c:v>0.16310485025743643</c:v>
              </c:pt>
              <c:pt idx="1294">
                <c:v>0.16333586179961759</c:v>
              </c:pt>
              <c:pt idx="1295">
                <c:v>0.16333586179961759</c:v>
              </c:pt>
              <c:pt idx="1296">
                <c:v>0.16356687334179879</c:v>
              </c:pt>
              <c:pt idx="1297">
                <c:v>0.16356687334179879</c:v>
              </c:pt>
              <c:pt idx="1298">
                <c:v>0.16379788488397995</c:v>
              </c:pt>
              <c:pt idx="1299">
                <c:v>0.16379788488397995</c:v>
              </c:pt>
              <c:pt idx="1300">
                <c:v>0.16402889642616111</c:v>
              </c:pt>
              <c:pt idx="1301">
                <c:v>0.16402889642616111</c:v>
              </c:pt>
              <c:pt idx="1302">
                <c:v>0.16425990796834231</c:v>
              </c:pt>
              <c:pt idx="1303">
                <c:v>0.16425990796834231</c:v>
              </c:pt>
              <c:pt idx="1304">
                <c:v>0.16449091951052347</c:v>
              </c:pt>
              <c:pt idx="1305">
                <c:v>0.16449091951052347</c:v>
              </c:pt>
              <c:pt idx="1306">
                <c:v>0.16472193105270463</c:v>
              </c:pt>
              <c:pt idx="1307">
                <c:v>0.16472193105270463</c:v>
              </c:pt>
              <c:pt idx="1308">
                <c:v>0.16495294259488583</c:v>
              </c:pt>
              <c:pt idx="1309">
                <c:v>0.16495294259488583</c:v>
              </c:pt>
              <c:pt idx="1310">
                <c:v>0.16518395413706699</c:v>
              </c:pt>
              <c:pt idx="1311">
                <c:v>0.16518395413706699</c:v>
              </c:pt>
              <c:pt idx="1312">
                <c:v>0.16541496567924815</c:v>
              </c:pt>
              <c:pt idx="1313">
                <c:v>0.16541496567924815</c:v>
              </c:pt>
              <c:pt idx="1314">
                <c:v>0.16564597722142935</c:v>
              </c:pt>
              <c:pt idx="1315">
                <c:v>0.16564597722142935</c:v>
              </c:pt>
              <c:pt idx="1316">
                <c:v>0.16587698876361051</c:v>
              </c:pt>
              <c:pt idx="1317">
                <c:v>0.16587698876361051</c:v>
              </c:pt>
              <c:pt idx="1318">
                <c:v>0.16610800030579168</c:v>
              </c:pt>
              <c:pt idx="1319">
                <c:v>0.16610800030579168</c:v>
              </c:pt>
              <c:pt idx="1320">
                <c:v>0.16633901184797287</c:v>
              </c:pt>
              <c:pt idx="1321">
                <c:v>0.16633901184797287</c:v>
              </c:pt>
              <c:pt idx="1322">
                <c:v>0.16657002339015403</c:v>
              </c:pt>
              <c:pt idx="1323">
                <c:v>0.16657002339015403</c:v>
              </c:pt>
              <c:pt idx="1324">
                <c:v>0.16680103493233522</c:v>
              </c:pt>
              <c:pt idx="1325">
                <c:v>0.16680103493233522</c:v>
              </c:pt>
              <c:pt idx="1326">
                <c:v>0.16703204647451639</c:v>
              </c:pt>
              <c:pt idx="1327">
                <c:v>0.16703204647451639</c:v>
              </c:pt>
              <c:pt idx="1328">
                <c:v>0.16713105142116547</c:v>
              </c:pt>
              <c:pt idx="1329">
                <c:v>0.16713105142116547</c:v>
              </c:pt>
              <c:pt idx="1330">
                <c:v>0.16713105142116547</c:v>
              </c:pt>
              <c:pt idx="1331">
                <c:v>0.16713105142116547</c:v>
              </c:pt>
              <c:pt idx="1332">
                <c:v>0.16713105142116547</c:v>
              </c:pt>
              <c:pt idx="1333">
                <c:v>0.16713105142116547</c:v>
              </c:pt>
              <c:pt idx="1334">
                <c:v>0.16736206296334663</c:v>
              </c:pt>
              <c:pt idx="1335">
                <c:v>0.16736206296334663</c:v>
              </c:pt>
              <c:pt idx="1336">
                <c:v>0.16759307450552782</c:v>
              </c:pt>
              <c:pt idx="1337">
                <c:v>0.16759307450552782</c:v>
              </c:pt>
              <c:pt idx="1338">
                <c:v>0.16782408604770899</c:v>
              </c:pt>
              <c:pt idx="1339">
                <c:v>0.16782408604770899</c:v>
              </c:pt>
              <c:pt idx="1340">
                <c:v>0.16805509758989015</c:v>
              </c:pt>
              <c:pt idx="1341">
                <c:v>0.16805509758989015</c:v>
              </c:pt>
              <c:pt idx="1342">
                <c:v>0.16828610913207134</c:v>
              </c:pt>
              <c:pt idx="1343">
                <c:v>0.16828610913207134</c:v>
              </c:pt>
              <c:pt idx="1344">
                <c:v>0.16851712067425251</c:v>
              </c:pt>
              <c:pt idx="1345">
                <c:v>0.16851712067425251</c:v>
              </c:pt>
              <c:pt idx="1346">
                <c:v>0.16874813221643367</c:v>
              </c:pt>
              <c:pt idx="1347">
                <c:v>0.16874813221643367</c:v>
              </c:pt>
              <c:pt idx="1348">
                <c:v>0.16897914375861486</c:v>
              </c:pt>
              <c:pt idx="1349">
                <c:v>0.16897914375861486</c:v>
              </c:pt>
              <c:pt idx="1350">
                <c:v>0.16921015530079603</c:v>
              </c:pt>
              <c:pt idx="1351">
                <c:v>0.16921015530079603</c:v>
              </c:pt>
              <c:pt idx="1352">
                <c:v>0.16944116684297722</c:v>
              </c:pt>
              <c:pt idx="1353">
                <c:v>0.16944116684297722</c:v>
              </c:pt>
              <c:pt idx="1354">
                <c:v>0.16967217838515838</c:v>
              </c:pt>
              <c:pt idx="1355">
                <c:v>0.16967217838515838</c:v>
              </c:pt>
              <c:pt idx="1356">
                <c:v>0.16990318992733955</c:v>
              </c:pt>
              <c:pt idx="1357">
                <c:v>0.16990318992733955</c:v>
              </c:pt>
              <c:pt idx="1358">
                <c:v>0.17013420146952074</c:v>
              </c:pt>
              <c:pt idx="1359">
                <c:v>0.17013420146952074</c:v>
              </c:pt>
              <c:pt idx="1360">
                <c:v>0.1703652130117019</c:v>
              </c:pt>
              <c:pt idx="1361">
                <c:v>0.1703652130117019</c:v>
              </c:pt>
              <c:pt idx="1362">
                <c:v>0.17059622455388307</c:v>
              </c:pt>
              <c:pt idx="1363">
                <c:v>0.17059622455388307</c:v>
              </c:pt>
              <c:pt idx="1364">
                <c:v>0.17082723609606426</c:v>
              </c:pt>
              <c:pt idx="1365">
                <c:v>0.17082723609606426</c:v>
              </c:pt>
              <c:pt idx="1366">
                <c:v>0.17105824763824543</c:v>
              </c:pt>
              <c:pt idx="1367">
                <c:v>0.17105824763824543</c:v>
              </c:pt>
              <c:pt idx="1368">
                <c:v>0.17128925918042659</c:v>
              </c:pt>
              <c:pt idx="1369">
                <c:v>0.17128925918042659</c:v>
              </c:pt>
              <c:pt idx="1370">
                <c:v>0.17152027072260778</c:v>
              </c:pt>
              <c:pt idx="1371">
                <c:v>0.17152027072260778</c:v>
              </c:pt>
              <c:pt idx="1372">
                <c:v>0.17175128226478895</c:v>
              </c:pt>
              <c:pt idx="1373">
                <c:v>0.17175128226478895</c:v>
              </c:pt>
              <c:pt idx="1374">
                <c:v>0.17198229380697011</c:v>
              </c:pt>
              <c:pt idx="1375">
                <c:v>0.17198229380697011</c:v>
              </c:pt>
              <c:pt idx="1376">
                <c:v>0.1722133053491513</c:v>
              </c:pt>
              <c:pt idx="1377">
                <c:v>0.1722133053491513</c:v>
              </c:pt>
              <c:pt idx="1378">
                <c:v>0.17244431689133247</c:v>
              </c:pt>
              <c:pt idx="1379">
                <c:v>0.17244431689133247</c:v>
              </c:pt>
              <c:pt idx="1380">
                <c:v>0.17267532843351363</c:v>
              </c:pt>
              <c:pt idx="1381">
                <c:v>0.17267532843351363</c:v>
              </c:pt>
              <c:pt idx="1382">
                <c:v>0.17290633997569482</c:v>
              </c:pt>
              <c:pt idx="1383">
                <c:v>0.17290633997569482</c:v>
              </c:pt>
              <c:pt idx="1384">
                <c:v>0.17313735151787599</c:v>
              </c:pt>
              <c:pt idx="1385">
                <c:v>0.17313735151787599</c:v>
              </c:pt>
              <c:pt idx="1386">
                <c:v>0.17336836306005715</c:v>
              </c:pt>
              <c:pt idx="1387">
                <c:v>0.17336836306005715</c:v>
              </c:pt>
              <c:pt idx="1388">
                <c:v>0.17359937460223834</c:v>
              </c:pt>
              <c:pt idx="1389">
                <c:v>0.17359937460223834</c:v>
              </c:pt>
              <c:pt idx="1390">
                <c:v>0.17383038614441951</c:v>
              </c:pt>
              <c:pt idx="1391">
                <c:v>0.17383038614441951</c:v>
              </c:pt>
              <c:pt idx="1392">
                <c:v>0.17406139768660067</c:v>
              </c:pt>
              <c:pt idx="1393">
                <c:v>0.17406139768660067</c:v>
              </c:pt>
              <c:pt idx="1394">
                <c:v>0.17429240922878186</c:v>
              </c:pt>
              <c:pt idx="1395">
                <c:v>0.17429240922878186</c:v>
              </c:pt>
              <c:pt idx="1396">
                <c:v>0.17452342077096303</c:v>
              </c:pt>
              <c:pt idx="1397">
                <c:v>0.17452342077096303</c:v>
              </c:pt>
              <c:pt idx="1398">
                <c:v>0.17475443231314422</c:v>
              </c:pt>
              <c:pt idx="1399">
                <c:v>0.17475443231314422</c:v>
              </c:pt>
              <c:pt idx="1400">
                <c:v>0.17498544385532538</c:v>
              </c:pt>
              <c:pt idx="1401">
                <c:v>0.17498544385532538</c:v>
              </c:pt>
              <c:pt idx="1402">
                <c:v>0.17521645539750655</c:v>
              </c:pt>
              <c:pt idx="1403">
                <c:v>0.17521645539750655</c:v>
              </c:pt>
              <c:pt idx="1404">
                <c:v>0.17544746693968774</c:v>
              </c:pt>
              <c:pt idx="1405">
                <c:v>0.17544746693968774</c:v>
              </c:pt>
              <c:pt idx="1406">
                <c:v>0.1756784784818689</c:v>
              </c:pt>
              <c:pt idx="1407">
                <c:v>0.1756784784818689</c:v>
              </c:pt>
              <c:pt idx="1408">
                <c:v>0.17590949002405007</c:v>
              </c:pt>
              <c:pt idx="1409">
                <c:v>0.17590949002405007</c:v>
              </c:pt>
              <c:pt idx="1410">
                <c:v>0.17614050156623126</c:v>
              </c:pt>
              <c:pt idx="1411">
                <c:v>0.17614050156623126</c:v>
              </c:pt>
              <c:pt idx="1412">
                <c:v>0.17637151310841243</c:v>
              </c:pt>
              <c:pt idx="1413">
                <c:v>0.17637151310841243</c:v>
              </c:pt>
              <c:pt idx="1414">
                <c:v>0.17660252465059359</c:v>
              </c:pt>
              <c:pt idx="1415">
                <c:v>0.17660252465059359</c:v>
              </c:pt>
              <c:pt idx="1416">
                <c:v>0.17683353619277478</c:v>
              </c:pt>
              <c:pt idx="1417">
                <c:v>0.17683353619277478</c:v>
              </c:pt>
              <c:pt idx="1418">
                <c:v>0.17706454773495595</c:v>
              </c:pt>
              <c:pt idx="1419">
                <c:v>0.17706454773495595</c:v>
              </c:pt>
              <c:pt idx="1420">
                <c:v>0.17729555927713711</c:v>
              </c:pt>
              <c:pt idx="1421">
                <c:v>0.17729555927713711</c:v>
              </c:pt>
              <c:pt idx="1422">
                <c:v>0.1775265708193183</c:v>
              </c:pt>
              <c:pt idx="1423">
                <c:v>0.1775265708193183</c:v>
              </c:pt>
              <c:pt idx="1424">
                <c:v>0.17775758236149947</c:v>
              </c:pt>
              <c:pt idx="1425">
                <c:v>0.17775758236149947</c:v>
              </c:pt>
              <c:pt idx="1426">
                <c:v>0.17798859390368063</c:v>
              </c:pt>
              <c:pt idx="1427">
                <c:v>0.17798859390368063</c:v>
              </c:pt>
              <c:pt idx="1428">
                <c:v>0.17821960544586182</c:v>
              </c:pt>
              <c:pt idx="1429">
                <c:v>0.17821960544586182</c:v>
              </c:pt>
              <c:pt idx="1430">
                <c:v>0.17845061698804299</c:v>
              </c:pt>
              <c:pt idx="1431">
                <c:v>0.17845061698804299</c:v>
              </c:pt>
              <c:pt idx="1432">
                <c:v>0.17868162853022418</c:v>
              </c:pt>
              <c:pt idx="1433">
                <c:v>0.17868162853022418</c:v>
              </c:pt>
              <c:pt idx="1434">
                <c:v>0.17891264007240534</c:v>
              </c:pt>
              <c:pt idx="1435">
                <c:v>0.17891264007240534</c:v>
              </c:pt>
              <c:pt idx="1436">
                <c:v>0.17914365161458651</c:v>
              </c:pt>
              <c:pt idx="1437">
                <c:v>0.17914365161458651</c:v>
              </c:pt>
              <c:pt idx="1438">
                <c:v>0.1793746631567677</c:v>
              </c:pt>
              <c:pt idx="1439">
                <c:v>0.1793746631567677</c:v>
              </c:pt>
              <c:pt idx="1440">
                <c:v>0.17960567469894886</c:v>
              </c:pt>
              <c:pt idx="1441">
                <c:v>0.17960567469894886</c:v>
              </c:pt>
              <c:pt idx="1442">
                <c:v>0.17983668624113003</c:v>
              </c:pt>
              <c:pt idx="1443">
                <c:v>0.17983668624113003</c:v>
              </c:pt>
              <c:pt idx="1444">
                <c:v>0.18006769778331122</c:v>
              </c:pt>
              <c:pt idx="1445">
                <c:v>0.18006769778331122</c:v>
              </c:pt>
              <c:pt idx="1446">
                <c:v>0.18029870932549238</c:v>
              </c:pt>
              <c:pt idx="1447">
                <c:v>0.18029870932549238</c:v>
              </c:pt>
              <c:pt idx="1448">
                <c:v>0.18052972086767355</c:v>
              </c:pt>
              <c:pt idx="1449">
                <c:v>0.18052972086767355</c:v>
              </c:pt>
              <c:pt idx="1450">
                <c:v>0.18076073240985474</c:v>
              </c:pt>
              <c:pt idx="1451">
                <c:v>0.18076073240985474</c:v>
              </c:pt>
              <c:pt idx="1452">
                <c:v>0.18099174395203591</c:v>
              </c:pt>
              <c:pt idx="1453">
                <c:v>0.18099174395203591</c:v>
              </c:pt>
              <c:pt idx="1454">
                <c:v>0.18122275549421707</c:v>
              </c:pt>
              <c:pt idx="1455">
                <c:v>0.18122275549421707</c:v>
              </c:pt>
              <c:pt idx="1456">
                <c:v>0.18145376703639826</c:v>
              </c:pt>
              <c:pt idx="1457">
                <c:v>0.18145376703639826</c:v>
              </c:pt>
              <c:pt idx="1458">
                <c:v>0.18168477857857943</c:v>
              </c:pt>
              <c:pt idx="1459">
                <c:v>0.18168477857857943</c:v>
              </c:pt>
              <c:pt idx="1460">
                <c:v>0.18191579012076059</c:v>
              </c:pt>
              <c:pt idx="1461">
                <c:v>0.18191579012076059</c:v>
              </c:pt>
              <c:pt idx="1462">
                <c:v>0.18214680166294178</c:v>
              </c:pt>
              <c:pt idx="1463">
                <c:v>0.18214680166294178</c:v>
              </c:pt>
              <c:pt idx="1464">
                <c:v>0.18237781320512295</c:v>
              </c:pt>
              <c:pt idx="1465">
                <c:v>0.18237781320512295</c:v>
              </c:pt>
              <c:pt idx="1466">
                <c:v>0.18260882474730411</c:v>
              </c:pt>
              <c:pt idx="1467">
                <c:v>0.18260882474730411</c:v>
              </c:pt>
              <c:pt idx="1468">
                <c:v>0.1828398362894853</c:v>
              </c:pt>
              <c:pt idx="1469">
                <c:v>0.1828398362894853</c:v>
              </c:pt>
              <c:pt idx="1470">
                <c:v>0.18307084783166647</c:v>
              </c:pt>
              <c:pt idx="1471">
                <c:v>0.18307084783166647</c:v>
              </c:pt>
              <c:pt idx="1472">
                <c:v>0.18330185937384763</c:v>
              </c:pt>
              <c:pt idx="1473">
                <c:v>0.18330185937384763</c:v>
              </c:pt>
              <c:pt idx="1474">
                <c:v>0.18353287091602882</c:v>
              </c:pt>
              <c:pt idx="1475">
                <c:v>0.18353287091602882</c:v>
              </c:pt>
              <c:pt idx="1476">
                <c:v>0.1836318758626779</c:v>
              </c:pt>
              <c:pt idx="1477">
                <c:v>0.1836318758626779</c:v>
              </c:pt>
              <c:pt idx="1478">
                <c:v>0.1836318758626779</c:v>
              </c:pt>
              <c:pt idx="1479">
                <c:v>0.1836318758626779</c:v>
              </c:pt>
              <c:pt idx="1480">
                <c:v>0.1836318758626779</c:v>
              </c:pt>
              <c:pt idx="1481">
                <c:v>0.1836318758626779</c:v>
              </c:pt>
              <c:pt idx="1482">
                <c:v>0.18386288740485907</c:v>
              </c:pt>
              <c:pt idx="1483">
                <c:v>0.18386288740485907</c:v>
              </c:pt>
              <c:pt idx="1484">
                <c:v>0.18409389894704026</c:v>
              </c:pt>
              <c:pt idx="1485">
                <c:v>0.18409389894704026</c:v>
              </c:pt>
              <c:pt idx="1486">
                <c:v>0.18432491048922142</c:v>
              </c:pt>
              <c:pt idx="1487">
                <c:v>0.18432491048922142</c:v>
              </c:pt>
              <c:pt idx="1488">
                <c:v>0.18455592203140259</c:v>
              </c:pt>
              <c:pt idx="1489">
                <c:v>0.18455592203140259</c:v>
              </c:pt>
              <c:pt idx="1490">
                <c:v>0.18478693357358378</c:v>
              </c:pt>
              <c:pt idx="1491">
                <c:v>0.18478693357358378</c:v>
              </c:pt>
              <c:pt idx="1492">
                <c:v>0.18501794511576494</c:v>
              </c:pt>
              <c:pt idx="1493">
                <c:v>0.18501794511576494</c:v>
              </c:pt>
              <c:pt idx="1494">
                <c:v>0.18524895665794611</c:v>
              </c:pt>
              <c:pt idx="1495">
                <c:v>0.18524895665794611</c:v>
              </c:pt>
              <c:pt idx="1496">
                <c:v>0.1854799682001273</c:v>
              </c:pt>
              <c:pt idx="1497">
                <c:v>0.1854799682001273</c:v>
              </c:pt>
              <c:pt idx="1498">
                <c:v>0.18571097974230846</c:v>
              </c:pt>
              <c:pt idx="1499">
                <c:v>0.18571097974230846</c:v>
              </c:pt>
              <c:pt idx="1500">
                <c:v>0.18594199128448963</c:v>
              </c:pt>
              <c:pt idx="1501">
                <c:v>0.18594199128448963</c:v>
              </c:pt>
              <c:pt idx="1502">
                <c:v>0.18617300282667082</c:v>
              </c:pt>
              <c:pt idx="1503">
                <c:v>0.18617300282667082</c:v>
              </c:pt>
              <c:pt idx="1504">
                <c:v>0.18640401436885198</c:v>
              </c:pt>
              <c:pt idx="1505">
                <c:v>0.18640401436885198</c:v>
              </c:pt>
              <c:pt idx="1506">
                <c:v>0.18663502591103318</c:v>
              </c:pt>
              <c:pt idx="1507">
                <c:v>0.18663502591103318</c:v>
              </c:pt>
              <c:pt idx="1508">
                <c:v>0.18686603745321434</c:v>
              </c:pt>
              <c:pt idx="1509">
                <c:v>0.18686603745321434</c:v>
              </c:pt>
              <c:pt idx="1510">
                <c:v>0.1870970489953955</c:v>
              </c:pt>
              <c:pt idx="1511">
                <c:v>0.1870970489953955</c:v>
              </c:pt>
              <c:pt idx="1512">
                <c:v>0.1873280605375767</c:v>
              </c:pt>
              <c:pt idx="1513">
                <c:v>0.1873280605375767</c:v>
              </c:pt>
              <c:pt idx="1514">
                <c:v>0.18755907207975786</c:v>
              </c:pt>
              <c:pt idx="1515">
                <c:v>0.18755907207975786</c:v>
              </c:pt>
              <c:pt idx="1516">
                <c:v>0.18779008362193902</c:v>
              </c:pt>
              <c:pt idx="1517">
                <c:v>0.18779008362193902</c:v>
              </c:pt>
              <c:pt idx="1518">
                <c:v>0.18802109516412022</c:v>
              </c:pt>
              <c:pt idx="1519">
                <c:v>0.18802109516412022</c:v>
              </c:pt>
              <c:pt idx="1520">
                <c:v>0.18825210670630138</c:v>
              </c:pt>
              <c:pt idx="1521">
                <c:v>0.18825210670630138</c:v>
              </c:pt>
              <c:pt idx="1522">
                <c:v>0.18848311824848255</c:v>
              </c:pt>
              <c:pt idx="1523">
                <c:v>0.18848311824848255</c:v>
              </c:pt>
              <c:pt idx="1524">
                <c:v>0.18871412979066374</c:v>
              </c:pt>
              <c:pt idx="1525">
                <c:v>0.18871412979066374</c:v>
              </c:pt>
              <c:pt idx="1526">
                <c:v>0.1889451413328449</c:v>
              </c:pt>
              <c:pt idx="1527">
                <c:v>0.1889451413328449</c:v>
              </c:pt>
              <c:pt idx="1528">
                <c:v>0.18917615287502607</c:v>
              </c:pt>
              <c:pt idx="1529">
                <c:v>0.18917615287502607</c:v>
              </c:pt>
              <c:pt idx="1530">
                <c:v>0.18940716441720726</c:v>
              </c:pt>
              <c:pt idx="1531">
                <c:v>0.18940716441720726</c:v>
              </c:pt>
              <c:pt idx="1532">
                <c:v>0.18963817595938842</c:v>
              </c:pt>
              <c:pt idx="1533">
                <c:v>0.18963817595938842</c:v>
              </c:pt>
              <c:pt idx="1534">
                <c:v>0.18986918750156959</c:v>
              </c:pt>
              <c:pt idx="1535">
                <c:v>0.18986918750156959</c:v>
              </c:pt>
              <c:pt idx="1536">
                <c:v>0.19010019904375078</c:v>
              </c:pt>
              <c:pt idx="1537">
                <c:v>0.19010019904375078</c:v>
              </c:pt>
              <c:pt idx="1538">
                <c:v>0.19033121058593194</c:v>
              </c:pt>
              <c:pt idx="1539">
                <c:v>0.19033121058593194</c:v>
              </c:pt>
              <c:pt idx="1540">
                <c:v>0.19056222212811313</c:v>
              </c:pt>
              <c:pt idx="1541">
                <c:v>0.19056222212811313</c:v>
              </c:pt>
              <c:pt idx="1542">
                <c:v>0.1907932336702943</c:v>
              </c:pt>
              <c:pt idx="1543">
                <c:v>0.1907932336702943</c:v>
              </c:pt>
              <c:pt idx="1544">
                <c:v>0.19102424521247546</c:v>
              </c:pt>
              <c:pt idx="1545">
                <c:v>0.19102424521247546</c:v>
              </c:pt>
              <c:pt idx="1546">
                <c:v>0.19125525675465666</c:v>
              </c:pt>
              <c:pt idx="1547">
                <c:v>0.19125525675465666</c:v>
              </c:pt>
              <c:pt idx="1548">
                <c:v>0.19148626829683782</c:v>
              </c:pt>
              <c:pt idx="1549">
                <c:v>0.19148626829683782</c:v>
              </c:pt>
              <c:pt idx="1550">
                <c:v>0.19171727983901898</c:v>
              </c:pt>
              <c:pt idx="1551">
                <c:v>0.19171727983901898</c:v>
              </c:pt>
              <c:pt idx="1552">
                <c:v>0.19194829138120018</c:v>
              </c:pt>
              <c:pt idx="1553">
                <c:v>0.19194829138120018</c:v>
              </c:pt>
              <c:pt idx="1554">
                <c:v>0.19217930292338134</c:v>
              </c:pt>
              <c:pt idx="1555">
                <c:v>0.19217930292338134</c:v>
              </c:pt>
              <c:pt idx="1556">
                <c:v>0.1924103144655625</c:v>
              </c:pt>
              <c:pt idx="1557">
                <c:v>0.1924103144655625</c:v>
              </c:pt>
              <c:pt idx="1558">
                <c:v>0.1926413260077437</c:v>
              </c:pt>
              <c:pt idx="1559">
                <c:v>0.1926413260077437</c:v>
              </c:pt>
              <c:pt idx="1560">
                <c:v>0.19287233754992486</c:v>
              </c:pt>
              <c:pt idx="1561">
                <c:v>0.19287233754992486</c:v>
              </c:pt>
              <c:pt idx="1562">
                <c:v>0.19310334909210602</c:v>
              </c:pt>
              <c:pt idx="1563">
                <c:v>0.19310334909210602</c:v>
              </c:pt>
              <c:pt idx="1564">
                <c:v>0.19333436063428722</c:v>
              </c:pt>
              <c:pt idx="1565">
                <c:v>0.19333436063428722</c:v>
              </c:pt>
              <c:pt idx="1566">
                <c:v>0.19356537217646838</c:v>
              </c:pt>
              <c:pt idx="1567">
                <c:v>0.19356537217646838</c:v>
              </c:pt>
              <c:pt idx="1568">
                <c:v>0.19379638371864955</c:v>
              </c:pt>
              <c:pt idx="1569">
                <c:v>0.19379638371864955</c:v>
              </c:pt>
              <c:pt idx="1570">
                <c:v>0.19402739526083074</c:v>
              </c:pt>
              <c:pt idx="1571">
                <c:v>0.19402739526083074</c:v>
              </c:pt>
              <c:pt idx="1572">
                <c:v>0.1942584068030119</c:v>
              </c:pt>
              <c:pt idx="1573">
                <c:v>0.1942584068030119</c:v>
              </c:pt>
              <c:pt idx="1574">
                <c:v>0.19448941834519307</c:v>
              </c:pt>
              <c:pt idx="1575">
                <c:v>0.19448941834519307</c:v>
              </c:pt>
              <c:pt idx="1576">
                <c:v>0.19472042988737426</c:v>
              </c:pt>
              <c:pt idx="1577">
                <c:v>0.19472042988737426</c:v>
              </c:pt>
              <c:pt idx="1578">
                <c:v>0.19495144142955542</c:v>
              </c:pt>
              <c:pt idx="1579">
                <c:v>0.19495144142955542</c:v>
              </c:pt>
              <c:pt idx="1580">
                <c:v>0.19518245297173659</c:v>
              </c:pt>
              <c:pt idx="1581">
                <c:v>0.19518245297173659</c:v>
              </c:pt>
              <c:pt idx="1582">
                <c:v>0.19541346451391778</c:v>
              </c:pt>
              <c:pt idx="1583">
                <c:v>0.19541346451391778</c:v>
              </c:pt>
              <c:pt idx="1584">
                <c:v>0.19564447605609894</c:v>
              </c:pt>
              <c:pt idx="1585">
                <c:v>0.19564447605609894</c:v>
              </c:pt>
              <c:pt idx="1586">
                <c:v>0.19587548759828011</c:v>
              </c:pt>
              <c:pt idx="1587">
                <c:v>0.19587548759828011</c:v>
              </c:pt>
              <c:pt idx="1588">
                <c:v>0.1961064991404613</c:v>
              </c:pt>
              <c:pt idx="1589">
                <c:v>0.1961064991404613</c:v>
              </c:pt>
              <c:pt idx="1590">
                <c:v>0.19633751068264246</c:v>
              </c:pt>
              <c:pt idx="1591">
                <c:v>0.19633751068264246</c:v>
              </c:pt>
              <c:pt idx="1592">
                <c:v>0.19656852222482366</c:v>
              </c:pt>
              <c:pt idx="1593">
                <c:v>0.19656852222482366</c:v>
              </c:pt>
              <c:pt idx="1594">
                <c:v>0.19679953376700482</c:v>
              </c:pt>
              <c:pt idx="1595">
                <c:v>0.19679953376700482</c:v>
              </c:pt>
              <c:pt idx="1596">
                <c:v>0.19703054530918598</c:v>
              </c:pt>
              <c:pt idx="1597">
                <c:v>0.19703054530918598</c:v>
              </c:pt>
              <c:pt idx="1598">
                <c:v>0.19726155685136718</c:v>
              </c:pt>
              <c:pt idx="1599">
                <c:v>0.19726155685136718</c:v>
              </c:pt>
              <c:pt idx="1600">
                <c:v>0.19749256839354834</c:v>
              </c:pt>
              <c:pt idx="1601">
                <c:v>0.19749256839354834</c:v>
              </c:pt>
              <c:pt idx="1602">
                <c:v>0.1977235799357295</c:v>
              </c:pt>
              <c:pt idx="1603">
                <c:v>0.1977235799357295</c:v>
              </c:pt>
              <c:pt idx="1604">
                <c:v>0.1979545914779107</c:v>
              </c:pt>
              <c:pt idx="1605">
                <c:v>0.1979545914779107</c:v>
              </c:pt>
              <c:pt idx="1606">
                <c:v>0.19818560302009186</c:v>
              </c:pt>
              <c:pt idx="1607">
                <c:v>0.19818560302009186</c:v>
              </c:pt>
              <c:pt idx="1608">
                <c:v>0.19841661456227302</c:v>
              </c:pt>
              <c:pt idx="1609">
                <c:v>0.19841661456227302</c:v>
              </c:pt>
              <c:pt idx="1610">
                <c:v>0.19864762610445422</c:v>
              </c:pt>
              <c:pt idx="1611">
                <c:v>0.19864762610445422</c:v>
              </c:pt>
              <c:pt idx="1612">
                <c:v>0.19887863764663538</c:v>
              </c:pt>
              <c:pt idx="1613">
                <c:v>0.19887863764663538</c:v>
              </c:pt>
              <c:pt idx="1614">
                <c:v>0.19910964918881655</c:v>
              </c:pt>
              <c:pt idx="1615">
                <c:v>0.19910964918881655</c:v>
              </c:pt>
              <c:pt idx="1616">
                <c:v>0.19934066073099774</c:v>
              </c:pt>
              <c:pt idx="1617">
                <c:v>0.19934066073099774</c:v>
              </c:pt>
              <c:pt idx="1618">
                <c:v>0.1995716722731789</c:v>
              </c:pt>
              <c:pt idx="1619">
                <c:v>0.1995716722731789</c:v>
              </c:pt>
              <c:pt idx="1620">
                <c:v>0.19980268381536009</c:v>
              </c:pt>
              <c:pt idx="1621">
                <c:v>0.19980268381536009</c:v>
              </c:pt>
              <c:pt idx="1622">
                <c:v>0.20003369535754126</c:v>
              </c:pt>
              <c:pt idx="1623">
                <c:v>0.20003369535754126</c:v>
              </c:pt>
              <c:pt idx="1624">
                <c:v>0.20013270030419031</c:v>
              </c:pt>
              <c:pt idx="1625">
                <c:v>0.20013270030419031</c:v>
              </c:pt>
              <c:pt idx="1626">
                <c:v>0.20013270030419031</c:v>
              </c:pt>
              <c:pt idx="1627">
                <c:v>0.20013270030419031</c:v>
              </c:pt>
              <c:pt idx="1628">
                <c:v>0.20013270030419031</c:v>
              </c:pt>
              <c:pt idx="1629">
                <c:v>0.20013270030419031</c:v>
              </c:pt>
              <c:pt idx="1630">
                <c:v>0.20036371184637147</c:v>
              </c:pt>
              <c:pt idx="1631">
                <c:v>0.20036371184637147</c:v>
              </c:pt>
              <c:pt idx="1632">
                <c:v>0.20059472338855266</c:v>
              </c:pt>
              <c:pt idx="1633">
                <c:v>0.20059472338855266</c:v>
              </c:pt>
              <c:pt idx="1634">
                <c:v>0.20082573493073383</c:v>
              </c:pt>
              <c:pt idx="1635">
                <c:v>0.20082573493073383</c:v>
              </c:pt>
              <c:pt idx="1636">
                <c:v>0.20105674647291499</c:v>
              </c:pt>
              <c:pt idx="1637">
                <c:v>0.20105674647291499</c:v>
              </c:pt>
              <c:pt idx="1638">
                <c:v>0.20128775801509619</c:v>
              </c:pt>
              <c:pt idx="1639">
                <c:v>0.20128775801509619</c:v>
              </c:pt>
              <c:pt idx="1640">
                <c:v>0.20151876955727735</c:v>
              </c:pt>
              <c:pt idx="1641">
                <c:v>0.20151876955727735</c:v>
              </c:pt>
              <c:pt idx="1642">
                <c:v>0.20174978109945851</c:v>
              </c:pt>
              <c:pt idx="1643">
                <c:v>0.20174978109945851</c:v>
              </c:pt>
              <c:pt idx="1644">
                <c:v>0.20198079264163971</c:v>
              </c:pt>
              <c:pt idx="1645">
                <c:v>0.20198079264163971</c:v>
              </c:pt>
              <c:pt idx="1646">
                <c:v>0.20221180418382087</c:v>
              </c:pt>
              <c:pt idx="1647">
                <c:v>0.20221180418382087</c:v>
              </c:pt>
              <c:pt idx="1648">
                <c:v>0.20244281572600203</c:v>
              </c:pt>
              <c:pt idx="1649">
                <c:v>0.20244281572600203</c:v>
              </c:pt>
              <c:pt idx="1650">
                <c:v>0.20267382726818323</c:v>
              </c:pt>
              <c:pt idx="1651">
                <c:v>0.20267382726818323</c:v>
              </c:pt>
              <c:pt idx="1652">
                <c:v>0.20290483881036439</c:v>
              </c:pt>
              <c:pt idx="1653">
                <c:v>0.20290483881036439</c:v>
              </c:pt>
              <c:pt idx="1654">
                <c:v>0.20313585035254558</c:v>
              </c:pt>
              <c:pt idx="1655">
                <c:v>0.20313585035254558</c:v>
              </c:pt>
              <c:pt idx="1656">
                <c:v>0.20336686189472675</c:v>
              </c:pt>
              <c:pt idx="1657">
                <c:v>0.20336686189472675</c:v>
              </c:pt>
              <c:pt idx="1658">
                <c:v>0.20359787343690791</c:v>
              </c:pt>
              <c:pt idx="1659">
                <c:v>0.20359787343690791</c:v>
              </c:pt>
              <c:pt idx="1660">
                <c:v>0.2038288849790891</c:v>
              </c:pt>
              <c:pt idx="1661">
                <c:v>0.2038288849790891</c:v>
              </c:pt>
              <c:pt idx="1662">
                <c:v>0.20405989652127027</c:v>
              </c:pt>
              <c:pt idx="1663">
                <c:v>0.20405989652127027</c:v>
              </c:pt>
              <c:pt idx="1664">
                <c:v>0.20429090806345143</c:v>
              </c:pt>
              <c:pt idx="1665">
                <c:v>0.20429090806345143</c:v>
              </c:pt>
              <c:pt idx="1666">
                <c:v>0.20452191960563262</c:v>
              </c:pt>
              <c:pt idx="1667">
                <c:v>0.20452191960563262</c:v>
              </c:pt>
              <c:pt idx="1668">
                <c:v>0.20475293114781379</c:v>
              </c:pt>
              <c:pt idx="1669">
                <c:v>0.20475293114781379</c:v>
              </c:pt>
              <c:pt idx="1670">
                <c:v>0.20498394268999495</c:v>
              </c:pt>
              <c:pt idx="1671">
                <c:v>0.20498394268999495</c:v>
              </c:pt>
              <c:pt idx="1672">
                <c:v>0.20521495423217614</c:v>
              </c:pt>
              <c:pt idx="1673">
                <c:v>0.20521495423217614</c:v>
              </c:pt>
              <c:pt idx="1674">
                <c:v>0.20544596577435731</c:v>
              </c:pt>
              <c:pt idx="1675">
                <c:v>0.20544596577435731</c:v>
              </c:pt>
              <c:pt idx="1676">
                <c:v>0.20567697731653847</c:v>
              </c:pt>
              <c:pt idx="1677">
                <c:v>0.20567697731653847</c:v>
              </c:pt>
              <c:pt idx="1678">
                <c:v>0.20590798885871966</c:v>
              </c:pt>
              <c:pt idx="1679">
                <c:v>0.20590798885871966</c:v>
              </c:pt>
              <c:pt idx="1680">
                <c:v>0.20613900040090083</c:v>
              </c:pt>
              <c:pt idx="1681">
                <c:v>0.20613900040090083</c:v>
              </c:pt>
              <c:pt idx="1682">
                <c:v>0.20637001194308199</c:v>
              </c:pt>
              <c:pt idx="1683">
                <c:v>0.20637001194308199</c:v>
              </c:pt>
              <c:pt idx="1684">
                <c:v>0.20660102348526319</c:v>
              </c:pt>
              <c:pt idx="1685">
                <c:v>0.20660102348526319</c:v>
              </c:pt>
              <c:pt idx="1686">
                <c:v>0.20683203502744435</c:v>
              </c:pt>
              <c:pt idx="1687">
                <c:v>0.20683203502744435</c:v>
              </c:pt>
              <c:pt idx="1688">
                <c:v>0.20706304656962554</c:v>
              </c:pt>
              <c:pt idx="1689">
                <c:v>0.20706304656962554</c:v>
              </c:pt>
              <c:pt idx="1690">
                <c:v>0.20729405811180671</c:v>
              </c:pt>
              <c:pt idx="1691">
                <c:v>0.20729405811180671</c:v>
              </c:pt>
              <c:pt idx="1692">
                <c:v>0.20752506965398787</c:v>
              </c:pt>
              <c:pt idx="1693">
                <c:v>0.20752506965398787</c:v>
              </c:pt>
              <c:pt idx="1694">
                <c:v>0.20775608119616906</c:v>
              </c:pt>
              <c:pt idx="1695">
                <c:v>0.20775608119616906</c:v>
              </c:pt>
              <c:pt idx="1696">
                <c:v>0.20798709273835023</c:v>
              </c:pt>
              <c:pt idx="1697">
                <c:v>0.20798709273835023</c:v>
              </c:pt>
              <c:pt idx="1698">
                <c:v>0.20821810428053139</c:v>
              </c:pt>
              <c:pt idx="1699">
                <c:v>0.20821810428053139</c:v>
              </c:pt>
              <c:pt idx="1700">
                <c:v>0.20844911582271258</c:v>
              </c:pt>
              <c:pt idx="1701">
                <c:v>0.20844911582271258</c:v>
              </c:pt>
              <c:pt idx="1702">
                <c:v>0.20868012736489375</c:v>
              </c:pt>
              <c:pt idx="1703">
                <c:v>0.20868012736489375</c:v>
              </c:pt>
              <c:pt idx="1704">
                <c:v>0.20891113890707491</c:v>
              </c:pt>
              <c:pt idx="1705">
                <c:v>0.20891113890707491</c:v>
              </c:pt>
              <c:pt idx="1706">
                <c:v>0.2091421504492561</c:v>
              </c:pt>
              <c:pt idx="1707">
                <c:v>0.2091421504492561</c:v>
              </c:pt>
              <c:pt idx="1708">
                <c:v>0.20937316199143727</c:v>
              </c:pt>
              <c:pt idx="1709">
                <c:v>0.20937316199143727</c:v>
              </c:pt>
              <c:pt idx="1710">
                <c:v>0.20960417353361843</c:v>
              </c:pt>
              <c:pt idx="1711">
                <c:v>0.20960417353361843</c:v>
              </c:pt>
              <c:pt idx="1712">
                <c:v>0.20983518507579962</c:v>
              </c:pt>
              <c:pt idx="1713">
                <c:v>0.20983518507579962</c:v>
              </c:pt>
              <c:pt idx="1714">
                <c:v>0.21006619661798079</c:v>
              </c:pt>
              <c:pt idx="1715">
                <c:v>0.21006619661798079</c:v>
              </c:pt>
              <c:pt idx="1716">
                <c:v>0.21029720816016195</c:v>
              </c:pt>
              <c:pt idx="1717">
                <c:v>0.21029720816016195</c:v>
              </c:pt>
              <c:pt idx="1718">
                <c:v>0.21052821970234314</c:v>
              </c:pt>
              <c:pt idx="1719">
                <c:v>0.21052821970234314</c:v>
              </c:pt>
              <c:pt idx="1720">
                <c:v>0.21075923124452431</c:v>
              </c:pt>
              <c:pt idx="1721">
                <c:v>0.21075923124452431</c:v>
              </c:pt>
              <c:pt idx="1722">
                <c:v>0.21099024278670547</c:v>
              </c:pt>
              <c:pt idx="1723">
                <c:v>0.21099024278670547</c:v>
              </c:pt>
              <c:pt idx="1724">
                <c:v>0.21122125432888667</c:v>
              </c:pt>
              <c:pt idx="1725">
                <c:v>0.21122125432888667</c:v>
              </c:pt>
              <c:pt idx="1726">
                <c:v>0.21145226587106783</c:v>
              </c:pt>
              <c:pt idx="1727">
                <c:v>0.21145226587106783</c:v>
              </c:pt>
              <c:pt idx="1728">
                <c:v>0.21168327741324899</c:v>
              </c:pt>
              <c:pt idx="1729">
                <c:v>0.21168327741324899</c:v>
              </c:pt>
              <c:pt idx="1730">
                <c:v>0.21191428895543019</c:v>
              </c:pt>
              <c:pt idx="1731">
                <c:v>0.21191428895543019</c:v>
              </c:pt>
              <c:pt idx="1732">
                <c:v>0.21214530049761135</c:v>
              </c:pt>
              <c:pt idx="1733">
                <c:v>0.21214530049761135</c:v>
              </c:pt>
              <c:pt idx="1734">
                <c:v>0.21237631203979251</c:v>
              </c:pt>
              <c:pt idx="1735">
                <c:v>0.21237631203979251</c:v>
              </c:pt>
              <c:pt idx="1736">
                <c:v>0.21260732358197371</c:v>
              </c:pt>
              <c:pt idx="1737">
                <c:v>0.21260732358197371</c:v>
              </c:pt>
              <c:pt idx="1738">
                <c:v>0.21283833512415487</c:v>
              </c:pt>
              <c:pt idx="1739">
                <c:v>0.21283833512415487</c:v>
              </c:pt>
              <c:pt idx="1740">
                <c:v>0.21306934666633606</c:v>
              </c:pt>
              <c:pt idx="1741">
                <c:v>0.21306934666633606</c:v>
              </c:pt>
              <c:pt idx="1742">
                <c:v>0.21330035820851723</c:v>
              </c:pt>
              <c:pt idx="1743">
                <c:v>0.21330035820851723</c:v>
              </c:pt>
              <c:pt idx="1744">
                <c:v>0.21353136975069839</c:v>
              </c:pt>
              <c:pt idx="1745">
                <c:v>0.21353136975069839</c:v>
              </c:pt>
              <c:pt idx="1746">
                <c:v>0.21376238129287958</c:v>
              </c:pt>
              <c:pt idx="1747">
                <c:v>0.21376238129287958</c:v>
              </c:pt>
              <c:pt idx="1748">
                <c:v>0.21399339283506075</c:v>
              </c:pt>
              <c:pt idx="1749">
                <c:v>0.21399339283506075</c:v>
              </c:pt>
              <c:pt idx="1750">
                <c:v>0.21422440437724191</c:v>
              </c:pt>
              <c:pt idx="1751">
                <c:v>0.21422440437724191</c:v>
              </c:pt>
              <c:pt idx="1752">
                <c:v>0.2144554159194231</c:v>
              </c:pt>
              <c:pt idx="1753">
                <c:v>0.2144554159194231</c:v>
              </c:pt>
              <c:pt idx="1754">
                <c:v>0.21468642746160427</c:v>
              </c:pt>
              <c:pt idx="1755">
                <c:v>0.21468642746160427</c:v>
              </c:pt>
              <c:pt idx="1756">
                <c:v>0.21491743900378543</c:v>
              </c:pt>
              <c:pt idx="1757">
                <c:v>0.21491743900378543</c:v>
              </c:pt>
              <c:pt idx="1758">
                <c:v>0.21514845054596662</c:v>
              </c:pt>
              <c:pt idx="1759">
                <c:v>0.21514845054596662</c:v>
              </c:pt>
              <c:pt idx="1760">
                <c:v>0.21537946208814779</c:v>
              </c:pt>
              <c:pt idx="1761">
                <c:v>0.21537946208814779</c:v>
              </c:pt>
              <c:pt idx="1762">
                <c:v>0.21561047363032895</c:v>
              </c:pt>
              <c:pt idx="1763">
                <c:v>0.21561047363032895</c:v>
              </c:pt>
              <c:pt idx="1764">
                <c:v>0.21584148517251014</c:v>
              </c:pt>
              <c:pt idx="1765">
                <c:v>0.21584148517251014</c:v>
              </c:pt>
              <c:pt idx="1766">
                <c:v>0.21607249671469131</c:v>
              </c:pt>
              <c:pt idx="1767">
                <c:v>0.21607249671469131</c:v>
              </c:pt>
              <c:pt idx="1768">
                <c:v>0.2163035082568725</c:v>
              </c:pt>
              <c:pt idx="1769">
                <c:v>0.2163035082568725</c:v>
              </c:pt>
              <c:pt idx="1770">
                <c:v>0.21653451979905367</c:v>
              </c:pt>
              <c:pt idx="1771">
                <c:v>0.21653451979905367</c:v>
              </c:pt>
              <c:pt idx="1772">
                <c:v>0.21663352474570274</c:v>
              </c:pt>
              <c:pt idx="1773">
                <c:v>0.21663352474570274</c:v>
              </c:pt>
              <c:pt idx="1774">
                <c:v>0.21663352474570274</c:v>
              </c:pt>
              <c:pt idx="1775">
                <c:v>0.21663352474570274</c:v>
              </c:pt>
              <c:pt idx="1776">
                <c:v>0.21663352474570274</c:v>
              </c:pt>
              <c:pt idx="1777">
                <c:v>0.21663352474570274</c:v>
              </c:pt>
              <c:pt idx="1778">
                <c:v>0.21686453628788391</c:v>
              </c:pt>
              <c:pt idx="1779">
                <c:v>0.21686453628788391</c:v>
              </c:pt>
              <c:pt idx="1780">
                <c:v>0.2170955478300651</c:v>
              </c:pt>
              <c:pt idx="1781">
                <c:v>0.2170955478300651</c:v>
              </c:pt>
              <c:pt idx="1782">
                <c:v>0.21732655937224626</c:v>
              </c:pt>
              <c:pt idx="1783">
                <c:v>0.21732655937224626</c:v>
              </c:pt>
              <c:pt idx="1784">
                <c:v>0.21755757091442743</c:v>
              </c:pt>
              <c:pt idx="1785">
                <c:v>0.21755757091442743</c:v>
              </c:pt>
              <c:pt idx="1786">
                <c:v>0.21778858245660862</c:v>
              </c:pt>
              <c:pt idx="1787">
                <c:v>0.21778858245660862</c:v>
              </c:pt>
              <c:pt idx="1788">
                <c:v>0.21801959399878978</c:v>
              </c:pt>
              <c:pt idx="1789">
                <c:v>0.21801959399878978</c:v>
              </c:pt>
              <c:pt idx="1790">
                <c:v>0.21825060554097095</c:v>
              </c:pt>
              <c:pt idx="1791">
                <c:v>0.21825060554097095</c:v>
              </c:pt>
              <c:pt idx="1792">
                <c:v>0.21848161708315214</c:v>
              </c:pt>
              <c:pt idx="1793">
                <c:v>0.21848161708315214</c:v>
              </c:pt>
              <c:pt idx="1794">
                <c:v>0.21871262862533331</c:v>
              </c:pt>
              <c:pt idx="1795">
                <c:v>0.21871262862533331</c:v>
              </c:pt>
              <c:pt idx="1796">
                <c:v>0.2189436401675145</c:v>
              </c:pt>
              <c:pt idx="1797">
                <c:v>0.2189436401675145</c:v>
              </c:pt>
              <c:pt idx="1798">
                <c:v>0.21917465170969566</c:v>
              </c:pt>
              <c:pt idx="1799">
                <c:v>0.21917465170969566</c:v>
              </c:pt>
              <c:pt idx="1800">
                <c:v>0.21940566325187683</c:v>
              </c:pt>
              <c:pt idx="1801">
                <c:v>0.21940566325187683</c:v>
              </c:pt>
              <c:pt idx="1802">
                <c:v>0.21963667479405802</c:v>
              </c:pt>
              <c:pt idx="1803">
                <c:v>0.21963667479405802</c:v>
              </c:pt>
              <c:pt idx="1804">
                <c:v>0.21986768633623918</c:v>
              </c:pt>
              <c:pt idx="1805">
                <c:v>0.21986768633623918</c:v>
              </c:pt>
              <c:pt idx="1806">
                <c:v>0.22009869787842035</c:v>
              </c:pt>
              <c:pt idx="1807">
                <c:v>0.22009869787842035</c:v>
              </c:pt>
              <c:pt idx="1808">
                <c:v>0.22032970942060154</c:v>
              </c:pt>
              <c:pt idx="1809">
                <c:v>0.22032970942060154</c:v>
              </c:pt>
              <c:pt idx="1810">
                <c:v>0.2205607209627827</c:v>
              </c:pt>
              <c:pt idx="1811">
                <c:v>0.2205607209627827</c:v>
              </c:pt>
              <c:pt idx="1812">
                <c:v>0.22079173250496387</c:v>
              </c:pt>
              <c:pt idx="1813">
                <c:v>0.22079173250496387</c:v>
              </c:pt>
              <c:pt idx="1814">
                <c:v>0.22102274404714506</c:v>
              </c:pt>
              <c:pt idx="1815">
                <c:v>0.22102274404714506</c:v>
              </c:pt>
              <c:pt idx="1816">
                <c:v>0.22125375558932622</c:v>
              </c:pt>
              <c:pt idx="1817">
                <c:v>0.22125375558932622</c:v>
              </c:pt>
              <c:pt idx="1818">
                <c:v>0.22148476713150739</c:v>
              </c:pt>
              <c:pt idx="1819">
                <c:v>0.22148476713150739</c:v>
              </c:pt>
              <c:pt idx="1820">
                <c:v>0.22171577867368858</c:v>
              </c:pt>
              <c:pt idx="1821">
                <c:v>0.22171577867368858</c:v>
              </c:pt>
              <c:pt idx="1822">
                <c:v>0.22194679021586974</c:v>
              </c:pt>
              <c:pt idx="1823">
                <c:v>0.22194679021586974</c:v>
              </c:pt>
              <c:pt idx="1824">
                <c:v>0.22217780175805091</c:v>
              </c:pt>
              <c:pt idx="1825">
                <c:v>0.22217780175805091</c:v>
              </c:pt>
              <c:pt idx="1826">
                <c:v>0.2224088133002321</c:v>
              </c:pt>
              <c:pt idx="1827">
                <c:v>0.2224088133002321</c:v>
              </c:pt>
              <c:pt idx="1828">
                <c:v>0.22263982484241326</c:v>
              </c:pt>
              <c:pt idx="1829">
                <c:v>0.22263982484241326</c:v>
              </c:pt>
              <c:pt idx="1830">
                <c:v>0.22287083638459443</c:v>
              </c:pt>
              <c:pt idx="1831">
                <c:v>0.22287083638459443</c:v>
              </c:pt>
              <c:pt idx="1832">
                <c:v>0.22310184792677562</c:v>
              </c:pt>
              <c:pt idx="1833">
                <c:v>0.22310184792677562</c:v>
              </c:pt>
              <c:pt idx="1834">
                <c:v>0.22333285946895678</c:v>
              </c:pt>
              <c:pt idx="1835">
                <c:v>0.22333285946895678</c:v>
              </c:pt>
              <c:pt idx="1836">
                <c:v>0.22356387101113795</c:v>
              </c:pt>
              <c:pt idx="1837">
                <c:v>0.22356387101113795</c:v>
              </c:pt>
              <c:pt idx="1838">
                <c:v>0.22379488255331914</c:v>
              </c:pt>
              <c:pt idx="1839">
                <c:v>0.22379488255331914</c:v>
              </c:pt>
              <c:pt idx="1840">
                <c:v>0.22402589409550031</c:v>
              </c:pt>
              <c:pt idx="1841">
                <c:v>0.22402589409550031</c:v>
              </c:pt>
              <c:pt idx="1842">
                <c:v>0.2242569056376815</c:v>
              </c:pt>
              <c:pt idx="1843">
                <c:v>0.2242569056376815</c:v>
              </c:pt>
              <c:pt idx="1844">
                <c:v>0.22448791717986266</c:v>
              </c:pt>
              <c:pt idx="1845">
                <c:v>0.22448791717986266</c:v>
              </c:pt>
              <c:pt idx="1846">
                <c:v>0.22471892872204383</c:v>
              </c:pt>
              <c:pt idx="1847">
                <c:v>0.22471892872204383</c:v>
              </c:pt>
              <c:pt idx="1848">
                <c:v>0.22494994026422502</c:v>
              </c:pt>
              <c:pt idx="1849">
                <c:v>0.22494994026422502</c:v>
              </c:pt>
              <c:pt idx="1850">
                <c:v>0.22518095180640618</c:v>
              </c:pt>
              <c:pt idx="1851">
                <c:v>0.22518095180640618</c:v>
              </c:pt>
              <c:pt idx="1852">
                <c:v>0.22541196334858735</c:v>
              </c:pt>
              <c:pt idx="1853">
                <c:v>0.22541196334858735</c:v>
              </c:pt>
              <c:pt idx="1854">
                <c:v>0.22564297489076854</c:v>
              </c:pt>
              <c:pt idx="1855">
                <c:v>0.22564297489076854</c:v>
              </c:pt>
              <c:pt idx="1856">
                <c:v>0.2258739864329497</c:v>
              </c:pt>
              <c:pt idx="1857">
                <c:v>0.2258739864329497</c:v>
              </c:pt>
              <c:pt idx="1858">
                <c:v>0.22610499797513087</c:v>
              </c:pt>
              <c:pt idx="1859">
                <c:v>0.22610499797513087</c:v>
              </c:pt>
              <c:pt idx="1860">
                <c:v>0.22633600951731206</c:v>
              </c:pt>
              <c:pt idx="1861">
                <c:v>0.22633600951731206</c:v>
              </c:pt>
              <c:pt idx="1862">
                <c:v>0.22656702105949322</c:v>
              </c:pt>
              <c:pt idx="1863">
                <c:v>0.22656702105949322</c:v>
              </c:pt>
              <c:pt idx="1864">
                <c:v>0.22679803260167439</c:v>
              </c:pt>
              <c:pt idx="1865">
                <c:v>0.22679803260167439</c:v>
              </c:pt>
              <c:pt idx="1866">
                <c:v>0.22702904414385558</c:v>
              </c:pt>
              <c:pt idx="1867">
                <c:v>0.22702904414385558</c:v>
              </c:pt>
              <c:pt idx="1868">
                <c:v>0.22726005568603674</c:v>
              </c:pt>
              <c:pt idx="1869">
                <c:v>0.22726005568603674</c:v>
              </c:pt>
              <c:pt idx="1870">
                <c:v>0.22749106722821791</c:v>
              </c:pt>
              <c:pt idx="1871">
                <c:v>0.22749106722821791</c:v>
              </c:pt>
              <c:pt idx="1872">
                <c:v>0.2277220787703991</c:v>
              </c:pt>
              <c:pt idx="1873">
                <c:v>0.2277220787703991</c:v>
              </c:pt>
              <c:pt idx="1874">
                <c:v>0.22795309031258026</c:v>
              </c:pt>
              <c:pt idx="1875">
                <c:v>0.22795309031258026</c:v>
              </c:pt>
              <c:pt idx="1876">
                <c:v>0.22818410185476146</c:v>
              </c:pt>
              <c:pt idx="1877">
                <c:v>0.22818410185476146</c:v>
              </c:pt>
              <c:pt idx="1878">
                <c:v>0.22841511339694262</c:v>
              </c:pt>
              <c:pt idx="1879">
                <c:v>0.22841511339694262</c:v>
              </c:pt>
              <c:pt idx="1880">
                <c:v>0.22864612493912378</c:v>
              </c:pt>
              <c:pt idx="1881">
                <c:v>0.22864612493912378</c:v>
              </c:pt>
              <c:pt idx="1882">
                <c:v>0.22887713648130498</c:v>
              </c:pt>
              <c:pt idx="1883">
                <c:v>0.22887713648130498</c:v>
              </c:pt>
              <c:pt idx="1884">
                <c:v>0.22910814802348614</c:v>
              </c:pt>
              <c:pt idx="1885">
                <c:v>0.22910814802348614</c:v>
              </c:pt>
              <c:pt idx="1886">
                <c:v>0.22933915956566731</c:v>
              </c:pt>
              <c:pt idx="1887">
                <c:v>0.22933915956566731</c:v>
              </c:pt>
              <c:pt idx="1888">
                <c:v>0.2295701711078485</c:v>
              </c:pt>
              <c:pt idx="1889">
                <c:v>0.2295701711078485</c:v>
              </c:pt>
              <c:pt idx="1890">
                <c:v>0.22980118265002966</c:v>
              </c:pt>
              <c:pt idx="1891">
                <c:v>0.22980118265002966</c:v>
              </c:pt>
              <c:pt idx="1892">
                <c:v>0.23003219419221083</c:v>
              </c:pt>
              <c:pt idx="1893">
                <c:v>0.23003219419221083</c:v>
              </c:pt>
              <c:pt idx="1894">
                <c:v>0.23026320573439202</c:v>
              </c:pt>
              <c:pt idx="1895">
                <c:v>0.23026320573439202</c:v>
              </c:pt>
              <c:pt idx="1896">
                <c:v>0.23049421727657318</c:v>
              </c:pt>
              <c:pt idx="1897">
                <c:v>0.23049421727657318</c:v>
              </c:pt>
              <c:pt idx="1898">
                <c:v>0.23072522881875435</c:v>
              </c:pt>
              <c:pt idx="1899">
                <c:v>0.23072522881875435</c:v>
              </c:pt>
              <c:pt idx="1900">
                <c:v>0.23095624036093554</c:v>
              </c:pt>
              <c:pt idx="1901">
                <c:v>0.23095624036093554</c:v>
              </c:pt>
              <c:pt idx="1902">
                <c:v>0.2311872519031167</c:v>
              </c:pt>
              <c:pt idx="1903">
                <c:v>0.2311872519031167</c:v>
              </c:pt>
              <c:pt idx="1904">
                <c:v>0.23141826344529787</c:v>
              </c:pt>
              <c:pt idx="1905">
                <c:v>0.23141826344529787</c:v>
              </c:pt>
              <c:pt idx="1906">
                <c:v>0.23164927498747906</c:v>
              </c:pt>
              <c:pt idx="1907">
                <c:v>0.23164927498747906</c:v>
              </c:pt>
              <c:pt idx="1908">
                <c:v>0.23188028652966022</c:v>
              </c:pt>
              <c:pt idx="1909">
                <c:v>0.23188028652966022</c:v>
              </c:pt>
              <c:pt idx="1910">
                <c:v>0.23211129807184139</c:v>
              </c:pt>
              <c:pt idx="1911">
                <c:v>0.23211129807184139</c:v>
              </c:pt>
              <c:pt idx="1912">
                <c:v>0.23234230961402258</c:v>
              </c:pt>
              <c:pt idx="1913">
                <c:v>0.23234230961402258</c:v>
              </c:pt>
              <c:pt idx="1914">
                <c:v>0.23257332115620374</c:v>
              </c:pt>
              <c:pt idx="1915">
                <c:v>0.23257332115620374</c:v>
              </c:pt>
              <c:pt idx="1916">
                <c:v>0.23280433269838491</c:v>
              </c:pt>
              <c:pt idx="1917">
                <c:v>0.23280433269838491</c:v>
              </c:pt>
              <c:pt idx="1918">
                <c:v>0.2330353442405661</c:v>
              </c:pt>
              <c:pt idx="1919">
                <c:v>0.2330353442405661</c:v>
              </c:pt>
              <c:pt idx="1920">
                <c:v>0.23313434918721518</c:v>
              </c:pt>
              <c:pt idx="1921">
                <c:v>0.23313434918721518</c:v>
              </c:pt>
              <c:pt idx="1922">
                <c:v>0.23313434918721518</c:v>
              </c:pt>
              <c:pt idx="1923">
                <c:v>0.23313434918721518</c:v>
              </c:pt>
              <c:pt idx="1924">
                <c:v>0.23313434918721518</c:v>
              </c:pt>
              <c:pt idx="1925">
                <c:v>0.23313434918721518</c:v>
              </c:pt>
              <c:pt idx="1926">
                <c:v>0.23336536072939634</c:v>
              </c:pt>
              <c:pt idx="1927">
                <c:v>0.23336536072939634</c:v>
              </c:pt>
              <c:pt idx="1928">
                <c:v>0.23359637227157753</c:v>
              </c:pt>
              <c:pt idx="1929">
                <c:v>0.23359637227157753</c:v>
              </c:pt>
              <c:pt idx="1930">
                <c:v>0.2338273838137587</c:v>
              </c:pt>
              <c:pt idx="1931">
                <c:v>0.2338273838137587</c:v>
              </c:pt>
              <c:pt idx="1932">
                <c:v>0.23405839535593986</c:v>
              </c:pt>
              <c:pt idx="1933">
                <c:v>0.23405839535593986</c:v>
              </c:pt>
              <c:pt idx="1934">
                <c:v>0.23428940689812106</c:v>
              </c:pt>
              <c:pt idx="1935">
                <c:v>0.23428940689812106</c:v>
              </c:pt>
              <c:pt idx="1936">
                <c:v>0.23452041844030222</c:v>
              </c:pt>
              <c:pt idx="1937">
                <c:v>0.23452041844030222</c:v>
              </c:pt>
              <c:pt idx="1938">
                <c:v>0.23475142998248338</c:v>
              </c:pt>
              <c:pt idx="1939">
                <c:v>0.23475142998248338</c:v>
              </c:pt>
              <c:pt idx="1940">
                <c:v>0.23498244152466458</c:v>
              </c:pt>
              <c:pt idx="1941">
                <c:v>0.23498244152466458</c:v>
              </c:pt>
              <c:pt idx="1942">
                <c:v>0.23521345306684574</c:v>
              </c:pt>
              <c:pt idx="1943">
                <c:v>0.23521345306684574</c:v>
              </c:pt>
              <c:pt idx="1944">
                <c:v>0.2354444646090269</c:v>
              </c:pt>
              <c:pt idx="1945">
                <c:v>0.2354444646090269</c:v>
              </c:pt>
              <c:pt idx="1946">
                <c:v>0.2356754761512081</c:v>
              </c:pt>
              <c:pt idx="1947">
                <c:v>0.2356754761512081</c:v>
              </c:pt>
              <c:pt idx="1948">
                <c:v>0.23590648769338926</c:v>
              </c:pt>
              <c:pt idx="1949">
                <c:v>0.23590648769338926</c:v>
              </c:pt>
              <c:pt idx="1950">
                <c:v>0.23613749923557045</c:v>
              </c:pt>
              <c:pt idx="1951">
                <c:v>0.23613749923557045</c:v>
              </c:pt>
              <c:pt idx="1952">
                <c:v>0.23636851077775162</c:v>
              </c:pt>
              <c:pt idx="1953">
                <c:v>0.23636851077775162</c:v>
              </c:pt>
              <c:pt idx="1954">
                <c:v>0.23659952231993278</c:v>
              </c:pt>
              <c:pt idx="1955">
                <c:v>0.23659952231993278</c:v>
              </c:pt>
              <c:pt idx="1956">
                <c:v>0.23683053386211397</c:v>
              </c:pt>
              <c:pt idx="1957">
                <c:v>0.23683053386211397</c:v>
              </c:pt>
              <c:pt idx="1958">
                <c:v>0.23706154540429514</c:v>
              </c:pt>
              <c:pt idx="1959">
                <c:v>0.23706154540429514</c:v>
              </c:pt>
              <c:pt idx="1960">
                <c:v>0.2372925569464763</c:v>
              </c:pt>
              <c:pt idx="1961">
                <c:v>0.2372925569464763</c:v>
              </c:pt>
              <c:pt idx="1962">
                <c:v>0.23752356848865749</c:v>
              </c:pt>
              <c:pt idx="1963">
                <c:v>0.23752356848865749</c:v>
              </c:pt>
              <c:pt idx="1964">
                <c:v>0.23775458003083866</c:v>
              </c:pt>
              <c:pt idx="1965">
                <c:v>0.23775458003083866</c:v>
              </c:pt>
              <c:pt idx="1966">
                <c:v>0.23798559157301982</c:v>
              </c:pt>
              <c:pt idx="1967">
                <c:v>0.23798559157301982</c:v>
              </c:pt>
              <c:pt idx="1968">
                <c:v>0.23821660311520101</c:v>
              </c:pt>
              <c:pt idx="1969">
                <c:v>0.23821660311520101</c:v>
              </c:pt>
              <c:pt idx="1970">
                <c:v>0.23844761465738218</c:v>
              </c:pt>
              <c:pt idx="1971">
                <c:v>0.23844761465738218</c:v>
              </c:pt>
              <c:pt idx="1972">
                <c:v>0.23867862619956334</c:v>
              </c:pt>
              <c:pt idx="1973">
                <c:v>0.23867862619956334</c:v>
              </c:pt>
              <c:pt idx="1974">
                <c:v>0.23890963774174453</c:v>
              </c:pt>
              <c:pt idx="1975">
                <c:v>0.23890963774174453</c:v>
              </c:pt>
              <c:pt idx="1976">
                <c:v>0.2391406492839257</c:v>
              </c:pt>
              <c:pt idx="1977">
                <c:v>0.2391406492839257</c:v>
              </c:pt>
              <c:pt idx="1978">
                <c:v>0.23937166082610686</c:v>
              </c:pt>
              <c:pt idx="1979">
                <c:v>0.23937166082610686</c:v>
              </c:pt>
              <c:pt idx="1980">
                <c:v>0.23960267236828806</c:v>
              </c:pt>
              <c:pt idx="1981">
                <c:v>0.23960267236828806</c:v>
              </c:pt>
              <c:pt idx="1982">
                <c:v>0.23983368391046922</c:v>
              </c:pt>
              <c:pt idx="1983">
                <c:v>0.23983368391046922</c:v>
              </c:pt>
              <c:pt idx="1984">
                <c:v>0.24006469545265041</c:v>
              </c:pt>
              <c:pt idx="1985">
                <c:v>0.24006469545265041</c:v>
              </c:pt>
              <c:pt idx="1986">
                <c:v>0.24029570699483158</c:v>
              </c:pt>
              <c:pt idx="1987">
                <c:v>0.24029570699483158</c:v>
              </c:pt>
              <c:pt idx="1988">
                <c:v>0.24052671853701274</c:v>
              </c:pt>
              <c:pt idx="1989">
                <c:v>0.24052671853701274</c:v>
              </c:pt>
              <c:pt idx="1990">
                <c:v>0.24075773007919393</c:v>
              </c:pt>
              <c:pt idx="1991">
                <c:v>0.24075773007919393</c:v>
              </c:pt>
              <c:pt idx="1992">
                <c:v>0.2409887416213751</c:v>
              </c:pt>
              <c:pt idx="1993">
                <c:v>0.2409887416213751</c:v>
              </c:pt>
              <c:pt idx="1994">
                <c:v>0.24121975316355626</c:v>
              </c:pt>
              <c:pt idx="1995">
                <c:v>0.24121975316355626</c:v>
              </c:pt>
              <c:pt idx="1996">
                <c:v>0.24145076470573745</c:v>
              </c:pt>
              <c:pt idx="1997">
                <c:v>0.24145076470573745</c:v>
              </c:pt>
              <c:pt idx="1998">
                <c:v>0.24168177624791862</c:v>
              </c:pt>
              <c:pt idx="1999">
                <c:v>0.24168177624791862</c:v>
              </c:pt>
              <c:pt idx="2000">
                <c:v>0.24191278779009978</c:v>
              </c:pt>
              <c:pt idx="2001">
                <c:v>0.24191278779009978</c:v>
              </c:pt>
              <c:pt idx="2002">
                <c:v>0.24214379933228097</c:v>
              </c:pt>
              <c:pt idx="2003">
                <c:v>0.24214379933228097</c:v>
              </c:pt>
              <c:pt idx="2004">
                <c:v>0.24237481087446214</c:v>
              </c:pt>
              <c:pt idx="2005">
                <c:v>0.24237481087446214</c:v>
              </c:pt>
              <c:pt idx="2006">
                <c:v>0.2426058224166433</c:v>
              </c:pt>
              <c:pt idx="2007">
                <c:v>0.2426058224166433</c:v>
              </c:pt>
              <c:pt idx="2008">
                <c:v>0.24283683395882449</c:v>
              </c:pt>
              <c:pt idx="2009">
                <c:v>0.24283683395882449</c:v>
              </c:pt>
              <c:pt idx="2010">
                <c:v>0.24306784550100566</c:v>
              </c:pt>
              <c:pt idx="2011">
                <c:v>0.24306784550100566</c:v>
              </c:pt>
              <c:pt idx="2012">
                <c:v>0.24329885704318682</c:v>
              </c:pt>
              <c:pt idx="2013">
                <c:v>0.24329885704318682</c:v>
              </c:pt>
              <c:pt idx="2014">
                <c:v>0.24352986858536801</c:v>
              </c:pt>
              <c:pt idx="2015">
                <c:v>0.24352986858536801</c:v>
              </c:pt>
              <c:pt idx="2016">
                <c:v>0.24376088012754918</c:v>
              </c:pt>
              <c:pt idx="2017">
                <c:v>0.24376088012754918</c:v>
              </c:pt>
              <c:pt idx="2018">
                <c:v>0.24399189166973034</c:v>
              </c:pt>
              <c:pt idx="2019">
                <c:v>0.24399189166973034</c:v>
              </c:pt>
              <c:pt idx="2020">
                <c:v>0.24422290321191154</c:v>
              </c:pt>
              <c:pt idx="2021">
                <c:v>0.24422290321191154</c:v>
              </c:pt>
              <c:pt idx="2022">
                <c:v>0.2444539147540927</c:v>
              </c:pt>
              <c:pt idx="2023">
                <c:v>0.2444539147540927</c:v>
              </c:pt>
              <c:pt idx="2024">
                <c:v>0.24468492629627386</c:v>
              </c:pt>
              <c:pt idx="2025">
                <c:v>0.24468492629627386</c:v>
              </c:pt>
              <c:pt idx="2026">
                <c:v>0.24491593783845506</c:v>
              </c:pt>
              <c:pt idx="2027">
                <c:v>0.24491593783845506</c:v>
              </c:pt>
              <c:pt idx="2028">
                <c:v>0.24514694938063622</c:v>
              </c:pt>
              <c:pt idx="2029">
                <c:v>0.24514694938063622</c:v>
              </c:pt>
              <c:pt idx="2030">
                <c:v>0.24537796092281738</c:v>
              </c:pt>
              <c:pt idx="2031">
                <c:v>0.24537796092281738</c:v>
              </c:pt>
              <c:pt idx="2032">
                <c:v>0.24560897246499858</c:v>
              </c:pt>
              <c:pt idx="2033">
                <c:v>0.24560897246499858</c:v>
              </c:pt>
              <c:pt idx="2034">
                <c:v>0.24583998400717974</c:v>
              </c:pt>
              <c:pt idx="2035">
                <c:v>0.24583998400717974</c:v>
              </c:pt>
              <c:pt idx="2036">
                <c:v>0.24607099554936093</c:v>
              </c:pt>
              <c:pt idx="2037">
                <c:v>0.24607099554936093</c:v>
              </c:pt>
              <c:pt idx="2038">
                <c:v>0.2463020070915421</c:v>
              </c:pt>
              <c:pt idx="2039">
                <c:v>0.2463020070915421</c:v>
              </c:pt>
              <c:pt idx="2040">
                <c:v>0.24653301863372326</c:v>
              </c:pt>
              <c:pt idx="2041">
                <c:v>0.24653301863372326</c:v>
              </c:pt>
              <c:pt idx="2042">
                <c:v>0.24676403017590445</c:v>
              </c:pt>
              <c:pt idx="2043">
                <c:v>0.24676403017590445</c:v>
              </c:pt>
              <c:pt idx="2044">
                <c:v>0.24699504171808562</c:v>
              </c:pt>
              <c:pt idx="2045">
                <c:v>0.24699504171808562</c:v>
              </c:pt>
              <c:pt idx="2046">
                <c:v>0.24722605326026678</c:v>
              </c:pt>
              <c:pt idx="2047">
                <c:v>0.24722605326026678</c:v>
              </c:pt>
              <c:pt idx="2048">
                <c:v>0.24745706480244797</c:v>
              </c:pt>
              <c:pt idx="2049">
                <c:v>0.24745706480244797</c:v>
              </c:pt>
              <c:pt idx="2050">
                <c:v>0.24768807634462914</c:v>
              </c:pt>
              <c:pt idx="2051">
                <c:v>0.24768807634462914</c:v>
              </c:pt>
              <c:pt idx="2052">
                <c:v>0.2479190878868103</c:v>
              </c:pt>
              <c:pt idx="2053">
                <c:v>0.2479190878868103</c:v>
              </c:pt>
              <c:pt idx="2054">
                <c:v>0.24815009942899149</c:v>
              </c:pt>
              <c:pt idx="2055">
                <c:v>0.24815009942899149</c:v>
              </c:pt>
              <c:pt idx="2056">
                <c:v>0.24838111097117266</c:v>
              </c:pt>
              <c:pt idx="2057">
                <c:v>0.24838111097117266</c:v>
              </c:pt>
              <c:pt idx="2058">
                <c:v>0.24861212251335382</c:v>
              </c:pt>
              <c:pt idx="2059">
                <c:v>0.24861212251335382</c:v>
              </c:pt>
              <c:pt idx="2060">
                <c:v>0.24884313405553501</c:v>
              </c:pt>
              <c:pt idx="2061">
                <c:v>0.24884313405553501</c:v>
              </c:pt>
              <c:pt idx="2062">
                <c:v>0.24907414559771618</c:v>
              </c:pt>
              <c:pt idx="2063">
                <c:v>0.24907414559771618</c:v>
              </c:pt>
              <c:pt idx="2064">
                <c:v>0.24930515713989737</c:v>
              </c:pt>
              <c:pt idx="2065">
                <c:v>0.24930515713989737</c:v>
              </c:pt>
              <c:pt idx="2066">
                <c:v>0.24953616868207854</c:v>
              </c:pt>
              <c:pt idx="2067">
                <c:v>0.24953616868207854</c:v>
              </c:pt>
              <c:pt idx="2068">
                <c:v>0.24963517362872759</c:v>
              </c:pt>
              <c:pt idx="2069">
                <c:v>0.24963517362872759</c:v>
              </c:pt>
              <c:pt idx="2070">
                <c:v>0.24963517362872759</c:v>
              </c:pt>
              <c:pt idx="2071">
                <c:v>0.24963517362872759</c:v>
              </c:pt>
              <c:pt idx="2072">
                <c:v>0.24963517362872759</c:v>
              </c:pt>
              <c:pt idx="2073">
                <c:v>0.24963517362872759</c:v>
              </c:pt>
              <c:pt idx="2074">
                <c:v>0.24986618517090875</c:v>
              </c:pt>
              <c:pt idx="2075">
                <c:v>0.24986618517090875</c:v>
              </c:pt>
              <c:pt idx="2076">
                <c:v>0.25009719671308994</c:v>
              </c:pt>
              <c:pt idx="2077">
                <c:v>0.25009719671308994</c:v>
              </c:pt>
              <c:pt idx="2078">
                <c:v>0.25032820825527113</c:v>
              </c:pt>
              <c:pt idx="2079">
                <c:v>0.25032820825527113</c:v>
              </c:pt>
              <c:pt idx="2080">
                <c:v>0.25055921979745227</c:v>
              </c:pt>
              <c:pt idx="2081">
                <c:v>0.25055921979745227</c:v>
              </c:pt>
              <c:pt idx="2082">
                <c:v>0.25079023133963346</c:v>
              </c:pt>
              <c:pt idx="2083">
                <c:v>0.25079023133963346</c:v>
              </c:pt>
              <c:pt idx="2084">
                <c:v>0.25102124288181465</c:v>
              </c:pt>
              <c:pt idx="2085">
                <c:v>0.25102124288181465</c:v>
              </c:pt>
              <c:pt idx="2086">
                <c:v>0.25125225442399579</c:v>
              </c:pt>
              <c:pt idx="2087">
                <c:v>0.25125225442399579</c:v>
              </c:pt>
              <c:pt idx="2088">
                <c:v>0.25148326596617698</c:v>
              </c:pt>
              <c:pt idx="2089">
                <c:v>0.25148326596617698</c:v>
              </c:pt>
              <c:pt idx="2090">
                <c:v>0.25171427750835818</c:v>
              </c:pt>
              <c:pt idx="2091">
                <c:v>0.25171427750835818</c:v>
              </c:pt>
              <c:pt idx="2092">
                <c:v>0.25194528905053931</c:v>
              </c:pt>
              <c:pt idx="2093">
                <c:v>0.25194528905053931</c:v>
              </c:pt>
              <c:pt idx="2094">
                <c:v>0.2521763005927205</c:v>
              </c:pt>
              <c:pt idx="2095">
                <c:v>0.2521763005927205</c:v>
              </c:pt>
              <c:pt idx="2096">
                <c:v>0.2524073121349017</c:v>
              </c:pt>
              <c:pt idx="2097">
                <c:v>0.2524073121349017</c:v>
              </c:pt>
              <c:pt idx="2098">
                <c:v>0.25263832367708283</c:v>
              </c:pt>
              <c:pt idx="2099">
                <c:v>0.25263832367708283</c:v>
              </c:pt>
              <c:pt idx="2100">
                <c:v>0.25286933521926402</c:v>
              </c:pt>
              <c:pt idx="2101">
                <c:v>0.25286933521926402</c:v>
              </c:pt>
              <c:pt idx="2102">
                <c:v>0.25310034676144522</c:v>
              </c:pt>
              <c:pt idx="2103">
                <c:v>0.25310034676144522</c:v>
              </c:pt>
              <c:pt idx="2104">
                <c:v>0.25333135830362635</c:v>
              </c:pt>
              <c:pt idx="2105">
                <c:v>0.25333135830362635</c:v>
              </c:pt>
              <c:pt idx="2106">
                <c:v>0.25356236984580754</c:v>
              </c:pt>
              <c:pt idx="2107">
                <c:v>0.25356236984580754</c:v>
              </c:pt>
              <c:pt idx="2108">
                <c:v>0.25379338138798874</c:v>
              </c:pt>
              <c:pt idx="2109">
                <c:v>0.25379338138798874</c:v>
              </c:pt>
              <c:pt idx="2110">
                <c:v>0.25402439293016987</c:v>
              </c:pt>
              <c:pt idx="2111">
                <c:v>0.25402439293016987</c:v>
              </c:pt>
              <c:pt idx="2112">
                <c:v>0.25425540447235107</c:v>
              </c:pt>
              <c:pt idx="2113">
                <c:v>0.25425540447235107</c:v>
              </c:pt>
              <c:pt idx="2114">
                <c:v>0.25448641601453226</c:v>
              </c:pt>
              <c:pt idx="2115">
                <c:v>0.25448641601453226</c:v>
              </c:pt>
              <c:pt idx="2116">
                <c:v>0.25471742755671339</c:v>
              </c:pt>
              <c:pt idx="2117">
                <c:v>0.25471742755671339</c:v>
              </c:pt>
              <c:pt idx="2118">
                <c:v>0.25494843909889459</c:v>
              </c:pt>
              <c:pt idx="2119">
                <c:v>0.25494843909889459</c:v>
              </c:pt>
              <c:pt idx="2120">
                <c:v>0.25517945064107578</c:v>
              </c:pt>
              <c:pt idx="2121">
                <c:v>0.25517945064107578</c:v>
              </c:pt>
              <c:pt idx="2122">
                <c:v>0.25541046218325691</c:v>
              </c:pt>
              <c:pt idx="2123">
                <c:v>0.25541046218325691</c:v>
              </c:pt>
              <c:pt idx="2124">
                <c:v>0.25564147372543811</c:v>
              </c:pt>
              <c:pt idx="2125">
                <c:v>0.25564147372543811</c:v>
              </c:pt>
              <c:pt idx="2126">
                <c:v>0.2558724852676193</c:v>
              </c:pt>
              <c:pt idx="2127">
                <c:v>0.2558724852676193</c:v>
              </c:pt>
              <c:pt idx="2128">
                <c:v>0.25610349680980043</c:v>
              </c:pt>
              <c:pt idx="2129">
                <c:v>0.25610349680980043</c:v>
              </c:pt>
              <c:pt idx="2130">
                <c:v>0.25633450835198163</c:v>
              </c:pt>
              <c:pt idx="2131">
                <c:v>0.25633450835198163</c:v>
              </c:pt>
              <c:pt idx="2132">
                <c:v>0.25656551989416282</c:v>
              </c:pt>
              <c:pt idx="2133">
                <c:v>0.25656551989416282</c:v>
              </c:pt>
              <c:pt idx="2134">
                <c:v>0.25679653143634396</c:v>
              </c:pt>
              <c:pt idx="2135">
                <c:v>0.25679653143634396</c:v>
              </c:pt>
              <c:pt idx="2136">
                <c:v>0.25702754297852515</c:v>
              </c:pt>
              <c:pt idx="2137">
                <c:v>0.25702754297852515</c:v>
              </c:pt>
              <c:pt idx="2138">
                <c:v>0.25725855452070634</c:v>
              </c:pt>
              <c:pt idx="2139">
                <c:v>0.25725855452070634</c:v>
              </c:pt>
              <c:pt idx="2140">
                <c:v>0.25748956606288748</c:v>
              </c:pt>
              <c:pt idx="2141">
                <c:v>0.25748956606288748</c:v>
              </c:pt>
              <c:pt idx="2142">
                <c:v>0.25772057760506867</c:v>
              </c:pt>
              <c:pt idx="2143">
                <c:v>0.25772057760506867</c:v>
              </c:pt>
              <c:pt idx="2144">
                <c:v>0.25795158914724986</c:v>
              </c:pt>
              <c:pt idx="2145">
                <c:v>0.25795158914724986</c:v>
              </c:pt>
              <c:pt idx="2146">
                <c:v>0.258182600689431</c:v>
              </c:pt>
              <c:pt idx="2147">
                <c:v>0.258182600689431</c:v>
              </c:pt>
              <c:pt idx="2148">
                <c:v>0.25841361223161219</c:v>
              </c:pt>
              <c:pt idx="2149">
                <c:v>0.25841361223161219</c:v>
              </c:pt>
              <c:pt idx="2150">
                <c:v>0.25864462377379338</c:v>
              </c:pt>
              <c:pt idx="2151">
                <c:v>0.25864462377379338</c:v>
              </c:pt>
              <c:pt idx="2152">
                <c:v>0.25887563531597457</c:v>
              </c:pt>
              <c:pt idx="2153">
                <c:v>0.25887563531597457</c:v>
              </c:pt>
              <c:pt idx="2154">
                <c:v>0.25910664685815571</c:v>
              </c:pt>
              <c:pt idx="2155">
                <c:v>0.25910664685815571</c:v>
              </c:pt>
              <c:pt idx="2156">
                <c:v>0.2593376584003369</c:v>
              </c:pt>
              <c:pt idx="2157">
                <c:v>0.2593376584003369</c:v>
              </c:pt>
              <c:pt idx="2158">
                <c:v>0.25956866994251809</c:v>
              </c:pt>
              <c:pt idx="2159">
                <c:v>0.25956866994251809</c:v>
              </c:pt>
              <c:pt idx="2160">
                <c:v>0.25979968148469923</c:v>
              </c:pt>
              <c:pt idx="2161">
                <c:v>0.25979968148469923</c:v>
              </c:pt>
              <c:pt idx="2162">
                <c:v>0.26003069302688042</c:v>
              </c:pt>
              <c:pt idx="2163">
                <c:v>0.26003069302688042</c:v>
              </c:pt>
              <c:pt idx="2164">
                <c:v>0.26026170456906161</c:v>
              </c:pt>
              <c:pt idx="2165">
                <c:v>0.26026170456906161</c:v>
              </c:pt>
              <c:pt idx="2166">
                <c:v>0.26049271611124275</c:v>
              </c:pt>
              <c:pt idx="2167">
                <c:v>0.26049271611124275</c:v>
              </c:pt>
              <c:pt idx="2168">
                <c:v>0.26072372765342394</c:v>
              </c:pt>
              <c:pt idx="2169">
                <c:v>0.26072372765342394</c:v>
              </c:pt>
              <c:pt idx="2170">
                <c:v>0.26095473919560513</c:v>
              </c:pt>
              <c:pt idx="2171">
                <c:v>0.26095473919560513</c:v>
              </c:pt>
              <c:pt idx="2172">
                <c:v>0.26118575073778627</c:v>
              </c:pt>
              <c:pt idx="2173">
                <c:v>0.26118575073778627</c:v>
              </c:pt>
              <c:pt idx="2174">
                <c:v>0.26141676227996746</c:v>
              </c:pt>
              <c:pt idx="2175">
                <c:v>0.26141676227996746</c:v>
              </c:pt>
              <c:pt idx="2176">
                <c:v>0.26164777382214865</c:v>
              </c:pt>
              <c:pt idx="2177">
                <c:v>0.26164777382214865</c:v>
              </c:pt>
              <c:pt idx="2178">
                <c:v>0.26187878536432979</c:v>
              </c:pt>
              <c:pt idx="2179">
                <c:v>0.26187878536432979</c:v>
              </c:pt>
              <c:pt idx="2180">
                <c:v>0.26210979690651098</c:v>
              </c:pt>
              <c:pt idx="2181">
                <c:v>0.26210979690651098</c:v>
              </c:pt>
              <c:pt idx="2182">
                <c:v>0.26234080844869218</c:v>
              </c:pt>
              <c:pt idx="2183">
                <c:v>0.26234080844869218</c:v>
              </c:pt>
              <c:pt idx="2184">
                <c:v>0.26257181999087331</c:v>
              </c:pt>
              <c:pt idx="2185">
                <c:v>0.26257181999087331</c:v>
              </c:pt>
              <c:pt idx="2186">
                <c:v>0.2628028315330545</c:v>
              </c:pt>
              <c:pt idx="2187">
                <c:v>0.2628028315330545</c:v>
              </c:pt>
              <c:pt idx="2188">
                <c:v>0.2630338430752357</c:v>
              </c:pt>
              <c:pt idx="2189">
                <c:v>0.2630338430752357</c:v>
              </c:pt>
              <c:pt idx="2190">
                <c:v>0.26326485461741683</c:v>
              </c:pt>
              <c:pt idx="2191">
                <c:v>0.26326485461741683</c:v>
              </c:pt>
              <c:pt idx="2192">
                <c:v>0.26349586615959802</c:v>
              </c:pt>
              <c:pt idx="2193">
                <c:v>0.26349586615959802</c:v>
              </c:pt>
              <c:pt idx="2194">
                <c:v>0.26372687770177922</c:v>
              </c:pt>
              <c:pt idx="2195">
                <c:v>0.26372687770177922</c:v>
              </c:pt>
              <c:pt idx="2196">
                <c:v>0.26395788924396035</c:v>
              </c:pt>
              <c:pt idx="2197">
                <c:v>0.26395788924396035</c:v>
              </c:pt>
              <c:pt idx="2198">
                <c:v>0.26418890078614155</c:v>
              </c:pt>
              <c:pt idx="2199">
                <c:v>0.26418890078614155</c:v>
              </c:pt>
              <c:pt idx="2200">
                <c:v>0.26441991232832274</c:v>
              </c:pt>
              <c:pt idx="2201">
                <c:v>0.26441991232832274</c:v>
              </c:pt>
              <c:pt idx="2202">
                <c:v>0.26465092387050387</c:v>
              </c:pt>
              <c:pt idx="2203">
                <c:v>0.26465092387050387</c:v>
              </c:pt>
              <c:pt idx="2204">
                <c:v>0.26488193541268507</c:v>
              </c:pt>
              <c:pt idx="2205">
                <c:v>0.26488193541268507</c:v>
              </c:pt>
              <c:pt idx="2206">
                <c:v>0.26511294695486626</c:v>
              </c:pt>
              <c:pt idx="2207">
                <c:v>0.26511294695486626</c:v>
              </c:pt>
              <c:pt idx="2208">
                <c:v>0.26534395849704739</c:v>
              </c:pt>
              <c:pt idx="2209">
                <c:v>0.26534395849704739</c:v>
              </c:pt>
              <c:pt idx="2210">
                <c:v>0.26557497003922859</c:v>
              </c:pt>
              <c:pt idx="2211">
                <c:v>0.26557497003922859</c:v>
              </c:pt>
              <c:pt idx="2212">
                <c:v>0.26580598158140978</c:v>
              </c:pt>
              <c:pt idx="2213">
                <c:v>0.26580598158140978</c:v>
              </c:pt>
              <c:pt idx="2214">
                <c:v>0.26603699312359091</c:v>
              </c:pt>
              <c:pt idx="2215">
                <c:v>0.26603699312359091</c:v>
              </c:pt>
              <c:pt idx="2216">
                <c:v>0.26613599807024002</c:v>
              </c:pt>
              <c:pt idx="2217">
                <c:v>0.26613599807024002</c:v>
              </c:pt>
              <c:pt idx="2218">
                <c:v>0.26613599807024002</c:v>
              </c:pt>
              <c:pt idx="2219">
                <c:v>0.26613599807024002</c:v>
              </c:pt>
              <c:pt idx="2220">
                <c:v>0.26613599807024002</c:v>
              </c:pt>
              <c:pt idx="2221">
                <c:v>0.26613599807024002</c:v>
              </c:pt>
              <c:pt idx="2222">
                <c:v>0.26636700961242121</c:v>
              </c:pt>
              <c:pt idx="2223">
                <c:v>0.26636700961242121</c:v>
              </c:pt>
              <c:pt idx="2224">
                <c:v>0.26659802115460235</c:v>
              </c:pt>
              <c:pt idx="2225">
                <c:v>0.26659802115460235</c:v>
              </c:pt>
              <c:pt idx="2226">
                <c:v>0.26682903269678354</c:v>
              </c:pt>
              <c:pt idx="2227">
                <c:v>0.26682903269678354</c:v>
              </c:pt>
              <c:pt idx="2228">
                <c:v>0.26706004423896473</c:v>
              </c:pt>
              <c:pt idx="2229">
                <c:v>0.26706004423896473</c:v>
              </c:pt>
              <c:pt idx="2230">
                <c:v>0.26729105578114587</c:v>
              </c:pt>
              <c:pt idx="2231">
                <c:v>0.26729105578114587</c:v>
              </c:pt>
              <c:pt idx="2232">
                <c:v>0.26752206732332706</c:v>
              </c:pt>
              <c:pt idx="2233">
                <c:v>0.26752206732332706</c:v>
              </c:pt>
              <c:pt idx="2234">
                <c:v>0.26775307886550825</c:v>
              </c:pt>
              <c:pt idx="2235">
                <c:v>0.26775307886550825</c:v>
              </c:pt>
              <c:pt idx="2236">
                <c:v>0.26798409040768939</c:v>
              </c:pt>
              <c:pt idx="2237">
                <c:v>0.26798409040768939</c:v>
              </c:pt>
              <c:pt idx="2238">
                <c:v>0.26821510194987058</c:v>
              </c:pt>
              <c:pt idx="2239">
                <c:v>0.26821510194987058</c:v>
              </c:pt>
              <c:pt idx="2240">
                <c:v>0.26844611349205177</c:v>
              </c:pt>
              <c:pt idx="2241">
                <c:v>0.26844611349205177</c:v>
              </c:pt>
              <c:pt idx="2242">
                <c:v>0.26867712503423291</c:v>
              </c:pt>
              <c:pt idx="2243">
                <c:v>0.26867712503423291</c:v>
              </c:pt>
              <c:pt idx="2244">
                <c:v>0.2689081365764141</c:v>
              </c:pt>
              <c:pt idx="2245">
                <c:v>0.2689081365764141</c:v>
              </c:pt>
              <c:pt idx="2246">
                <c:v>0.26913914811859529</c:v>
              </c:pt>
              <c:pt idx="2247">
                <c:v>0.26913914811859529</c:v>
              </c:pt>
              <c:pt idx="2248">
                <c:v>0.26937015966077643</c:v>
              </c:pt>
              <c:pt idx="2249">
                <c:v>0.26937015966077643</c:v>
              </c:pt>
              <c:pt idx="2250">
                <c:v>0.26960117120295762</c:v>
              </c:pt>
              <c:pt idx="2251">
                <c:v>0.26960117120295762</c:v>
              </c:pt>
              <c:pt idx="2252">
                <c:v>0.26983218274513882</c:v>
              </c:pt>
              <c:pt idx="2253">
                <c:v>0.26983218274513882</c:v>
              </c:pt>
              <c:pt idx="2254">
                <c:v>0.27006319428731995</c:v>
              </c:pt>
              <c:pt idx="2255">
                <c:v>0.27006319428731995</c:v>
              </c:pt>
              <c:pt idx="2256">
                <c:v>0.27029420582950114</c:v>
              </c:pt>
              <c:pt idx="2257">
                <c:v>0.27029420582950114</c:v>
              </c:pt>
              <c:pt idx="2258">
                <c:v>0.27052521737168234</c:v>
              </c:pt>
              <c:pt idx="2259">
                <c:v>0.27052521737168234</c:v>
              </c:pt>
              <c:pt idx="2260">
                <c:v>0.27075622891386353</c:v>
              </c:pt>
              <c:pt idx="2261">
                <c:v>0.27075622891386353</c:v>
              </c:pt>
              <c:pt idx="2262">
                <c:v>0.27098724045604466</c:v>
              </c:pt>
              <c:pt idx="2263">
                <c:v>0.27098724045604466</c:v>
              </c:pt>
              <c:pt idx="2264">
                <c:v>0.27121825199822586</c:v>
              </c:pt>
              <c:pt idx="2265">
                <c:v>0.27121825199822586</c:v>
              </c:pt>
              <c:pt idx="2266">
                <c:v>0.27144926354040705</c:v>
              </c:pt>
              <c:pt idx="2267">
                <c:v>0.27144926354040705</c:v>
              </c:pt>
              <c:pt idx="2268">
                <c:v>0.27168027508258819</c:v>
              </c:pt>
              <c:pt idx="2269">
                <c:v>0.27168027508258819</c:v>
              </c:pt>
              <c:pt idx="2270">
                <c:v>0.27191128662476938</c:v>
              </c:pt>
              <c:pt idx="2271">
                <c:v>0.27191128662476938</c:v>
              </c:pt>
              <c:pt idx="2272">
                <c:v>0.27214229816695057</c:v>
              </c:pt>
              <c:pt idx="2273">
                <c:v>0.27214229816695057</c:v>
              </c:pt>
              <c:pt idx="2274">
                <c:v>0.27237330970913171</c:v>
              </c:pt>
              <c:pt idx="2275">
                <c:v>0.27237330970913171</c:v>
              </c:pt>
              <c:pt idx="2276">
                <c:v>0.2726043212513129</c:v>
              </c:pt>
              <c:pt idx="2277">
                <c:v>0.2726043212513129</c:v>
              </c:pt>
              <c:pt idx="2278">
                <c:v>0.27283533279349409</c:v>
              </c:pt>
              <c:pt idx="2279">
                <c:v>0.27283533279349409</c:v>
              </c:pt>
              <c:pt idx="2280">
                <c:v>0.27306634433567523</c:v>
              </c:pt>
              <c:pt idx="2281">
                <c:v>0.27306634433567523</c:v>
              </c:pt>
              <c:pt idx="2282">
                <c:v>0.27329735587785642</c:v>
              </c:pt>
              <c:pt idx="2283">
                <c:v>0.27329735587785642</c:v>
              </c:pt>
              <c:pt idx="2284">
                <c:v>0.27352836742003761</c:v>
              </c:pt>
              <c:pt idx="2285">
                <c:v>0.27352836742003761</c:v>
              </c:pt>
              <c:pt idx="2286">
                <c:v>0.27375937896221875</c:v>
              </c:pt>
              <c:pt idx="2287">
                <c:v>0.27375937896221875</c:v>
              </c:pt>
              <c:pt idx="2288">
                <c:v>0.27399039050439994</c:v>
              </c:pt>
              <c:pt idx="2289">
                <c:v>0.27399039050439994</c:v>
              </c:pt>
              <c:pt idx="2290">
                <c:v>0.27422140204658113</c:v>
              </c:pt>
              <c:pt idx="2291">
                <c:v>0.27422140204658113</c:v>
              </c:pt>
              <c:pt idx="2292">
                <c:v>0.27445241358876227</c:v>
              </c:pt>
              <c:pt idx="2293">
                <c:v>0.27445241358876227</c:v>
              </c:pt>
              <c:pt idx="2294">
                <c:v>0.27468342513094346</c:v>
              </c:pt>
              <c:pt idx="2295">
                <c:v>0.27468342513094346</c:v>
              </c:pt>
              <c:pt idx="2296">
                <c:v>0.27491443667312465</c:v>
              </c:pt>
              <c:pt idx="2297">
                <c:v>0.27491443667312465</c:v>
              </c:pt>
              <c:pt idx="2298">
                <c:v>0.27514544821530579</c:v>
              </c:pt>
              <c:pt idx="2299">
                <c:v>0.27514544821530579</c:v>
              </c:pt>
              <c:pt idx="2300">
                <c:v>0.27537645975748698</c:v>
              </c:pt>
              <c:pt idx="2301">
                <c:v>0.27537645975748698</c:v>
              </c:pt>
              <c:pt idx="2302">
                <c:v>0.27560747129966817</c:v>
              </c:pt>
              <c:pt idx="2303">
                <c:v>0.27560747129966817</c:v>
              </c:pt>
              <c:pt idx="2304">
                <c:v>0.27583848284184931</c:v>
              </c:pt>
              <c:pt idx="2305">
                <c:v>0.27583848284184931</c:v>
              </c:pt>
              <c:pt idx="2306">
                <c:v>0.2760694943840305</c:v>
              </c:pt>
              <c:pt idx="2307">
                <c:v>0.2760694943840305</c:v>
              </c:pt>
              <c:pt idx="2308">
                <c:v>0.27630050592621169</c:v>
              </c:pt>
              <c:pt idx="2309">
                <c:v>0.27630050592621169</c:v>
              </c:pt>
              <c:pt idx="2310">
                <c:v>0.27653151746839283</c:v>
              </c:pt>
              <c:pt idx="2311">
                <c:v>0.27653151746839283</c:v>
              </c:pt>
              <c:pt idx="2312">
                <c:v>0.27676252901057402</c:v>
              </c:pt>
              <c:pt idx="2313">
                <c:v>0.27676252901057402</c:v>
              </c:pt>
              <c:pt idx="2314">
                <c:v>0.27699354055275521</c:v>
              </c:pt>
              <c:pt idx="2315">
                <c:v>0.27699354055275521</c:v>
              </c:pt>
              <c:pt idx="2316">
                <c:v>0.27722455209493635</c:v>
              </c:pt>
              <c:pt idx="2317">
                <c:v>0.27722455209493635</c:v>
              </c:pt>
              <c:pt idx="2318">
                <c:v>0.27745556363711754</c:v>
              </c:pt>
              <c:pt idx="2319">
                <c:v>0.27745556363711754</c:v>
              </c:pt>
              <c:pt idx="2320">
                <c:v>0.27768657517929873</c:v>
              </c:pt>
              <c:pt idx="2321">
                <c:v>0.27768657517929873</c:v>
              </c:pt>
              <c:pt idx="2322">
                <c:v>0.27791758672147987</c:v>
              </c:pt>
              <c:pt idx="2323">
                <c:v>0.27791758672147987</c:v>
              </c:pt>
              <c:pt idx="2324">
                <c:v>0.27814859826366106</c:v>
              </c:pt>
              <c:pt idx="2325">
                <c:v>0.27814859826366106</c:v>
              </c:pt>
              <c:pt idx="2326">
                <c:v>0.27837960980584225</c:v>
              </c:pt>
              <c:pt idx="2327">
                <c:v>0.27837960980584225</c:v>
              </c:pt>
              <c:pt idx="2328">
                <c:v>0.27861062134802339</c:v>
              </c:pt>
              <c:pt idx="2329">
                <c:v>0.27861062134802339</c:v>
              </c:pt>
              <c:pt idx="2330">
                <c:v>0.27884163289020458</c:v>
              </c:pt>
              <c:pt idx="2331">
                <c:v>0.27884163289020458</c:v>
              </c:pt>
              <c:pt idx="2332">
                <c:v>0.27907264443238577</c:v>
              </c:pt>
              <c:pt idx="2333">
                <c:v>0.27907264443238577</c:v>
              </c:pt>
              <c:pt idx="2334">
                <c:v>0.27930365597456691</c:v>
              </c:pt>
              <c:pt idx="2335">
                <c:v>0.27930365597456691</c:v>
              </c:pt>
              <c:pt idx="2336">
                <c:v>0.2795346675167481</c:v>
              </c:pt>
              <c:pt idx="2337">
                <c:v>0.2795346675167481</c:v>
              </c:pt>
              <c:pt idx="2338">
                <c:v>0.2797656790589293</c:v>
              </c:pt>
              <c:pt idx="2339">
                <c:v>0.2797656790589293</c:v>
              </c:pt>
              <c:pt idx="2340">
                <c:v>0.27999669060111043</c:v>
              </c:pt>
              <c:pt idx="2341">
                <c:v>0.27999669060111043</c:v>
              </c:pt>
              <c:pt idx="2342">
                <c:v>0.28022770214329162</c:v>
              </c:pt>
              <c:pt idx="2343">
                <c:v>0.28022770214329162</c:v>
              </c:pt>
              <c:pt idx="2344">
                <c:v>0.28045871368547282</c:v>
              </c:pt>
              <c:pt idx="2345">
                <c:v>0.28045871368547282</c:v>
              </c:pt>
              <c:pt idx="2346">
                <c:v>0.28068972522765401</c:v>
              </c:pt>
              <c:pt idx="2347">
                <c:v>0.28068972522765401</c:v>
              </c:pt>
              <c:pt idx="2348">
                <c:v>0.28092073676983514</c:v>
              </c:pt>
              <c:pt idx="2349">
                <c:v>0.28092073676983514</c:v>
              </c:pt>
              <c:pt idx="2350">
                <c:v>0.28115174831201634</c:v>
              </c:pt>
              <c:pt idx="2351">
                <c:v>0.28115174831201634</c:v>
              </c:pt>
              <c:pt idx="2352">
                <c:v>0.28138275985419753</c:v>
              </c:pt>
              <c:pt idx="2353">
                <c:v>0.28138275985419753</c:v>
              </c:pt>
              <c:pt idx="2354">
                <c:v>0.28161377139637866</c:v>
              </c:pt>
              <c:pt idx="2355">
                <c:v>0.28161377139637866</c:v>
              </c:pt>
              <c:pt idx="2356">
                <c:v>0.28184478293855986</c:v>
              </c:pt>
              <c:pt idx="2357">
                <c:v>0.28184478293855986</c:v>
              </c:pt>
              <c:pt idx="2358">
                <c:v>0.28207579448074105</c:v>
              </c:pt>
              <c:pt idx="2359">
                <c:v>0.28207579448074105</c:v>
              </c:pt>
              <c:pt idx="2360">
                <c:v>0.28230680602292219</c:v>
              </c:pt>
              <c:pt idx="2361">
                <c:v>0.28230680602292219</c:v>
              </c:pt>
              <c:pt idx="2362">
                <c:v>0.28253781756510338</c:v>
              </c:pt>
              <c:pt idx="2363">
                <c:v>0.28253781756510338</c:v>
              </c:pt>
              <c:pt idx="2364">
                <c:v>0.28263682251175243</c:v>
              </c:pt>
              <c:pt idx="2365">
                <c:v>0.28263682251175243</c:v>
              </c:pt>
              <c:pt idx="2366">
                <c:v>0.28263682251175243</c:v>
              </c:pt>
              <c:pt idx="2367">
                <c:v>0.28263682251175243</c:v>
              </c:pt>
              <c:pt idx="2368">
                <c:v>0.28263682251175243</c:v>
              </c:pt>
              <c:pt idx="2369">
                <c:v>0.28263682251175243</c:v>
              </c:pt>
              <c:pt idx="2370">
                <c:v>0.28286783405393362</c:v>
              </c:pt>
              <c:pt idx="2371">
                <c:v>0.28286783405393362</c:v>
              </c:pt>
              <c:pt idx="2372">
                <c:v>0.28309884559611476</c:v>
              </c:pt>
              <c:pt idx="2373">
                <c:v>0.28309884559611476</c:v>
              </c:pt>
              <c:pt idx="2374">
                <c:v>0.28332985713829595</c:v>
              </c:pt>
              <c:pt idx="2375">
                <c:v>0.28332985713829595</c:v>
              </c:pt>
              <c:pt idx="2376">
                <c:v>0.28356086868047714</c:v>
              </c:pt>
              <c:pt idx="2377">
                <c:v>0.28356086868047714</c:v>
              </c:pt>
              <c:pt idx="2378">
                <c:v>0.28379188022265828</c:v>
              </c:pt>
              <c:pt idx="2379">
                <c:v>0.28379188022265828</c:v>
              </c:pt>
              <c:pt idx="2380">
                <c:v>0.28402289176483947</c:v>
              </c:pt>
              <c:pt idx="2381">
                <c:v>0.28402289176483947</c:v>
              </c:pt>
              <c:pt idx="2382">
                <c:v>0.28425390330702066</c:v>
              </c:pt>
              <c:pt idx="2383">
                <c:v>0.28425390330702066</c:v>
              </c:pt>
              <c:pt idx="2384">
                <c:v>0.2844849148492018</c:v>
              </c:pt>
              <c:pt idx="2385">
                <c:v>0.2844849148492018</c:v>
              </c:pt>
              <c:pt idx="2386">
                <c:v>0.28471592639138299</c:v>
              </c:pt>
              <c:pt idx="2387">
                <c:v>0.28471592639138299</c:v>
              </c:pt>
              <c:pt idx="2388">
                <c:v>0.28494693793356418</c:v>
              </c:pt>
              <c:pt idx="2389">
                <c:v>0.28494693793356418</c:v>
              </c:pt>
              <c:pt idx="2390">
                <c:v>0.28517794947574532</c:v>
              </c:pt>
              <c:pt idx="2391">
                <c:v>0.28517794947574532</c:v>
              </c:pt>
              <c:pt idx="2392">
                <c:v>0.28540896101792651</c:v>
              </c:pt>
              <c:pt idx="2393">
                <c:v>0.28540896101792651</c:v>
              </c:pt>
              <c:pt idx="2394">
                <c:v>0.2856399725601077</c:v>
              </c:pt>
              <c:pt idx="2395">
                <c:v>0.2856399725601077</c:v>
              </c:pt>
              <c:pt idx="2396">
                <c:v>0.28587098410228884</c:v>
              </c:pt>
              <c:pt idx="2397">
                <c:v>0.28587098410228884</c:v>
              </c:pt>
              <c:pt idx="2398">
                <c:v>0.28610199564447003</c:v>
              </c:pt>
              <c:pt idx="2399">
                <c:v>0.28610199564447003</c:v>
              </c:pt>
              <c:pt idx="2400">
                <c:v>0.28633300718665122</c:v>
              </c:pt>
              <c:pt idx="2401">
                <c:v>0.28633300718665122</c:v>
              </c:pt>
              <c:pt idx="2402">
                <c:v>0.28656401872883236</c:v>
              </c:pt>
              <c:pt idx="2403">
                <c:v>0.28656401872883236</c:v>
              </c:pt>
              <c:pt idx="2404">
                <c:v>0.28679503027101355</c:v>
              </c:pt>
              <c:pt idx="2405">
                <c:v>0.28679503027101355</c:v>
              </c:pt>
              <c:pt idx="2406">
                <c:v>0.28702604181319474</c:v>
              </c:pt>
              <c:pt idx="2407">
                <c:v>0.28702604181319474</c:v>
              </c:pt>
              <c:pt idx="2408">
                <c:v>0.28725705335537588</c:v>
              </c:pt>
              <c:pt idx="2409">
                <c:v>0.28725705335537588</c:v>
              </c:pt>
              <c:pt idx="2410">
                <c:v>0.28748806489755707</c:v>
              </c:pt>
              <c:pt idx="2411">
                <c:v>0.28748806489755707</c:v>
              </c:pt>
              <c:pt idx="2412">
                <c:v>0.28771907643973826</c:v>
              </c:pt>
              <c:pt idx="2413">
                <c:v>0.28771907643973826</c:v>
              </c:pt>
              <c:pt idx="2414">
                <c:v>0.28795008798191946</c:v>
              </c:pt>
              <c:pt idx="2415">
                <c:v>0.28795008798191946</c:v>
              </c:pt>
              <c:pt idx="2416">
                <c:v>0.28818109952410059</c:v>
              </c:pt>
              <c:pt idx="2417">
                <c:v>0.28818109952410059</c:v>
              </c:pt>
              <c:pt idx="2418">
                <c:v>0.28841211106628178</c:v>
              </c:pt>
              <c:pt idx="2419">
                <c:v>0.28841211106628178</c:v>
              </c:pt>
              <c:pt idx="2420">
                <c:v>0.28864312260846298</c:v>
              </c:pt>
              <c:pt idx="2421">
                <c:v>0.28864312260846298</c:v>
              </c:pt>
              <c:pt idx="2422">
                <c:v>0.28887413415064411</c:v>
              </c:pt>
              <c:pt idx="2423">
                <c:v>0.28887413415064411</c:v>
              </c:pt>
              <c:pt idx="2424">
                <c:v>0.2891051456928253</c:v>
              </c:pt>
              <c:pt idx="2425">
                <c:v>0.2891051456928253</c:v>
              </c:pt>
              <c:pt idx="2426">
                <c:v>0.2893361572350065</c:v>
              </c:pt>
              <c:pt idx="2427">
                <c:v>0.2893361572350065</c:v>
              </c:pt>
              <c:pt idx="2428">
                <c:v>0.28956716877718763</c:v>
              </c:pt>
              <c:pt idx="2429">
                <c:v>0.28956716877718763</c:v>
              </c:pt>
              <c:pt idx="2430">
                <c:v>0.28979818031936883</c:v>
              </c:pt>
              <c:pt idx="2431">
                <c:v>0.28979818031936883</c:v>
              </c:pt>
              <c:pt idx="2432">
                <c:v>0.29002919186155002</c:v>
              </c:pt>
              <c:pt idx="2433">
                <c:v>0.29002919186155002</c:v>
              </c:pt>
              <c:pt idx="2434">
                <c:v>0.29026020340373115</c:v>
              </c:pt>
              <c:pt idx="2435">
                <c:v>0.29026020340373115</c:v>
              </c:pt>
              <c:pt idx="2436">
                <c:v>0.29049121494591235</c:v>
              </c:pt>
              <c:pt idx="2437">
                <c:v>0.29049121494591235</c:v>
              </c:pt>
              <c:pt idx="2438">
                <c:v>0.29072222648809354</c:v>
              </c:pt>
              <c:pt idx="2439">
                <c:v>0.29072222648809354</c:v>
              </c:pt>
              <c:pt idx="2440">
                <c:v>0.29095323803027467</c:v>
              </c:pt>
              <c:pt idx="2441">
                <c:v>0.29095323803027467</c:v>
              </c:pt>
              <c:pt idx="2442">
                <c:v>0.29118424957245587</c:v>
              </c:pt>
              <c:pt idx="2443">
                <c:v>0.29118424957245587</c:v>
              </c:pt>
              <c:pt idx="2444">
                <c:v>0.29141526111463706</c:v>
              </c:pt>
              <c:pt idx="2445">
                <c:v>0.29141526111463706</c:v>
              </c:pt>
              <c:pt idx="2446">
                <c:v>0.2916462726568182</c:v>
              </c:pt>
              <c:pt idx="2447">
                <c:v>0.2916462726568182</c:v>
              </c:pt>
              <c:pt idx="2448">
                <c:v>0.29187728419899939</c:v>
              </c:pt>
              <c:pt idx="2449">
                <c:v>0.29187728419899939</c:v>
              </c:pt>
              <c:pt idx="2450">
                <c:v>0.29210829574118058</c:v>
              </c:pt>
              <c:pt idx="2451">
                <c:v>0.29210829574118058</c:v>
              </c:pt>
              <c:pt idx="2452">
                <c:v>0.29233930728336172</c:v>
              </c:pt>
              <c:pt idx="2453">
                <c:v>0.29233930728336172</c:v>
              </c:pt>
              <c:pt idx="2454">
                <c:v>0.29257031882554291</c:v>
              </c:pt>
              <c:pt idx="2455">
                <c:v>0.29257031882554291</c:v>
              </c:pt>
              <c:pt idx="2456">
                <c:v>0.2928013303677241</c:v>
              </c:pt>
              <c:pt idx="2457">
                <c:v>0.2928013303677241</c:v>
              </c:pt>
              <c:pt idx="2458">
                <c:v>0.29303234190990524</c:v>
              </c:pt>
              <c:pt idx="2459">
                <c:v>0.29303234190990524</c:v>
              </c:pt>
              <c:pt idx="2460">
                <c:v>0.29326335345208643</c:v>
              </c:pt>
              <c:pt idx="2461">
                <c:v>0.29326335345208643</c:v>
              </c:pt>
              <c:pt idx="2462">
                <c:v>0.29349436499426762</c:v>
              </c:pt>
              <c:pt idx="2463">
                <c:v>0.29349436499426762</c:v>
              </c:pt>
              <c:pt idx="2464">
                <c:v>0.29372537653644876</c:v>
              </c:pt>
              <c:pt idx="2465">
                <c:v>0.29372537653644876</c:v>
              </c:pt>
              <c:pt idx="2466">
                <c:v>0.29395638807862995</c:v>
              </c:pt>
              <c:pt idx="2467">
                <c:v>0.29395638807862995</c:v>
              </c:pt>
              <c:pt idx="2468">
                <c:v>0.29418739962081114</c:v>
              </c:pt>
              <c:pt idx="2469">
                <c:v>0.29418739962081114</c:v>
              </c:pt>
              <c:pt idx="2470">
                <c:v>0.29441841116299228</c:v>
              </c:pt>
              <c:pt idx="2471">
                <c:v>0.29441841116299228</c:v>
              </c:pt>
              <c:pt idx="2472">
                <c:v>0.29464942270517347</c:v>
              </c:pt>
              <c:pt idx="2473">
                <c:v>0.29464942270517347</c:v>
              </c:pt>
              <c:pt idx="2474">
                <c:v>0.29488043424735466</c:v>
              </c:pt>
              <c:pt idx="2475">
                <c:v>0.29488043424735466</c:v>
              </c:pt>
              <c:pt idx="2476">
                <c:v>0.2951114457895358</c:v>
              </c:pt>
              <c:pt idx="2477">
                <c:v>0.2951114457895358</c:v>
              </c:pt>
              <c:pt idx="2478">
                <c:v>0.29534245733171699</c:v>
              </c:pt>
              <c:pt idx="2479">
                <c:v>0.29534245733171699</c:v>
              </c:pt>
              <c:pt idx="2480">
                <c:v>0.29557346887389818</c:v>
              </c:pt>
              <c:pt idx="2481">
                <c:v>0.29557346887389818</c:v>
              </c:pt>
              <c:pt idx="2482">
                <c:v>0.29580448041607932</c:v>
              </c:pt>
              <c:pt idx="2483">
                <c:v>0.29580448041607932</c:v>
              </c:pt>
              <c:pt idx="2484">
                <c:v>0.29603549195826051</c:v>
              </c:pt>
              <c:pt idx="2485">
                <c:v>0.29603549195826051</c:v>
              </c:pt>
              <c:pt idx="2486">
                <c:v>0.2962665035004417</c:v>
              </c:pt>
              <c:pt idx="2487">
                <c:v>0.2962665035004417</c:v>
              </c:pt>
              <c:pt idx="2488">
                <c:v>0.29649751504262289</c:v>
              </c:pt>
              <c:pt idx="2489">
                <c:v>0.29649751504262289</c:v>
              </c:pt>
              <c:pt idx="2490">
                <c:v>0.29672852658480403</c:v>
              </c:pt>
              <c:pt idx="2491">
                <c:v>0.29672852658480403</c:v>
              </c:pt>
              <c:pt idx="2492">
                <c:v>0.29695953812698522</c:v>
              </c:pt>
              <c:pt idx="2493">
                <c:v>0.29695953812698522</c:v>
              </c:pt>
              <c:pt idx="2494">
                <c:v>0.29719054966916636</c:v>
              </c:pt>
              <c:pt idx="2495">
                <c:v>0.29719054966916636</c:v>
              </c:pt>
              <c:pt idx="2496">
                <c:v>0.29742156121134755</c:v>
              </c:pt>
              <c:pt idx="2497">
                <c:v>0.29742156121134755</c:v>
              </c:pt>
              <c:pt idx="2498">
                <c:v>0.29765257275352874</c:v>
              </c:pt>
              <c:pt idx="2499">
                <c:v>0.29765257275352874</c:v>
              </c:pt>
              <c:pt idx="2500">
                <c:v>0.29788358429570994</c:v>
              </c:pt>
              <c:pt idx="2501">
                <c:v>0.29788358429570994</c:v>
              </c:pt>
              <c:pt idx="2502">
                <c:v>0.29811459583789107</c:v>
              </c:pt>
              <c:pt idx="2503">
                <c:v>0.29811459583789107</c:v>
              </c:pt>
              <c:pt idx="2504">
                <c:v>0.29834560738007226</c:v>
              </c:pt>
              <c:pt idx="2505">
                <c:v>0.29834560738007226</c:v>
              </c:pt>
              <c:pt idx="2506">
                <c:v>0.29857661892225346</c:v>
              </c:pt>
              <c:pt idx="2507">
                <c:v>0.29857661892225346</c:v>
              </c:pt>
              <c:pt idx="2508">
                <c:v>0.29880763046443459</c:v>
              </c:pt>
              <c:pt idx="2509">
                <c:v>0.29880763046443459</c:v>
              </c:pt>
              <c:pt idx="2510">
                <c:v>0.29903864200661578</c:v>
              </c:pt>
              <c:pt idx="2511">
                <c:v>0.29903864200661578</c:v>
              </c:pt>
              <c:pt idx="2512">
                <c:v>0.29913764695326489</c:v>
              </c:pt>
              <c:pt idx="2513">
                <c:v>0.29913764695326489</c:v>
              </c:pt>
              <c:pt idx="2514">
                <c:v>0.29913764695326489</c:v>
              </c:pt>
              <c:pt idx="2515">
                <c:v>0.29913764695326489</c:v>
              </c:pt>
              <c:pt idx="2516">
                <c:v>0.29913764695326489</c:v>
              </c:pt>
              <c:pt idx="2517">
                <c:v>0.29913764695326489</c:v>
              </c:pt>
              <c:pt idx="2518">
                <c:v>0.29936865849544608</c:v>
              </c:pt>
              <c:pt idx="2519">
                <c:v>0.29936865849544608</c:v>
              </c:pt>
              <c:pt idx="2520">
                <c:v>0.29959967003762722</c:v>
              </c:pt>
              <c:pt idx="2521">
                <c:v>0.29959967003762722</c:v>
              </c:pt>
              <c:pt idx="2522">
                <c:v>0.29983068157980841</c:v>
              </c:pt>
              <c:pt idx="2523">
                <c:v>0.29983068157980841</c:v>
              </c:pt>
              <c:pt idx="2524">
                <c:v>0.3000616931219896</c:v>
              </c:pt>
              <c:pt idx="2525">
                <c:v>0.3000616931219896</c:v>
              </c:pt>
              <c:pt idx="2526">
                <c:v>0.30029270466417074</c:v>
              </c:pt>
              <c:pt idx="2527">
                <c:v>0.30029270466417074</c:v>
              </c:pt>
              <c:pt idx="2528">
                <c:v>0.30052371620635193</c:v>
              </c:pt>
              <c:pt idx="2529">
                <c:v>0.30052371620635193</c:v>
              </c:pt>
              <c:pt idx="2530">
                <c:v>0.30075472774853312</c:v>
              </c:pt>
              <c:pt idx="2531">
                <c:v>0.30075472774853312</c:v>
              </c:pt>
              <c:pt idx="2532">
                <c:v>0.30098573929071426</c:v>
              </c:pt>
              <c:pt idx="2533">
                <c:v>0.30098573929071426</c:v>
              </c:pt>
              <c:pt idx="2534">
                <c:v>0.30121675083289545</c:v>
              </c:pt>
              <c:pt idx="2535">
                <c:v>0.30121675083289545</c:v>
              </c:pt>
              <c:pt idx="2536">
                <c:v>0.30144776237507664</c:v>
              </c:pt>
              <c:pt idx="2537">
                <c:v>0.30144776237507664</c:v>
              </c:pt>
              <c:pt idx="2538">
                <c:v>0.30167877391725778</c:v>
              </c:pt>
              <c:pt idx="2539">
                <c:v>0.30167877391725778</c:v>
              </c:pt>
              <c:pt idx="2540">
                <c:v>0.30190978545943897</c:v>
              </c:pt>
              <c:pt idx="2541">
                <c:v>0.30190978545943897</c:v>
              </c:pt>
              <c:pt idx="2542">
                <c:v>0.30214079700162016</c:v>
              </c:pt>
              <c:pt idx="2543">
                <c:v>0.30214079700162016</c:v>
              </c:pt>
              <c:pt idx="2544">
                <c:v>0.3023718085438013</c:v>
              </c:pt>
              <c:pt idx="2545">
                <c:v>0.3023718085438013</c:v>
              </c:pt>
              <c:pt idx="2546">
                <c:v>0.30260282008598249</c:v>
              </c:pt>
              <c:pt idx="2547">
                <c:v>0.30260282008598249</c:v>
              </c:pt>
              <c:pt idx="2548">
                <c:v>0.30283383162816369</c:v>
              </c:pt>
              <c:pt idx="2549">
                <c:v>0.30283383162816369</c:v>
              </c:pt>
              <c:pt idx="2550">
                <c:v>0.30306484317034482</c:v>
              </c:pt>
              <c:pt idx="2551">
                <c:v>0.30306484317034482</c:v>
              </c:pt>
              <c:pt idx="2552">
                <c:v>0.30329585471252601</c:v>
              </c:pt>
              <c:pt idx="2553">
                <c:v>0.30329585471252601</c:v>
              </c:pt>
              <c:pt idx="2554">
                <c:v>0.30352686625470721</c:v>
              </c:pt>
              <c:pt idx="2555">
                <c:v>0.30352686625470721</c:v>
              </c:pt>
              <c:pt idx="2556">
                <c:v>0.30375787779688834</c:v>
              </c:pt>
              <c:pt idx="2557">
                <c:v>0.30375787779688834</c:v>
              </c:pt>
              <c:pt idx="2558">
                <c:v>0.30398888933906953</c:v>
              </c:pt>
              <c:pt idx="2559">
                <c:v>0.30398888933906953</c:v>
              </c:pt>
              <c:pt idx="2560">
                <c:v>0.30421990088125073</c:v>
              </c:pt>
              <c:pt idx="2561">
                <c:v>0.30421990088125073</c:v>
              </c:pt>
              <c:pt idx="2562">
                <c:v>0.30445091242343192</c:v>
              </c:pt>
              <c:pt idx="2563">
                <c:v>0.30445091242343192</c:v>
              </c:pt>
              <c:pt idx="2564">
                <c:v>0.30468192396561306</c:v>
              </c:pt>
              <c:pt idx="2565">
                <c:v>0.30468192396561306</c:v>
              </c:pt>
              <c:pt idx="2566">
                <c:v>0.30491293550779425</c:v>
              </c:pt>
              <c:pt idx="2567">
                <c:v>0.30491293550779425</c:v>
              </c:pt>
              <c:pt idx="2568">
                <c:v>0.30514394704997544</c:v>
              </c:pt>
              <c:pt idx="2569">
                <c:v>0.30514394704997544</c:v>
              </c:pt>
              <c:pt idx="2570">
                <c:v>0.30537495859215658</c:v>
              </c:pt>
              <c:pt idx="2571">
                <c:v>0.30537495859215658</c:v>
              </c:pt>
              <c:pt idx="2572">
                <c:v>0.30560597013433777</c:v>
              </c:pt>
              <c:pt idx="2573">
                <c:v>0.30560597013433777</c:v>
              </c:pt>
              <c:pt idx="2574">
                <c:v>0.30583698167651896</c:v>
              </c:pt>
              <c:pt idx="2575">
                <c:v>0.30583698167651896</c:v>
              </c:pt>
              <c:pt idx="2576">
                <c:v>0.3060679932187001</c:v>
              </c:pt>
              <c:pt idx="2577">
                <c:v>0.3060679932187001</c:v>
              </c:pt>
              <c:pt idx="2578">
                <c:v>0.30629900476088129</c:v>
              </c:pt>
              <c:pt idx="2579">
                <c:v>0.30629900476088129</c:v>
              </c:pt>
              <c:pt idx="2580">
                <c:v>0.30653001630306248</c:v>
              </c:pt>
              <c:pt idx="2581">
                <c:v>0.30653001630306248</c:v>
              </c:pt>
              <c:pt idx="2582">
                <c:v>0.30676102784524362</c:v>
              </c:pt>
              <c:pt idx="2583">
                <c:v>0.30676102784524362</c:v>
              </c:pt>
              <c:pt idx="2584">
                <c:v>0.30699203938742481</c:v>
              </c:pt>
              <c:pt idx="2585">
                <c:v>0.30699203938742481</c:v>
              </c:pt>
              <c:pt idx="2586">
                <c:v>0.307223050929606</c:v>
              </c:pt>
              <c:pt idx="2587">
                <c:v>0.307223050929606</c:v>
              </c:pt>
              <c:pt idx="2588">
                <c:v>0.30745406247178714</c:v>
              </c:pt>
              <c:pt idx="2589">
                <c:v>0.30745406247178714</c:v>
              </c:pt>
              <c:pt idx="2590">
                <c:v>0.30768507401396833</c:v>
              </c:pt>
              <c:pt idx="2591">
                <c:v>0.30768507401396833</c:v>
              </c:pt>
              <c:pt idx="2592">
                <c:v>0.30791608555614952</c:v>
              </c:pt>
              <c:pt idx="2593">
                <c:v>0.30791608555614952</c:v>
              </c:pt>
              <c:pt idx="2594">
                <c:v>0.30814709709833066</c:v>
              </c:pt>
              <c:pt idx="2595">
                <c:v>0.30814709709833066</c:v>
              </c:pt>
              <c:pt idx="2596">
                <c:v>0.30837810864051185</c:v>
              </c:pt>
              <c:pt idx="2597">
                <c:v>0.30837810864051185</c:v>
              </c:pt>
              <c:pt idx="2598">
                <c:v>0.30860912018269304</c:v>
              </c:pt>
              <c:pt idx="2599">
                <c:v>0.30860912018269304</c:v>
              </c:pt>
              <c:pt idx="2600">
                <c:v>0.30884013172487418</c:v>
              </c:pt>
              <c:pt idx="2601">
                <c:v>0.30884013172487418</c:v>
              </c:pt>
              <c:pt idx="2602">
                <c:v>0.30907114326705537</c:v>
              </c:pt>
              <c:pt idx="2603">
                <c:v>0.30907114326705537</c:v>
              </c:pt>
              <c:pt idx="2604">
                <c:v>0.30930215480923656</c:v>
              </c:pt>
              <c:pt idx="2605">
                <c:v>0.30930215480923656</c:v>
              </c:pt>
              <c:pt idx="2606">
                <c:v>0.3095331663514177</c:v>
              </c:pt>
              <c:pt idx="2607">
                <c:v>0.3095331663514177</c:v>
              </c:pt>
              <c:pt idx="2608">
                <c:v>0.30976417789359889</c:v>
              </c:pt>
              <c:pt idx="2609">
                <c:v>0.30976417789359889</c:v>
              </c:pt>
              <c:pt idx="2610">
                <c:v>0.30999518943578008</c:v>
              </c:pt>
              <c:pt idx="2611">
                <c:v>0.30999518943578008</c:v>
              </c:pt>
              <c:pt idx="2612">
                <c:v>0.31022620097796122</c:v>
              </c:pt>
              <c:pt idx="2613">
                <c:v>0.31022620097796122</c:v>
              </c:pt>
              <c:pt idx="2614">
                <c:v>0.31045721252014241</c:v>
              </c:pt>
              <c:pt idx="2615">
                <c:v>0.31045721252014241</c:v>
              </c:pt>
              <c:pt idx="2616">
                <c:v>0.3106882240623236</c:v>
              </c:pt>
              <c:pt idx="2617">
                <c:v>0.3106882240623236</c:v>
              </c:pt>
              <c:pt idx="2618">
                <c:v>0.31091923560450474</c:v>
              </c:pt>
              <c:pt idx="2619">
                <c:v>0.31091923560450474</c:v>
              </c:pt>
              <c:pt idx="2620">
                <c:v>0.31115024714668593</c:v>
              </c:pt>
              <c:pt idx="2621">
                <c:v>0.31115024714668593</c:v>
              </c:pt>
              <c:pt idx="2622">
                <c:v>0.31138125868886712</c:v>
              </c:pt>
              <c:pt idx="2623">
                <c:v>0.31138125868886712</c:v>
              </c:pt>
              <c:pt idx="2624">
                <c:v>0.31161227023104826</c:v>
              </c:pt>
              <c:pt idx="2625">
                <c:v>0.31161227023104826</c:v>
              </c:pt>
              <c:pt idx="2626">
                <c:v>0.31184328177322945</c:v>
              </c:pt>
              <c:pt idx="2627">
                <c:v>0.31184328177322945</c:v>
              </c:pt>
              <c:pt idx="2628">
                <c:v>0.31207429331541064</c:v>
              </c:pt>
              <c:pt idx="2629">
                <c:v>0.31207429331541064</c:v>
              </c:pt>
              <c:pt idx="2630">
                <c:v>0.31230530485759178</c:v>
              </c:pt>
              <c:pt idx="2631">
                <c:v>0.31230530485759178</c:v>
              </c:pt>
              <c:pt idx="2632">
                <c:v>0.31253631639977297</c:v>
              </c:pt>
              <c:pt idx="2633">
                <c:v>0.31253631639977297</c:v>
              </c:pt>
              <c:pt idx="2634">
                <c:v>0.31276732794195417</c:v>
              </c:pt>
              <c:pt idx="2635">
                <c:v>0.31276732794195417</c:v>
              </c:pt>
              <c:pt idx="2636">
                <c:v>0.31299833948413536</c:v>
              </c:pt>
              <c:pt idx="2637">
                <c:v>0.31299833948413536</c:v>
              </c:pt>
              <c:pt idx="2638">
                <c:v>0.31322935102631649</c:v>
              </c:pt>
              <c:pt idx="2639">
                <c:v>0.31322935102631649</c:v>
              </c:pt>
              <c:pt idx="2640">
                <c:v>0.31346036256849769</c:v>
              </c:pt>
              <c:pt idx="2641">
                <c:v>0.31346036256849769</c:v>
              </c:pt>
              <c:pt idx="2642">
                <c:v>0.31369137411067882</c:v>
              </c:pt>
              <c:pt idx="2643">
                <c:v>0.31369137411067882</c:v>
              </c:pt>
              <c:pt idx="2644">
                <c:v>0.31392238565286001</c:v>
              </c:pt>
              <c:pt idx="2645">
                <c:v>0.31392238565286001</c:v>
              </c:pt>
              <c:pt idx="2646">
                <c:v>0.31415339719504121</c:v>
              </c:pt>
              <c:pt idx="2647">
                <c:v>0.31415339719504121</c:v>
              </c:pt>
              <c:pt idx="2648">
                <c:v>0.3143844087372224</c:v>
              </c:pt>
              <c:pt idx="2649">
                <c:v>0.3143844087372224</c:v>
              </c:pt>
              <c:pt idx="2650">
                <c:v>0.31461542027940353</c:v>
              </c:pt>
              <c:pt idx="2651">
                <c:v>0.31461542027940353</c:v>
              </c:pt>
              <c:pt idx="2652">
                <c:v>0.31484643182158473</c:v>
              </c:pt>
              <c:pt idx="2653">
                <c:v>0.31484643182158473</c:v>
              </c:pt>
              <c:pt idx="2654">
                <c:v>0.31507744336376592</c:v>
              </c:pt>
              <c:pt idx="2655">
                <c:v>0.31507744336376592</c:v>
              </c:pt>
              <c:pt idx="2656">
                <c:v>0.31530845490594706</c:v>
              </c:pt>
              <c:pt idx="2657">
                <c:v>0.31530845490594706</c:v>
              </c:pt>
              <c:pt idx="2658">
                <c:v>0.31553946644812825</c:v>
              </c:pt>
              <c:pt idx="2659">
                <c:v>0.31553946644812825</c:v>
              </c:pt>
              <c:pt idx="2660">
                <c:v>0.3156384713947773</c:v>
              </c:pt>
              <c:pt idx="2661">
                <c:v>0.3156384713947773</c:v>
              </c:pt>
              <c:pt idx="2662">
                <c:v>0.3156384713947773</c:v>
              </c:pt>
              <c:pt idx="2663">
                <c:v>0.3156384713947773</c:v>
              </c:pt>
              <c:pt idx="2664">
                <c:v>0.3156384713947773</c:v>
              </c:pt>
              <c:pt idx="2665">
                <c:v>0.3156384713947773</c:v>
              </c:pt>
              <c:pt idx="2666">
                <c:v>0.31586948293695849</c:v>
              </c:pt>
              <c:pt idx="2667">
                <c:v>0.31586948293695849</c:v>
              </c:pt>
              <c:pt idx="2668">
                <c:v>0.31610049447913963</c:v>
              </c:pt>
              <c:pt idx="2669">
                <c:v>0.31610049447913963</c:v>
              </c:pt>
              <c:pt idx="2670">
                <c:v>0.31633150602132082</c:v>
              </c:pt>
              <c:pt idx="2671">
                <c:v>0.31633150602132082</c:v>
              </c:pt>
              <c:pt idx="2672">
                <c:v>0.31656251756350201</c:v>
              </c:pt>
              <c:pt idx="2673">
                <c:v>0.31656251756350201</c:v>
              </c:pt>
              <c:pt idx="2674">
                <c:v>0.31679352910568315</c:v>
              </c:pt>
              <c:pt idx="2675">
                <c:v>0.31679352910568315</c:v>
              </c:pt>
              <c:pt idx="2676">
                <c:v>0.31702454064786434</c:v>
              </c:pt>
              <c:pt idx="2677">
                <c:v>0.31702454064786434</c:v>
              </c:pt>
              <c:pt idx="2678">
                <c:v>0.31725555219004553</c:v>
              </c:pt>
              <c:pt idx="2679">
                <c:v>0.31725555219004553</c:v>
              </c:pt>
              <c:pt idx="2680">
                <c:v>0.31748656373222667</c:v>
              </c:pt>
              <c:pt idx="2681">
                <c:v>0.31748656373222667</c:v>
              </c:pt>
              <c:pt idx="2682">
                <c:v>0.31771757527440786</c:v>
              </c:pt>
              <c:pt idx="2683">
                <c:v>0.31771757527440786</c:v>
              </c:pt>
              <c:pt idx="2684">
                <c:v>0.31794858681658905</c:v>
              </c:pt>
              <c:pt idx="2685">
                <c:v>0.31794858681658905</c:v>
              </c:pt>
              <c:pt idx="2686">
                <c:v>0.31817959835877019</c:v>
              </c:pt>
              <c:pt idx="2687">
                <c:v>0.31817959835877019</c:v>
              </c:pt>
              <c:pt idx="2688">
                <c:v>0.31841060990095138</c:v>
              </c:pt>
              <c:pt idx="2689">
                <c:v>0.31841060990095138</c:v>
              </c:pt>
              <c:pt idx="2690">
                <c:v>0.31864162144313257</c:v>
              </c:pt>
              <c:pt idx="2691">
                <c:v>0.31864162144313257</c:v>
              </c:pt>
              <c:pt idx="2692">
                <c:v>0.31887263298531371</c:v>
              </c:pt>
              <c:pt idx="2693">
                <c:v>0.31887263298531371</c:v>
              </c:pt>
              <c:pt idx="2694">
                <c:v>0.3191036445274949</c:v>
              </c:pt>
              <c:pt idx="2695">
                <c:v>0.3191036445274949</c:v>
              </c:pt>
              <c:pt idx="2696">
                <c:v>0.31933465606967609</c:v>
              </c:pt>
              <c:pt idx="2697">
                <c:v>0.31933465606967609</c:v>
              </c:pt>
              <c:pt idx="2698">
                <c:v>0.31956566761185723</c:v>
              </c:pt>
              <c:pt idx="2699">
                <c:v>0.31956566761185723</c:v>
              </c:pt>
              <c:pt idx="2700">
                <c:v>0.31979667915403842</c:v>
              </c:pt>
              <c:pt idx="2701">
                <c:v>0.31979667915403842</c:v>
              </c:pt>
              <c:pt idx="2702">
                <c:v>0.32002769069621961</c:v>
              </c:pt>
              <c:pt idx="2703">
                <c:v>0.32002769069621961</c:v>
              </c:pt>
              <c:pt idx="2704">
                <c:v>0.32025870223840081</c:v>
              </c:pt>
              <c:pt idx="2705">
                <c:v>0.32025870223840081</c:v>
              </c:pt>
              <c:pt idx="2706">
                <c:v>0.32048971378058194</c:v>
              </c:pt>
              <c:pt idx="2707">
                <c:v>0.32048971378058194</c:v>
              </c:pt>
              <c:pt idx="2708">
                <c:v>0.32072072532276313</c:v>
              </c:pt>
              <c:pt idx="2709">
                <c:v>0.32072072532276313</c:v>
              </c:pt>
              <c:pt idx="2710">
                <c:v>0.32095173686494433</c:v>
              </c:pt>
              <c:pt idx="2711">
                <c:v>0.32095173686494433</c:v>
              </c:pt>
              <c:pt idx="2712">
                <c:v>0.32118274840712546</c:v>
              </c:pt>
              <c:pt idx="2713">
                <c:v>0.32118274840712546</c:v>
              </c:pt>
              <c:pt idx="2714">
                <c:v>0.32141375994930665</c:v>
              </c:pt>
              <c:pt idx="2715">
                <c:v>0.32141375994930665</c:v>
              </c:pt>
              <c:pt idx="2716">
                <c:v>0.32164477149148785</c:v>
              </c:pt>
              <c:pt idx="2717">
                <c:v>0.32164477149148785</c:v>
              </c:pt>
              <c:pt idx="2718">
                <c:v>0.32187578303366898</c:v>
              </c:pt>
              <c:pt idx="2719">
                <c:v>0.32187578303366898</c:v>
              </c:pt>
              <c:pt idx="2720">
                <c:v>0.32210679457585017</c:v>
              </c:pt>
              <c:pt idx="2721">
                <c:v>0.32210679457585017</c:v>
              </c:pt>
              <c:pt idx="2722">
                <c:v>0.32233780611803137</c:v>
              </c:pt>
              <c:pt idx="2723">
                <c:v>0.32233780611803137</c:v>
              </c:pt>
              <c:pt idx="2724">
                <c:v>0.3225688176602125</c:v>
              </c:pt>
              <c:pt idx="2725">
                <c:v>0.3225688176602125</c:v>
              </c:pt>
              <c:pt idx="2726">
                <c:v>0.3227998292023937</c:v>
              </c:pt>
              <c:pt idx="2727">
                <c:v>0.3227998292023937</c:v>
              </c:pt>
              <c:pt idx="2728">
                <c:v>0.32303084074457489</c:v>
              </c:pt>
              <c:pt idx="2729">
                <c:v>0.32303084074457489</c:v>
              </c:pt>
              <c:pt idx="2730">
                <c:v>0.32326185228675602</c:v>
              </c:pt>
              <c:pt idx="2731">
                <c:v>0.32326185228675602</c:v>
              </c:pt>
              <c:pt idx="2732">
                <c:v>0.32349286382893722</c:v>
              </c:pt>
              <c:pt idx="2733">
                <c:v>0.32349286382893722</c:v>
              </c:pt>
              <c:pt idx="2734">
                <c:v>0.32372387537111841</c:v>
              </c:pt>
              <c:pt idx="2735">
                <c:v>0.32372387537111841</c:v>
              </c:pt>
              <c:pt idx="2736">
                <c:v>0.32395488691329954</c:v>
              </c:pt>
              <c:pt idx="2737">
                <c:v>0.32395488691329954</c:v>
              </c:pt>
              <c:pt idx="2738">
                <c:v>0.32418589845548074</c:v>
              </c:pt>
              <c:pt idx="2739">
                <c:v>0.32418589845548074</c:v>
              </c:pt>
              <c:pt idx="2740">
                <c:v>0.32441690999766193</c:v>
              </c:pt>
              <c:pt idx="2741">
                <c:v>0.32441690999766193</c:v>
              </c:pt>
              <c:pt idx="2742">
                <c:v>0.32464792153984307</c:v>
              </c:pt>
              <c:pt idx="2743">
                <c:v>0.32464792153984307</c:v>
              </c:pt>
              <c:pt idx="2744">
                <c:v>0.32487893308202426</c:v>
              </c:pt>
              <c:pt idx="2745">
                <c:v>0.32487893308202426</c:v>
              </c:pt>
              <c:pt idx="2746">
                <c:v>0.32510994462420545</c:v>
              </c:pt>
              <c:pt idx="2747">
                <c:v>0.32510994462420545</c:v>
              </c:pt>
              <c:pt idx="2748">
                <c:v>0.32534095616638659</c:v>
              </c:pt>
              <c:pt idx="2749">
                <c:v>0.32534095616638659</c:v>
              </c:pt>
              <c:pt idx="2750">
                <c:v>0.32557196770856778</c:v>
              </c:pt>
              <c:pt idx="2751">
                <c:v>0.32557196770856778</c:v>
              </c:pt>
              <c:pt idx="2752">
                <c:v>0.32580297925074897</c:v>
              </c:pt>
              <c:pt idx="2753">
                <c:v>0.32580297925074897</c:v>
              </c:pt>
              <c:pt idx="2754">
                <c:v>0.32603399079293011</c:v>
              </c:pt>
              <c:pt idx="2755">
                <c:v>0.32603399079293011</c:v>
              </c:pt>
              <c:pt idx="2756">
                <c:v>0.3262650023351113</c:v>
              </c:pt>
              <c:pt idx="2757">
                <c:v>0.3262650023351113</c:v>
              </c:pt>
              <c:pt idx="2758">
                <c:v>0.32649601387729249</c:v>
              </c:pt>
              <c:pt idx="2759">
                <c:v>0.32649601387729249</c:v>
              </c:pt>
              <c:pt idx="2760">
                <c:v>0.32672702541947363</c:v>
              </c:pt>
              <c:pt idx="2761">
                <c:v>0.32672702541947363</c:v>
              </c:pt>
              <c:pt idx="2762">
                <c:v>0.32695803696165482</c:v>
              </c:pt>
              <c:pt idx="2763">
                <c:v>0.32695803696165482</c:v>
              </c:pt>
              <c:pt idx="2764">
                <c:v>0.32718904850383601</c:v>
              </c:pt>
              <c:pt idx="2765">
                <c:v>0.32718904850383601</c:v>
              </c:pt>
              <c:pt idx="2766">
                <c:v>0.32742006004601715</c:v>
              </c:pt>
              <c:pt idx="2767">
                <c:v>0.32742006004601715</c:v>
              </c:pt>
              <c:pt idx="2768">
                <c:v>0.32765107158819834</c:v>
              </c:pt>
              <c:pt idx="2769">
                <c:v>0.32765107158819834</c:v>
              </c:pt>
              <c:pt idx="2770">
                <c:v>0.32788208313037953</c:v>
              </c:pt>
              <c:pt idx="2771">
                <c:v>0.32788208313037953</c:v>
              </c:pt>
              <c:pt idx="2772">
                <c:v>0.32811309467256067</c:v>
              </c:pt>
              <c:pt idx="2773">
                <c:v>0.32811309467256067</c:v>
              </c:pt>
              <c:pt idx="2774">
                <c:v>0.32834410621474186</c:v>
              </c:pt>
              <c:pt idx="2775">
                <c:v>0.32834410621474186</c:v>
              </c:pt>
              <c:pt idx="2776">
                <c:v>0.32857511775692305</c:v>
              </c:pt>
              <c:pt idx="2777">
                <c:v>0.32857511775692305</c:v>
              </c:pt>
              <c:pt idx="2778">
                <c:v>0.32880612929910419</c:v>
              </c:pt>
              <c:pt idx="2779">
                <c:v>0.32880612929910419</c:v>
              </c:pt>
              <c:pt idx="2780">
                <c:v>0.32903714084128538</c:v>
              </c:pt>
              <c:pt idx="2781">
                <c:v>0.32903714084128538</c:v>
              </c:pt>
              <c:pt idx="2782">
                <c:v>0.32926815238346657</c:v>
              </c:pt>
              <c:pt idx="2783">
                <c:v>0.32926815238346657</c:v>
              </c:pt>
              <c:pt idx="2784">
                <c:v>0.32949916392564771</c:v>
              </c:pt>
              <c:pt idx="2785">
                <c:v>0.32949916392564771</c:v>
              </c:pt>
              <c:pt idx="2786">
                <c:v>0.3297301754678289</c:v>
              </c:pt>
              <c:pt idx="2787">
                <c:v>0.3297301754678289</c:v>
              </c:pt>
              <c:pt idx="2788">
                <c:v>0.32996118701001009</c:v>
              </c:pt>
              <c:pt idx="2789">
                <c:v>0.32996118701001009</c:v>
              </c:pt>
              <c:pt idx="2790">
                <c:v>0.33019219855219129</c:v>
              </c:pt>
              <c:pt idx="2791">
                <c:v>0.33019219855219129</c:v>
              </c:pt>
              <c:pt idx="2792">
                <c:v>0.33042321009437242</c:v>
              </c:pt>
              <c:pt idx="2793">
                <c:v>0.33042321009437242</c:v>
              </c:pt>
              <c:pt idx="2794">
                <c:v>0.33065422163655361</c:v>
              </c:pt>
              <c:pt idx="2795">
                <c:v>0.33065422163655361</c:v>
              </c:pt>
              <c:pt idx="2796">
                <c:v>0.33088523317873481</c:v>
              </c:pt>
              <c:pt idx="2797">
                <c:v>0.33088523317873481</c:v>
              </c:pt>
              <c:pt idx="2798">
                <c:v>0.33111624472091594</c:v>
              </c:pt>
              <c:pt idx="2799">
                <c:v>0.33111624472091594</c:v>
              </c:pt>
              <c:pt idx="2800">
                <c:v>0.33134725626309713</c:v>
              </c:pt>
              <c:pt idx="2801">
                <c:v>0.33134725626309713</c:v>
              </c:pt>
              <c:pt idx="2802">
                <c:v>0.33157826780527833</c:v>
              </c:pt>
              <c:pt idx="2803">
                <c:v>0.33157826780527833</c:v>
              </c:pt>
              <c:pt idx="2804">
                <c:v>0.33180927934745946</c:v>
              </c:pt>
              <c:pt idx="2805">
                <c:v>0.33180927934745946</c:v>
              </c:pt>
              <c:pt idx="2806">
                <c:v>0.33204029088964065</c:v>
              </c:pt>
              <c:pt idx="2807">
                <c:v>0.33204029088964065</c:v>
              </c:pt>
              <c:pt idx="2808">
                <c:v>0.33213929583628971</c:v>
              </c:pt>
              <c:pt idx="2809">
                <c:v>0.33213929583628971</c:v>
              </c:pt>
              <c:pt idx="2810">
                <c:v>0.33213929583628971</c:v>
              </c:pt>
              <c:pt idx="2811">
                <c:v>0.33213929583628971</c:v>
              </c:pt>
              <c:pt idx="2812">
                <c:v>0.33213929583628971</c:v>
              </c:pt>
              <c:pt idx="2813">
                <c:v>0.33213929583628971</c:v>
              </c:pt>
              <c:pt idx="2814">
                <c:v>0.3323703073784709</c:v>
              </c:pt>
              <c:pt idx="2815">
                <c:v>0.3323703073784709</c:v>
              </c:pt>
              <c:pt idx="2816">
                <c:v>0.33260131892065203</c:v>
              </c:pt>
              <c:pt idx="2817">
                <c:v>0.33260131892065203</c:v>
              </c:pt>
              <c:pt idx="2818">
                <c:v>0.33283233046283323</c:v>
              </c:pt>
              <c:pt idx="2819">
                <c:v>0.33283233046283323</c:v>
              </c:pt>
              <c:pt idx="2820">
                <c:v>0.33306334200501442</c:v>
              </c:pt>
              <c:pt idx="2821">
                <c:v>0.33306334200501442</c:v>
              </c:pt>
              <c:pt idx="2822">
                <c:v>0.33329435354719555</c:v>
              </c:pt>
              <c:pt idx="2823">
                <c:v>0.33329435354719555</c:v>
              </c:pt>
              <c:pt idx="2824">
                <c:v>0.33352536508937675</c:v>
              </c:pt>
              <c:pt idx="2825">
                <c:v>0.33352536508937675</c:v>
              </c:pt>
              <c:pt idx="2826">
                <c:v>0.33375637663155794</c:v>
              </c:pt>
              <c:pt idx="2827">
                <c:v>0.33375637663155794</c:v>
              </c:pt>
              <c:pt idx="2828">
                <c:v>0.33398738817373907</c:v>
              </c:pt>
              <c:pt idx="2829">
                <c:v>0.33398738817373907</c:v>
              </c:pt>
              <c:pt idx="2830">
                <c:v>0.33421839971592027</c:v>
              </c:pt>
              <c:pt idx="2831">
                <c:v>0.33421839971592027</c:v>
              </c:pt>
              <c:pt idx="2832">
                <c:v>0.33444941125810146</c:v>
              </c:pt>
              <c:pt idx="2833">
                <c:v>0.33444941125810146</c:v>
              </c:pt>
              <c:pt idx="2834">
                <c:v>0.3346804228002826</c:v>
              </c:pt>
              <c:pt idx="2835">
                <c:v>0.3346804228002826</c:v>
              </c:pt>
              <c:pt idx="2836">
                <c:v>0.33491143434246379</c:v>
              </c:pt>
              <c:pt idx="2837">
                <c:v>0.33491143434246379</c:v>
              </c:pt>
              <c:pt idx="2838">
                <c:v>0.33514244588464498</c:v>
              </c:pt>
              <c:pt idx="2839">
                <c:v>0.33514244588464498</c:v>
              </c:pt>
              <c:pt idx="2840">
                <c:v>0.33537345742682612</c:v>
              </c:pt>
              <c:pt idx="2841">
                <c:v>0.33537345742682612</c:v>
              </c:pt>
              <c:pt idx="2842">
                <c:v>0.33560446896900731</c:v>
              </c:pt>
              <c:pt idx="2843">
                <c:v>0.33560446896900731</c:v>
              </c:pt>
              <c:pt idx="2844">
                <c:v>0.3358354805111885</c:v>
              </c:pt>
              <c:pt idx="2845">
                <c:v>0.3358354805111885</c:v>
              </c:pt>
              <c:pt idx="2846">
                <c:v>0.33606649205336964</c:v>
              </c:pt>
              <c:pt idx="2847">
                <c:v>0.33606649205336964</c:v>
              </c:pt>
              <c:pt idx="2848">
                <c:v>0.33629750359555083</c:v>
              </c:pt>
              <c:pt idx="2849">
                <c:v>0.33629750359555083</c:v>
              </c:pt>
              <c:pt idx="2850">
                <c:v>0.33652851513773202</c:v>
              </c:pt>
              <c:pt idx="2851">
                <c:v>0.33652851513773202</c:v>
              </c:pt>
              <c:pt idx="2852">
                <c:v>0.33675952667991316</c:v>
              </c:pt>
              <c:pt idx="2853">
                <c:v>0.33675952667991316</c:v>
              </c:pt>
              <c:pt idx="2854">
                <c:v>0.33699053822209435</c:v>
              </c:pt>
              <c:pt idx="2855">
                <c:v>0.33699053822209435</c:v>
              </c:pt>
              <c:pt idx="2856">
                <c:v>0.33722154976427554</c:v>
              </c:pt>
              <c:pt idx="2857">
                <c:v>0.33722154976427554</c:v>
              </c:pt>
              <c:pt idx="2858">
                <c:v>0.33745256130645673</c:v>
              </c:pt>
              <c:pt idx="2859">
                <c:v>0.33745256130645673</c:v>
              </c:pt>
              <c:pt idx="2860">
                <c:v>0.33768357284863787</c:v>
              </c:pt>
              <c:pt idx="2861">
                <c:v>0.33768357284863787</c:v>
              </c:pt>
              <c:pt idx="2862">
                <c:v>0.33791458439081906</c:v>
              </c:pt>
              <c:pt idx="2863">
                <c:v>0.33791458439081906</c:v>
              </c:pt>
              <c:pt idx="2864">
                <c:v>0.33814559593300025</c:v>
              </c:pt>
              <c:pt idx="2865">
                <c:v>0.33814559593300025</c:v>
              </c:pt>
              <c:pt idx="2866">
                <c:v>0.33837660747518139</c:v>
              </c:pt>
              <c:pt idx="2867">
                <c:v>0.33837660747518139</c:v>
              </c:pt>
              <c:pt idx="2868">
                <c:v>0.33860761901736258</c:v>
              </c:pt>
              <c:pt idx="2869">
                <c:v>0.33860761901736258</c:v>
              </c:pt>
              <c:pt idx="2870">
                <c:v>0.33883863055954377</c:v>
              </c:pt>
              <c:pt idx="2871">
                <c:v>0.33883863055954377</c:v>
              </c:pt>
              <c:pt idx="2872">
                <c:v>0.33906964210172491</c:v>
              </c:pt>
              <c:pt idx="2873">
                <c:v>0.33906964210172491</c:v>
              </c:pt>
              <c:pt idx="2874">
                <c:v>0.3393006536439061</c:v>
              </c:pt>
              <c:pt idx="2875">
                <c:v>0.3393006536439061</c:v>
              </c:pt>
              <c:pt idx="2876">
                <c:v>0.33953166518608729</c:v>
              </c:pt>
              <c:pt idx="2877">
                <c:v>0.33953166518608729</c:v>
              </c:pt>
              <c:pt idx="2878">
                <c:v>0.33976267672826843</c:v>
              </c:pt>
              <c:pt idx="2879">
                <c:v>0.33976267672826843</c:v>
              </c:pt>
              <c:pt idx="2880">
                <c:v>0.33999368827044962</c:v>
              </c:pt>
              <c:pt idx="2881">
                <c:v>0.33999368827044962</c:v>
              </c:pt>
              <c:pt idx="2882">
                <c:v>0.34022469981263082</c:v>
              </c:pt>
              <c:pt idx="2883">
                <c:v>0.34022469981263082</c:v>
              </c:pt>
              <c:pt idx="2884">
                <c:v>0.34045571135481195</c:v>
              </c:pt>
              <c:pt idx="2885">
                <c:v>0.34045571135481195</c:v>
              </c:pt>
              <c:pt idx="2886">
                <c:v>0.34068672289699314</c:v>
              </c:pt>
              <c:pt idx="2887">
                <c:v>0.34068672289699314</c:v>
              </c:pt>
              <c:pt idx="2888">
                <c:v>0.34091773443917434</c:v>
              </c:pt>
              <c:pt idx="2889">
                <c:v>0.34091773443917434</c:v>
              </c:pt>
              <c:pt idx="2890">
                <c:v>0.34114874598135547</c:v>
              </c:pt>
              <c:pt idx="2891">
                <c:v>0.34114874598135547</c:v>
              </c:pt>
              <c:pt idx="2892">
                <c:v>0.34137975752353666</c:v>
              </c:pt>
              <c:pt idx="2893">
                <c:v>0.34137975752353666</c:v>
              </c:pt>
              <c:pt idx="2894">
                <c:v>0.34161076906571786</c:v>
              </c:pt>
              <c:pt idx="2895">
                <c:v>0.34161076906571786</c:v>
              </c:pt>
              <c:pt idx="2896">
                <c:v>0.34184178060789899</c:v>
              </c:pt>
              <c:pt idx="2897">
                <c:v>0.34184178060789899</c:v>
              </c:pt>
              <c:pt idx="2898">
                <c:v>0.34207279215008018</c:v>
              </c:pt>
              <c:pt idx="2899">
                <c:v>0.34207279215008018</c:v>
              </c:pt>
              <c:pt idx="2900">
                <c:v>0.34230380369226138</c:v>
              </c:pt>
              <c:pt idx="2901">
                <c:v>0.34230380369226138</c:v>
              </c:pt>
              <c:pt idx="2902">
                <c:v>0.34253481523444251</c:v>
              </c:pt>
              <c:pt idx="2903">
                <c:v>0.34253481523444251</c:v>
              </c:pt>
              <c:pt idx="2904">
                <c:v>0.34276582677662371</c:v>
              </c:pt>
              <c:pt idx="2905">
                <c:v>0.34276582677662371</c:v>
              </c:pt>
              <c:pt idx="2906">
                <c:v>0.3429968383188049</c:v>
              </c:pt>
              <c:pt idx="2907">
                <c:v>0.3429968383188049</c:v>
              </c:pt>
              <c:pt idx="2908">
                <c:v>0.34322784986098603</c:v>
              </c:pt>
              <c:pt idx="2909">
                <c:v>0.34322784986098603</c:v>
              </c:pt>
              <c:pt idx="2910">
                <c:v>0.34345886140316723</c:v>
              </c:pt>
              <c:pt idx="2911">
                <c:v>0.34345886140316723</c:v>
              </c:pt>
              <c:pt idx="2912">
                <c:v>0.34368987294534842</c:v>
              </c:pt>
              <c:pt idx="2913">
                <c:v>0.34368987294534842</c:v>
              </c:pt>
              <c:pt idx="2914">
                <c:v>0.34392088448752955</c:v>
              </c:pt>
              <c:pt idx="2915">
                <c:v>0.34392088448752955</c:v>
              </c:pt>
              <c:pt idx="2916">
                <c:v>0.34415189602971075</c:v>
              </c:pt>
              <c:pt idx="2917">
                <c:v>0.34415189602971075</c:v>
              </c:pt>
              <c:pt idx="2918">
                <c:v>0.34438290757189194</c:v>
              </c:pt>
              <c:pt idx="2919">
                <c:v>0.34438290757189194</c:v>
              </c:pt>
              <c:pt idx="2920">
                <c:v>0.34461391911407308</c:v>
              </c:pt>
              <c:pt idx="2921">
                <c:v>0.34461391911407308</c:v>
              </c:pt>
              <c:pt idx="2922">
                <c:v>0.34484493065625427</c:v>
              </c:pt>
              <c:pt idx="2923">
                <c:v>0.34484493065625427</c:v>
              </c:pt>
              <c:pt idx="2924">
                <c:v>0.34507594219843546</c:v>
              </c:pt>
              <c:pt idx="2925">
                <c:v>0.34507594219843546</c:v>
              </c:pt>
              <c:pt idx="2926">
                <c:v>0.3453069537406166</c:v>
              </c:pt>
              <c:pt idx="2927">
                <c:v>0.3453069537406166</c:v>
              </c:pt>
              <c:pt idx="2928">
                <c:v>0.34553796528279779</c:v>
              </c:pt>
              <c:pt idx="2929">
                <c:v>0.34553796528279779</c:v>
              </c:pt>
              <c:pt idx="2930">
                <c:v>0.34576897682497898</c:v>
              </c:pt>
              <c:pt idx="2931">
                <c:v>0.34576897682497898</c:v>
              </c:pt>
              <c:pt idx="2932">
                <c:v>0.34599998836716017</c:v>
              </c:pt>
              <c:pt idx="2933">
                <c:v>0.34599998836716017</c:v>
              </c:pt>
              <c:pt idx="2934">
                <c:v>0.34623099990934131</c:v>
              </c:pt>
              <c:pt idx="2935">
                <c:v>0.34623099990934131</c:v>
              </c:pt>
              <c:pt idx="2936">
                <c:v>0.3464620114515225</c:v>
              </c:pt>
              <c:pt idx="2937">
                <c:v>0.3464620114515225</c:v>
              </c:pt>
              <c:pt idx="2938">
                <c:v>0.34669302299370364</c:v>
              </c:pt>
              <c:pt idx="2939">
                <c:v>0.34669302299370364</c:v>
              </c:pt>
              <c:pt idx="2940">
                <c:v>0.34692403453588483</c:v>
              </c:pt>
              <c:pt idx="2941">
                <c:v>0.34692403453588483</c:v>
              </c:pt>
              <c:pt idx="2942">
                <c:v>0.34715504607806602</c:v>
              </c:pt>
              <c:pt idx="2943">
                <c:v>0.34715504607806602</c:v>
              </c:pt>
              <c:pt idx="2944">
                <c:v>0.34738605762024721</c:v>
              </c:pt>
              <c:pt idx="2945">
                <c:v>0.34738605762024721</c:v>
              </c:pt>
              <c:pt idx="2946">
                <c:v>0.34761706916242835</c:v>
              </c:pt>
              <c:pt idx="2947">
                <c:v>0.34761706916242835</c:v>
              </c:pt>
              <c:pt idx="2948">
                <c:v>0.34784808070460954</c:v>
              </c:pt>
              <c:pt idx="2949">
                <c:v>0.34784808070460954</c:v>
              </c:pt>
              <c:pt idx="2950">
                <c:v>0.34807909224679073</c:v>
              </c:pt>
              <c:pt idx="2951">
                <c:v>0.34807909224679073</c:v>
              </c:pt>
              <c:pt idx="2952">
                <c:v>0.34831010378897187</c:v>
              </c:pt>
              <c:pt idx="2953">
                <c:v>0.34831010378897187</c:v>
              </c:pt>
              <c:pt idx="2954">
                <c:v>0.34854111533115306</c:v>
              </c:pt>
              <c:pt idx="2955">
                <c:v>0.34854111533115306</c:v>
              </c:pt>
              <c:pt idx="2956">
                <c:v>0.34864012027780217</c:v>
              </c:pt>
              <c:pt idx="2957">
                <c:v>0.34864012027780217</c:v>
              </c:pt>
              <c:pt idx="2958">
                <c:v>0.34864012027780217</c:v>
              </c:pt>
              <c:pt idx="2959">
                <c:v>0.34864012027780217</c:v>
              </c:pt>
              <c:pt idx="2960">
                <c:v>0.34864012027780217</c:v>
              </c:pt>
              <c:pt idx="2961">
                <c:v>0.34864012027780217</c:v>
              </c:pt>
              <c:pt idx="2962">
                <c:v>0.34887113181998336</c:v>
              </c:pt>
              <c:pt idx="2963">
                <c:v>0.34887113181998336</c:v>
              </c:pt>
              <c:pt idx="2964">
                <c:v>0.3491021433621645</c:v>
              </c:pt>
              <c:pt idx="2965">
                <c:v>0.3491021433621645</c:v>
              </c:pt>
              <c:pt idx="2966">
                <c:v>0.34933315490434569</c:v>
              </c:pt>
              <c:pt idx="2967">
                <c:v>0.34933315490434569</c:v>
              </c:pt>
              <c:pt idx="2968">
                <c:v>0.34956416644652688</c:v>
              </c:pt>
              <c:pt idx="2969">
                <c:v>0.34956416644652688</c:v>
              </c:pt>
              <c:pt idx="2970">
                <c:v>0.34979517798870802</c:v>
              </c:pt>
              <c:pt idx="2971">
                <c:v>0.34979517798870802</c:v>
              </c:pt>
              <c:pt idx="2972">
                <c:v>0.35002618953088921</c:v>
              </c:pt>
              <c:pt idx="2973">
                <c:v>0.35002618953088921</c:v>
              </c:pt>
              <c:pt idx="2974">
                <c:v>0.3502572010730704</c:v>
              </c:pt>
              <c:pt idx="2975">
                <c:v>0.3502572010730704</c:v>
              </c:pt>
              <c:pt idx="2976">
                <c:v>0.35048821261525154</c:v>
              </c:pt>
              <c:pt idx="2977">
                <c:v>0.35048821261525154</c:v>
              </c:pt>
              <c:pt idx="2978">
                <c:v>0.35071922415743273</c:v>
              </c:pt>
              <c:pt idx="2979">
                <c:v>0.35071922415743273</c:v>
              </c:pt>
              <c:pt idx="2980">
                <c:v>0.35095023569961392</c:v>
              </c:pt>
              <c:pt idx="2981">
                <c:v>0.35095023569961392</c:v>
              </c:pt>
              <c:pt idx="2982">
                <c:v>0.35118124724179506</c:v>
              </c:pt>
              <c:pt idx="2983">
                <c:v>0.35118124724179506</c:v>
              </c:pt>
              <c:pt idx="2984">
                <c:v>0.35141225878397625</c:v>
              </c:pt>
              <c:pt idx="2985">
                <c:v>0.35141225878397625</c:v>
              </c:pt>
              <c:pt idx="2986">
                <c:v>0.35164327032615744</c:v>
              </c:pt>
              <c:pt idx="2987">
                <c:v>0.35164327032615744</c:v>
              </c:pt>
              <c:pt idx="2988">
                <c:v>0.35187428186833858</c:v>
              </c:pt>
              <c:pt idx="2989">
                <c:v>0.35187428186833858</c:v>
              </c:pt>
              <c:pt idx="2990">
                <c:v>0.35210529341051977</c:v>
              </c:pt>
              <c:pt idx="2991">
                <c:v>0.35210529341051977</c:v>
              </c:pt>
              <c:pt idx="2992">
                <c:v>0.35233630495270096</c:v>
              </c:pt>
              <c:pt idx="2993">
                <c:v>0.35233630495270096</c:v>
              </c:pt>
              <c:pt idx="2994">
                <c:v>0.3525673164948821</c:v>
              </c:pt>
              <c:pt idx="2995">
                <c:v>0.3525673164948821</c:v>
              </c:pt>
              <c:pt idx="2996">
                <c:v>0.35279832803706329</c:v>
              </c:pt>
              <c:pt idx="2997">
                <c:v>0.35279832803706329</c:v>
              </c:pt>
              <c:pt idx="2998">
                <c:v>0.35302933957924448</c:v>
              </c:pt>
              <c:pt idx="2999">
                <c:v>0.35302933957924448</c:v>
              </c:pt>
              <c:pt idx="3000">
                <c:v>0.35326035112142562</c:v>
              </c:pt>
              <c:pt idx="3001">
                <c:v>0.35326035112142562</c:v>
              </c:pt>
              <c:pt idx="3002">
                <c:v>0.35349136266360681</c:v>
              </c:pt>
              <c:pt idx="3003">
                <c:v>0.35349136266360681</c:v>
              </c:pt>
              <c:pt idx="3004">
                <c:v>0.353722374205788</c:v>
              </c:pt>
              <c:pt idx="3005">
                <c:v>0.353722374205788</c:v>
              </c:pt>
              <c:pt idx="3006">
                <c:v>0.3539533857479692</c:v>
              </c:pt>
              <c:pt idx="3007">
                <c:v>0.3539533857479692</c:v>
              </c:pt>
              <c:pt idx="3008">
                <c:v>0.35418439729015033</c:v>
              </c:pt>
              <c:pt idx="3009">
                <c:v>0.35418439729015033</c:v>
              </c:pt>
              <c:pt idx="3010">
                <c:v>0.35441540883233152</c:v>
              </c:pt>
              <c:pt idx="3011">
                <c:v>0.35441540883233152</c:v>
              </c:pt>
              <c:pt idx="3012">
                <c:v>0.35464642037451272</c:v>
              </c:pt>
              <c:pt idx="3013">
                <c:v>0.35464642037451272</c:v>
              </c:pt>
              <c:pt idx="3014">
                <c:v>0.35487743191669385</c:v>
              </c:pt>
              <c:pt idx="3015">
                <c:v>0.35487743191669385</c:v>
              </c:pt>
              <c:pt idx="3016">
                <c:v>0.35510844345887504</c:v>
              </c:pt>
              <c:pt idx="3017">
                <c:v>0.35510844345887504</c:v>
              </c:pt>
              <c:pt idx="3018">
                <c:v>0.35533945500105624</c:v>
              </c:pt>
              <c:pt idx="3019">
                <c:v>0.35533945500105624</c:v>
              </c:pt>
              <c:pt idx="3020">
                <c:v>0.35557046654323737</c:v>
              </c:pt>
              <c:pt idx="3021">
                <c:v>0.35557046654323737</c:v>
              </c:pt>
              <c:pt idx="3022">
                <c:v>0.35580147808541857</c:v>
              </c:pt>
              <c:pt idx="3023">
                <c:v>0.35580147808541857</c:v>
              </c:pt>
              <c:pt idx="3024">
                <c:v>0.35603248962759976</c:v>
              </c:pt>
              <c:pt idx="3025">
                <c:v>0.35603248962759976</c:v>
              </c:pt>
              <c:pt idx="3026">
                <c:v>0.35626350116978089</c:v>
              </c:pt>
              <c:pt idx="3027">
                <c:v>0.35626350116978089</c:v>
              </c:pt>
              <c:pt idx="3028">
                <c:v>0.35649451271196209</c:v>
              </c:pt>
              <c:pt idx="3029">
                <c:v>0.35649451271196209</c:v>
              </c:pt>
              <c:pt idx="3030">
                <c:v>0.35672552425414328</c:v>
              </c:pt>
              <c:pt idx="3031">
                <c:v>0.35672552425414328</c:v>
              </c:pt>
              <c:pt idx="3032">
                <c:v>0.35695653579632441</c:v>
              </c:pt>
              <c:pt idx="3033">
                <c:v>0.35695653579632441</c:v>
              </c:pt>
              <c:pt idx="3034">
                <c:v>0.35718754733850561</c:v>
              </c:pt>
              <c:pt idx="3035">
                <c:v>0.35718754733850561</c:v>
              </c:pt>
              <c:pt idx="3036">
                <c:v>0.3574185588806868</c:v>
              </c:pt>
              <c:pt idx="3037">
                <c:v>0.3574185588806868</c:v>
              </c:pt>
              <c:pt idx="3038">
                <c:v>0.35764957042286794</c:v>
              </c:pt>
              <c:pt idx="3039">
                <c:v>0.35764957042286794</c:v>
              </c:pt>
              <c:pt idx="3040">
                <c:v>0.35788058196504913</c:v>
              </c:pt>
              <c:pt idx="3041">
                <c:v>0.35788058196504913</c:v>
              </c:pt>
              <c:pt idx="3042">
                <c:v>0.35811159350723032</c:v>
              </c:pt>
              <c:pt idx="3043">
                <c:v>0.35811159350723032</c:v>
              </c:pt>
              <c:pt idx="3044">
                <c:v>0.35834260504941146</c:v>
              </c:pt>
              <c:pt idx="3045">
                <c:v>0.35834260504941146</c:v>
              </c:pt>
              <c:pt idx="3046">
                <c:v>0.35857361659159265</c:v>
              </c:pt>
              <c:pt idx="3047">
                <c:v>0.35857361659159265</c:v>
              </c:pt>
              <c:pt idx="3048">
                <c:v>0.35880462813377384</c:v>
              </c:pt>
              <c:pt idx="3049">
                <c:v>0.35880462813377384</c:v>
              </c:pt>
              <c:pt idx="3050">
                <c:v>0.35903563967595498</c:v>
              </c:pt>
              <c:pt idx="3051">
                <c:v>0.35903563967595498</c:v>
              </c:pt>
              <c:pt idx="3052">
                <c:v>0.35926665121813617</c:v>
              </c:pt>
              <c:pt idx="3053">
                <c:v>0.35926665121813617</c:v>
              </c:pt>
              <c:pt idx="3054">
                <c:v>0.35949766276031736</c:v>
              </c:pt>
              <c:pt idx="3055">
                <c:v>0.35949766276031736</c:v>
              </c:pt>
              <c:pt idx="3056">
                <c:v>0.3597286743024985</c:v>
              </c:pt>
              <c:pt idx="3057">
                <c:v>0.3597286743024985</c:v>
              </c:pt>
              <c:pt idx="3058">
                <c:v>0.35995968584467969</c:v>
              </c:pt>
              <c:pt idx="3059">
                <c:v>0.35995968584467969</c:v>
              </c:pt>
              <c:pt idx="3060">
                <c:v>0.36019069738686088</c:v>
              </c:pt>
              <c:pt idx="3061">
                <c:v>0.36019069738686088</c:v>
              </c:pt>
              <c:pt idx="3062">
                <c:v>0.36042170892904202</c:v>
              </c:pt>
              <c:pt idx="3063">
                <c:v>0.36042170892904202</c:v>
              </c:pt>
              <c:pt idx="3064">
                <c:v>0.36065272047122321</c:v>
              </c:pt>
              <c:pt idx="3065">
                <c:v>0.36065272047122321</c:v>
              </c:pt>
              <c:pt idx="3066">
                <c:v>0.3608837320134044</c:v>
              </c:pt>
              <c:pt idx="3067">
                <c:v>0.3608837320134044</c:v>
              </c:pt>
              <c:pt idx="3068">
                <c:v>0.36111474355558554</c:v>
              </c:pt>
              <c:pt idx="3069">
                <c:v>0.36111474355558554</c:v>
              </c:pt>
              <c:pt idx="3070">
                <c:v>0.36134575509776673</c:v>
              </c:pt>
              <c:pt idx="3071">
                <c:v>0.36134575509776673</c:v>
              </c:pt>
              <c:pt idx="3072">
                <c:v>0.36157676663994792</c:v>
              </c:pt>
              <c:pt idx="3073">
                <c:v>0.36157676663994792</c:v>
              </c:pt>
              <c:pt idx="3074">
                <c:v>0.36180777818212906</c:v>
              </c:pt>
              <c:pt idx="3075">
                <c:v>0.36180777818212906</c:v>
              </c:pt>
              <c:pt idx="3076">
                <c:v>0.36203878972431025</c:v>
              </c:pt>
              <c:pt idx="3077">
                <c:v>0.36203878972431025</c:v>
              </c:pt>
              <c:pt idx="3078">
                <c:v>0.36226980126649144</c:v>
              </c:pt>
              <c:pt idx="3079">
                <c:v>0.36226980126649144</c:v>
              </c:pt>
              <c:pt idx="3080">
                <c:v>0.36250081280867263</c:v>
              </c:pt>
              <c:pt idx="3081">
                <c:v>0.36250081280867263</c:v>
              </c:pt>
              <c:pt idx="3082">
                <c:v>0.36273182435085377</c:v>
              </c:pt>
              <c:pt idx="3083">
                <c:v>0.36273182435085377</c:v>
              </c:pt>
              <c:pt idx="3084">
                <c:v>0.36296283589303496</c:v>
              </c:pt>
              <c:pt idx="3085">
                <c:v>0.36296283589303496</c:v>
              </c:pt>
              <c:pt idx="3086">
                <c:v>0.3631938474352161</c:v>
              </c:pt>
              <c:pt idx="3087">
                <c:v>0.3631938474352161</c:v>
              </c:pt>
              <c:pt idx="3088">
                <c:v>0.36342485897739729</c:v>
              </c:pt>
              <c:pt idx="3089">
                <c:v>0.36342485897739729</c:v>
              </c:pt>
              <c:pt idx="3090">
                <c:v>0.36365587051957848</c:v>
              </c:pt>
              <c:pt idx="3091">
                <c:v>0.36365587051957848</c:v>
              </c:pt>
              <c:pt idx="3092">
                <c:v>0.36388688206175968</c:v>
              </c:pt>
              <c:pt idx="3093">
                <c:v>0.36388688206175968</c:v>
              </c:pt>
              <c:pt idx="3094">
                <c:v>0.36411789360394081</c:v>
              </c:pt>
              <c:pt idx="3095">
                <c:v>0.36411789360394081</c:v>
              </c:pt>
              <c:pt idx="3096">
                <c:v>0.364348905146122</c:v>
              </c:pt>
              <c:pt idx="3097">
                <c:v>0.364348905146122</c:v>
              </c:pt>
              <c:pt idx="3098">
                <c:v>0.3645799166883032</c:v>
              </c:pt>
              <c:pt idx="3099">
                <c:v>0.3645799166883032</c:v>
              </c:pt>
              <c:pt idx="3100">
                <c:v>0.36481092823048433</c:v>
              </c:pt>
              <c:pt idx="3101">
                <c:v>0.36481092823048433</c:v>
              </c:pt>
              <c:pt idx="3102">
                <c:v>0.36504193977266552</c:v>
              </c:pt>
              <c:pt idx="3103">
                <c:v>0.36504193977266552</c:v>
              </c:pt>
              <c:pt idx="3104">
                <c:v>0.36514094471931458</c:v>
              </c:pt>
              <c:pt idx="3105">
                <c:v>0.36514094471931458</c:v>
              </c:pt>
              <c:pt idx="3106">
                <c:v>0.36514094471931458</c:v>
              </c:pt>
            </c:numLit>
          </c:xVal>
          <c:yVal>
            <c:numLit>
              <c:formatCode>General</c:formatCode>
              <c:ptCount val="3107"/>
              <c:pt idx="0">
                <c:v>0</c:v>
              </c:pt>
              <c:pt idx="1">
                <c:v>2.4241213002284205E-2</c:v>
              </c:pt>
              <c:pt idx="2">
                <c:v>2.4241213002284205E-2</c:v>
              </c:pt>
              <c:pt idx="3">
                <c:v>0</c:v>
              </c:pt>
              <c:pt idx="4">
                <c:v>0</c:v>
              </c:pt>
              <c:pt idx="5">
                <c:v>2.4241213002284205E-2</c:v>
              </c:pt>
              <c:pt idx="6">
                <c:v>2.4241213002284205E-2</c:v>
              </c:pt>
              <c:pt idx="7">
                <c:v>0</c:v>
              </c:pt>
              <c:pt idx="8">
                <c:v>0</c:v>
              </c:pt>
              <c:pt idx="9">
                <c:v>2.4241213002284205E-2</c:v>
              </c:pt>
              <c:pt idx="10">
                <c:v>2.4241213002284205E-2</c:v>
              </c:pt>
              <c:pt idx="11">
                <c:v>0</c:v>
              </c:pt>
              <c:pt idx="12">
                <c:v>0</c:v>
              </c:pt>
              <c:pt idx="13">
                <c:v>2.4241213002284205E-2</c:v>
              </c:pt>
              <c:pt idx="14">
                <c:v>2.4241213002284205E-2</c:v>
              </c:pt>
              <c:pt idx="15">
                <c:v>0</c:v>
              </c:pt>
              <c:pt idx="16">
                <c:v>0</c:v>
              </c:pt>
              <c:pt idx="17">
                <c:v>2.4241213002284205E-2</c:v>
              </c:pt>
              <c:pt idx="18">
                <c:v>2.4241213002284205E-2</c:v>
              </c:pt>
              <c:pt idx="19">
                <c:v>0</c:v>
              </c:pt>
              <c:pt idx="20">
                <c:v>0</c:v>
              </c:pt>
              <c:pt idx="21">
                <c:v>2.4241213002284205E-2</c:v>
              </c:pt>
              <c:pt idx="22">
                <c:v>2.4241213002284205E-2</c:v>
              </c:pt>
              <c:pt idx="23">
                <c:v>0</c:v>
              </c:pt>
              <c:pt idx="24">
                <c:v>0</c:v>
              </c:pt>
              <c:pt idx="25">
                <c:v>2.4241213002284205E-2</c:v>
              </c:pt>
              <c:pt idx="26">
                <c:v>2.4241213002284205E-2</c:v>
              </c:pt>
              <c:pt idx="27">
                <c:v>0</c:v>
              </c:pt>
              <c:pt idx="28">
                <c:v>0</c:v>
              </c:pt>
              <c:pt idx="29">
                <c:v>2.4241213002284205E-2</c:v>
              </c:pt>
              <c:pt idx="30">
                <c:v>2.4241213002284205E-2</c:v>
              </c:pt>
              <c:pt idx="31">
                <c:v>0</c:v>
              </c:pt>
              <c:pt idx="32">
                <c:v>0</c:v>
              </c:pt>
              <c:pt idx="33">
                <c:v>2.4241213002284205E-2</c:v>
              </c:pt>
              <c:pt idx="34">
                <c:v>2.4241213002284205E-2</c:v>
              </c:pt>
              <c:pt idx="35">
                <c:v>0</c:v>
              </c:pt>
              <c:pt idx="36">
                <c:v>0</c:v>
              </c:pt>
              <c:pt idx="37">
                <c:v>2.4241213002284205E-2</c:v>
              </c:pt>
              <c:pt idx="38">
                <c:v>2.4241213002284205E-2</c:v>
              </c:pt>
              <c:pt idx="39">
                <c:v>0</c:v>
              </c:pt>
              <c:pt idx="40">
                <c:v>0</c:v>
              </c:pt>
              <c:pt idx="41">
                <c:v>2.4241213002284205E-2</c:v>
              </c:pt>
              <c:pt idx="42">
                <c:v>2.4241213002284205E-2</c:v>
              </c:pt>
              <c:pt idx="43">
                <c:v>0</c:v>
              </c:pt>
              <c:pt idx="44">
                <c:v>0</c:v>
              </c:pt>
              <c:pt idx="45">
                <c:v>2.4241213002284205E-2</c:v>
              </c:pt>
              <c:pt idx="46">
                <c:v>2.4241213002284205E-2</c:v>
              </c:pt>
              <c:pt idx="47">
                <c:v>0</c:v>
              </c:pt>
              <c:pt idx="48">
                <c:v>0</c:v>
              </c:pt>
              <c:pt idx="49">
                <c:v>2.4241213002284205E-2</c:v>
              </c:pt>
              <c:pt idx="50">
                <c:v>2.4241213002284205E-2</c:v>
              </c:pt>
              <c:pt idx="51">
                <c:v>0</c:v>
              </c:pt>
              <c:pt idx="52">
                <c:v>0</c:v>
              </c:pt>
              <c:pt idx="53">
                <c:v>2.4241213002284205E-2</c:v>
              </c:pt>
              <c:pt idx="54">
                <c:v>2.4241213002284205E-2</c:v>
              </c:pt>
              <c:pt idx="55">
                <c:v>0</c:v>
              </c:pt>
              <c:pt idx="56">
                <c:v>0</c:v>
              </c:pt>
              <c:pt idx="57">
                <c:v>2.4241213002284205E-2</c:v>
              </c:pt>
              <c:pt idx="58">
                <c:v>2.4241213002284205E-2</c:v>
              </c:pt>
              <c:pt idx="59">
                <c:v>0</c:v>
              </c:pt>
              <c:pt idx="60">
                <c:v>0</c:v>
              </c:pt>
              <c:pt idx="61">
                <c:v>2.4241213002284205E-2</c:v>
              </c:pt>
              <c:pt idx="62">
                <c:v>2.4241213002284205E-2</c:v>
              </c:pt>
              <c:pt idx="63">
                <c:v>0</c:v>
              </c:pt>
              <c:pt idx="64">
                <c:v>0</c:v>
              </c:pt>
              <c:pt idx="65">
                <c:v>2.4241213002284205E-2</c:v>
              </c:pt>
              <c:pt idx="66">
                <c:v>2.4241213002284205E-2</c:v>
              </c:pt>
              <c:pt idx="67">
                <c:v>0</c:v>
              </c:pt>
              <c:pt idx="68">
                <c:v>0</c:v>
              </c:pt>
              <c:pt idx="69">
                <c:v>2.4241213002284205E-2</c:v>
              </c:pt>
              <c:pt idx="70">
                <c:v>2.4241213002284205E-2</c:v>
              </c:pt>
              <c:pt idx="71">
                <c:v>0</c:v>
              </c:pt>
              <c:pt idx="72">
                <c:v>0</c:v>
              </c:pt>
              <c:pt idx="73">
                <c:v>2.4241213002284205E-2</c:v>
              </c:pt>
              <c:pt idx="74">
                <c:v>2.4241213002284205E-2</c:v>
              </c:pt>
              <c:pt idx="75">
                <c:v>0</c:v>
              </c:pt>
              <c:pt idx="76">
                <c:v>0</c:v>
              </c:pt>
              <c:pt idx="77">
                <c:v>2.4241213002284205E-2</c:v>
              </c:pt>
              <c:pt idx="78">
                <c:v>2.4241213002284205E-2</c:v>
              </c:pt>
              <c:pt idx="79">
                <c:v>0</c:v>
              </c:pt>
              <c:pt idx="80">
                <c:v>0</c:v>
              </c:pt>
              <c:pt idx="81">
                <c:v>2.4241213002284205E-2</c:v>
              </c:pt>
              <c:pt idx="82">
                <c:v>2.4241213002284205E-2</c:v>
              </c:pt>
              <c:pt idx="83">
                <c:v>0</c:v>
              </c:pt>
              <c:pt idx="84">
                <c:v>0</c:v>
              </c:pt>
              <c:pt idx="85">
                <c:v>2.4241213002284205E-2</c:v>
              </c:pt>
              <c:pt idx="86">
                <c:v>2.4241213002284205E-2</c:v>
              </c:pt>
              <c:pt idx="87">
                <c:v>0</c:v>
              </c:pt>
              <c:pt idx="88">
                <c:v>0</c:v>
              </c:pt>
              <c:pt idx="89">
                <c:v>2.4241213002284205E-2</c:v>
              </c:pt>
              <c:pt idx="90">
                <c:v>2.4241213002284205E-2</c:v>
              </c:pt>
              <c:pt idx="91">
                <c:v>0</c:v>
              </c:pt>
              <c:pt idx="92">
                <c:v>0</c:v>
              </c:pt>
              <c:pt idx="93">
                <c:v>2.4241213002284205E-2</c:v>
              </c:pt>
              <c:pt idx="94">
                <c:v>2.4241213002284205E-2</c:v>
              </c:pt>
              <c:pt idx="95">
                <c:v>0</c:v>
              </c:pt>
              <c:pt idx="96">
                <c:v>0</c:v>
              </c:pt>
              <c:pt idx="97">
                <c:v>2.4241213002284205E-2</c:v>
              </c:pt>
              <c:pt idx="98">
                <c:v>2.4241213002284205E-2</c:v>
              </c:pt>
              <c:pt idx="99">
                <c:v>0</c:v>
              </c:pt>
              <c:pt idx="100">
                <c:v>0</c:v>
              </c:pt>
              <c:pt idx="101">
                <c:v>2.4241213002284205E-2</c:v>
              </c:pt>
              <c:pt idx="102">
                <c:v>2.4241213002284205E-2</c:v>
              </c:pt>
              <c:pt idx="103">
                <c:v>0</c:v>
              </c:pt>
              <c:pt idx="104">
                <c:v>0</c:v>
              </c:pt>
              <c:pt idx="105">
                <c:v>2.4241213002284205E-2</c:v>
              </c:pt>
              <c:pt idx="106">
                <c:v>2.4241213002284205E-2</c:v>
              </c:pt>
              <c:pt idx="107">
                <c:v>0</c:v>
              </c:pt>
              <c:pt idx="108">
                <c:v>0</c:v>
              </c:pt>
              <c:pt idx="109">
                <c:v>2.4241213002284205E-2</c:v>
              </c:pt>
              <c:pt idx="110">
                <c:v>2.4241213002284205E-2</c:v>
              </c:pt>
              <c:pt idx="111">
                <c:v>0</c:v>
              </c:pt>
              <c:pt idx="112">
                <c:v>0</c:v>
              </c:pt>
              <c:pt idx="113">
                <c:v>2.4241213002284205E-2</c:v>
              </c:pt>
              <c:pt idx="114">
                <c:v>2.4241213002284205E-2</c:v>
              </c:pt>
              <c:pt idx="115">
                <c:v>0</c:v>
              </c:pt>
              <c:pt idx="116">
                <c:v>0</c:v>
              </c:pt>
              <c:pt idx="117">
                <c:v>2.4241213002284205E-2</c:v>
              </c:pt>
              <c:pt idx="118">
                <c:v>2.4241213002284205E-2</c:v>
              </c:pt>
              <c:pt idx="119">
                <c:v>0</c:v>
              </c:pt>
              <c:pt idx="120">
                <c:v>0</c:v>
              </c:pt>
              <c:pt idx="121">
                <c:v>2.4241213002284205E-2</c:v>
              </c:pt>
              <c:pt idx="122">
                <c:v>2.4241213002284205E-2</c:v>
              </c:pt>
              <c:pt idx="123">
                <c:v>0</c:v>
              </c:pt>
              <c:pt idx="124">
                <c:v>0</c:v>
              </c:pt>
              <c:pt idx="125">
                <c:v>2.4241213002284205E-2</c:v>
              </c:pt>
              <c:pt idx="126">
                <c:v>2.4241213002284205E-2</c:v>
              </c:pt>
              <c:pt idx="127">
                <c:v>0</c:v>
              </c:pt>
              <c:pt idx="128">
                <c:v>0</c:v>
              </c:pt>
              <c:pt idx="129">
                <c:v>2.4241213002284205E-2</c:v>
              </c:pt>
              <c:pt idx="130">
                <c:v>2.4241213002284205E-2</c:v>
              </c:pt>
              <c:pt idx="131">
                <c:v>0</c:v>
              </c:pt>
              <c:pt idx="132">
                <c:v>0</c:v>
              </c:pt>
              <c:pt idx="133">
                <c:v>2.4241213002284205E-2</c:v>
              </c:pt>
              <c:pt idx="134">
                <c:v>2.4241213002284205E-2</c:v>
              </c:pt>
              <c:pt idx="135">
                <c:v>0</c:v>
              </c:pt>
              <c:pt idx="136">
                <c:v>0</c:v>
              </c:pt>
              <c:pt idx="137">
                <c:v>2.4241213002284205E-2</c:v>
              </c:pt>
              <c:pt idx="138">
                <c:v>2.4241213002284205E-2</c:v>
              </c:pt>
              <c:pt idx="139">
                <c:v>0</c:v>
              </c:pt>
              <c:pt idx="140">
                <c:v>0</c:v>
              </c:pt>
              <c:pt idx="141">
                <c:v>2.4241213002284205E-2</c:v>
              </c:pt>
              <c:pt idx="142">
                <c:v>2.4241213002284205E-2</c:v>
              </c:pt>
              <c:pt idx="143">
                <c:v>0</c:v>
              </c:pt>
              <c:pt idx="144">
                <c:v>2.4241213002284205E-2</c:v>
              </c:pt>
              <c:pt idx="145">
                <c:v>0</c:v>
              </c:pt>
              <c:pt idx="148">
                <c:v>0</c:v>
              </c:pt>
              <c:pt idx="149">
                <c:v>9.696485200913682E-2</c:v>
              </c:pt>
              <c:pt idx="150">
                <c:v>9.696485200913682E-2</c:v>
              </c:pt>
              <c:pt idx="151">
                <c:v>0</c:v>
              </c:pt>
              <c:pt idx="152">
                <c:v>0</c:v>
              </c:pt>
              <c:pt idx="153">
                <c:v>9.696485200913682E-2</c:v>
              </c:pt>
              <c:pt idx="154">
                <c:v>9.696485200913682E-2</c:v>
              </c:pt>
              <c:pt idx="155">
                <c:v>0</c:v>
              </c:pt>
              <c:pt idx="156">
                <c:v>0</c:v>
              </c:pt>
              <c:pt idx="157">
                <c:v>9.696485200913682E-2</c:v>
              </c:pt>
              <c:pt idx="158">
                <c:v>9.696485200913682E-2</c:v>
              </c:pt>
              <c:pt idx="159">
                <c:v>0</c:v>
              </c:pt>
              <c:pt idx="160">
                <c:v>0</c:v>
              </c:pt>
              <c:pt idx="161">
                <c:v>9.696485200913682E-2</c:v>
              </c:pt>
              <c:pt idx="162">
                <c:v>9.696485200913682E-2</c:v>
              </c:pt>
              <c:pt idx="163">
                <c:v>0</c:v>
              </c:pt>
              <c:pt idx="164">
                <c:v>0</c:v>
              </c:pt>
              <c:pt idx="165">
                <c:v>9.696485200913682E-2</c:v>
              </c:pt>
              <c:pt idx="166">
                <c:v>9.696485200913682E-2</c:v>
              </c:pt>
              <c:pt idx="167">
                <c:v>0</c:v>
              </c:pt>
              <c:pt idx="168">
                <c:v>0</c:v>
              </c:pt>
              <c:pt idx="169">
                <c:v>9.696485200913682E-2</c:v>
              </c:pt>
              <c:pt idx="170">
                <c:v>9.696485200913682E-2</c:v>
              </c:pt>
              <c:pt idx="171">
                <c:v>0</c:v>
              </c:pt>
              <c:pt idx="172">
                <c:v>0</c:v>
              </c:pt>
              <c:pt idx="173">
                <c:v>9.696485200913682E-2</c:v>
              </c:pt>
              <c:pt idx="174">
                <c:v>9.696485200913682E-2</c:v>
              </c:pt>
              <c:pt idx="175">
                <c:v>0</c:v>
              </c:pt>
              <c:pt idx="176">
                <c:v>0</c:v>
              </c:pt>
              <c:pt idx="177">
                <c:v>9.696485200913682E-2</c:v>
              </c:pt>
              <c:pt idx="178">
                <c:v>9.696485200913682E-2</c:v>
              </c:pt>
              <c:pt idx="179">
                <c:v>0</c:v>
              </c:pt>
              <c:pt idx="180">
                <c:v>0</c:v>
              </c:pt>
              <c:pt idx="181">
                <c:v>9.696485200913682E-2</c:v>
              </c:pt>
              <c:pt idx="182">
                <c:v>9.696485200913682E-2</c:v>
              </c:pt>
              <c:pt idx="183">
                <c:v>0</c:v>
              </c:pt>
              <c:pt idx="184">
                <c:v>0</c:v>
              </c:pt>
              <c:pt idx="185">
                <c:v>9.696485200913682E-2</c:v>
              </c:pt>
              <c:pt idx="186">
                <c:v>9.696485200913682E-2</c:v>
              </c:pt>
              <c:pt idx="187">
                <c:v>0</c:v>
              </c:pt>
              <c:pt idx="188">
                <c:v>0</c:v>
              </c:pt>
              <c:pt idx="189">
                <c:v>9.696485200913682E-2</c:v>
              </c:pt>
              <c:pt idx="190">
                <c:v>9.696485200913682E-2</c:v>
              </c:pt>
              <c:pt idx="191">
                <c:v>0</c:v>
              </c:pt>
              <c:pt idx="192">
                <c:v>0</c:v>
              </c:pt>
              <c:pt idx="193">
                <c:v>9.696485200913682E-2</c:v>
              </c:pt>
              <c:pt idx="194">
                <c:v>9.696485200913682E-2</c:v>
              </c:pt>
              <c:pt idx="195">
                <c:v>0</c:v>
              </c:pt>
              <c:pt idx="196">
                <c:v>0</c:v>
              </c:pt>
              <c:pt idx="197">
                <c:v>9.696485200913682E-2</c:v>
              </c:pt>
              <c:pt idx="198">
                <c:v>9.696485200913682E-2</c:v>
              </c:pt>
              <c:pt idx="199">
                <c:v>0</c:v>
              </c:pt>
              <c:pt idx="200">
                <c:v>0</c:v>
              </c:pt>
              <c:pt idx="201">
                <c:v>9.696485200913682E-2</c:v>
              </c:pt>
              <c:pt idx="202">
                <c:v>9.696485200913682E-2</c:v>
              </c:pt>
              <c:pt idx="203">
                <c:v>0</c:v>
              </c:pt>
              <c:pt idx="204">
                <c:v>0</c:v>
              </c:pt>
              <c:pt idx="205">
                <c:v>9.696485200913682E-2</c:v>
              </c:pt>
              <c:pt idx="206">
                <c:v>9.696485200913682E-2</c:v>
              </c:pt>
              <c:pt idx="207">
                <c:v>0</c:v>
              </c:pt>
              <c:pt idx="208">
                <c:v>0</c:v>
              </c:pt>
              <c:pt idx="209">
                <c:v>9.696485200913682E-2</c:v>
              </c:pt>
              <c:pt idx="210">
                <c:v>9.696485200913682E-2</c:v>
              </c:pt>
              <c:pt idx="211">
                <c:v>0</c:v>
              </c:pt>
              <c:pt idx="212">
                <c:v>0</c:v>
              </c:pt>
              <c:pt idx="213">
                <c:v>9.696485200913682E-2</c:v>
              </c:pt>
              <c:pt idx="214">
                <c:v>9.696485200913682E-2</c:v>
              </c:pt>
              <c:pt idx="215">
                <c:v>0</c:v>
              </c:pt>
              <c:pt idx="216">
                <c:v>0</c:v>
              </c:pt>
              <c:pt idx="217">
                <c:v>9.696485200913682E-2</c:v>
              </c:pt>
              <c:pt idx="218">
                <c:v>9.696485200913682E-2</c:v>
              </c:pt>
              <c:pt idx="219">
                <c:v>0</c:v>
              </c:pt>
              <c:pt idx="220">
                <c:v>0</c:v>
              </c:pt>
              <c:pt idx="221">
                <c:v>9.696485200913682E-2</c:v>
              </c:pt>
              <c:pt idx="222">
                <c:v>9.696485200913682E-2</c:v>
              </c:pt>
              <c:pt idx="223">
                <c:v>0</c:v>
              </c:pt>
              <c:pt idx="224">
                <c:v>0</c:v>
              </c:pt>
              <c:pt idx="225">
                <c:v>9.696485200913682E-2</c:v>
              </c:pt>
              <c:pt idx="226">
                <c:v>9.696485200913682E-2</c:v>
              </c:pt>
              <c:pt idx="227">
                <c:v>0</c:v>
              </c:pt>
              <c:pt idx="228">
                <c:v>0</c:v>
              </c:pt>
              <c:pt idx="229">
                <c:v>9.696485200913682E-2</c:v>
              </c:pt>
              <c:pt idx="230">
                <c:v>9.696485200913682E-2</c:v>
              </c:pt>
              <c:pt idx="231">
                <c:v>0</c:v>
              </c:pt>
              <c:pt idx="232">
                <c:v>0</c:v>
              </c:pt>
              <c:pt idx="233">
                <c:v>9.696485200913682E-2</c:v>
              </c:pt>
              <c:pt idx="234">
                <c:v>9.696485200913682E-2</c:v>
              </c:pt>
              <c:pt idx="235">
                <c:v>0</c:v>
              </c:pt>
              <c:pt idx="236">
                <c:v>0</c:v>
              </c:pt>
              <c:pt idx="237">
                <c:v>9.696485200913682E-2</c:v>
              </c:pt>
              <c:pt idx="238">
                <c:v>9.696485200913682E-2</c:v>
              </c:pt>
              <c:pt idx="239">
                <c:v>0</c:v>
              </c:pt>
              <c:pt idx="240">
                <c:v>0</c:v>
              </c:pt>
              <c:pt idx="241">
                <c:v>9.696485200913682E-2</c:v>
              </c:pt>
              <c:pt idx="242">
                <c:v>9.696485200913682E-2</c:v>
              </c:pt>
              <c:pt idx="243">
                <c:v>0</c:v>
              </c:pt>
              <c:pt idx="244">
                <c:v>0</c:v>
              </c:pt>
              <c:pt idx="245">
                <c:v>9.696485200913682E-2</c:v>
              </c:pt>
              <c:pt idx="246">
                <c:v>9.696485200913682E-2</c:v>
              </c:pt>
              <c:pt idx="247">
                <c:v>0</c:v>
              </c:pt>
              <c:pt idx="248">
                <c:v>0</c:v>
              </c:pt>
              <c:pt idx="249">
                <c:v>9.696485200913682E-2</c:v>
              </c:pt>
              <c:pt idx="250">
                <c:v>9.696485200913682E-2</c:v>
              </c:pt>
              <c:pt idx="251">
                <c:v>0</c:v>
              </c:pt>
              <c:pt idx="252">
                <c:v>0</c:v>
              </c:pt>
              <c:pt idx="253">
                <c:v>9.696485200913682E-2</c:v>
              </c:pt>
              <c:pt idx="254">
                <c:v>9.696485200913682E-2</c:v>
              </c:pt>
              <c:pt idx="255">
                <c:v>0</c:v>
              </c:pt>
              <c:pt idx="256">
                <c:v>0</c:v>
              </c:pt>
              <c:pt idx="257">
                <c:v>9.696485200913682E-2</c:v>
              </c:pt>
              <c:pt idx="258">
                <c:v>9.696485200913682E-2</c:v>
              </c:pt>
              <c:pt idx="259">
                <c:v>0</c:v>
              </c:pt>
              <c:pt idx="260">
                <c:v>0</c:v>
              </c:pt>
              <c:pt idx="261">
                <c:v>9.696485200913682E-2</c:v>
              </c:pt>
              <c:pt idx="262">
                <c:v>9.696485200913682E-2</c:v>
              </c:pt>
              <c:pt idx="263">
                <c:v>0</c:v>
              </c:pt>
              <c:pt idx="264">
                <c:v>0</c:v>
              </c:pt>
              <c:pt idx="265">
                <c:v>9.696485200913682E-2</c:v>
              </c:pt>
              <c:pt idx="266">
                <c:v>9.696485200913682E-2</c:v>
              </c:pt>
              <c:pt idx="267">
                <c:v>0</c:v>
              </c:pt>
              <c:pt idx="268">
                <c:v>0</c:v>
              </c:pt>
              <c:pt idx="269">
                <c:v>9.696485200913682E-2</c:v>
              </c:pt>
              <c:pt idx="270">
                <c:v>9.696485200913682E-2</c:v>
              </c:pt>
              <c:pt idx="271">
                <c:v>0</c:v>
              </c:pt>
              <c:pt idx="272">
                <c:v>0</c:v>
              </c:pt>
              <c:pt idx="273">
                <c:v>9.696485200913682E-2</c:v>
              </c:pt>
              <c:pt idx="274">
                <c:v>9.696485200913682E-2</c:v>
              </c:pt>
              <c:pt idx="275">
                <c:v>0</c:v>
              </c:pt>
              <c:pt idx="276">
                <c:v>0</c:v>
              </c:pt>
              <c:pt idx="277">
                <c:v>9.696485200913682E-2</c:v>
              </c:pt>
              <c:pt idx="278">
                <c:v>9.696485200913682E-2</c:v>
              </c:pt>
              <c:pt idx="279">
                <c:v>0</c:v>
              </c:pt>
              <c:pt idx="280">
                <c:v>0</c:v>
              </c:pt>
              <c:pt idx="281">
                <c:v>9.696485200913682E-2</c:v>
              </c:pt>
              <c:pt idx="282">
                <c:v>9.696485200913682E-2</c:v>
              </c:pt>
              <c:pt idx="283">
                <c:v>0</c:v>
              </c:pt>
              <c:pt idx="284">
                <c:v>0</c:v>
              </c:pt>
              <c:pt idx="285">
                <c:v>9.696485200913682E-2</c:v>
              </c:pt>
              <c:pt idx="286">
                <c:v>9.696485200913682E-2</c:v>
              </c:pt>
              <c:pt idx="287">
                <c:v>0</c:v>
              </c:pt>
              <c:pt idx="288">
                <c:v>0</c:v>
              </c:pt>
              <c:pt idx="289">
                <c:v>9.696485200913682E-2</c:v>
              </c:pt>
              <c:pt idx="290">
                <c:v>9.696485200913682E-2</c:v>
              </c:pt>
              <c:pt idx="291">
                <c:v>0</c:v>
              </c:pt>
              <c:pt idx="292">
                <c:v>9.696485200913682E-2</c:v>
              </c:pt>
              <c:pt idx="293">
                <c:v>0</c:v>
              </c:pt>
              <c:pt idx="296">
                <c:v>0</c:v>
              </c:pt>
              <c:pt idx="297">
                <c:v>0.14544727801370522</c:v>
              </c:pt>
              <c:pt idx="298">
                <c:v>0.14544727801370522</c:v>
              </c:pt>
              <c:pt idx="299">
                <c:v>0</c:v>
              </c:pt>
              <c:pt idx="300">
                <c:v>0</c:v>
              </c:pt>
              <c:pt idx="301">
                <c:v>0.14544727801370522</c:v>
              </c:pt>
              <c:pt idx="302">
                <c:v>0.14544727801370522</c:v>
              </c:pt>
              <c:pt idx="303">
                <c:v>0</c:v>
              </c:pt>
              <c:pt idx="304">
                <c:v>0</c:v>
              </c:pt>
              <c:pt idx="305">
                <c:v>0.14544727801370522</c:v>
              </c:pt>
              <c:pt idx="306">
                <c:v>0.14544727801370522</c:v>
              </c:pt>
              <c:pt idx="307">
                <c:v>0</c:v>
              </c:pt>
              <c:pt idx="308">
                <c:v>0</c:v>
              </c:pt>
              <c:pt idx="309">
                <c:v>0.14544727801370522</c:v>
              </c:pt>
              <c:pt idx="310">
                <c:v>0.14544727801370522</c:v>
              </c:pt>
              <c:pt idx="311">
                <c:v>0</c:v>
              </c:pt>
              <c:pt idx="312">
                <c:v>0</c:v>
              </c:pt>
              <c:pt idx="313">
                <c:v>0.14544727801370522</c:v>
              </c:pt>
              <c:pt idx="314">
                <c:v>0.14544727801370522</c:v>
              </c:pt>
              <c:pt idx="315">
                <c:v>0</c:v>
              </c:pt>
              <c:pt idx="316">
                <c:v>0</c:v>
              </c:pt>
              <c:pt idx="317">
                <c:v>0.14544727801370522</c:v>
              </c:pt>
              <c:pt idx="318">
                <c:v>0.14544727801370522</c:v>
              </c:pt>
              <c:pt idx="319">
                <c:v>0</c:v>
              </c:pt>
              <c:pt idx="320">
                <c:v>0</c:v>
              </c:pt>
              <c:pt idx="321">
                <c:v>0.14544727801370522</c:v>
              </c:pt>
              <c:pt idx="322">
                <c:v>0.14544727801370522</c:v>
              </c:pt>
              <c:pt idx="323">
                <c:v>0</c:v>
              </c:pt>
              <c:pt idx="324">
                <c:v>0</c:v>
              </c:pt>
              <c:pt idx="325">
                <c:v>0.14544727801370522</c:v>
              </c:pt>
              <c:pt idx="326">
                <c:v>0.14544727801370522</c:v>
              </c:pt>
              <c:pt idx="327">
                <c:v>0</c:v>
              </c:pt>
              <c:pt idx="328">
                <c:v>0</c:v>
              </c:pt>
              <c:pt idx="329">
                <c:v>0.14544727801370522</c:v>
              </c:pt>
              <c:pt idx="330">
                <c:v>0.14544727801370522</c:v>
              </c:pt>
              <c:pt idx="331">
                <c:v>0</c:v>
              </c:pt>
              <c:pt idx="332">
                <c:v>0</c:v>
              </c:pt>
              <c:pt idx="333">
                <c:v>0.14544727801370522</c:v>
              </c:pt>
              <c:pt idx="334">
                <c:v>0.14544727801370522</c:v>
              </c:pt>
              <c:pt idx="335">
                <c:v>0</c:v>
              </c:pt>
              <c:pt idx="336">
                <c:v>0</c:v>
              </c:pt>
              <c:pt idx="337">
                <c:v>0.14544727801370522</c:v>
              </c:pt>
              <c:pt idx="338">
                <c:v>0.14544727801370522</c:v>
              </c:pt>
              <c:pt idx="339">
                <c:v>0</c:v>
              </c:pt>
              <c:pt idx="340">
                <c:v>0</c:v>
              </c:pt>
              <c:pt idx="341">
                <c:v>0.14544727801370522</c:v>
              </c:pt>
              <c:pt idx="342">
                <c:v>0.14544727801370522</c:v>
              </c:pt>
              <c:pt idx="343">
                <c:v>0</c:v>
              </c:pt>
              <c:pt idx="344">
                <c:v>0</c:v>
              </c:pt>
              <c:pt idx="345">
                <c:v>0.14544727801370522</c:v>
              </c:pt>
              <c:pt idx="346">
                <c:v>0.14544727801370522</c:v>
              </c:pt>
              <c:pt idx="347">
                <c:v>0</c:v>
              </c:pt>
              <c:pt idx="348">
                <c:v>0</c:v>
              </c:pt>
              <c:pt idx="349">
                <c:v>0.14544727801370522</c:v>
              </c:pt>
              <c:pt idx="350">
                <c:v>0.14544727801370522</c:v>
              </c:pt>
              <c:pt idx="351">
                <c:v>0</c:v>
              </c:pt>
              <c:pt idx="352">
                <c:v>0</c:v>
              </c:pt>
              <c:pt idx="353">
                <c:v>0.14544727801370522</c:v>
              </c:pt>
              <c:pt idx="354">
                <c:v>0.14544727801370522</c:v>
              </c:pt>
              <c:pt idx="355">
                <c:v>0</c:v>
              </c:pt>
              <c:pt idx="356">
                <c:v>0</c:v>
              </c:pt>
              <c:pt idx="357">
                <c:v>0.14544727801370522</c:v>
              </c:pt>
              <c:pt idx="358">
                <c:v>0.14544727801370522</c:v>
              </c:pt>
              <c:pt idx="359">
                <c:v>0</c:v>
              </c:pt>
              <c:pt idx="360">
                <c:v>0</c:v>
              </c:pt>
              <c:pt idx="361">
                <c:v>0.14544727801370522</c:v>
              </c:pt>
              <c:pt idx="362">
                <c:v>0.14544727801370522</c:v>
              </c:pt>
              <c:pt idx="363">
                <c:v>0</c:v>
              </c:pt>
              <c:pt idx="364">
                <c:v>0</c:v>
              </c:pt>
              <c:pt idx="365">
                <c:v>0.14544727801370522</c:v>
              </c:pt>
              <c:pt idx="366">
                <c:v>0.14544727801370522</c:v>
              </c:pt>
              <c:pt idx="367">
                <c:v>0</c:v>
              </c:pt>
              <c:pt idx="368">
                <c:v>0</c:v>
              </c:pt>
              <c:pt idx="369">
                <c:v>0.14544727801370522</c:v>
              </c:pt>
              <c:pt idx="370">
                <c:v>0.14544727801370522</c:v>
              </c:pt>
              <c:pt idx="371">
                <c:v>0</c:v>
              </c:pt>
              <c:pt idx="372">
                <c:v>0</c:v>
              </c:pt>
              <c:pt idx="373">
                <c:v>0.14544727801370522</c:v>
              </c:pt>
              <c:pt idx="374">
                <c:v>0.14544727801370522</c:v>
              </c:pt>
              <c:pt idx="375">
                <c:v>0</c:v>
              </c:pt>
              <c:pt idx="376">
                <c:v>0</c:v>
              </c:pt>
              <c:pt idx="377">
                <c:v>0.14544727801370522</c:v>
              </c:pt>
              <c:pt idx="378">
                <c:v>0.14544727801370522</c:v>
              </c:pt>
              <c:pt idx="379">
                <c:v>0</c:v>
              </c:pt>
              <c:pt idx="380">
                <c:v>0</c:v>
              </c:pt>
              <c:pt idx="381">
                <c:v>0.14544727801370522</c:v>
              </c:pt>
              <c:pt idx="382">
                <c:v>0.14544727801370522</c:v>
              </c:pt>
              <c:pt idx="383">
                <c:v>0</c:v>
              </c:pt>
              <c:pt idx="384">
                <c:v>0</c:v>
              </c:pt>
              <c:pt idx="385">
                <c:v>0.14544727801370522</c:v>
              </c:pt>
              <c:pt idx="386">
                <c:v>0.14544727801370522</c:v>
              </c:pt>
              <c:pt idx="387">
                <c:v>0</c:v>
              </c:pt>
              <c:pt idx="388">
                <c:v>0</c:v>
              </c:pt>
              <c:pt idx="389">
                <c:v>0.14544727801370522</c:v>
              </c:pt>
              <c:pt idx="390">
                <c:v>0.14544727801370522</c:v>
              </c:pt>
              <c:pt idx="391">
                <c:v>0</c:v>
              </c:pt>
              <c:pt idx="392">
                <c:v>0</c:v>
              </c:pt>
              <c:pt idx="393">
                <c:v>0.14544727801370522</c:v>
              </c:pt>
              <c:pt idx="394">
                <c:v>0.14544727801370522</c:v>
              </c:pt>
              <c:pt idx="395">
                <c:v>0</c:v>
              </c:pt>
              <c:pt idx="396">
                <c:v>0</c:v>
              </c:pt>
              <c:pt idx="397">
                <c:v>0.14544727801370522</c:v>
              </c:pt>
              <c:pt idx="398">
                <c:v>0.14544727801370522</c:v>
              </c:pt>
              <c:pt idx="399">
                <c:v>0</c:v>
              </c:pt>
              <c:pt idx="400">
                <c:v>0</c:v>
              </c:pt>
              <c:pt idx="401">
                <c:v>0.14544727801370522</c:v>
              </c:pt>
              <c:pt idx="402">
                <c:v>0.14544727801370522</c:v>
              </c:pt>
              <c:pt idx="403">
                <c:v>0</c:v>
              </c:pt>
              <c:pt idx="404">
                <c:v>0</c:v>
              </c:pt>
              <c:pt idx="405">
                <c:v>0.14544727801370522</c:v>
              </c:pt>
              <c:pt idx="406">
                <c:v>0.14544727801370522</c:v>
              </c:pt>
              <c:pt idx="407">
                <c:v>0</c:v>
              </c:pt>
              <c:pt idx="408">
                <c:v>0</c:v>
              </c:pt>
              <c:pt idx="409">
                <c:v>0.14544727801370522</c:v>
              </c:pt>
              <c:pt idx="410">
                <c:v>0.14544727801370522</c:v>
              </c:pt>
              <c:pt idx="411">
                <c:v>0</c:v>
              </c:pt>
              <c:pt idx="412">
                <c:v>0</c:v>
              </c:pt>
              <c:pt idx="413">
                <c:v>0.14544727801370522</c:v>
              </c:pt>
              <c:pt idx="414">
                <c:v>0.14544727801370522</c:v>
              </c:pt>
              <c:pt idx="415">
                <c:v>0</c:v>
              </c:pt>
              <c:pt idx="416">
                <c:v>0</c:v>
              </c:pt>
              <c:pt idx="417">
                <c:v>0.14544727801370522</c:v>
              </c:pt>
              <c:pt idx="418">
                <c:v>0.14544727801370522</c:v>
              </c:pt>
              <c:pt idx="419">
                <c:v>0</c:v>
              </c:pt>
              <c:pt idx="420">
                <c:v>0</c:v>
              </c:pt>
              <c:pt idx="421">
                <c:v>0.14544727801370522</c:v>
              </c:pt>
              <c:pt idx="422">
                <c:v>0.14544727801370522</c:v>
              </c:pt>
              <c:pt idx="423">
                <c:v>0</c:v>
              </c:pt>
              <c:pt idx="424">
                <c:v>0</c:v>
              </c:pt>
              <c:pt idx="425">
                <c:v>0.14544727801370522</c:v>
              </c:pt>
              <c:pt idx="426">
                <c:v>0.14544727801370522</c:v>
              </c:pt>
              <c:pt idx="427">
                <c:v>0</c:v>
              </c:pt>
              <c:pt idx="428">
                <c:v>0</c:v>
              </c:pt>
              <c:pt idx="429">
                <c:v>0.14544727801370522</c:v>
              </c:pt>
              <c:pt idx="430">
                <c:v>0.14544727801370522</c:v>
              </c:pt>
              <c:pt idx="431">
                <c:v>0</c:v>
              </c:pt>
              <c:pt idx="432">
                <c:v>0</c:v>
              </c:pt>
              <c:pt idx="433">
                <c:v>0.14544727801370522</c:v>
              </c:pt>
              <c:pt idx="434">
                <c:v>0.14544727801370522</c:v>
              </c:pt>
              <c:pt idx="435">
                <c:v>0</c:v>
              </c:pt>
              <c:pt idx="436">
                <c:v>0</c:v>
              </c:pt>
              <c:pt idx="437">
                <c:v>0.14544727801370522</c:v>
              </c:pt>
              <c:pt idx="438">
                <c:v>0.14544727801370522</c:v>
              </c:pt>
              <c:pt idx="439">
                <c:v>0</c:v>
              </c:pt>
              <c:pt idx="440">
                <c:v>0.14544727801370522</c:v>
              </c:pt>
              <c:pt idx="441">
                <c:v>0</c:v>
              </c:pt>
              <c:pt idx="444">
                <c:v>0</c:v>
              </c:pt>
              <c:pt idx="445">
                <c:v>0.31513576902969465</c:v>
              </c:pt>
              <c:pt idx="446">
                <c:v>0.31513576902969465</c:v>
              </c:pt>
              <c:pt idx="447">
                <c:v>0</c:v>
              </c:pt>
              <c:pt idx="448">
                <c:v>0</c:v>
              </c:pt>
              <c:pt idx="449">
                <c:v>0.31513576902969465</c:v>
              </c:pt>
              <c:pt idx="450">
                <c:v>0.31513576902969465</c:v>
              </c:pt>
              <c:pt idx="451">
                <c:v>0</c:v>
              </c:pt>
              <c:pt idx="452">
                <c:v>0</c:v>
              </c:pt>
              <c:pt idx="453">
                <c:v>0.31513576902969465</c:v>
              </c:pt>
              <c:pt idx="454">
                <c:v>0.31513576902969465</c:v>
              </c:pt>
              <c:pt idx="455">
                <c:v>0</c:v>
              </c:pt>
              <c:pt idx="456">
                <c:v>0</c:v>
              </c:pt>
              <c:pt idx="457">
                <c:v>0.31513576902969465</c:v>
              </c:pt>
              <c:pt idx="458">
                <c:v>0.31513576902969465</c:v>
              </c:pt>
              <c:pt idx="459">
                <c:v>0</c:v>
              </c:pt>
              <c:pt idx="460">
                <c:v>0</c:v>
              </c:pt>
              <c:pt idx="461">
                <c:v>0.31513576902969465</c:v>
              </c:pt>
              <c:pt idx="462">
                <c:v>0.31513576902969465</c:v>
              </c:pt>
              <c:pt idx="463">
                <c:v>0</c:v>
              </c:pt>
              <c:pt idx="464">
                <c:v>0</c:v>
              </c:pt>
              <c:pt idx="465">
                <c:v>0.31513576902969465</c:v>
              </c:pt>
              <c:pt idx="466">
                <c:v>0.31513576902969465</c:v>
              </c:pt>
              <c:pt idx="467">
                <c:v>0</c:v>
              </c:pt>
              <c:pt idx="468">
                <c:v>0</c:v>
              </c:pt>
              <c:pt idx="469">
                <c:v>0.31513576902969465</c:v>
              </c:pt>
              <c:pt idx="470">
                <c:v>0.31513576902969465</c:v>
              </c:pt>
              <c:pt idx="471">
                <c:v>0</c:v>
              </c:pt>
              <c:pt idx="472">
                <c:v>0</c:v>
              </c:pt>
              <c:pt idx="473">
                <c:v>0.31513576902969465</c:v>
              </c:pt>
              <c:pt idx="474">
                <c:v>0.31513576902969465</c:v>
              </c:pt>
              <c:pt idx="475">
                <c:v>0</c:v>
              </c:pt>
              <c:pt idx="476">
                <c:v>0</c:v>
              </c:pt>
              <c:pt idx="477">
                <c:v>0.31513576902969465</c:v>
              </c:pt>
              <c:pt idx="478">
                <c:v>0.31513576902969465</c:v>
              </c:pt>
              <c:pt idx="479">
                <c:v>0</c:v>
              </c:pt>
              <c:pt idx="480">
                <c:v>0</c:v>
              </c:pt>
              <c:pt idx="481">
                <c:v>0.31513576902969465</c:v>
              </c:pt>
              <c:pt idx="482">
                <c:v>0.31513576902969465</c:v>
              </c:pt>
              <c:pt idx="483">
                <c:v>0</c:v>
              </c:pt>
              <c:pt idx="484">
                <c:v>0</c:v>
              </c:pt>
              <c:pt idx="485">
                <c:v>0.31513576902969465</c:v>
              </c:pt>
              <c:pt idx="486">
                <c:v>0.31513576902969465</c:v>
              </c:pt>
              <c:pt idx="487">
                <c:v>0</c:v>
              </c:pt>
              <c:pt idx="488">
                <c:v>0</c:v>
              </c:pt>
              <c:pt idx="489">
                <c:v>0.31513576902969465</c:v>
              </c:pt>
              <c:pt idx="490">
                <c:v>0.31513576902969465</c:v>
              </c:pt>
              <c:pt idx="491">
                <c:v>0</c:v>
              </c:pt>
              <c:pt idx="492">
                <c:v>0</c:v>
              </c:pt>
              <c:pt idx="493">
                <c:v>0.31513576902969465</c:v>
              </c:pt>
              <c:pt idx="494">
                <c:v>0.31513576902969465</c:v>
              </c:pt>
              <c:pt idx="495">
                <c:v>0</c:v>
              </c:pt>
              <c:pt idx="496">
                <c:v>0</c:v>
              </c:pt>
              <c:pt idx="497">
                <c:v>0.31513576902969465</c:v>
              </c:pt>
              <c:pt idx="498">
                <c:v>0.31513576902969465</c:v>
              </c:pt>
              <c:pt idx="499">
                <c:v>0</c:v>
              </c:pt>
              <c:pt idx="500">
                <c:v>0</c:v>
              </c:pt>
              <c:pt idx="501">
                <c:v>0.31513576902969465</c:v>
              </c:pt>
              <c:pt idx="502">
                <c:v>0.31513576902969465</c:v>
              </c:pt>
              <c:pt idx="503">
                <c:v>0</c:v>
              </c:pt>
              <c:pt idx="504">
                <c:v>0</c:v>
              </c:pt>
              <c:pt idx="505">
                <c:v>0.31513576902969465</c:v>
              </c:pt>
              <c:pt idx="506">
                <c:v>0.31513576902969465</c:v>
              </c:pt>
              <c:pt idx="507">
                <c:v>0</c:v>
              </c:pt>
              <c:pt idx="508">
                <c:v>0</c:v>
              </c:pt>
              <c:pt idx="509">
                <c:v>0.31513576902969465</c:v>
              </c:pt>
              <c:pt idx="510">
                <c:v>0.31513576902969465</c:v>
              </c:pt>
              <c:pt idx="511">
                <c:v>0</c:v>
              </c:pt>
              <c:pt idx="512">
                <c:v>0</c:v>
              </c:pt>
              <c:pt idx="513">
                <c:v>0.31513576902969465</c:v>
              </c:pt>
              <c:pt idx="514">
                <c:v>0.31513576902969465</c:v>
              </c:pt>
              <c:pt idx="515">
                <c:v>0</c:v>
              </c:pt>
              <c:pt idx="516">
                <c:v>0</c:v>
              </c:pt>
              <c:pt idx="517">
                <c:v>0.31513576902969465</c:v>
              </c:pt>
              <c:pt idx="518">
                <c:v>0.31513576902969465</c:v>
              </c:pt>
              <c:pt idx="519">
                <c:v>0</c:v>
              </c:pt>
              <c:pt idx="520">
                <c:v>0</c:v>
              </c:pt>
              <c:pt idx="521">
                <c:v>0.31513576902969465</c:v>
              </c:pt>
              <c:pt idx="522">
                <c:v>0.31513576902969465</c:v>
              </c:pt>
              <c:pt idx="523">
                <c:v>0</c:v>
              </c:pt>
              <c:pt idx="524">
                <c:v>0</c:v>
              </c:pt>
              <c:pt idx="525">
                <c:v>0.31513576902969465</c:v>
              </c:pt>
              <c:pt idx="526">
                <c:v>0.31513576902969465</c:v>
              </c:pt>
              <c:pt idx="527">
                <c:v>0</c:v>
              </c:pt>
              <c:pt idx="528">
                <c:v>0</c:v>
              </c:pt>
              <c:pt idx="529">
                <c:v>0.31513576902969465</c:v>
              </c:pt>
              <c:pt idx="530">
                <c:v>0.31513576902969465</c:v>
              </c:pt>
              <c:pt idx="531">
                <c:v>0</c:v>
              </c:pt>
              <c:pt idx="532">
                <c:v>0</c:v>
              </c:pt>
              <c:pt idx="533">
                <c:v>0.31513576902969465</c:v>
              </c:pt>
              <c:pt idx="534">
                <c:v>0.31513576902969465</c:v>
              </c:pt>
              <c:pt idx="535">
                <c:v>0</c:v>
              </c:pt>
              <c:pt idx="536">
                <c:v>0</c:v>
              </c:pt>
              <c:pt idx="537">
                <c:v>0.31513576902969465</c:v>
              </c:pt>
              <c:pt idx="538">
                <c:v>0.31513576902969465</c:v>
              </c:pt>
              <c:pt idx="539">
                <c:v>0</c:v>
              </c:pt>
              <c:pt idx="540">
                <c:v>0</c:v>
              </c:pt>
              <c:pt idx="541">
                <c:v>0.31513576902969465</c:v>
              </c:pt>
              <c:pt idx="542">
                <c:v>0.31513576902969465</c:v>
              </c:pt>
              <c:pt idx="543">
                <c:v>0</c:v>
              </c:pt>
              <c:pt idx="544">
                <c:v>0</c:v>
              </c:pt>
              <c:pt idx="545">
                <c:v>0.31513576902969465</c:v>
              </c:pt>
              <c:pt idx="546">
                <c:v>0.31513576902969465</c:v>
              </c:pt>
              <c:pt idx="547">
                <c:v>0</c:v>
              </c:pt>
              <c:pt idx="548">
                <c:v>0</c:v>
              </c:pt>
              <c:pt idx="549">
                <c:v>0.31513576902969465</c:v>
              </c:pt>
              <c:pt idx="550">
                <c:v>0.31513576902969465</c:v>
              </c:pt>
              <c:pt idx="551">
                <c:v>0</c:v>
              </c:pt>
              <c:pt idx="552">
                <c:v>0</c:v>
              </c:pt>
              <c:pt idx="553">
                <c:v>0.31513576902969465</c:v>
              </c:pt>
              <c:pt idx="554">
                <c:v>0.31513576902969465</c:v>
              </c:pt>
              <c:pt idx="555">
                <c:v>0</c:v>
              </c:pt>
              <c:pt idx="556">
                <c:v>0</c:v>
              </c:pt>
              <c:pt idx="557">
                <c:v>0.31513576902969465</c:v>
              </c:pt>
              <c:pt idx="558">
                <c:v>0.31513576902969465</c:v>
              </c:pt>
              <c:pt idx="559">
                <c:v>0</c:v>
              </c:pt>
              <c:pt idx="560">
                <c:v>0</c:v>
              </c:pt>
              <c:pt idx="561">
                <c:v>0.31513576902969465</c:v>
              </c:pt>
              <c:pt idx="562">
                <c:v>0.31513576902969465</c:v>
              </c:pt>
              <c:pt idx="563">
                <c:v>0</c:v>
              </c:pt>
              <c:pt idx="564">
                <c:v>0</c:v>
              </c:pt>
              <c:pt idx="565">
                <c:v>0.31513576902969465</c:v>
              </c:pt>
              <c:pt idx="566">
                <c:v>0.31513576902969465</c:v>
              </c:pt>
              <c:pt idx="567">
                <c:v>0</c:v>
              </c:pt>
              <c:pt idx="568">
                <c:v>0</c:v>
              </c:pt>
              <c:pt idx="569">
                <c:v>0.31513576902969465</c:v>
              </c:pt>
              <c:pt idx="570">
                <c:v>0.31513576902969465</c:v>
              </c:pt>
              <c:pt idx="571">
                <c:v>0</c:v>
              </c:pt>
              <c:pt idx="572">
                <c:v>0</c:v>
              </c:pt>
              <c:pt idx="573">
                <c:v>0.31513576902969465</c:v>
              </c:pt>
              <c:pt idx="574">
                <c:v>0.31513576902969465</c:v>
              </c:pt>
              <c:pt idx="575">
                <c:v>0</c:v>
              </c:pt>
              <c:pt idx="576">
                <c:v>0</c:v>
              </c:pt>
              <c:pt idx="577">
                <c:v>0.31513576902969465</c:v>
              </c:pt>
              <c:pt idx="578">
                <c:v>0.31513576902969465</c:v>
              </c:pt>
              <c:pt idx="579">
                <c:v>0</c:v>
              </c:pt>
              <c:pt idx="580">
                <c:v>0</c:v>
              </c:pt>
              <c:pt idx="581">
                <c:v>0.31513576902969465</c:v>
              </c:pt>
              <c:pt idx="582">
                <c:v>0.31513576902969465</c:v>
              </c:pt>
              <c:pt idx="583">
                <c:v>0</c:v>
              </c:pt>
              <c:pt idx="584">
                <c:v>0</c:v>
              </c:pt>
              <c:pt idx="585">
                <c:v>0.31513576902969465</c:v>
              </c:pt>
              <c:pt idx="586">
                <c:v>0.31513576902969465</c:v>
              </c:pt>
              <c:pt idx="587">
                <c:v>0</c:v>
              </c:pt>
              <c:pt idx="588">
                <c:v>0.31513576902969465</c:v>
              </c:pt>
              <c:pt idx="589">
                <c:v>0</c:v>
              </c:pt>
              <c:pt idx="592">
                <c:v>0</c:v>
              </c:pt>
              <c:pt idx="593">
                <c:v>0.69087457056509982</c:v>
              </c:pt>
              <c:pt idx="594">
                <c:v>0.69087457056509982</c:v>
              </c:pt>
              <c:pt idx="595">
                <c:v>0</c:v>
              </c:pt>
              <c:pt idx="596">
                <c:v>0</c:v>
              </c:pt>
              <c:pt idx="597">
                <c:v>0.69087457056509982</c:v>
              </c:pt>
              <c:pt idx="598">
                <c:v>0.69087457056509982</c:v>
              </c:pt>
              <c:pt idx="599">
                <c:v>0</c:v>
              </c:pt>
              <c:pt idx="600">
                <c:v>0</c:v>
              </c:pt>
              <c:pt idx="601">
                <c:v>0.69087457056509982</c:v>
              </c:pt>
              <c:pt idx="602">
                <c:v>0.69087457056509982</c:v>
              </c:pt>
              <c:pt idx="603">
                <c:v>0</c:v>
              </c:pt>
              <c:pt idx="604">
                <c:v>0</c:v>
              </c:pt>
              <c:pt idx="605">
                <c:v>0.69087457056509982</c:v>
              </c:pt>
              <c:pt idx="606">
                <c:v>0.69087457056509982</c:v>
              </c:pt>
              <c:pt idx="607">
                <c:v>0</c:v>
              </c:pt>
              <c:pt idx="608">
                <c:v>0</c:v>
              </c:pt>
              <c:pt idx="609">
                <c:v>0.69087457056509982</c:v>
              </c:pt>
              <c:pt idx="610">
                <c:v>0.69087457056509982</c:v>
              </c:pt>
              <c:pt idx="611">
                <c:v>0</c:v>
              </c:pt>
              <c:pt idx="612">
                <c:v>0</c:v>
              </c:pt>
              <c:pt idx="613">
                <c:v>0.69087457056509982</c:v>
              </c:pt>
              <c:pt idx="614">
                <c:v>0.69087457056509982</c:v>
              </c:pt>
              <c:pt idx="615">
                <c:v>0</c:v>
              </c:pt>
              <c:pt idx="616">
                <c:v>0</c:v>
              </c:pt>
              <c:pt idx="617">
                <c:v>0.69087457056509982</c:v>
              </c:pt>
              <c:pt idx="618">
                <c:v>0.69087457056509982</c:v>
              </c:pt>
              <c:pt idx="619">
                <c:v>0</c:v>
              </c:pt>
              <c:pt idx="620">
                <c:v>0</c:v>
              </c:pt>
              <c:pt idx="621">
                <c:v>0.69087457056509982</c:v>
              </c:pt>
              <c:pt idx="622">
                <c:v>0.69087457056509982</c:v>
              </c:pt>
              <c:pt idx="623">
                <c:v>0</c:v>
              </c:pt>
              <c:pt idx="624">
                <c:v>0</c:v>
              </c:pt>
              <c:pt idx="625">
                <c:v>0.69087457056509982</c:v>
              </c:pt>
              <c:pt idx="626">
                <c:v>0.69087457056509982</c:v>
              </c:pt>
              <c:pt idx="627">
                <c:v>0</c:v>
              </c:pt>
              <c:pt idx="628">
                <c:v>0</c:v>
              </c:pt>
              <c:pt idx="629">
                <c:v>0.69087457056509982</c:v>
              </c:pt>
              <c:pt idx="630">
                <c:v>0.69087457056509982</c:v>
              </c:pt>
              <c:pt idx="631">
                <c:v>0</c:v>
              </c:pt>
              <c:pt idx="632">
                <c:v>0</c:v>
              </c:pt>
              <c:pt idx="633">
                <c:v>0.69087457056509982</c:v>
              </c:pt>
              <c:pt idx="634">
                <c:v>0.69087457056509982</c:v>
              </c:pt>
              <c:pt idx="635">
                <c:v>0</c:v>
              </c:pt>
              <c:pt idx="636">
                <c:v>0</c:v>
              </c:pt>
              <c:pt idx="637">
                <c:v>0.69087457056509982</c:v>
              </c:pt>
              <c:pt idx="638">
                <c:v>0.69087457056509982</c:v>
              </c:pt>
              <c:pt idx="639">
                <c:v>0</c:v>
              </c:pt>
              <c:pt idx="640">
                <c:v>0</c:v>
              </c:pt>
              <c:pt idx="641">
                <c:v>0.69087457056509982</c:v>
              </c:pt>
              <c:pt idx="642">
                <c:v>0.69087457056509982</c:v>
              </c:pt>
              <c:pt idx="643">
                <c:v>0</c:v>
              </c:pt>
              <c:pt idx="644">
                <c:v>0</c:v>
              </c:pt>
              <c:pt idx="645">
                <c:v>0.69087457056509982</c:v>
              </c:pt>
              <c:pt idx="646">
                <c:v>0.69087457056509982</c:v>
              </c:pt>
              <c:pt idx="647">
                <c:v>0</c:v>
              </c:pt>
              <c:pt idx="648">
                <c:v>0</c:v>
              </c:pt>
              <c:pt idx="649">
                <c:v>0.69087457056509982</c:v>
              </c:pt>
              <c:pt idx="650">
                <c:v>0.69087457056509982</c:v>
              </c:pt>
              <c:pt idx="651">
                <c:v>0</c:v>
              </c:pt>
              <c:pt idx="652">
                <c:v>0</c:v>
              </c:pt>
              <c:pt idx="653">
                <c:v>0.69087457056509982</c:v>
              </c:pt>
              <c:pt idx="654">
                <c:v>0.69087457056509982</c:v>
              </c:pt>
              <c:pt idx="655">
                <c:v>0</c:v>
              </c:pt>
              <c:pt idx="656">
                <c:v>0</c:v>
              </c:pt>
              <c:pt idx="657">
                <c:v>0.69087457056509982</c:v>
              </c:pt>
              <c:pt idx="658">
                <c:v>0.69087457056509982</c:v>
              </c:pt>
              <c:pt idx="659">
                <c:v>0</c:v>
              </c:pt>
              <c:pt idx="660">
                <c:v>0</c:v>
              </c:pt>
              <c:pt idx="661">
                <c:v>0.69087457056509982</c:v>
              </c:pt>
              <c:pt idx="662">
                <c:v>0.69087457056509982</c:v>
              </c:pt>
              <c:pt idx="663">
                <c:v>0</c:v>
              </c:pt>
              <c:pt idx="664">
                <c:v>0</c:v>
              </c:pt>
              <c:pt idx="665">
                <c:v>0.69087457056509982</c:v>
              </c:pt>
              <c:pt idx="666">
                <c:v>0.69087457056509982</c:v>
              </c:pt>
              <c:pt idx="667">
                <c:v>0</c:v>
              </c:pt>
              <c:pt idx="668">
                <c:v>0</c:v>
              </c:pt>
              <c:pt idx="669">
                <c:v>0.69087457056509982</c:v>
              </c:pt>
              <c:pt idx="670">
                <c:v>0.69087457056509982</c:v>
              </c:pt>
              <c:pt idx="671">
                <c:v>0</c:v>
              </c:pt>
              <c:pt idx="672">
                <c:v>0</c:v>
              </c:pt>
              <c:pt idx="673">
                <c:v>0.69087457056509982</c:v>
              </c:pt>
              <c:pt idx="674">
                <c:v>0.69087457056509982</c:v>
              </c:pt>
              <c:pt idx="675">
                <c:v>0</c:v>
              </c:pt>
              <c:pt idx="676">
                <c:v>0</c:v>
              </c:pt>
              <c:pt idx="677">
                <c:v>0.69087457056509982</c:v>
              </c:pt>
              <c:pt idx="678">
                <c:v>0.69087457056509982</c:v>
              </c:pt>
              <c:pt idx="679">
                <c:v>0</c:v>
              </c:pt>
              <c:pt idx="680">
                <c:v>0</c:v>
              </c:pt>
              <c:pt idx="681">
                <c:v>0.69087457056509982</c:v>
              </c:pt>
              <c:pt idx="682">
                <c:v>0.69087457056509982</c:v>
              </c:pt>
              <c:pt idx="683">
                <c:v>0</c:v>
              </c:pt>
              <c:pt idx="684">
                <c:v>0</c:v>
              </c:pt>
              <c:pt idx="685">
                <c:v>0.69087457056509982</c:v>
              </c:pt>
              <c:pt idx="686">
                <c:v>0.69087457056509982</c:v>
              </c:pt>
              <c:pt idx="687">
                <c:v>0</c:v>
              </c:pt>
              <c:pt idx="688">
                <c:v>0</c:v>
              </c:pt>
              <c:pt idx="689">
                <c:v>0.69087457056509982</c:v>
              </c:pt>
              <c:pt idx="690">
                <c:v>0.69087457056509982</c:v>
              </c:pt>
              <c:pt idx="691">
                <c:v>0</c:v>
              </c:pt>
              <c:pt idx="692">
                <c:v>0</c:v>
              </c:pt>
              <c:pt idx="693">
                <c:v>0.69087457056509982</c:v>
              </c:pt>
              <c:pt idx="694">
                <c:v>0.69087457056509982</c:v>
              </c:pt>
              <c:pt idx="695">
                <c:v>0</c:v>
              </c:pt>
              <c:pt idx="696">
                <c:v>0</c:v>
              </c:pt>
              <c:pt idx="697">
                <c:v>0.69087457056509982</c:v>
              </c:pt>
              <c:pt idx="698">
                <c:v>0.69087457056509982</c:v>
              </c:pt>
              <c:pt idx="699">
                <c:v>0</c:v>
              </c:pt>
              <c:pt idx="700">
                <c:v>0</c:v>
              </c:pt>
              <c:pt idx="701">
                <c:v>0.69087457056509982</c:v>
              </c:pt>
              <c:pt idx="702">
                <c:v>0.69087457056509982</c:v>
              </c:pt>
              <c:pt idx="703">
                <c:v>0</c:v>
              </c:pt>
              <c:pt idx="704">
                <c:v>0</c:v>
              </c:pt>
              <c:pt idx="705">
                <c:v>0.69087457056509982</c:v>
              </c:pt>
              <c:pt idx="706">
                <c:v>0.69087457056509982</c:v>
              </c:pt>
              <c:pt idx="707">
                <c:v>0</c:v>
              </c:pt>
              <c:pt idx="708">
                <c:v>0</c:v>
              </c:pt>
              <c:pt idx="709">
                <c:v>0.69087457056509982</c:v>
              </c:pt>
              <c:pt idx="710">
                <c:v>0.69087457056509982</c:v>
              </c:pt>
              <c:pt idx="711">
                <c:v>0</c:v>
              </c:pt>
              <c:pt idx="712">
                <c:v>0</c:v>
              </c:pt>
              <c:pt idx="713">
                <c:v>0.69087457056509982</c:v>
              </c:pt>
              <c:pt idx="714">
                <c:v>0.69087457056509982</c:v>
              </c:pt>
              <c:pt idx="715">
                <c:v>0</c:v>
              </c:pt>
              <c:pt idx="716">
                <c:v>0</c:v>
              </c:pt>
              <c:pt idx="717">
                <c:v>0.69087457056509982</c:v>
              </c:pt>
              <c:pt idx="718">
                <c:v>0.69087457056509982</c:v>
              </c:pt>
              <c:pt idx="719">
                <c:v>0</c:v>
              </c:pt>
              <c:pt idx="720">
                <c:v>0</c:v>
              </c:pt>
              <c:pt idx="721">
                <c:v>0.69087457056509982</c:v>
              </c:pt>
              <c:pt idx="722">
                <c:v>0.69087457056509982</c:v>
              </c:pt>
              <c:pt idx="723">
                <c:v>0</c:v>
              </c:pt>
              <c:pt idx="724">
                <c:v>0</c:v>
              </c:pt>
              <c:pt idx="725">
                <c:v>0.69087457056509982</c:v>
              </c:pt>
              <c:pt idx="726">
                <c:v>0.69087457056509982</c:v>
              </c:pt>
              <c:pt idx="727">
                <c:v>0</c:v>
              </c:pt>
              <c:pt idx="728">
                <c:v>0</c:v>
              </c:pt>
              <c:pt idx="729">
                <c:v>0.69087457056509982</c:v>
              </c:pt>
              <c:pt idx="730">
                <c:v>0.69087457056509982</c:v>
              </c:pt>
              <c:pt idx="731">
                <c:v>0</c:v>
              </c:pt>
              <c:pt idx="732">
                <c:v>0</c:v>
              </c:pt>
              <c:pt idx="733">
                <c:v>0.69087457056509982</c:v>
              </c:pt>
              <c:pt idx="734">
                <c:v>0.69087457056509982</c:v>
              </c:pt>
              <c:pt idx="735">
                <c:v>0</c:v>
              </c:pt>
              <c:pt idx="736">
                <c:v>0.69087457056509982</c:v>
              </c:pt>
              <c:pt idx="737">
                <c:v>0</c:v>
              </c:pt>
              <c:pt idx="740">
                <c:v>0</c:v>
              </c:pt>
              <c:pt idx="741">
                <c:v>1.2363018631164944</c:v>
              </c:pt>
              <c:pt idx="742">
                <c:v>1.2363018631164944</c:v>
              </c:pt>
              <c:pt idx="743">
                <c:v>0</c:v>
              </c:pt>
              <c:pt idx="744">
                <c:v>0</c:v>
              </c:pt>
              <c:pt idx="745">
                <c:v>1.2363018631164944</c:v>
              </c:pt>
              <c:pt idx="746">
                <c:v>1.2363018631164944</c:v>
              </c:pt>
              <c:pt idx="747">
                <c:v>0</c:v>
              </c:pt>
              <c:pt idx="748">
                <c:v>0</c:v>
              </c:pt>
              <c:pt idx="749">
                <c:v>1.2363018631164944</c:v>
              </c:pt>
              <c:pt idx="750">
                <c:v>1.2363018631164944</c:v>
              </c:pt>
              <c:pt idx="751">
                <c:v>0</c:v>
              </c:pt>
              <c:pt idx="752">
                <c:v>0</c:v>
              </c:pt>
              <c:pt idx="753">
                <c:v>1.2363018631164944</c:v>
              </c:pt>
              <c:pt idx="754">
                <c:v>1.2363018631164944</c:v>
              </c:pt>
              <c:pt idx="755">
                <c:v>0</c:v>
              </c:pt>
              <c:pt idx="756">
                <c:v>0</c:v>
              </c:pt>
              <c:pt idx="757">
                <c:v>1.2363018631164944</c:v>
              </c:pt>
              <c:pt idx="758">
                <c:v>1.2363018631164944</c:v>
              </c:pt>
              <c:pt idx="759">
                <c:v>0</c:v>
              </c:pt>
              <c:pt idx="760">
                <c:v>0</c:v>
              </c:pt>
              <c:pt idx="761">
                <c:v>1.2363018631164944</c:v>
              </c:pt>
              <c:pt idx="762">
                <c:v>1.2363018631164944</c:v>
              </c:pt>
              <c:pt idx="763">
                <c:v>0</c:v>
              </c:pt>
              <c:pt idx="764">
                <c:v>0</c:v>
              </c:pt>
              <c:pt idx="765">
                <c:v>1.2363018631164944</c:v>
              </c:pt>
              <c:pt idx="766">
                <c:v>1.2363018631164944</c:v>
              </c:pt>
              <c:pt idx="767">
                <c:v>0</c:v>
              </c:pt>
              <c:pt idx="768">
                <c:v>0</c:v>
              </c:pt>
              <c:pt idx="769">
                <c:v>1.2363018631164944</c:v>
              </c:pt>
              <c:pt idx="770">
                <c:v>1.2363018631164944</c:v>
              </c:pt>
              <c:pt idx="771">
                <c:v>0</c:v>
              </c:pt>
              <c:pt idx="772">
                <c:v>0</c:v>
              </c:pt>
              <c:pt idx="773">
                <c:v>1.2363018631164944</c:v>
              </c:pt>
              <c:pt idx="774">
                <c:v>1.2363018631164944</c:v>
              </c:pt>
              <c:pt idx="775">
                <c:v>0</c:v>
              </c:pt>
              <c:pt idx="776">
                <c:v>0</c:v>
              </c:pt>
              <c:pt idx="777">
                <c:v>1.2363018631164944</c:v>
              </c:pt>
              <c:pt idx="778">
                <c:v>1.2363018631164944</c:v>
              </c:pt>
              <c:pt idx="779">
                <c:v>0</c:v>
              </c:pt>
              <c:pt idx="780">
                <c:v>0</c:v>
              </c:pt>
              <c:pt idx="781">
                <c:v>1.2363018631164944</c:v>
              </c:pt>
              <c:pt idx="782">
                <c:v>1.2363018631164944</c:v>
              </c:pt>
              <c:pt idx="783">
                <c:v>0</c:v>
              </c:pt>
              <c:pt idx="784">
                <c:v>0</c:v>
              </c:pt>
              <c:pt idx="785">
                <c:v>1.2363018631164944</c:v>
              </c:pt>
              <c:pt idx="786">
                <c:v>1.2363018631164944</c:v>
              </c:pt>
              <c:pt idx="787">
                <c:v>0</c:v>
              </c:pt>
              <c:pt idx="788">
                <c:v>0</c:v>
              </c:pt>
              <c:pt idx="789">
                <c:v>1.2363018631164944</c:v>
              </c:pt>
              <c:pt idx="790">
                <c:v>1.2363018631164944</c:v>
              </c:pt>
              <c:pt idx="791">
                <c:v>0</c:v>
              </c:pt>
              <c:pt idx="792">
                <c:v>0</c:v>
              </c:pt>
              <c:pt idx="793">
                <c:v>1.2363018631164944</c:v>
              </c:pt>
              <c:pt idx="794">
                <c:v>1.2363018631164944</c:v>
              </c:pt>
              <c:pt idx="795">
                <c:v>0</c:v>
              </c:pt>
              <c:pt idx="796">
                <c:v>0</c:v>
              </c:pt>
              <c:pt idx="797">
                <c:v>1.2363018631164944</c:v>
              </c:pt>
              <c:pt idx="798">
                <c:v>1.2363018631164944</c:v>
              </c:pt>
              <c:pt idx="799">
                <c:v>0</c:v>
              </c:pt>
              <c:pt idx="800">
                <c:v>0</c:v>
              </c:pt>
              <c:pt idx="801">
                <c:v>1.2363018631164944</c:v>
              </c:pt>
              <c:pt idx="802">
                <c:v>1.2363018631164944</c:v>
              </c:pt>
              <c:pt idx="803">
                <c:v>0</c:v>
              </c:pt>
              <c:pt idx="804">
                <c:v>0</c:v>
              </c:pt>
              <c:pt idx="805">
                <c:v>1.2363018631164944</c:v>
              </c:pt>
              <c:pt idx="806">
                <c:v>1.2363018631164944</c:v>
              </c:pt>
              <c:pt idx="807">
                <c:v>0</c:v>
              </c:pt>
              <c:pt idx="808">
                <c:v>0</c:v>
              </c:pt>
              <c:pt idx="809">
                <c:v>1.2363018631164944</c:v>
              </c:pt>
              <c:pt idx="810">
                <c:v>1.2363018631164944</c:v>
              </c:pt>
              <c:pt idx="811">
                <c:v>0</c:v>
              </c:pt>
              <c:pt idx="812">
                <c:v>0</c:v>
              </c:pt>
              <c:pt idx="813">
                <c:v>1.2363018631164944</c:v>
              </c:pt>
              <c:pt idx="814">
                <c:v>1.2363018631164944</c:v>
              </c:pt>
              <c:pt idx="815">
                <c:v>0</c:v>
              </c:pt>
              <c:pt idx="816">
                <c:v>0</c:v>
              </c:pt>
              <c:pt idx="817">
                <c:v>1.2363018631164944</c:v>
              </c:pt>
              <c:pt idx="818">
                <c:v>1.2363018631164944</c:v>
              </c:pt>
              <c:pt idx="819">
                <c:v>0</c:v>
              </c:pt>
              <c:pt idx="820">
                <c:v>0</c:v>
              </c:pt>
              <c:pt idx="821">
                <c:v>1.2363018631164944</c:v>
              </c:pt>
              <c:pt idx="822">
                <c:v>1.2363018631164944</c:v>
              </c:pt>
              <c:pt idx="823">
                <c:v>0</c:v>
              </c:pt>
              <c:pt idx="824">
                <c:v>0</c:v>
              </c:pt>
              <c:pt idx="825">
                <c:v>1.2363018631164944</c:v>
              </c:pt>
              <c:pt idx="826">
                <c:v>1.2363018631164944</c:v>
              </c:pt>
              <c:pt idx="827">
                <c:v>0</c:v>
              </c:pt>
              <c:pt idx="828">
                <c:v>0</c:v>
              </c:pt>
              <c:pt idx="829">
                <c:v>1.2363018631164944</c:v>
              </c:pt>
              <c:pt idx="830">
                <c:v>1.2363018631164944</c:v>
              </c:pt>
              <c:pt idx="831">
                <c:v>0</c:v>
              </c:pt>
              <c:pt idx="832">
                <c:v>0</c:v>
              </c:pt>
              <c:pt idx="833">
                <c:v>1.2363018631164944</c:v>
              </c:pt>
              <c:pt idx="834">
                <c:v>1.2363018631164944</c:v>
              </c:pt>
              <c:pt idx="835">
                <c:v>0</c:v>
              </c:pt>
              <c:pt idx="836">
                <c:v>0</c:v>
              </c:pt>
              <c:pt idx="837">
                <c:v>1.2363018631164944</c:v>
              </c:pt>
              <c:pt idx="838">
                <c:v>1.2363018631164944</c:v>
              </c:pt>
              <c:pt idx="839">
                <c:v>0</c:v>
              </c:pt>
              <c:pt idx="840">
                <c:v>0</c:v>
              </c:pt>
              <c:pt idx="841">
                <c:v>1.2363018631164944</c:v>
              </c:pt>
              <c:pt idx="842">
                <c:v>1.2363018631164944</c:v>
              </c:pt>
              <c:pt idx="843">
                <c:v>0</c:v>
              </c:pt>
              <c:pt idx="844">
                <c:v>0</c:v>
              </c:pt>
              <c:pt idx="845">
                <c:v>1.2363018631164944</c:v>
              </c:pt>
              <c:pt idx="846">
                <c:v>1.2363018631164944</c:v>
              </c:pt>
              <c:pt idx="847">
                <c:v>0</c:v>
              </c:pt>
              <c:pt idx="848">
                <c:v>0</c:v>
              </c:pt>
              <c:pt idx="849">
                <c:v>1.2363018631164944</c:v>
              </c:pt>
              <c:pt idx="850">
                <c:v>1.2363018631164944</c:v>
              </c:pt>
              <c:pt idx="851">
                <c:v>0</c:v>
              </c:pt>
              <c:pt idx="852">
                <c:v>0</c:v>
              </c:pt>
              <c:pt idx="853">
                <c:v>1.2363018631164944</c:v>
              </c:pt>
              <c:pt idx="854">
                <c:v>1.2363018631164944</c:v>
              </c:pt>
              <c:pt idx="855">
                <c:v>0</c:v>
              </c:pt>
              <c:pt idx="856">
                <c:v>0</c:v>
              </c:pt>
              <c:pt idx="857">
                <c:v>1.2363018631164944</c:v>
              </c:pt>
              <c:pt idx="858">
                <c:v>1.2363018631164944</c:v>
              </c:pt>
              <c:pt idx="859">
                <c:v>0</c:v>
              </c:pt>
              <c:pt idx="860">
                <c:v>0</c:v>
              </c:pt>
              <c:pt idx="861">
                <c:v>1.2363018631164944</c:v>
              </c:pt>
              <c:pt idx="862">
                <c:v>1.2363018631164944</c:v>
              </c:pt>
              <c:pt idx="863">
                <c:v>0</c:v>
              </c:pt>
              <c:pt idx="864">
                <c:v>0</c:v>
              </c:pt>
              <c:pt idx="865">
                <c:v>1.2363018631164944</c:v>
              </c:pt>
              <c:pt idx="866">
                <c:v>1.2363018631164944</c:v>
              </c:pt>
              <c:pt idx="867">
                <c:v>0</c:v>
              </c:pt>
              <c:pt idx="868">
                <c:v>0</c:v>
              </c:pt>
              <c:pt idx="869">
                <c:v>1.2363018631164944</c:v>
              </c:pt>
              <c:pt idx="870">
                <c:v>1.2363018631164944</c:v>
              </c:pt>
              <c:pt idx="871">
                <c:v>0</c:v>
              </c:pt>
              <c:pt idx="872">
                <c:v>0</c:v>
              </c:pt>
              <c:pt idx="873">
                <c:v>1.2363018631164944</c:v>
              </c:pt>
              <c:pt idx="874">
                <c:v>1.2363018631164944</c:v>
              </c:pt>
              <c:pt idx="875">
                <c:v>0</c:v>
              </c:pt>
              <c:pt idx="876">
                <c:v>0</c:v>
              </c:pt>
              <c:pt idx="877">
                <c:v>1.2363018631164944</c:v>
              </c:pt>
              <c:pt idx="878">
                <c:v>1.2363018631164944</c:v>
              </c:pt>
              <c:pt idx="879">
                <c:v>0</c:v>
              </c:pt>
              <c:pt idx="880">
                <c:v>0</c:v>
              </c:pt>
              <c:pt idx="881">
                <c:v>1.2363018631164944</c:v>
              </c:pt>
              <c:pt idx="882">
                <c:v>1.2363018631164944</c:v>
              </c:pt>
              <c:pt idx="883">
                <c:v>0</c:v>
              </c:pt>
              <c:pt idx="884">
                <c:v>1.2363018631164944</c:v>
              </c:pt>
              <c:pt idx="885">
                <c:v>0</c:v>
              </c:pt>
              <c:pt idx="888">
                <c:v>0</c:v>
              </c:pt>
              <c:pt idx="889">
                <c:v>2.0968649246975835</c:v>
              </c:pt>
              <c:pt idx="890">
                <c:v>2.0968649246975835</c:v>
              </c:pt>
              <c:pt idx="891">
                <c:v>0</c:v>
              </c:pt>
              <c:pt idx="892">
                <c:v>0</c:v>
              </c:pt>
              <c:pt idx="893">
                <c:v>2.0968649246975835</c:v>
              </c:pt>
              <c:pt idx="894">
                <c:v>2.0968649246975835</c:v>
              </c:pt>
              <c:pt idx="895">
                <c:v>0</c:v>
              </c:pt>
              <c:pt idx="896">
                <c:v>0</c:v>
              </c:pt>
              <c:pt idx="897">
                <c:v>2.0968649246975835</c:v>
              </c:pt>
              <c:pt idx="898">
                <c:v>2.0968649246975835</c:v>
              </c:pt>
              <c:pt idx="899">
                <c:v>0</c:v>
              </c:pt>
              <c:pt idx="900">
                <c:v>0</c:v>
              </c:pt>
              <c:pt idx="901">
                <c:v>2.0968649246975835</c:v>
              </c:pt>
              <c:pt idx="902">
                <c:v>2.0968649246975835</c:v>
              </c:pt>
              <c:pt idx="903">
                <c:v>0</c:v>
              </c:pt>
              <c:pt idx="904">
                <c:v>0</c:v>
              </c:pt>
              <c:pt idx="905">
                <c:v>2.0968649246975835</c:v>
              </c:pt>
              <c:pt idx="906">
                <c:v>2.0968649246975835</c:v>
              </c:pt>
              <c:pt idx="907">
                <c:v>0</c:v>
              </c:pt>
              <c:pt idx="908">
                <c:v>0</c:v>
              </c:pt>
              <c:pt idx="909">
                <c:v>2.0968649246975835</c:v>
              </c:pt>
              <c:pt idx="910">
                <c:v>2.0968649246975835</c:v>
              </c:pt>
              <c:pt idx="911">
                <c:v>0</c:v>
              </c:pt>
              <c:pt idx="912">
                <c:v>0</c:v>
              </c:pt>
              <c:pt idx="913">
                <c:v>2.0968649246975835</c:v>
              </c:pt>
              <c:pt idx="914">
                <c:v>2.0968649246975835</c:v>
              </c:pt>
              <c:pt idx="915">
                <c:v>0</c:v>
              </c:pt>
              <c:pt idx="916">
                <c:v>0</c:v>
              </c:pt>
              <c:pt idx="917">
                <c:v>2.0968649246975835</c:v>
              </c:pt>
              <c:pt idx="918">
                <c:v>2.0968649246975835</c:v>
              </c:pt>
              <c:pt idx="919">
                <c:v>0</c:v>
              </c:pt>
              <c:pt idx="920">
                <c:v>0</c:v>
              </c:pt>
              <c:pt idx="921">
                <c:v>2.0968649246975835</c:v>
              </c:pt>
              <c:pt idx="922">
                <c:v>2.0968649246975835</c:v>
              </c:pt>
              <c:pt idx="923">
                <c:v>0</c:v>
              </c:pt>
              <c:pt idx="924">
                <c:v>0</c:v>
              </c:pt>
              <c:pt idx="925">
                <c:v>2.0968649246975835</c:v>
              </c:pt>
              <c:pt idx="926">
                <c:v>2.0968649246975835</c:v>
              </c:pt>
              <c:pt idx="927">
                <c:v>0</c:v>
              </c:pt>
              <c:pt idx="928">
                <c:v>0</c:v>
              </c:pt>
              <c:pt idx="929">
                <c:v>2.0968649246975835</c:v>
              </c:pt>
              <c:pt idx="930">
                <c:v>2.0968649246975835</c:v>
              </c:pt>
              <c:pt idx="931">
                <c:v>0</c:v>
              </c:pt>
              <c:pt idx="932">
                <c:v>0</c:v>
              </c:pt>
              <c:pt idx="933">
                <c:v>2.0968649246975835</c:v>
              </c:pt>
              <c:pt idx="934">
                <c:v>2.0968649246975835</c:v>
              </c:pt>
              <c:pt idx="935">
                <c:v>0</c:v>
              </c:pt>
              <c:pt idx="936">
                <c:v>0</c:v>
              </c:pt>
              <c:pt idx="937">
                <c:v>2.0968649246975835</c:v>
              </c:pt>
              <c:pt idx="938">
                <c:v>2.0968649246975835</c:v>
              </c:pt>
              <c:pt idx="939">
                <c:v>0</c:v>
              </c:pt>
              <c:pt idx="940">
                <c:v>0</c:v>
              </c:pt>
              <c:pt idx="941">
                <c:v>2.0968649246975835</c:v>
              </c:pt>
              <c:pt idx="942">
                <c:v>2.0968649246975835</c:v>
              </c:pt>
              <c:pt idx="943">
                <c:v>0</c:v>
              </c:pt>
              <c:pt idx="944">
                <c:v>0</c:v>
              </c:pt>
              <c:pt idx="945">
                <c:v>2.0968649246975835</c:v>
              </c:pt>
              <c:pt idx="946">
                <c:v>2.0968649246975835</c:v>
              </c:pt>
              <c:pt idx="947">
                <c:v>0</c:v>
              </c:pt>
              <c:pt idx="948">
                <c:v>0</c:v>
              </c:pt>
              <c:pt idx="949">
                <c:v>2.0968649246975835</c:v>
              </c:pt>
              <c:pt idx="950">
                <c:v>2.0968649246975835</c:v>
              </c:pt>
              <c:pt idx="951">
                <c:v>0</c:v>
              </c:pt>
              <c:pt idx="952">
                <c:v>0</c:v>
              </c:pt>
              <c:pt idx="953">
                <c:v>2.0968649246975835</c:v>
              </c:pt>
              <c:pt idx="954">
                <c:v>2.0968649246975835</c:v>
              </c:pt>
              <c:pt idx="955">
                <c:v>0</c:v>
              </c:pt>
              <c:pt idx="956">
                <c:v>0</c:v>
              </c:pt>
              <c:pt idx="957">
                <c:v>2.0968649246975835</c:v>
              </c:pt>
              <c:pt idx="958">
                <c:v>2.0968649246975835</c:v>
              </c:pt>
              <c:pt idx="959">
                <c:v>0</c:v>
              </c:pt>
              <c:pt idx="960">
                <c:v>0</c:v>
              </c:pt>
              <c:pt idx="961">
                <c:v>2.0968649246975835</c:v>
              </c:pt>
              <c:pt idx="962">
                <c:v>2.0968649246975835</c:v>
              </c:pt>
              <c:pt idx="963">
                <c:v>0</c:v>
              </c:pt>
              <c:pt idx="964">
                <c:v>0</c:v>
              </c:pt>
              <c:pt idx="965">
                <c:v>2.0968649246975835</c:v>
              </c:pt>
              <c:pt idx="966">
                <c:v>2.0968649246975835</c:v>
              </c:pt>
              <c:pt idx="967">
                <c:v>0</c:v>
              </c:pt>
              <c:pt idx="968">
                <c:v>0</c:v>
              </c:pt>
              <c:pt idx="969">
                <c:v>2.0968649246975835</c:v>
              </c:pt>
              <c:pt idx="970">
                <c:v>2.0968649246975835</c:v>
              </c:pt>
              <c:pt idx="971">
                <c:v>0</c:v>
              </c:pt>
              <c:pt idx="972">
                <c:v>0</c:v>
              </c:pt>
              <c:pt idx="973">
                <c:v>2.0968649246975835</c:v>
              </c:pt>
              <c:pt idx="974">
                <c:v>2.0968649246975835</c:v>
              </c:pt>
              <c:pt idx="975">
                <c:v>0</c:v>
              </c:pt>
              <c:pt idx="976">
                <c:v>0</c:v>
              </c:pt>
              <c:pt idx="977">
                <c:v>2.0968649246975835</c:v>
              </c:pt>
              <c:pt idx="978">
                <c:v>2.0968649246975835</c:v>
              </c:pt>
              <c:pt idx="979">
                <c:v>0</c:v>
              </c:pt>
              <c:pt idx="980">
                <c:v>0</c:v>
              </c:pt>
              <c:pt idx="981">
                <c:v>2.0968649246975835</c:v>
              </c:pt>
              <c:pt idx="982">
                <c:v>2.0968649246975835</c:v>
              </c:pt>
              <c:pt idx="983">
                <c:v>0</c:v>
              </c:pt>
              <c:pt idx="984">
                <c:v>0</c:v>
              </c:pt>
              <c:pt idx="985">
                <c:v>2.0968649246975835</c:v>
              </c:pt>
              <c:pt idx="986">
                <c:v>2.0968649246975835</c:v>
              </c:pt>
              <c:pt idx="987">
                <c:v>0</c:v>
              </c:pt>
              <c:pt idx="988">
                <c:v>0</c:v>
              </c:pt>
              <c:pt idx="989">
                <c:v>2.0968649246975835</c:v>
              </c:pt>
              <c:pt idx="990">
                <c:v>2.0968649246975835</c:v>
              </c:pt>
              <c:pt idx="991">
                <c:v>0</c:v>
              </c:pt>
              <c:pt idx="992">
                <c:v>0</c:v>
              </c:pt>
              <c:pt idx="993">
                <c:v>2.0968649246975835</c:v>
              </c:pt>
              <c:pt idx="994">
                <c:v>2.0968649246975835</c:v>
              </c:pt>
              <c:pt idx="995">
                <c:v>0</c:v>
              </c:pt>
              <c:pt idx="996">
                <c:v>0</c:v>
              </c:pt>
              <c:pt idx="997">
                <c:v>2.0968649246975835</c:v>
              </c:pt>
              <c:pt idx="998">
                <c:v>2.0968649246975835</c:v>
              </c:pt>
              <c:pt idx="999">
                <c:v>0</c:v>
              </c:pt>
              <c:pt idx="1000">
                <c:v>0</c:v>
              </c:pt>
              <c:pt idx="1001">
                <c:v>2.0968649246975835</c:v>
              </c:pt>
              <c:pt idx="1002">
                <c:v>2.0968649246975835</c:v>
              </c:pt>
              <c:pt idx="1003">
                <c:v>0</c:v>
              </c:pt>
              <c:pt idx="1004">
                <c:v>0</c:v>
              </c:pt>
              <c:pt idx="1005">
                <c:v>2.0968649246975835</c:v>
              </c:pt>
              <c:pt idx="1006">
                <c:v>2.0968649246975835</c:v>
              </c:pt>
              <c:pt idx="1007">
                <c:v>0</c:v>
              </c:pt>
              <c:pt idx="1008">
                <c:v>0</c:v>
              </c:pt>
              <c:pt idx="1009">
                <c:v>2.0968649246975835</c:v>
              </c:pt>
              <c:pt idx="1010">
                <c:v>2.0968649246975835</c:v>
              </c:pt>
              <c:pt idx="1011">
                <c:v>0</c:v>
              </c:pt>
              <c:pt idx="1012">
                <c:v>0</c:v>
              </c:pt>
              <c:pt idx="1013">
                <c:v>2.0968649246975835</c:v>
              </c:pt>
              <c:pt idx="1014">
                <c:v>2.0968649246975835</c:v>
              </c:pt>
              <c:pt idx="1015">
                <c:v>0</c:v>
              </c:pt>
              <c:pt idx="1016">
                <c:v>0</c:v>
              </c:pt>
              <c:pt idx="1017">
                <c:v>2.0968649246975835</c:v>
              </c:pt>
              <c:pt idx="1018">
                <c:v>2.0968649246975835</c:v>
              </c:pt>
              <c:pt idx="1019">
                <c:v>0</c:v>
              </c:pt>
              <c:pt idx="1020">
                <c:v>0</c:v>
              </c:pt>
              <c:pt idx="1021">
                <c:v>2.0968649246975835</c:v>
              </c:pt>
              <c:pt idx="1022">
                <c:v>2.0968649246975835</c:v>
              </c:pt>
              <c:pt idx="1023">
                <c:v>0</c:v>
              </c:pt>
              <c:pt idx="1024">
                <c:v>0</c:v>
              </c:pt>
              <c:pt idx="1025">
                <c:v>2.0968649246975835</c:v>
              </c:pt>
              <c:pt idx="1026">
                <c:v>2.0968649246975835</c:v>
              </c:pt>
              <c:pt idx="1027">
                <c:v>0</c:v>
              </c:pt>
              <c:pt idx="1028">
                <c:v>0</c:v>
              </c:pt>
              <c:pt idx="1029">
                <c:v>2.0968649246975835</c:v>
              </c:pt>
              <c:pt idx="1030">
                <c:v>2.0968649246975835</c:v>
              </c:pt>
              <c:pt idx="1031">
                <c:v>0</c:v>
              </c:pt>
              <c:pt idx="1032">
                <c:v>2.0968649246975835</c:v>
              </c:pt>
              <c:pt idx="1033">
                <c:v>0</c:v>
              </c:pt>
              <c:pt idx="1036">
                <c:v>0</c:v>
              </c:pt>
              <c:pt idx="1037">
                <c:v>3.466493459326641</c:v>
              </c:pt>
              <c:pt idx="1038">
                <c:v>3.466493459326641</c:v>
              </c:pt>
              <c:pt idx="1039">
                <c:v>0</c:v>
              </c:pt>
              <c:pt idx="1040">
                <c:v>0</c:v>
              </c:pt>
              <c:pt idx="1041">
                <c:v>3.466493459326641</c:v>
              </c:pt>
              <c:pt idx="1042">
                <c:v>3.466493459326641</c:v>
              </c:pt>
              <c:pt idx="1043">
                <c:v>0</c:v>
              </c:pt>
              <c:pt idx="1044">
                <c:v>0</c:v>
              </c:pt>
              <c:pt idx="1045">
                <c:v>3.466493459326641</c:v>
              </c:pt>
              <c:pt idx="1046">
                <c:v>3.466493459326641</c:v>
              </c:pt>
              <c:pt idx="1047">
                <c:v>0</c:v>
              </c:pt>
              <c:pt idx="1048">
                <c:v>0</c:v>
              </c:pt>
              <c:pt idx="1049">
                <c:v>3.466493459326641</c:v>
              </c:pt>
              <c:pt idx="1050">
                <c:v>3.466493459326641</c:v>
              </c:pt>
              <c:pt idx="1051">
                <c:v>0</c:v>
              </c:pt>
              <c:pt idx="1052">
                <c:v>0</c:v>
              </c:pt>
              <c:pt idx="1053">
                <c:v>3.466493459326641</c:v>
              </c:pt>
              <c:pt idx="1054">
                <c:v>3.466493459326641</c:v>
              </c:pt>
              <c:pt idx="1055">
                <c:v>0</c:v>
              </c:pt>
              <c:pt idx="1056">
                <c:v>0</c:v>
              </c:pt>
              <c:pt idx="1057">
                <c:v>3.466493459326641</c:v>
              </c:pt>
              <c:pt idx="1058">
                <c:v>3.466493459326641</c:v>
              </c:pt>
              <c:pt idx="1059">
                <c:v>0</c:v>
              </c:pt>
              <c:pt idx="1060">
                <c:v>0</c:v>
              </c:pt>
              <c:pt idx="1061">
                <c:v>3.466493459326641</c:v>
              </c:pt>
              <c:pt idx="1062">
                <c:v>3.466493459326641</c:v>
              </c:pt>
              <c:pt idx="1063">
                <c:v>0</c:v>
              </c:pt>
              <c:pt idx="1064">
                <c:v>0</c:v>
              </c:pt>
              <c:pt idx="1065">
                <c:v>3.466493459326641</c:v>
              </c:pt>
              <c:pt idx="1066">
                <c:v>3.466493459326641</c:v>
              </c:pt>
              <c:pt idx="1067">
                <c:v>0</c:v>
              </c:pt>
              <c:pt idx="1068">
                <c:v>0</c:v>
              </c:pt>
              <c:pt idx="1069">
                <c:v>3.466493459326641</c:v>
              </c:pt>
              <c:pt idx="1070">
                <c:v>3.466493459326641</c:v>
              </c:pt>
              <c:pt idx="1071">
                <c:v>0</c:v>
              </c:pt>
              <c:pt idx="1072">
                <c:v>0</c:v>
              </c:pt>
              <c:pt idx="1073">
                <c:v>3.466493459326641</c:v>
              </c:pt>
              <c:pt idx="1074">
                <c:v>3.466493459326641</c:v>
              </c:pt>
              <c:pt idx="1075">
                <c:v>0</c:v>
              </c:pt>
              <c:pt idx="1076">
                <c:v>0</c:v>
              </c:pt>
              <c:pt idx="1077">
                <c:v>3.466493459326641</c:v>
              </c:pt>
              <c:pt idx="1078">
                <c:v>3.466493459326641</c:v>
              </c:pt>
              <c:pt idx="1079">
                <c:v>0</c:v>
              </c:pt>
              <c:pt idx="1080">
                <c:v>0</c:v>
              </c:pt>
              <c:pt idx="1081">
                <c:v>3.466493459326641</c:v>
              </c:pt>
              <c:pt idx="1082">
                <c:v>3.466493459326641</c:v>
              </c:pt>
              <c:pt idx="1083">
                <c:v>0</c:v>
              </c:pt>
              <c:pt idx="1084">
                <c:v>0</c:v>
              </c:pt>
              <c:pt idx="1085">
                <c:v>3.466493459326641</c:v>
              </c:pt>
              <c:pt idx="1086">
                <c:v>3.466493459326641</c:v>
              </c:pt>
              <c:pt idx="1087">
                <c:v>0</c:v>
              </c:pt>
              <c:pt idx="1088">
                <c:v>0</c:v>
              </c:pt>
              <c:pt idx="1089">
                <c:v>3.466493459326641</c:v>
              </c:pt>
              <c:pt idx="1090">
                <c:v>3.466493459326641</c:v>
              </c:pt>
              <c:pt idx="1091">
                <c:v>0</c:v>
              </c:pt>
              <c:pt idx="1092">
                <c:v>0</c:v>
              </c:pt>
              <c:pt idx="1093">
                <c:v>3.466493459326641</c:v>
              </c:pt>
              <c:pt idx="1094">
                <c:v>3.466493459326641</c:v>
              </c:pt>
              <c:pt idx="1095">
                <c:v>0</c:v>
              </c:pt>
              <c:pt idx="1096">
                <c:v>0</c:v>
              </c:pt>
              <c:pt idx="1097">
                <c:v>3.466493459326641</c:v>
              </c:pt>
              <c:pt idx="1098">
                <c:v>3.466493459326641</c:v>
              </c:pt>
              <c:pt idx="1099">
                <c:v>0</c:v>
              </c:pt>
              <c:pt idx="1100">
                <c:v>0</c:v>
              </c:pt>
              <c:pt idx="1101">
                <c:v>3.466493459326641</c:v>
              </c:pt>
              <c:pt idx="1102">
                <c:v>3.466493459326641</c:v>
              </c:pt>
              <c:pt idx="1103">
                <c:v>0</c:v>
              </c:pt>
              <c:pt idx="1104">
                <c:v>0</c:v>
              </c:pt>
              <c:pt idx="1105">
                <c:v>3.466493459326641</c:v>
              </c:pt>
              <c:pt idx="1106">
                <c:v>3.466493459326641</c:v>
              </c:pt>
              <c:pt idx="1107">
                <c:v>0</c:v>
              </c:pt>
              <c:pt idx="1108">
                <c:v>0</c:v>
              </c:pt>
              <c:pt idx="1109">
                <c:v>3.466493459326641</c:v>
              </c:pt>
              <c:pt idx="1110">
                <c:v>3.466493459326641</c:v>
              </c:pt>
              <c:pt idx="1111">
                <c:v>0</c:v>
              </c:pt>
              <c:pt idx="1112">
                <c:v>0</c:v>
              </c:pt>
              <c:pt idx="1113">
                <c:v>3.466493459326641</c:v>
              </c:pt>
              <c:pt idx="1114">
                <c:v>3.466493459326641</c:v>
              </c:pt>
              <c:pt idx="1115">
                <c:v>0</c:v>
              </c:pt>
              <c:pt idx="1116">
                <c:v>0</c:v>
              </c:pt>
              <c:pt idx="1117">
                <c:v>3.466493459326641</c:v>
              </c:pt>
              <c:pt idx="1118">
                <c:v>3.466493459326641</c:v>
              </c:pt>
              <c:pt idx="1119">
                <c:v>0</c:v>
              </c:pt>
              <c:pt idx="1120">
                <c:v>0</c:v>
              </c:pt>
              <c:pt idx="1121">
                <c:v>3.466493459326641</c:v>
              </c:pt>
              <c:pt idx="1122">
                <c:v>3.466493459326641</c:v>
              </c:pt>
              <c:pt idx="1123">
                <c:v>0</c:v>
              </c:pt>
              <c:pt idx="1124">
                <c:v>0</c:v>
              </c:pt>
              <c:pt idx="1125">
                <c:v>3.466493459326641</c:v>
              </c:pt>
              <c:pt idx="1126">
                <c:v>3.466493459326641</c:v>
              </c:pt>
              <c:pt idx="1127">
                <c:v>0</c:v>
              </c:pt>
              <c:pt idx="1128">
                <c:v>0</c:v>
              </c:pt>
              <c:pt idx="1129">
                <c:v>3.466493459326641</c:v>
              </c:pt>
              <c:pt idx="1130">
                <c:v>3.466493459326641</c:v>
              </c:pt>
              <c:pt idx="1131">
                <c:v>0</c:v>
              </c:pt>
              <c:pt idx="1132">
                <c:v>0</c:v>
              </c:pt>
              <c:pt idx="1133">
                <c:v>3.466493459326641</c:v>
              </c:pt>
              <c:pt idx="1134">
                <c:v>3.466493459326641</c:v>
              </c:pt>
              <c:pt idx="1135">
                <c:v>0</c:v>
              </c:pt>
              <c:pt idx="1136">
                <c:v>0</c:v>
              </c:pt>
              <c:pt idx="1137">
                <c:v>3.466493459326641</c:v>
              </c:pt>
              <c:pt idx="1138">
                <c:v>3.466493459326641</c:v>
              </c:pt>
              <c:pt idx="1139">
                <c:v>0</c:v>
              </c:pt>
              <c:pt idx="1140">
                <c:v>0</c:v>
              </c:pt>
              <c:pt idx="1141">
                <c:v>3.466493459326641</c:v>
              </c:pt>
              <c:pt idx="1142">
                <c:v>3.466493459326641</c:v>
              </c:pt>
              <c:pt idx="1143">
                <c:v>0</c:v>
              </c:pt>
              <c:pt idx="1144">
                <c:v>0</c:v>
              </c:pt>
              <c:pt idx="1145">
                <c:v>3.466493459326641</c:v>
              </c:pt>
              <c:pt idx="1146">
                <c:v>3.466493459326641</c:v>
              </c:pt>
              <c:pt idx="1147">
                <c:v>0</c:v>
              </c:pt>
              <c:pt idx="1148">
                <c:v>0</c:v>
              </c:pt>
              <c:pt idx="1149">
                <c:v>3.466493459326641</c:v>
              </c:pt>
              <c:pt idx="1150">
                <c:v>3.466493459326641</c:v>
              </c:pt>
              <c:pt idx="1151">
                <c:v>0</c:v>
              </c:pt>
              <c:pt idx="1152">
                <c:v>0</c:v>
              </c:pt>
              <c:pt idx="1153">
                <c:v>3.466493459326641</c:v>
              </c:pt>
              <c:pt idx="1154">
                <c:v>3.466493459326641</c:v>
              </c:pt>
              <c:pt idx="1155">
                <c:v>0</c:v>
              </c:pt>
              <c:pt idx="1156">
                <c:v>0</c:v>
              </c:pt>
              <c:pt idx="1157">
                <c:v>3.466493459326641</c:v>
              </c:pt>
              <c:pt idx="1158">
                <c:v>3.466493459326641</c:v>
              </c:pt>
              <c:pt idx="1159">
                <c:v>0</c:v>
              </c:pt>
              <c:pt idx="1160">
                <c:v>0</c:v>
              </c:pt>
              <c:pt idx="1161">
                <c:v>3.466493459326641</c:v>
              </c:pt>
              <c:pt idx="1162">
                <c:v>3.466493459326641</c:v>
              </c:pt>
              <c:pt idx="1163">
                <c:v>0</c:v>
              </c:pt>
              <c:pt idx="1164">
                <c:v>0</c:v>
              </c:pt>
              <c:pt idx="1165">
                <c:v>3.466493459326641</c:v>
              </c:pt>
              <c:pt idx="1166">
                <c:v>3.466493459326641</c:v>
              </c:pt>
              <c:pt idx="1167">
                <c:v>0</c:v>
              </c:pt>
              <c:pt idx="1168">
                <c:v>0</c:v>
              </c:pt>
              <c:pt idx="1169">
                <c:v>3.466493459326641</c:v>
              </c:pt>
              <c:pt idx="1170">
                <c:v>3.466493459326641</c:v>
              </c:pt>
              <c:pt idx="1171">
                <c:v>0</c:v>
              </c:pt>
              <c:pt idx="1172">
                <c:v>0</c:v>
              </c:pt>
              <c:pt idx="1173">
                <c:v>3.466493459326641</c:v>
              </c:pt>
              <c:pt idx="1174">
                <c:v>3.466493459326641</c:v>
              </c:pt>
              <c:pt idx="1175">
                <c:v>0</c:v>
              </c:pt>
              <c:pt idx="1176">
                <c:v>0</c:v>
              </c:pt>
              <c:pt idx="1177">
                <c:v>3.466493459326641</c:v>
              </c:pt>
              <c:pt idx="1178">
                <c:v>3.466493459326641</c:v>
              </c:pt>
              <c:pt idx="1179">
                <c:v>0</c:v>
              </c:pt>
              <c:pt idx="1180">
                <c:v>3.466493459326641</c:v>
              </c:pt>
              <c:pt idx="1181">
                <c:v>0</c:v>
              </c:pt>
              <c:pt idx="1184">
                <c:v>0</c:v>
              </c:pt>
              <c:pt idx="1185">
                <c:v>4.4240213729168669</c:v>
              </c:pt>
              <c:pt idx="1186">
                <c:v>4.4240213729168669</c:v>
              </c:pt>
              <c:pt idx="1187">
                <c:v>0</c:v>
              </c:pt>
              <c:pt idx="1188">
                <c:v>0</c:v>
              </c:pt>
              <c:pt idx="1189">
                <c:v>4.4240213729168669</c:v>
              </c:pt>
              <c:pt idx="1190">
                <c:v>4.4240213729168669</c:v>
              </c:pt>
              <c:pt idx="1191">
                <c:v>0</c:v>
              </c:pt>
              <c:pt idx="1192">
                <c:v>0</c:v>
              </c:pt>
              <c:pt idx="1193">
                <c:v>4.4240213729168669</c:v>
              </c:pt>
              <c:pt idx="1194">
                <c:v>4.4240213729168669</c:v>
              </c:pt>
              <c:pt idx="1195">
                <c:v>0</c:v>
              </c:pt>
              <c:pt idx="1196">
                <c:v>0</c:v>
              </c:pt>
              <c:pt idx="1197">
                <c:v>4.4240213729168669</c:v>
              </c:pt>
              <c:pt idx="1198">
                <c:v>4.4240213729168669</c:v>
              </c:pt>
              <c:pt idx="1199">
                <c:v>0</c:v>
              </c:pt>
              <c:pt idx="1200">
                <c:v>0</c:v>
              </c:pt>
              <c:pt idx="1201">
                <c:v>4.4240213729168669</c:v>
              </c:pt>
              <c:pt idx="1202">
                <c:v>4.4240213729168669</c:v>
              </c:pt>
              <c:pt idx="1203">
                <c:v>0</c:v>
              </c:pt>
              <c:pt idx="1204">
                <c:v>0</c:v>
              </c:pt>
              <c:pt idx="1205">
                <c:v>4.4240213729168669</c:v>
              </c:pt>
              <c:pt idx="1206">
                <c:v>4.4240213729168669</c:v>
              </c:pt>
              <c:pt idx="1207">
                <c:v>0</c:v>
              </c:pt>
              <c:pt idx="1208">
                <c:v>0</c:v>
              </c:pt>
              <c:pt idx="1209">
                <c:v>4.4240213729168669</c:v>
              </c:pt>
              <c:pt idx="1210">
                <c:v>4.4240213729168669</c:v>
              </c:pt>
              <c:pt idx="1211">
                <c:v>0</c:v>
              </c:pt>
              <c:pt idx="1212">
                <c:v>0</c:v>
              </c:pt>
              <c:pt idx="1213">
                <c:v>4.4240213729168669</c:v>
              </c:pt>
              <c:pt idx="1214">
                <c:v>4.4240213729168669</c:v>
              </c:pt>
              <c:pt idx="1215">
                <c:v>0</c:v>
              </c:pt>
              <c:pt idx="1216">
                <c:v>0</c:v>
              </c:pt>
              <c:pt idx="1217">
                <c:v>4.4240213729168669</c:v>
              </c:pt>
              <c:pt idx="1218">
                <c:v>4.4240213729168669</c:v>
              </c:pt>
              <c:pt idx="1219">
                <c:v>0</c:v>
              </c:pt>
              <c:pt idx="1220">
                <c:v>0</c:v>
              </c:pt>
              <c:pt idx="1221">
                <c:v>4.4240213729168669</c:v>
              </c:pt>
              <c:pt idx="1222">
                <c:v>4.4240213729168669</c:v>
              </c:pt>
              <c:pt idx="1223">
                <c:v>0</c:v>
              </c:pt>
              <c:pt idx="1224">
                <c:v>0</c:v>
              </c:pt>
              <c:pt idx="1225">
                <c:v>4.4240213729168669</c:v>
              </c:pt>
              <c:pt idx="1226">
                <c:v>4.4240213729168669</c:v>
              </c:pt>
              <c:pt idx="1227">
                <c:v>0</c:v>
              </c:pt>
              <c:pt idx="1228">
                <c:v>0</c:v>
              </c:pt>
              <c:pt idx="1229">
                <c:v>4.4240213729168669</c:v>
              </c:pt>
              <c:pt idx="1230">
                <c:v>4.4240213729168669</c:v>
              </c:pt>
              <c:pt idx="1231">
                <c:v>0</c:v>
              </c:pt>
              <c:pt idx="1232">
                <c:v>0</c:v>
              </c:pt>
              <c:pt idx="1233">
                <c:v>4.4240213729168669</c:v>
              </c:pt>
              <c:pt idx="1234">
                <c:v>4.4240213729168669</c:v>
              </c:pt>
              <c:pt idx="1235">
                <c:v>0</c:v>
              </c:pt>
              <c:pt idx="1236">
                <c:v>0</c:v>
              </c:pt>
              <c:pt idx="1237">
                <c:v>4.4240213729168669</c:v>
              </c:pt>
              <c:pt idx="1238">
                <c:v>4.4240213729168669</c:v>
              </c:pt>
              <c:pt idx="1239">
                <c:v>0</c:v>
              </c:pt>
              <c:pt idx="1240">
                <c:v>0</c:v>
              </c:pt>
              <c:pt idx="1241">
                <c:v>4.4240213729168669</c:v>
              </c:pt>
              <c:pt idx="1242">
                <c:v>4.4240213729168669</c:v>
              </c:pt>
              <c:pt idx="1243">
                <c:v>0</c:v>
              </c:pt>
              <c:pt idx="1244">
                <c:v>0</c:v>
              </c:pt>
              <c:pt idx="1245">
                <c:v>4.4240213729168669</c:v>
              </c:pt>
              <c:pt idx="1246">
                <c:v>4.4240213729168669</c:v>
              </c:pt>
              <c:pt idx="1247">
                <c:v>0</c:v>
              </c:pt>
              <c:pt idx="1248">
                <c:v>0</c:v>
              </c:pt>
              <c:pt idx="1249">
                <c:v>4.4240213729168669</c:v>
              </c:pt>
              <c:pt idx="1250">
                <c:v>4.4240213729168669</c:v>
              </c:pt>
              <c:pt idx="1251">
                <c:v>0</c:v>
              </c:pt>
              <c:pt idx="1252">
                <c:v>0</c:v>
              </c:pt>
              <c:pt idx="1253">
                <c:v>4.4240213729168669</c:v>
              </c:pt>
              <c:pt idx="1254">
                <c:v>4.4240213729168669</c:v>
              </c:pt>
              <c:pt idx="1255">
                <c:v>0</c:v>
              </c:pt>
              <c:pt idx="1256">
                <c:v>0</c:v>
              </c:pt>
              <c:pt idx="1257">
                <c:v>4.4240213729168669</c:v>
              </c:pt>
              <c:pt idx="1258">
                <c:v>4.4240213729168669</c:v>
              </c:pt>
              <c:pt idx="1259">
                <c:v>0</c:v>
              </c:pt>
              <c:pt idx="1260">
                <c:v>0</c:v>
              </c:pt>
              <c:pt idx="1261">
                <c:v>4.4240213729168669</c:v>
              </c:pt>
              <c:pt idx="1262">
                <c:v>4.4240213729168669</c:v>
              </c:pt>
              <c:pt idx="1263">
                <c:v>0</c:v>
              </c:pt>
              <c:pt idx="1264">
                <c:v>0</c:v>
              </c:pt>
              <c:pt idx="1265">
                <c:v>4.4240213729168669</c:v>
              </c:pt>
              <c:pt idx="1266">
                <c:v>4.4240213729168669</c:v>
              </c:pt>
              <c:pt idx="1267">
                <c:v>0</c:v>
              </c:pt>
              <c:pt idx="1268">
                <c:v>0</c:v>
              </c:pt>
              <c:pt idx="1269">
                <c:v>4.4240213729168669</c:v>
              </c:pt>
              <c:pt idx="1270">
                <c:v>4.4240213729168669</c:v>
              </c:pt>
              <c:pt idx="1271">
                <c:v>0</c:v>
              </c:pt>
              <c:pt idx="1272">
                <c:v>0</c:v>
              </c:pt>
              <c:pt idx="1273">
                <c:v>4.4240213729168669</c:v>
              </c:pt>
              <c:pt idx="1274">
                <c:v>4.4240213729168669</c:v>
              </c:pt>
              <c:pt idx="1275">
                <c:v>0</c:v>
              </c:pt>
              <c:pt idx="1276">
                <c:v>0</c:v>
              </c:pt>
              <c:pt idx="1277">
                <c:v>4.4240213729168669</c:v>
              </c:pt>
              <c:pt idx="1278">
                <c:v>4.4240213729168669</c:v>
              </c:pt>
              <c:pt idx="1279">
                <c:v>0</c:v>
              </c:pt>
              <c:pt idx="1280">
                <c:v>0</c:v>
              </c:pt>
              <c:pt idx="1281">
                <c:v>4.4240213729168669</c:v>
              </c:pt>
              <c:pt idx="1282">
                <c:v>4.4240213729168669</c:v>
              </c:pt>
              <c:pt idx="1283">
                <c:v>0</c:v>
              </c:pt>
              <c:pt idx="1284">
                <c:v>0</c:v>
              </c:pt>
              <c:pt idx="1285">
                <c:v>4.4240213729168669</c:v>
              </c:pt>
              <c:pt idx="1286">
                <c:v>4.4240213729168669</c:v>
              </c:pt>
              <c:pt idx="1287">
                <c:v>0</c:v>
              </c:pt>
              <c:pt idx="1288">
                <c:v>0</c:v>
              </c:pt>
              <c:pt idx="1289">
                <c:v>4.4240213729168669</c:v>
              </c:pt>
              <c:pt idx="1290">
                <c:v>4.4240213729168669</c:v>
              </c:pt>
              <c:pt idx="1291">
                <c:v>0</c:v>
              </c:pt>
              <c:pt idx="1292">
                <c:v>0</c:v>
              </c:pt>
              <c:pt idx="1293">
                <c:v>4.4240213729168669</c:v>
              </c:pt>
              <c:pt idx="1294">
                <c:v>4.4240213729168669</c:v>
              </c:pt>
              <c:pt idx="1295">
                <c:v>0</c:v>
              </c:pt>
              <c:pt idx="1296">
                <c:v>0</c:v>
              </c:pt>
              <c:pt idx="1297">
                <c:v>4.4240213729168669</c:v>
              </c:pt>
              <c:pt idx="1298">
                <c:v>4.4240213729168669</c:v>
              </c:pt>
              <c:pt idx="1299">
                <c:v>0</c:v>
              </c:pt>
              <c:pt idx="1300">
                <c:v>0</c:v>
              </c:pt>
              <c:pt idx="1301">
                <c:v>4.4240213729168669</c:v>
              </c:pt>
              <c:pt idx="1302">
                <c:v>4.4240213729168669</c:v>
              </c:pt>
              <c:pt idx="1303">
                <c:v>0</c:v>
              </c:pt>
              <c:pt idx="1304">
                <c:v>0</c:v>
              </c:pt>
              <c:pt idx="1305">
                <c:v>4.4240213729168669</c:v>
              </c:pt>
              <c:pt idx="1306">
                <c:v>4.4240213729168669</c:v>
              </c:pt>
              <c:pt idx="1307">
                <c:v>0</c:v>
              </c:pt>
              <c:pt idx="1308">
                <c:v>0</c:v>
              </c:pt>
              <c:pt idx="1309">
                <c:v>4.4240213729168669</c:v>
              </c:pt>
              <c:pt idx="1310">
                <c:v>4.4240213729168669</c:v>
              </c:pt>
              <c:pt idx="1311">
                <c:v>0</c:v>
              </c:pt>
              <c:pt idx="1312">
                <c:v>0</c:v>
              </c:pt>
              <c:pt idx="1313">
                <c:v>4.4240213729168669</c:v>
              </c:pt>
              <c:pt idx="1314">
                <c:v>4.4240213729168669</c:v>
              </c:pt>
              <c:pt idx="1315">
                <c:v>0</c:v>
              </c:pt>
              <c:pt idx="1316">
                <c:v>0</c:v>
              </c:pt>
              <c:pt idx="1317">
                <c:v>4.4240213729168669</c:v>
              </c:pt>
              <c:pt idx="1318">
                <c:v>4.4240213729168669</c:v>
              </c:pt>
              <c:pt idx="1319">
                <c:v>0</c:v>
              </c:pt>
              <c:pt idx="1320">
                <c:v>0</c:v>
              </c:pt>
              <c:pt idx="1321">
                <c:v>4.4240213729168669</c:v>
              </c:pt>
              <c:pt idx="1322">
                <c:v>4.4240213729168669</c:v>
              </c:pt>
              <c:pt idx="1323">
                <c:v>0</c:v>
              </c:pt>
              <c:pt idx="1324">
                <c:v>0</c:v>
              </c:pt>
              <c:pt idx="1325">
                <c:v>4.4240213729168669</c:v>
              </c:pt>
              <c:pt idx="1326">
                <c:v>4.4240213729168669</c:v>
              </c:pt>
              <c:pt idx="1327">
                <c:v>0</c:v>
              </c:pt>
              <c:pt idx="1328">
                <c:v>4.4240213729168669</c:v>
              </c:pt>
              <c:pt idx="1329">
                <c:v>0</c:v>
              </c:pt>
              <c:pt idx="1332">
                <c:v>0</c:v>
              </c:pt>
              <c:pt idx="1333">
                <c:v>4.6906747159419933</c:v>
              </c:pt>
              <c:pt idx="1334">
                <c:v>4.6906747159419933</c:v>
              </c:pt>
              <c:pt idx="1335">
                <c:v>0</c:v>
              </c:pt>
              <c:pt idx="1336">
                <c:v>0</c:v>
              </c:pt>
              <c:pt idx="1337">
                <c:v>4.6906747159419933</c:v>
              </c:pt>
              <c:pt idx="1338">
                <c:v>4.6906747159419933</c:v>
              </c:pt>
              <c:pt idx="1339">
                <c:v>0</c:v>
              </c:pt>
              <c:pt idx="1340">
                <c:v>0</c:v>
              </c:pt>
              <c:pt idx="1341">
                <c:v>4.6906747159419933</c:v>
              </c:pt>
              <c:pt idx="1342">
                <c:v>4.6906747159419933</c:v>
              </c:pt>
              <c:pt idx="1343">
                <c:v>0</c:v>
              </c:pt>
              <c:pt idx="1344">
                <c:v>0</c:v>
              </c:pt>
              <c:pt idx="1345">
                <c:v>4.6906747159419933</c:v>
              </c:pt>
              <c:pt idx="1346">
                <c:v>4.6906747159419933</c:v>
              </c:pt>
              <c:pt idx="1347">
                <c:v>0</c:v>
              </c:pt>
              <c:pt idx="1348">
                <c:v>0</c:v>
              </c:pt>
              <c:pt idx="1349">
                <c:v>4.6906747159419933</c:v>
              </c:pt>
              <c:pt idx="1350">
                <c:v>4.6906747159419933</c:v>
              </c:pt>
              <c:pt idx="1351">
                <c:v>0</c:v>
              </c:pt>
              <c:pt idx="1352">
                <c:v>0</c:v>
              </c:pt>
              <c:pt idx="1353">
                <c:v>4.6906747159419933</c:v>
              </c:pt>
              <c:pt idx="1354">
                <c:v>4.6906747159419933</c:v>
              </c:pt>
              <c:pt idx="1355">
                <c:v>0</c:v>
              </c:pt>
              <c:pt idx="1356">
                <c:v>0</c:v>
              </c:pt>
              <c:pt idx="1357">
                <c:v>4.6906747159419933</c:v>
              </c:pt>
              <c:pt idx="1358">
                <c:v>4.6906747159419933</c:v>
              </c:pt>
              <c:pt idx="1359">
                <c:v>0</c:v>
              </c:pt>
              <c:pt idx="1360">
                <c:v>0</c:v>
              </c:pt>
              <c:pt idx="1361">
                <c:v>4.6906747159419933</c:v>
              </c:pt>
              <c:pt idx="1362">
                <c:v>4.6906747159419933</c:v>
              </c:pt>
              <c:pt idx="1363">
                <c:v>0</c:v>
              </c:pt>
              <c:pt idx="1364">
                <c:v>0</c:v>
              </c:pt>
              <c:pt idx="1365">
                <c:v>4.6906747159419933</c:v>
              </c:pt>
              <c:pt idx="1366">
                <c:v>4.6906747159419933</c:v>
              </c:pt>
              <c:pt idx="1367">
                <c:v>0</c:v>
              </c:pt>
              <c:pt idx="1368">
                <c:v>0</c:v>
              </c:pt>
              <c:pt idx="1369">
                <c:v>4.6906747159419933</c:v>
              </c:pt>
              <c:pt idx="1370">
                <c:v>4.6906747159419933</c:v>
              </c:pt>
              <c:pt idx="1371">
                <c:v>0</c:v>
              </c:pt>
              <c:pt idx="1372">
                <c:v>0</c:v>
              </c:pt>
              <c:pt idx="1373">
                <c:v>4.6906747159419933</c:v>
              </c:pt>
              <c:pt idx="1374">
                <c:v>4.6906747159419933</c:v>
              </c:pt>
              <c:pt idx="1375">
                <c:v>0</c:v>
              </c:pt>
              <c:pt idx="1376">
                <c:v>0</c:v>
              </c:pt>
              <c:pt idx="1377">
                <c:v>4.6906747159419933</c:v>
              </c:pt>
              <c:pt idx="1378">
                <c:v>4.6906747159419933</c:v>
              </c:pt>
              <c:pt idx="1379">
                <c:v>0</c:v>
              </c:pt>
              <c:pt idx="1380">
                <c:v>0</c:v>
              </c:pt>
              <c:pt idx="1381">
                <c:v>4.6906747159419933</c:v>
              </c:pt>
              <c:pt idx="1382">
                <c:v>4.6906747159419933</c:v>
              </c:pt>
              <c:pt idx="1383">
                <c:v>0</c:v>
              </c:pt>
              <c:pt idx="1384">
                <c:v>0</c:v>
              </c:pt>
              <c:pt idx="1385">
                <c:v>4.6906747159419933</c:v>
              </c:pt>
              <c:pt idx="1386">
                <c:v>4.6906747159419933</c:v>
              </c:pt>
              <c:pt idx="1387">
                <c:v>0</c:v>
              </c:pt>
              <c:pt idx="1388">
                <c:v>0</c:v>
              </c:pt>
              <c:pt idx="1389">
                <c:v>4.6906747159419933</c:v>
              </c:pt>
              <c:pt idx="1390">
                <c:v>4.6906747159419933</c:v>
              </c:pt>
              <c:pt idx="1391">
                <c:v>0</c:v>
              </c:pt>
              <c:pt idx="1392">
                <c:v>0</c:v>
              </c:pt>
              <c:pt idx="1393">
                <c:v>4.6906747159419933</c:v>
              </c:pt>
              <c:pt idx="1394">
                <c:v>4.6906747159419933</c:v>
              </c:pt>
              <c:pt idx="1395">
                <c:v>0</c:v>
              </c:pt>
              <c:pt idx="1396">
                <c:v>0</c:v>
              </c:pt>
              <c:pt idx="1397">
                <c:v>4.6906747159419933</c:v>
              </c:pt>
              <c:pt idx="1398">
                <c:v>4.6906747159419933</c:v>
              </c:pt>
              <c:pt idx="1399">
                <c:v>0</c:v>
              </c:pt>
              <c:pt idx="1400">
                <c:v>0</c:v>
              </c:pt>
              <c:pt idx="1401">
                <c:v>4.6906747159419933</c:v>
              </c:pt>
              <c:pt idx="1402">
                <c:v>4.6906747159419933</c:v>
              </c:pt>
              <c:pt idx="1403">
                <c:v>0</c:v>
              </c:pt>
              <c:pt idx="1404">
                <c:v>0</c:v>
              </c:pt>
              <c:pt idx="1405">
                <c:v>4.6906747159419933</c:v>
              </c:pt>
              <c:pt idx="1406">
                <c:v>4.6906747159419933</c:v>
              </c:pt>
              <c:pt idx="1407">
                <c:v>0</c:v>
              </c:pt>
              <c:pt idx="1408">
                <c:v>0</c:v>
              </c:pt>
              <c:pt idx="1409">
                <c:v>4.6906747159419933</c:v>
              </c:pt>
              <c:pt idx="1410">
                <c:v>4.6906747159419933</c:v>
              </c:pt>
              <c:pt idx="1411">
                <c:v>0</c:v>
              </c:pt>
              <c:pt idx="1412">
                <c:v>0</c:v>
              </c:pt>
              <c:pt idx="1413">
                <c:v>4.6906747159419933</c:v>
              </c:pt>
              <c:pt idx="1414">
                <c:v>4.6906747159419933</c:v>
              </c:pt>
              <c:pt idx="1415">
                <c:v>0</c:v>
              </c:pt>
              <c:pt idx="1416">
                <c:v>0</c:v>
              </c:pt>
              <c:pt idx="1417">
                <c:v>4.6906747159419933</c:v>
              </c:pt>
              <c:pt idx="1418">
                <c:v>4.6906747159419933</c:v>
              </c:pt>
              <c:pt idx="1419">
                <c:v>0</c:v>
              </c:pt>
              <c:pt idx="1420">
                <c:v>0</c:v>
              </c:pt>
              <c:pt idx="1421">
                <c:v>4.6906747159419933</c:v>
              </c:pt>
              <c:pt idx="1422">
                <c:v>4.6906747159419933</c:v>
              </c:pt>
              <c:pt idx="1423">
                <c:v>0</c:v>
              </c:pt>
              <c:pt idx="1424">
                <c:v>0</c:v>
              </c:pt>
              <c:pt idx="1425">
                <c:v>4.6906747159419933</c:v>
              </c:pt>
              <c:pt idx="1426">
                <c:v>4.6906747159419933</c:v>
              </c:pt>
              <c:pt idx="1427">
                <c:v>0</c:v>
              </c:pt>
              <c:pt idx="1428">
                <c:v>0</c:v>
              </c:pt>
              <c:pt idx="1429">
                <c:v>4.6906747159419933</c:v>
              </c:pt>
              <c:pt idx="1430">
                <c:v>4.6906747159419933</c:v>
              </c:pt>
              <c:pt idx="1431">
                <c:v>0</c:v>
              </c:pt>
              <c:pt idx="1432">
                <c:v>0</c:v>
              </c:pt>
              <c:pt idx="1433">
                <c:v>4.6906747159419933</c:v>
              </c:pt>
              <c:pt idx="1434">
                <c:v>4.6906747159419933</c:v>
              </c:pt>
              <c:pt idx="1435">
                <c:v>0</c:v>
              </c:pt>
              <c:pt idx="1436">
                <c:v>0</c:v>
              </c:pt>
              <c:pt idx="1437">
                <c:v>4.6906747159419933</c:v>
              </c:pt>
              <c:pt idx="1438">
                <c:v>4.6906747159419933</c:v>
              </c:pt>
              <c:pt idx="1439">
                <c:v>0</c:v>
              </c:pt>
              <c:pt idx="1440">
                <c:v>0</c:v>
              </c:pt>
              <c:pt idx="1441">
                <c:v>4.6906747159419933</c:v>
              </c:pt>
              <c:pt idx="1442">
                <c:v>4.6906747159419933</c:v>
              </c:pt>
              <c:pt idx="1443">
                <c:v>0</c:v>
              </c:pt>
              <c:pt idx="1444">
                <c:v>0</c:v>
              </c:pt>
              <c:pt idx="1445">
                <c:v>4.6906747159419933</c:v>
              </c:pt>
              <c:pt idx="1446">
                <c:v>4.6906747159419933</c:v>
              </c:pt>
              <c:pt idx="1447">
                <c:v>0</c:v>
              </c:pt>
              <c:pt idx="1448">
                <c:v>0</c:v>
              </c:pt>
              <c:pt idx="1449">
                <c:v>4.6906747159419933</c:v>
              </c:pt>
              <c:pt idx="1450">
                <c:v>4.6906747159419933</c:v>
              </c:pt>
              <c:pt idx="1451">
                <c:v>0</c:v>
              </c:pt>
              <c:pt idx="1452">
                <c:v>0</c:v>
              </c:pt>
              <c:pt idx="1453">
                <c:v>4.6906747159419933</c:v>
              </c:pt>
              <c:pt idx="1454">
                <c:v>4.6906747159419933</c:v>
              </c:pt>
              <c:pt idx="1455">
                <c:v>0</c:v>
              </c:pt>
              <c:pt idx="1456">
                <c:v>0</c:v>
              </c:pt>
              <c:pt idx="1457">
                <c:v>4.6906747159419933</c:v>
              </c:pt>
              <c:pt idx="1458">
                <c:v>4.6906747159419933</c:v>
              </c:pt>
              <c:pt idx="1459">
                <c:v>0</c:v>
              </c:pt>
              <c:pt idx="1460">
                <c:v>0</c:v>
              </c:pt>
              <c:pt idx="1461">
                <c:v>4.6906747159419933</c:v>
              </c:pt>
              <c:pt idx="1462">
                <c:v>4.6906747159419933</c:v>
              </c:pt>
              <c:pt idx="1463">
                <c:v>0</c:v>
              </c:pt>
              <c:pt idx="1464">
                <c:v>0</c:v>
              </c:pt>
              <c:pt idx="1465">
                <c:v>4.6906747159419933</c:v>
              </c:pt>
              <c:pt idx="1466">
                <c:v>4.6906747159419933</c:v>
              </c:pt>
              <c:pt idx="1467">
                <c:v>0</c:v>
              </c:pt>
              <c:pt idx="1468">
                <c:v>0</c:v>
              </c:pt>
              <c:pt idx="1469">
                <c:v>4.6906747159419933</c:v>
              </c:pt>
              <c:pt idx="1470">
                <c:v>4.6906747159419933</c:v>
              </c:pt>
              <c:pt idx="1471">
                <c:v>0</c:v>
              </c:pt>
              <c:pt idx="1472">
                <c:v>0</c:v>
              </c:pt>
              <c:pt idx="1473">
                <c:v>4.6906747159419933</c:v>
              </c:pt>
              <c:pt idx="1474">
                <c:v>4.6906747159419933</c:v>
              </c:pt>
              <c:pt idx="1475">
                <c:v>0</c:v>
              </c:pt>
              <c:pt idx="1476">
                <c:v>4.6906747159419933</c:v>
              </c:pt>
              <c:pt idx="1477">
                <c:v>0</c:v>
              </c:pt>
              <c:pt idx="1480">
                <c:v>0</c:v>
              </c:pt>
              <c:pt idx="1481">
                <c:v>6.2905947740927513</c:v>
              </c:pt>
              <c:pt idx="1482">
                <c:v>6.2905947740927513</c:v>
              </c:pt>
              <c:pt idx="1483">
                <c:v>0</c:v>
              </c:pt>
              <c:pt idx="1484">
                <c:v>0</c:v>
              </c:pt>
              <c:pt idx="1485">
                <c:v>6.2905947740927513</c:v>
              </c:pt>
              <c:pt idx="1486">
                <c:v>6.2905947740927513</c:v>
              </c:pt>
              <c:pt idx="1487">
                <c:v>0</c:v>
              </c:pt>
              <c:pt idx="1488">
                <c:v>0</c:v>
              </c:pt>
              <c:pt idx="1489">
                <c:v>6.2905947740927513</c:v>
              </c:pt>
              <c:pt idx="1490">
                <c:v>6.2905947740927513</c:v>
              </c:pt>
              <c:pt idx="1491">
                <c:v>0</c:v>
              </c:pt>
              <c:pt idx="1492">
                <c:v>0</c:v>
              </c:pt>
              <c:pt idx="1493">
                <c:v>6.2905947740927513</c:v>
              </c:pt>
              <c:pt idx="1494">
                <c:v>6.2905947740927513</c:v>
              </c:pt>
              <c:pt idx="1495">
                <c:v>0</c:v>
              </c:pt>
              <c:pt idx="1496">
                <c:v>0</c:v>
              </c:pt>
              <c:pt idx="1497">
                <c:v>6.2905947740927513</c:v>
              </c:pt>
              <c:pt idx="1498">
                <c:v>6.2905947740927513</c:v>
              </c:pt>
              <c:pt idx="1499">
                <c:v>0</c:v>
              </c:pt>
              <c:pt idx="1500">
                <c:v>0</c:v>
              </c:pt>
              <c:pt idx="1501">
                <c:v>6.2905947740927513</c:v>
              </c:pt>
              <c:pt idx="1502">
                <c:v>6.2905947740927513</c:v>
              </c:pt>
              <c:pt idx="1503">
                <c:v>0</c:v>
              </c:pt>
              <c:pt idx="1504">
                <c:v>0</c:v>
              </c:pt>
              <c:pt idx="1505">
                <c:v>6.2905947740927513</c:v>
              </c:pt>
              <c:pt idx="1506">
                <c:v>6.2905947740927513</c:v>
              </c:pt>
              <c:pt idx="1507">
                <c:v>0</c:v>
              </c:pt>
              <c:pt idx="1508">
                <c:v>0</c:v>
              </c:pt>
              <c:pt idx="1509">
                <c:v>6.2905947740927513</c:v>
              </c:pt>
              <c:pt idx="1510">
                <c:v>6.2905947740927513</c:v>
              </c:pt>
              <c:pt idx="1511">
                <c:v>0</c:v>
              </c:pt>
              <c:pt idx="1512">
                <c:v>0</c:v>
              </c:pt>
              <c:pt idx="1513">
                <c:v>6.2905947740927513</c:v>
              </c:pt>
              <c:pt idx="1514">
                <c:v>6.2905947740927513</c:v>
              </c:pt>
              <c:pt idx="1515">
                <c:v>0</c:v>
              </c:pt>
              <c:pt idx="1516">
                <c:v>0</c:v>
              </c:pt>
              <c:pt idx="1517">
                <c:v>6.2905947740927513</c:v>
              </c:pt>
              <c:pt idx="1518">
                <c:v>6.2905947740927513</c:v>
              </c:pt>
              <c:pt idx="1519">
                <c:v>0</c:v>
              </c:pt>
              <c:pt idx="1520">
                <c:v>0</c:v>
              </c:pt>
              <c:pt idx="1521">
                <c:v>6.2905947740927513</c:v>
              </c:pt>
              <c:pt idx="1522">
                <c:v>6.2905947740927513</c:v>
              </c:pt>
              <c:pt idx="1523">
                <c:v>0</c:v>
              </c:pt>
              <c:pt idx="1524">
                <c:v>0</c:v>
              </c:pt>
              <c:pt idx="1525">
                <c:v>6.2905947740927513</c:v>
              </c:pt>
              <c:pt idx="1526">
                <c:v>6.2905947740927513</c:v>
              </c:pt>
              <c:pt idx="1527">
                <c:v>0</c:v>
              </c:pt>
              <c:pt idx="1528">
                <c:v>0</c:v>
              </c:pt>
              <c:pt idx="1529">
                <c:v>6.2905947740927513</c:v>
              </c:pt>
              <c:pt idx="1530">
                <c:v>6.2905947740927513</c:v>
              </c:pt>
              <c:pt idx="1531">
                <c:v>0</c:v>
              </c:pt>
              <c:pt idx="1532">
                <c:v>0</c:v>
              </c:pt>
              <c:pt idx="1533">
                <c:v>6.2905947740927513</c:v>
              </c:pt>
              <c:pt idx="1534">
                <c:v>6.2905947740927513</c:v>
              </c:pt>
              <c:pt idx="1535">
                <c:v>0</c:v>
              </c:pt>
              <c:pt idx="1536">
                <c:v>0</c:v>
              </c:pt>
              <c:pt idx="1537">
                <c:v>6.2905947740927513</c:v>
              </c:pt>
              <c:pt idx="1538">
                <c:v>6.2905947740927513</c:v>
              </c:pt>
              <c:pt idx="1539">
                <c:v>0</c:v>
              </c:pt>
              <c:pt idx="1540">
                <c:v>0</c:v>
              </c:pt>
              <c:pt idx="1541">
                <c:v>6.2905947740927513</c:v>
              </c:pt>
              <c:pt idx="1542">
                <c:v>6.2905947740927513</c:v>
              </c:pt>
              <c:pt idx="1543">
                <c:v>0</c:v>
              </c:pt>
              <c:pt idx="1544">
                <c:v>0</c:v>
              </c:pt>
              <c:pt idx="1545">
                <c:v>6.2905947740927513</c:v>
              </c:pt>
              <c:pt idx="1546">
                <c:v>6.2905947740927513</c:v>
              </c:pt>
              <c:pt idx="1547">
                <c:v>0</c:v>
              </c:pt>
              <c:pt idx="1548">
                <c:v>0</c:v>
              </c:pt>
              <c:pt idx="1549">
                <c:v>6.2905947740927513</c:v>
              </c:pt>
              <c:pt idx="1550">
                <c:v>6.2905947740927513</c:v>
              </c:pt>
              <c:pt idx="1551">
                <c:v>0</c:v>
              </c:pt>
              <c:pt idx="1552">
                <c:v>0</c:v>
              </c:pt>
              <c:pt idx="1553">
                <c:v>6.2905947740927513</c:v>
              </c:pt>
              <c:pt idx="1554">
                <c:v>6.2905947740927513</c:v>
              </c:pt>
              <c:pt idx="1555">
                <c:v>0</c:v>
              </c:pt>
              <c:pt idx="1556">
                <c:v>0</c:v>
              </c:pt>
              <c:pt idx="1557">
                <c:v>6.2905947740927513</c:v>
              </c:pt>
              <c:pt idx="1558">
                <c:v>6.2905947740927513</c:v>
              </c:pt>
              <c:pt idx="1559">
                <c:v>0</c:v>
              </c:pt>
              <c:pt idx="1560">
                <c:v>0</c:v>
              </c:pt>
              <c:pt idx="1561">
                <c:v>6.2905947740927513</c:v>
              </c:pt>
              <c:pt idx="1562">
                <c:v>6.2905947740927513</c:v>
              </c:pt>
              <c:pt idx="1563">
                <c:v>0</c:v>
              </c:pt>
              <c:pt idx="1564">
                <c:v>0</c:v>
              </c:pt>
              <c:pt idx="1565">
                <c:v>6.2905947740927513</c:v>
              </c:pt>
              <c:pt idx="1566">
                <c:v>6.2905947740927513</c:v>
              </c:pt>
              <c:pt idx="1567">
                <c:v>0</c:v>
              </c:pt>
              <c:pt idx="1568">
                <c:v>0</c:v>
              </c:pt>
              <c:pt idx="1569">
                <c:v>6.2905947740927513</c:v>
              </c:pt>
              <c:pt idx="1570">
                <c:v>6.2905947740927513</c:v>
              </c:pt>
              <c:pt idx="1571">
                <c:v>0</c:v>
              </c:pt>
              <c:pt idx="1572">
                <c:v>0</c:v>
              </c:pt>
              <c:pt idx="1573">
                <c:v>6.2905947740927513</c:v>
              </c:pt>
              <c:pt idx="1574">
                <c:v>6.2905947740927513</c:v>
              </c:pt>
              <c:pt idx="1575">
                <c:v>0</c:v>
              </c:pt>
              <c:pt idx="1576">
                <c:v>0</c:v>
              </c:pt>
              <c:pt idx="1577">
                <c:v>6.2905947740927513</c:v>
              </c:pt>
              <c:pt idx="1578">
                <c:v>6.2905947740927513</c:v>
              </c:pt>
              <c:pt idx="1579">
                <c:v>0</c:v>
              </c:pt>
              <c:pt idx="1580">
                <c:v>0</c:v>
              </c:pt>
              <c:pt idx="1581">
                <c:v>6.2905947740927513</c:v>
              </c:pt>
              <c:pt idx="1582">
                <c:v>6.2905947740927513</c:v>
              </c:pt>
              <c:pt idx="1583">
                <c:v>0</c:v>
              </c:pt>
              <c:pt idx="1584">
                <c:v>0</c:v>
              </c:pt>
              <c:pt idx="1585">
                <c:v>6.2905947740927513</c:v>
              </c:pt>
              <c:pt idx="1586">
                <c:v>6.2905947740927513</c:v>
              </c:pt>
              <c:pt idx="1587">
                <c:v>0</c:v>
              </c:pt>
              <c:pt idx="1588">
                <c:v>0</c:v>
              </c:pt>
              <c:pt idx="1589">
                <c:v>6.2905947740927513</c:v>
              </c:pt>
              <c:pt idx="1590">
                <c:v>6.2905947740927513</c:v>
              </c:pt>
              <c:pt idx="1591">
                <c:v>0</c:v>
              </c:pt>
              <c:pt idx="1592">
                <c:v>0</c:v>
              </c:pt>
              <c:pt idx="1593">
                <c:v>6.2905947740927513</c:v>
              </c:pt>
              <c:pt idx="1594">
                <c:v>6.2905947740927513</c:v>
              </c:pt>
              <c:pt idx="1595">
                <c:v>0</c:v>
              </c:pt>
              <c:pt idx="1596">
                <c:v>0</c:v>
              </c:pt>
              <c:pt idx="1597">
                <c:v>6.2905947740927513</c:v>
              </c:pt>
              <c:pt idx="1598">
                <c:v>6.2905947740927513</c:v>
              </c:pt>
              <c:pt idx="1599">
                <c:v>0</c:v>
              </c:pt>
              <c:pt idx="1600">
                <c:v>0</c:v>
              </c:pt>
              <c:pt idx="1601">
                <c:v>6.2905947740927513</c:v>
              </c:pt>
              <c:pt idx="1602">
                <c:v>6.2905947740927513</c:v>
              </c:pt>
              <c:pt idx="1603">
                <c:v>0</c:v>
              </c:pt>
              <c:pt idx="1604">
                <c:v>0</c:v>
              </c:pt>
              <c:pt idx="1605">
                <c:v>6.2905947740927513</c:v>
              </c:pt>
              <c:pt idx="1606">
                <c:v>6.2905947740927513</c:v>
              </c:pt>
              <c:pt idx="1607">
                <c:v>0</c:v>
              </c:pt>
              <c:pt idx="1608">
                <c:v>0</c:v>
              </c:pt>
              <c:pt idx="1609">
                <c:v>6.2905947740927513</c:v>
              </c:pt>
              <c:pt idx="1610">
                <c:v>6.2905947740927513</c:v>
              </c:pt>
              <c:pt idx="1611">
                <c:v>0</c:v>
              </c:pt>
              <c:pt idx="1612">
                <c:v>0</c:v>
              </c:pt>
              <c:pt idx="1613">
                <c:v>6.2905947740927513</c:v>
              </c:pt>
              <c:pt idx="1614">
                <c:v>6.2905947740927513</c:v>
              </c:pt>
              <c:pt idx="1615">
                <c:v>0</c:v>
              </c:pt>
              <c:pt idx="1616">
                <c:v>0</c:v>
              </c:pt>
              <c:pt idx="1617">
                <c:v>6.2905947740927513</c:v>
              </c:pt>
              <c:pt idx="1618">
                <c:v>6.2905947740927513</c:v>
              </c:pt>
              <c:pt idx="1619">
                <c:v>0</c:v>
              </c:pt>
              <c:pt idx="1620">
                <c:v>0</c:v>
              </c:pt>
              <c:pt idx="1621">
                <c:v>6.2905947740927513</c:v>
              </c:pt>
              <c:pt idx="1622">
                <c:v>6.2905947740927513</c:v>
              </c:pt>
              <c:pt idx="1623">
                <c:v>0</c:v>
              </c:pt>
              <c:pt idx="1624">
                <c:v>6.2905947740927513</c:v>
              </c:pt>
              <c:pt idx="1625">
                <c:v>0</c:v>
              </c:pt>
              <c:pt idx="1628">
                <c:v>0</c:v>
              </c:pt>
              <c:pt idx="1629">
                <c:v>7.163278442174982</c:v>
              </c:pt>
              <c:pt idx="1630">
                <c:v>7.163278442174982</c:v>
              </c:pt>
              <c:pt idx="1631">
                <c:v>0</c:v>
              </c:pt>
              <c:pt idx="1632">
                <c:v>0</c:v>
              </c:pt>
              <c:pt idx="1633">
                <c:v>7.163278442174982</c:v>
              </c:pt>
              <c:pt idx="1634">
                <c:v>7.163278442174982</c:v>
              </c:pt>
              <c:pt idx="1635">
                <c:v>0</c:v>
              </c:pt>
              <c:pt idx="1636">
                <c:v>0</c:v>
              </c:pt>
              <c:pt idx="1637">
                <c:v>7.163278442174982</c:v>
              </c:pt>
              <c:pt idx="1638">
                <c:v>7.163278442174982</c:v>
              </c:pt>
              <c:pt idx="1639">
                <c:v>0</c:v>
              </c:pt>
              <c:pt idx="1640">
                <c:v>0</c:v>
              </c:pt>
              <c:pt idx="1641">
                <c:v>7.163278442174982</c:v>
              </c:pt>
              <c:pt idx="1642">
                <c:v>7.163278442174982</c:v>
              </c:pt>
              <c:pt idx="1643">
                <c:v>0</c:v>
              </c:pt>
              <c:pt idx="1644">
                <c:v>0</c:v>
              </c:pt>
              <c:pt idx="1645">
                <c:v>7.163278442174982</c:v>
              </c:pt>
              <c:pt idx="1646">
                <c:v>7.163278442174982</c:v>
              </c:pt>
              <c:pt idx="1647">
                <c:v>0</c:v>
              </c:pt>
              <c:pt idx="1648">
                <c:v>0</c:v>
              </c:pt>
              <c:pt idx="1649">
                <c:v>7.163278442174982</c:v>
              </c:pt>
              <c:pt idx="1650">
                <c:v>7.163278442174982</c:v>
              </c:pt>
              <c:pt idx="1651">
                <c:v>0</c:v>
              </c:pt>
              <c:pt idx="1652">
                <c:v>0</c:v>
              </c:pt>
              <c:pt idx="1653">
                <c:v>7.163278442174982</c:v>
              </c:pt>
              <c:pt idx="1654">
                <c:v>7.163278442174982</c:v>
              </c:pt>
              <c:pt idx="1655">
                <c:v>0</c:v>
              </c:pt>
              <c:pt idx="1656">
                <c:v>0</c:v>
              </c:pt>
              <c:pt idx="1657">
                <c:v>7.163278442174982</c:v>
              </c:pt>
              <c:pt idx="1658">
                <c:v>7.163278442174982</c:v>
              </c:pt>
              <c:pt idx="1659">
                <c:v>0</c:v>
              </c:pt>
              <c:pt idx="1660">
                <c:v>0</c:v>
              </c:pt>
              <c:pt idx="1661">
                <c:v>7.163278442174982</c:v>
              </c:pt>
              <c:pt idx="1662">
                <c:v>7.163278442174982</c:v>
              </c:pt>
              <c:pt idx="1663">
                <c:v>0</c:v>
              </c:pt>
              <c:pt idx="1664">
                <c:v>0</c:v>
              </c:pt>
              <c:pt idx="1665">
                <c:v>7.163278442174982</c:v>
              </c:pt>
              <c:pt idx="1666">
                <c:v>7.163278442174982</c:v>
              </c:pt>
              <c:pt idx="1667">
                <c:v>0</c:v>
              </c:pt>
              <c:pt idx="1668">
                <c:v>0</c:v>
              </c:pt>
              <c:pt idx="1669">
                <c:v>7.163278442174982</c:v>
              </c:pt>
              <c:pt idx="1670">
                <c:v>7.163278442174982</c:v>
              </c:pt>
              <c:pt idx="1671">
                <c:v>0</c:v>
              </c:pt>
              <c:pt idx="1672">
                <c:v>0</c:v>
              </c:pt>
              <c:pt idx="1673">
                <c:v>7.163278442174982</c:v>
              </c:pt>
              <c:pt idx="1674">
                <c:v>7.163278442174982</c:v>
              </c:pt>
              <c:pt idx="1675">
                <c:v>0</c:v>
              </c:pt>
              <c:pt idx="1676">
                <c:v>0</c:v>
              </c:pt>
              <c:pt idx="1677">
                <c:v>7.163278442174982</c:v>
              </c:pt>
              <c:pt idx="1678">
                <c:v>7.163278442174982</c:v>
              </c:pt>
              <c:pt idx="1679">
                <c:v>0</c:v>
              </c:pt>
              <c:pt idx="1680">
                <c:v>0</c:v>
              </c:pt>
              <c:pt idx="1681">
                <c:v>7.163278442174982</c:v>
              </c:pt>
              <c:pt idx="1682">
                <c:v>7.163278442174982</c:v>
              </c:pt>
              <c:pt idx="1683">
                <c:v>0</c:v>
              </c:pt>
              <c:pt idx="1684">
                <c:v>0</c:v>
              </c:pt>
              <c:pt idx="1685">
                <c:v>7.163278442174982</c:v>
              </c:pt>
              <c:pt idx="1686">
                <c:v>7.163278442174982</c:v>
              </c:pt>
              <c:pt idx="1687">
                <c:v>0</c:v>
              </c:pt>
              <c:pt idx="1688">
                <c:v>0</c:v>
              </c:pt>
              <c:pt idx="1689">
                <c:v>7.163278442174982</c:v>
              </c:pt>
              <c:pt idx="1690">
                <c:v>7.163278442174982</c:v>
              </c:pt>
              <c:pt idx="1691">
                <c:v>0</c:v>
              </c:pt>
              <c:pt idx="1692">
                <c:v>0</c:v>
              </c:pt>
              <c:pt idx="1693">
                <c:v>7.163278442174982</c:v>
              </c:pt>
              <c:pt idx="1694">
                <c:v>7.163278442174982</c:v>
              </c:pt>
              <c:pt idx="1695">
                <c:v>0</c:v>
              </c:pt>
              <c:pt idx="1696">
                <c:v>0</c:v>
              </c:pt>
              <c:pt idx="1697">
                <c:v>7.163278442174982</c:v>
              </c:pt>
              <c:pt idx="1698">
                <c:v>7.163278442174982</c:v>
              </c:pt>
              <c:pt idx="1699">
                <c:v>0</c:v>
              </c:pt>
              <c:pt idx="1700">
                <c:v>0</c:v>
              </c:pt>
              <c:pt idx="1701">
                <c:v>7.163278442174982</c:v>
              </c:pt>
              <c:pt idx="1702">
                <c:v>7.163278442174982</c:v>
              </c:pt>
              <c:pt idx="1703">
                <c:v>0</c:v>
              </c:pt>
              <c:pt idx="1704">
                <c:v>0</c:v>
              </c:pt>
              <c:pt idx="1705">
                <c:v>7.163278442174982</c:v>
              </c:pt>
              <c:pt idx="1706">
                <c:v>7.163278442174982</c:v>
              </c:pt>
              <c:pt idx="1707">
                <c:v>0</c:v>
              </c:pt>
              <c:pt idx="1708">
                <c:v>0</c:v>
              </c:pt>
              <c:pt idx="1709">
                <c:v>7.163278442174982</c:v>
              </c:pt>
              <c:pt idx="1710">
                <c:v>7.163278442174982</c:v>
              </c:pt>
              <c:pt idx="1711">
                <c:v>0</c:v>
              </c:pt>
              <c:pt idx="1712">
                <c:v>0</c:v>
              </c:pt>
              <c:pt idx="1713">
                <c:v>7.163278442174982</c:v>
              </c:pt>
              <c:pt idx="1714">
                <c:v>7.163278442174982</c:v>
              </c:pt>
              <c:pt idx="1715">
                <c:v>0</c:v>
              </c:pt>
              <c:pt idx="1716">
                <c:v>0</c:v>
              </c:pt>
              <c:pt idx="1717">
                <c:v>7.163278442174982</c:v>
              </c:pt>
              <c:pt idx="1718">
                <c:v>7.163278442174982</c:v>
              </c:pt>
              <c:pt idx="1719">
                <c:v>0</c:v>
              </c:pt>
              <c:pt idx="1720">
                <c:v>0</c:v>
              </c:pt>
              <c:pt idx="1721">
                <c:v>7.163278442174982</c:v>
              </c:pt>
              <c:pt idx="1722">
                <c:v>7.163278442174982</c:v>
              </c:pt>
              <c:pt idx="1723">
                <c:v>0</c:v>
              </c:pt>
              <c:pt idx="1724">
                <c:v>0</c:v>
              </c:pt>
              <c:pt idx="1725">
                <c:v>7.163278442174982</c:v>
              </c:pt>
              <c:pt idx="1726">
                <c:v>7.163278442174982</c:v>
              </c:pt>
              <c:pt idx="1727">
                <c:v>0</c:v>
              </c:pt>
              <c:pt idx="1728">
                <c:v>0</c:v>
              </c:pt>
              <c:pt idx="1729">
                <c:v>7.163278442174982</c:v>
              </c:pt>
              <c:pt idx="1730">
                <c:v>7.163278442174982</c:v>
              </c:pt>
              <c:pt idx="1731">
                <c:v>0</c:v>
              </c:pt>
              <c:pt idx="1732">
                <c:v>0</c:v>
              </c:pt>
              <c:pt idx="1733">
                <c:v>7.163278442174982</c:v>
              </c:pt>
              <c:pt idx="1734">
                <c:v>7.163278442174982</c:v>
              </c:pt>
              <c:pt idx="1735">
                <c:v>0</c:v>
              </c:pt>
              <c:pt idx="1736">
                <c:v>0</c:v>
              </c:pt>
              <c:pt idx="1737">
                <c:v>7.163278442174982</c:v>
              </c:pt>
              <c:pt idx="1738">
                <c:v>7.163278442174982</c:v>
              </c:pt>
              <c:pt idx="1739">
                <c:v>0</c:v>
              </c:pt>
              <c:pt idx="1740">
                <c:v>0</c:v>
              </c:pt>
              <c:pt idx="1741">
                <c:v>7.163278442174982</c:v>
              </c:pt>
              <c:pt idx="1742">
                <c:v>7.163278442174982</c:v>
              </c:pt>
              <c:pt idx="1743">
                <c:v>0</c:v>
              </c:pt>
              <c:pt idx="1744">
                <c:v>0</c:v>
              </c:pt>
              <c:pt idx="1745">
                <c:v>7.163278442174982</c:v>
              </c:pt>
              <c:pt idx="1746">
                <c:v>7.163278442174982</c:v>
              </c:pt>
              <c:pt idx="1747">
                <c:v>0</c:v>
              </c:pt>
              <c:pt idx="1748">
                <c:v>0</c:v>
              </c:pt>
              <c:pt idx="1749">
                <c:v>7.163278442174982</c:v>
              </c:pt>
              <c:pt idx="1750">
                <c:v>7.163278442174982</c:v>
              </c:pt>
              <c:pt idx="1751">
                <c:v>0</c:v>
              </c:pt>
              <c:pt idx="1752">
                <c:v>0</c:v>
              </c:pt>
              <c:pt idx="1753">
                <c:v>7.163278442174982</c:v>
              </c:pt>
              <c:pt idx="1754">
                <c:v>7.163278442174982</c:v>
              </c:pt>
              <c:pt idx="1755">
                <c:v>0</c:v>
              </c:pt>
              <c:pt idx="1756">
                <c:v>0</c:v>
              </c:pt>
              <c:pt idx="1757">
                <c:v>7.163278442174982</c:v>
              </c:pt>
              <c:pt idx="1758">
                <c:v>7.163278442174982</c:v>
              </c:pt>
              <c:pt idx="1759">
                <c:v>0</c:v>
              </c:pt>
              <c:pt idx="1760">
                <c:v>0</c:v>
              </c:pt>
              <c:pt idx="1761">
                <c:v>7.163278442174982</c:v>
              </c:pt>
              <c:pt idx="1762">
                <c:v>7.163278442174982</c:v>
              </c:pt>
              <c:pt idx="1763">
                <c:v>0</c:v>
              </c:pt>
              <c:pt idx="1764">
                <c:v>0</c:v>
              </c:pt>
              <c:pt idx="1765">
                <c:v>7.163278442174982</c:v>
              </c:pt>
              <c:pt idx="1766">
                <c:v>7.163278442174982</c:v>
              </c:pt>
              <c:pt idx="1767">
                <c:v>0</c:v>
              </c:pt>
              <c:pt idx="1768">
                <c:v>0</c:v>
              </c:pt>
              <c:pt idx="1769">
                <c:v>7.163278442174982</c:v>
              </c:pt>
              <c:pt idx="1770">
                <c:v>7.163278442174982</c:v>
              </c:pt>
              <c:pt idx="1771">
                <c:v>0</c:v>
              </c:pt>
              <c:pt idx="1772">
                <c:v>7.163278442174982</c:v>
              </c:pt>
              <c:pt idx="1773">
                <c:v>0</c:v>
              </c:pt>
              <c:pt idx="1776">
                <c:v>0</c:v>
              </c:pt>
              <c:pt idx="1777">
                <c:v>7.4299317852001083</c:v>
              </c:pt>
              <c:pt idx="1778">
                <c:v>7.4299317852001083</c:v>
              </c:pt>
              <c:pt idx="1779">
                <c:v>0</c:v>
              </c:pt>
              <c:pt idx="1780">
                <c:v>0</c:v>
              </c:pt>
              <c:pt idx="1781">
                <c:v>7.4299317852001083</c:v>
              </c:pt>
              <c:pt idx="1782">
                <c:v>7.4299317852001083</c:v>
              </c:pt>
              <c:pt idx="1783">
                <c:v>0</c:v>
              </c:pt>
              <c:pt idx="1784">
                <c:v>0</c:v>
              </c:pt>
              <c:pt idx="1785">
                <c:v>7.4299317852001083</c:v>
              </c:pt>
              <c:pt idx="1786">
                <c:v>7.4299317852001083</c:v>
              </c:pt>
              <c:pt idx="1787">
                <c:v>0</c:v>
              </c:pt>
              <c:pt idx="1788">
                <c:v>0</c:v>
              </c:pt>
              <c:pt idx="1789">
                <c:v>7.4299317852001083</c:v>
              </c:pt>
              <c:pt idx="1790">
                <c:v>7.4299317852001083</c:v>
              </c:pt>
              <c:pt idx="1791">
                <c:v>0</c:v>
              </c:pt>
              <c:pt idx="1792">
                <c:v>0</c:v>
              </c:pt>
              <c:pt idx="1793">
                <c:v>7.4299317852001083</c:v>
              </c:pt>
              <c:pt idx="1794">
                <c:v>7.4299317852001083</c:v>
              </c:pt>
              <c:pt idx="1795">
                <c:v>0</c:v>
              </c:pt>
              <c:pt idx="1796">
                <c:v>0</c:v>
              </c:pt>
              <c:pt idx="1797">
                <c:v>7.4299317852001083</c:v>
              </c:pt>
              <c:pt idx="1798">
                <c:v>7.4299317852001083</c:v>
              </c:pt>
              <c:pt idx="1799">
                <c:v>0</c:v>
              </c:pt>
              <c:pt idx="1800">
                <c:v>0</c:v>
              </c:pt>
              <c:pt idx="1801">
                <c:v>7.4299317852001083</c:v>
              </c:pt>
              <c:pt idx="1802">
                <c:v>7.4299317852001083</c:v>
              </c:pt>
              <c:pt idx="1803">
                <c:v>0</c:v>
              </c:pt>
              <c:pt idx="1804">
                <c:v>0</c:v>
              </c:pt>
              <c:pt idx="1805">
                <c:v>7.4299317852001083</c:v>
              </c:pt>
              <c:pt idx="1806">
                <c:v>7.4299317852001083</c:v>
              </c:pt>
              <c:pt idx="1807">
                <c:v>0</c:v>
              </c:pt>
              <c:pt idx="1808">
                <c:v>0</c:v>
              </c:pt>
              <c:pt idx="1809">
                <c:v>7.4299317852001083</c:v>
              </c:pt>
              <c:pt idx="1810">
                <c:v>7.4299317852001083</c:v>
              </c:pt>
              <c:pt idx="1811">
                <c:v>0</c:v>
              </c:pt>
              <c:pt idx="1812">
                <c:v>0</c:v>
              </c:pt>
              <c:pt idx="1813">
                <c:v>7.4299317852001083</c:v>
              </c:pt>
              <c:pt idx="1814">
                <c:v>7.4299317852001083</c:v>
              </c:pt>
              <c:pt idx="1815">
                <c:v>0</c:v>
              </c:pt>
              <c:pt idx="1816">
                <c:v>0</c:v>
              </c:pt>
              <c:pt idx="1817">
                <c:v>7.4299317852001083</c:v>
              </c:pt>
              <c:pt idx="1818">
                <c:v>7.4299317852001083</c:v>
              </c:pt>
              <c:pt idx="1819">
                <c:v>0</c:v>
              </c:pt>
              <c:pt idx="1820">
                <c:v>0</c:v>
              </c:pt>
              <c:pt idx="1821">
                <c:v>7.4299317852001083</c:v>
              </c:pt>
              <c:pt idx="1822">
                <c:v>7.4299317852001083</c:v>
              </c:pt>
              <c:pt idx="1823">
                <c:v>0</c:v>
              </c:pt>
              <c:pt idx="1824">
                <c:v>0</c:v>
              </c:pt>
              <c:pt idx="1825">
                <c:v>7.4299317852001083</c:v>
              </c:pt>
              <c:pt idx="1826">
                <c:v>7.4299317852001083</c:v>
              </c:pt>
              <c:pt idx="1827">
                <c:v>0</c:v>
              </c:pt>
              <c:pt idx="1828">
                <c:v>0</c:v>
              </c:pt>
              <c:pt idx="1829">
                <c:v>7.4299317852001083</c:v>
              </c:pt>
              <c:pt idx="1830">
                <c:v>7.4299317852001083</c:v>
              </c:pt>
              <c:pt idx="1831">
                <c:v>0</c:v>
              </c:pt>
              <c:pt idx="1832">
                <c:v>0</c:v>
              </c:pt>
              <c:pt idx="1833">
                <c:v>7.4299317852001083</c:v>
              </c:pt>
              <c:pt idx="1834">
                <c:v>7.4299317852001083</c:v>
              </c:pt>
              <c:pt idx="1835">
                <c:v>0</c:v>
              </c:pt>
              <c:pt idx="1836">
                <c:v>0</c:v>
              </c:pt>
              <c:pt idx="1837">
                <c:v>7.4299317852001083</c:v>
              </c:pt>
              <c:pt idx="1838">
                <c:v>7.4299317852001083</c:v>
              </c:pt>
              <c:pt idx="1839">
                <c:v>0</c:v>
              </c:pt>
              <c:pt idx="1840">
                <c:v>0</c:v>
              </c:pt>
              <c:pt idx="1841">
                <c:v>7.4299317852001083</c:v>
              </c:pt>
              <c:pt idx="1842">
                <c:v>7.4299317852001083</c:v>
              </c:pt>
              <c:pt idx="1843">
                <c:v>0</c:v>
              </c:pt>
              <c:pt idx="1844">
                <c:v>0</c:v>
              </c:pt>
              <c:pt idx="1845">
                <c:v>7.4299317852001083</c:v>
              </c:pt>
              <c:pt idx="1846">
                <c:v>7.4299317852001083</c:v>
              </c:pt>
              <c:pt idx="1847">
                <c:v>0</c:v>
              </c:pt>
              <c:pt idx="1848">
                <c:v>0</c:v>
              </c:pt>
              <c:pt idx="1849">
                <c:v>7.4299317852001083</c:v>
              </c:pt>
              <c:pt idx="1850">
                <c:v>7.4299317852001083</c:v>
              </c:pt>
              <c:pt idx="1851">
                <c:v>0</c:v>
              </c:pt>
              <c:pt idx="1852">
                <c:v>0</c:v>
              </c:pt>
              <c:pt idx="1853">
                <c:v>7.4299317852001083</c:v>
              </c:pt>
              <c:pt idx="1854">
                <c:v>7.4299317852001083</c:v>
              </c:pt>
              <c:pt idx="1855">
                <c:v>0</c:v>
              </c:pt>
              <c:pt idx="1856">
                <c:v>0</c:v>
              </c:pt>
              <c:pt idx="1857">
                <c:v>7.4299317852001083</c:v>
              </c:pt>
              <c:pt idx="1858">
                <c:v>7.4299317852001083</c:v>
              </c:pt>
              <c:pt idx="1859">
                <c:v>0</c:v>
              </c:pt>
              <c:pt idx="1860">
                <c:v>0</c:v>
              </c:pt>
              <c:pt idx="1861">
                <c:v>7.4299317852001083</c:v>
              </c:pt>
              <c:pt idx="1862">
                <c:v>7.4299317852001083</c:v>
              </c:pt>
              <c:pt idx="1863">
                <c:v>0</c:v>
              </c:pt>
              <c:pt idx="1864">
                <c:v>0</c:v>
              </c:pt>
              <c:pt idx="1865">
                <c:v>7.4299317852001083</c:v>
              </c:pt>
              <c:pt idx="1866">
                <c:v>7.4299317852001083</c:v>
              </c:pt>
              <c:pt idx="1867">
                <c:v>0</c:v>
              </c:pt>
              <c:pt idx="1868">
                <c:v>0</c:v>
              </c:pt>
              <c:pt idx="1869">
                <c:v>7.4299317852001083</c:v>
              </c:pt>
              <c:pt idx="1870">
                <c:v>7.4299317852001083</c:v>
              </c:pt>
              <c:pt idx="1871">
                <c:v>0</c:v>
              </c:pt>
              <c:pt idx="1872">
                <c:v>0</c:v>
              </c:pt>
              <c:pt idx="1873">
                <c:v>7.4299317852001083</c:v>
              </c:pt>
              <c:pt idx="1874">
                <c:v>7.4299317852001083</c:v>
              </c:pt>
              <c:pt idx="1875">
                <c:v>0</c:v>
              </c:pt>
              <c:pt idx="1876">
                <c:v>0</c:v>
              </c:pt>
              <c:pt idx="1877">
                <c:v>7.4299317852001083</c:v>
              </c:pt>
              <c:pt idx="1878">
                <c:v>7.4299317852001083</c:v>
              </c:pt>
              <c:pt idx="1879">
                <c:v>0</c:v>
              </c:pt>
              <c:pt idx="1880">
                <c:v>0</c:v>
              </c:pt>
              <c:pt idx="1881">
                <c:v>7.4299317852001083</c:v>
              </c:pt>
              <c:pt idx="1882">
                <c:v>7.4299317852001083</c:v>
              </c:pt>
              <c:pt idx="1883">
                <c:v>0</c:v>
              </c:pt>
              <c:pt idx="1884">
                <c:v>0</c:v>
              </c:pt>
              <c:pt idx="1885">
                <c:v>7.4299317852001083</c:v>
              </c:pt>
              <c:pt idx="1886">
                <c:v>7.4299317852001083</c:v>
              </c:pt>
              <c:pt idx="1887">
                <c:v>0</c:v>
              </c:pt>
              <c:pt idx="1888">
                <c:v>0</c:v>
              </c:pt>
              <c:pt idx="1889">
                <c:v>7.4299317852001083</c:v>
              </c:pt>
              <c:pt idx="1890">
                <c:v>7.4299317852001083</c:v>
              </c:pt>
              <c:pt idx="1891">
                <c:v>0</c:v>
              </c:pt>
              <c:pt idx="1892">
                <c:v>0</c:v>
              </c:pt>
              <c:pt idx="1893">
                <c:v>7.4299317852001083</c:v>
              </c:pt>
              <c:pt idx="1894">
                <c:v>7.4299317852001083</c:v>
              </c:pt>
              <c:pt idx="1895">
                <c:v>0</c:v>
              </c:pt>
              <c:pt idx="1896">
                <c:v>0</c:v>
              </c:pt>
              <c:pt idx="1897">
                <c:v>7.4299317852001083</c:v>
              </c:pt>
              <c:pt idx="1898">
                <c:v>7.4299317852001083</c:v>
              </c:pt>
              <c:pt idx="1899">
                <c:v>0</c:v>
              </c:pt>
              <c:pt idx="1900">
                <c:v>0</c:v>
              </c:pt>
              <c:pt idx="1901">
                <c:v>7.4299317852001083</c:v>
              </c:pt>
              <c:pt idx="1902">
                <c:v>7.4299317852001083</c:v>
              </c:pt>
              <c:pt idx="1903">
                <c:v>0</c:v>
              </c:pt>
              <c:pt idx="1904">
                <c:v>0</c:v>
              </c:pt>
              <c:pt idx="1905">
                <c:v>7.4299317852001083</c:v>
              </c:pt>
              <c:pt idx="1906">
                <c:v>7.4299317852001083</c:v>
              </c:pt>
              <c:pt idx="1907">
                <c:v>0</c:v>
              </c:pt>
              <c:pt idx="1908">
                <c:v>0</c:v>
              </c:pt>
              <c:pt idx="1909">
                <c:v>7.4299317852001083</c:v>
              </c:pt>
              <c:pt idx="1910">
                <c:v>7.4299317852001083</c:v>
              </c:pt>
              <c:pt idx="1911">
                <c:v>0</c:v>
              </c:pt>
              <c:pt idx="1912">
                <c:v>0</c:v>
              </c:pt>
              <c:pt idx="1913">
                <c:v>7.4299317852001083</c:v>
              </c:pt>
              <c:pt idx="1914">
                <c:v>7.4299317852001083</c:v>
              </c:pt>
              <c:pt idx="1915">
                <c:v>0</c:v>
              </c:pt>
              <c:pt idx="1916">
                <c:v>0</c:v>
              </c:pt>
              <c:pt idx="1917">
                <c:v>7.4299317852001083</c:v>
              </c:pt>
              <c:pt idx="1918">
                <c:v>7.4299317852001083</c:v>
              </c:pt>
              <c:pt idx="1919">
                <c:v>0</c:v>
              </c:pt>
              <c:pt idx="1920">
                <c:v>7.4299317852001083</c:v>
              </c:pt>
              <c:pt idx="1921">
                <c:v>0</c:v>
              </c:pt>
              <c:pt idx="1924">
                <c:v>0</c:v>
              </c:pt>
              <c:pt idx="1925">
                <c:v>6.9451075251544241</c:v>
              </c:pt>
              <c:pt idx="1926">
                <c:v>6.9451075251544241</c:v>
              </c:pt>
              <c:pt idx="1927">
                <c:v>0</c:v>
              </c:pt>
              <c:pt idx="1928">
                <c:v>0</c:v>
              </c:pt>
              <c:pt idx="1929">
                <c:v>6.9451075251544241</c:v>
              </c:pt>
              <c:pt idx="1930">
                <c:v>6.9451075251544241</c:v>
              </c:pt>
              <c:pt idx="1931">
                <c:v>0</c:v>
              </c:pt>
              <c:pt idx="1932">
                <c:v>0</c:v>
              </c:pt>
              <c:pt idx="1933">
                <c:v>6.9451075251544241</c:v>
              </c:pt>
              <c:pt idx="1934">
                <c:v>6.9451075251544241</c:v>
              </c:pt>
              <c:pt idx="1935">
                <c:v>0</c:v>
              </c:pt>
              <c:pt idx="1936">
                <c:v>0</c:v>
              </c:pt>
              <c:pt idx="1937">
                <c:v>6.9451075251544241</c:v>
              </c:pt>
              <c:pt idx="1938">
                <c:v>6.9451075251544241</c:v>
              </c:pt>
              <c:pt idx="1939">
                <c:v>0</c:v>
              </c:pt>
              <c:pt idx="1940">
                <c:v>0</c:v>
              </c:pt>
              <c:pt idx="1941">
                <c:v>6.9451075251544241</c:v>
              </c:pt>
              <c:pt idx="1942">
                <c:v>6.9451075251544241</c:v>
              </c:pt>
              <c:pt idx="1943">
                <c:v>0</c:v>
              </c:pt>
              <c:pt idx="1944">
                <c:v>0</c:v>
              </c:pt>
              <c:pt idx="1945">
                <c:v>6.9451075251544241</c:v>
              </c:pt>
              <c:pt idx="1946">
                <c:v>6.9451075251544241</c:v>
              </c:pt>
              <c:pt idx="1947">
                <c:v>0</c:v>
              </c:pt>
              <c:pt idx="1948">
                <c:v>0</c:v>
              </c:pt>
              <c:pt idx="1949">
                <c:v>6.9451075251544241</c:v>
              </c:pt>
              <c:pt idx="1950">
                <c:v>6.9451075251544241</c:v>
              </c:pt>
              <c:pt idx="1951">
                <c:v>0</c:v>
              </c:pt>
              <c:pt idx="1952">
                <c:v>0</c:v>
              </c:pt>
              <c:pt idx="1953">
                <c:v>6.9451075251544241</c:v>
              </c:pt>
              <c:pt idx="1954">
                <c:v>6.9451075251544241</c:v>
              </c:pt>
              <c:pt idx="1955">
                <c:v>0</c:v>
              </c:pt>
              <c:pt idx="1956">
                <c:v>0</c:v>
              </c:pt>
              <c:pt idx="1957">
                <c:v>6.9451075251544241</c:v>
              </c:pt>
              <c:pt idx="1958">
                <c:v>6.9451075251544241</c:v>
              </c:pt>
              <c:pt idx="1959">
                <c:v>0</c:v>
              </c:pt>
              <c:pt idx="1960">
                <c:v>0</c:v>
              </c:pt>
              <c:pt idx="1961">
                <c:v>6.9451075251544241</c:v>
              </c:pt>
              <c:pt idx="1962">
                <c:v>6.9451075251544241</c:v>
              </c:pt>
              <c:pt idx="1963">
                <c:v>0</c:v>
              </c:pt>
              <c:pt idx="1964">
                <c:v>0</c:v>
              </c:pt>
              <c:pt idx="1965">
                <c:v>6.9451075251544241</c:v>
              </c:pt>
              <c:pt idx="1966">
                <c:v>6.9451075251544241</c:v>
              </c:pt>
              <c:pt idx="1967">
                <c:v>0</c:v>
              </c:pt>
              <c:pt idx="1968">
                <c:v>0</c:v>
              </c:pt>
              <c:pt idx="1969">
                <c:v>6.9451075251544241</c:v>
              </c:pt>
              <c:pt idx="1970">
                <c:v>6.9451075251544241</c:v>
              </c:pt>
              <c:pt idx="1971">
                <c:v>0</c:v>
              </c:pt>
              <c:pt idx="1972">
                <c:v>0</c:v>
              </c:pt>
              <c:pt idx="1973">
                <c:v>6.9451075251544241</c:v>
              </c:pt>
              <c:pt idx="1974">
                <c:v>6.9451075251544241</c:v>
              </c:pt>
              <c:pt idx="1975">
                <c:v>0</c:v>
              </c:pt>
              <c:pt idx="1976">
                <c:v>0</c:v>
              </c:pt>
              <c:pt idx="1977">
                <c:v>6.9451075251544241</c:v>
              </c:pt>
              <c:pt idx="1978">
                <c:v>6.9451075251544241</c:v>
              </c:pt>
              <c:pt idx="1979">
                <c:v>0</c:v>
              </c:pt>
              <c:pt idx="1980">
                <c:v>0</c:v>
              </c:pt>
              <c:pt idx="1981">
                <c:v>6.9451075251544241</c:v>
              </c:pt>
              <c:pt idx="1982">
                <c:v>6.9451075251544241</c:v>
              </c:pt>
              <c:pt idx="1983">
                <c:v>0</c:v>
              </c:pt>
              <c:pt idx="1984">
                <c:v>0</c:v>
              </c:pt>
              <c:pt idx="1985">
                <c:v>6.9451075251544241</c:v>
              </c:pt>
              <c:pt idx="1986">
                <c:v>6.9451075251544241</c:v>
              </c:pt>
              <c:pt idx="1987">
                <c:v>0</c:v>
              </c:pt>
              <c:pt idx="1988">
                <c:v>0</c:v>
              </c:pt>
              <c:pt idx="1989">
                <c:v>6.9451075251544241</c:v>
              </c:pt>
              <c:pt idx="1990">
                <c:v>6.9451075251544241</c:v>
              </c:pt>
              <c:pt idx="1991">
                <c:v>0</c:v>
              </c:pt>
              <c:pt idx="1992">
                <c:v>0</c:v>
              </c:pt>
              <c:pt idx="1993">
                <c:v>6.9451075251544241</c:v>
              </c:pt>
              <c:pt idx="1994">
                <c:v>6.9451075251544241</c:v>
              </c:pt>
              <c:pt idx="1995">
                <c:v>0</c:v>
              </c:pt>
              <c:pt idx="1996">
                <c:v>0</c:v>
              </c:pt>
              <c:pt idx="1997">
                <c:v>6.9451075251544241</c:v>
              </c:pt>
              <c:pt idx="1998">
                <c:v>6.9451075251544241</c:v>
              </c:pt>
              <c:pt idx="1999">
                <c:v>0</c:v>
              </c:pt>
              <c:pt idx="2000">
                <c:v>0</c:v>
              </c:pt>
              <c:pt idx="2001">
                <c:v>6.9451075251544241</c:v>
              </c:pt>
              <c:pt idx="2002">
                <c:v>6.9451075251544241</c:v>
              </c:pt>
              <c:pt idx="2003">
                <c:v>0</c:v>
              </c:pt>
              <c:pt idx="2004">
                <c:v>0</c:v>
              </c:pt>
              <c:pt idx="2005">
                <c:v>6.9451075251544241</c:v>
              </c:pt>
              <c:pt idx="2006">
                <c:v>6.9451075251544241</c:v>
              </c:pt>
              <c:pt idx="2007">
                <c:v>0</c:v>
              </c:pt>
              <c:pt idx="2008">
                <c:v>0</c:v>
              </c:pt>
              <c:pt idx="2009">
                <c:v>6.9451075251544241</c:v>
              </c:pt>
              <c:pt idx="2010">
                <c:v>6.9451075251544241</c:v>
              </c:pt>
              <c:pt idx="2011">
                <c:v>0</c:v>
              </c:pt>
              <c:pt idx="2012">
                <c:v>0</c:v>
              </c:pt>
              <c:pt idx="2013">
                <c:v>6.9451075251544241</c:v>
              </c:pt>
              <c:pt idx="2014">
                <c:v>6.9451075251544241</c:v>
              </c:pt>
              <c:pt idx="2015">
                <c:v>0</c:v>
              </c:pt>
              <c:pt idx="2016">
                <c:v>0</c:v>
              </c:pt>
              <c:pt idx="2017">
                <c:v>6.9451075251544241</c:v>
              </c:pt>
              <c:pt idx="2018">
                <c:v>6.9451075251544241</c:v>
              </c:pt>
              <c:pt idx="2019">
                <c:v>0</c:v>
              </c:pt>
              <c:pt idx="2020">
                <c:v>0</c:v>
              </c:pt>
              <c:pt idx="2021">
                <c:v>6.9451075251544241</c:v>
              </c:pt>
              <c:pt idx="2022">
                <c:v>6.9451075251544241</c:v>
              </c:pt>
              <c:pt idx="2023">
                <c:v>0</c:v>
              </c:pt>
              <c:pt idx="2024">
                <c:v>0</c:v>
              </c:pt>
              <c:pt idx="2025">
                <c:v>6.9451075251544241</c:v>
              </c:pt>
              <c:pt idx="2026">
                <c:v>6.9451075251544241</c:v>
              </c:pt>
              <c:pt idx="2027">
                <c:v>0</c:v>
              </c:pt>
              <c:pt idx="2028">
                <c:v>0</c:v>
              </c:pt>
              <c:pt idx="2029">
                <c:v>6.9451075251544241</c:v>
              </c:pt>
              <c:pt idx="2030">
                <c:v>6.9451075251544241</c:v>
              </c:pt>
              <c:pt idx="2031">
                <c:v>0</c:v>
              </c:pt>
              <c:pt idx="2032">
                <c:v>0</c:v>
              </c:pt>
              <c:pt idx="2033">
                <c:v>6.9451075251544241</c:v>
              </c:pt>
              <c:pt idx="2034">
                <c:v>6.9451075251544241</c:v>
              </c:pt>
              <c:pt idx="2035">
                <c:v>0</c:v>
              </c:pt>
              <c:pt idx="2036">
                <c:v>0</c:v>
              </c:pt>
              <c:pt idx="2037">
                <c:v>6.9451075251544241</c:v>
              </c:pt>
              <c:pt idx="2038">
                <c:v>6.9451075251544241</c:v>
              </c:pt>
              <c:pt idx="2039">
                <c:v>0</c:v>
              </c:pt>
              <c:pt idx="2040">
                <c:v>0</c:v>
              </c:pt>
              <c:pt idx="2041">
                <c:v>6.9451075251544241</c:v>
              </c:pt>
              <c:pt idx="2042">
                <c:v>6.9451075251544241</c:v>
              </c:pt>
              <c:pt idx="2043">
                <c:v>0</c:v>
              </c:pt>
              <c:pt idx="2044">
                <c:v>0</c:v>
              </c:pt>
              <c:pt idx="2045">
                <c:v>6.9451075251544241</c:v>
              </c:pt>
              <c:pt idx="2046">
                <c:v>6.9451075251544241</c:v>
              </c:pt>
              <c:pt idx="2047">
                <c:v>0</c:v>
              </c:pt>
              <c:pt idx="2048">
                <c:v>0</c:v>
              </c:pt>
              <c:pt idx="2049">
                <c:v>6.9451075251544241</c:v>
              </c:pt>
              <c:pt idx="2050">
                <c:v>6.9451075251544241</c:v>
              </c:pt>
              <c:pt idx="2051">
                <c:v>0</c:v>
              </c:pt>
              <c:pt idx="2052">
                <c:v>0</c:v>
              </c:pt>
              <c:pt idx="2053">
                <c:v>6.9451075251544241</c:v>
              </c:pt>
              <c:pt idx="2054">
                <c:v>6.9451075251544241</c:v>
              </c:pt>
              <c:pt idx="2055">
                <c:v>0</c:v>
              </c:pt>
              <c:pt idx="2056">
                <c:v>0</c:v>
              </c:pt>
              <c:pt idx="2057">
                <c:v>6.9451075251544241</c:v>
              </c:pt>
              <c:pt idx="2058">
                <c:v>6.9451075251544241</c:v>
              </c:pt>
              <c:pt idx="2059">
                <c:v>0</c:v>
              </c:pt>
              <c:pt idx="2060">
                <c:v>0</c:v>
              </c:pt>
              <c:pt idx="2061">
                <c:v>6.9451075251544241</c:v>
              </c:pt>
              <c:pt idx="2062">
                <c:v>6.9451075251544241</c:v>
              </c:pt>
              <c:pt idx="2063">
                <c:v>0</c:v>
              </c:pt>
              <c:pt idx="2064">
                <c:v>0</c:v>
              </c:pt>
              <c:pt idx="2065">
                <c:v>6.9451075251544241</c:v>
              </c:pt>
              <c:pt idx="2066">
                <c:v>6.9451075251544241</c:v>
              </c:pt>
              <c:pt idx="2067">
                <c:v>0</c:v>
              </c:pt>
              <c:pt idx="2068">
                <c:v>6.9451075251544241</c:v>
              </c:pt>
              <c:pt idx="2069">
                <c:v>0</c:v>
              </c:pt>
              <c:pt idx="2072">
                <c:v>0</c:v>
              </c:pt>
              <c:pt idx="2073">
                <c:v>5.914855972557346</c:v>
              </c:pt>
              <c:pt idx="2074">
                <c:v>5.914855972557346</c:v>
              </c:pt>
              <c:pt idx="2075">
                <c:v>0</c:v>
              </c:pt>
              <c:pt idx="2076">
                <c:v>0</c:v>
              </c:pt>
              <c:pt idx="2077">
                <c:v>5.914855972557346</c:v>
              </c:pt>
              <c:pt idx="2078">
                <c:v>5.914855972557346</c:v>
              </c:pt>
              <c:pt idx="2079">
                <c:v>0</c:v>
              </c:pt>
              <c:pt idx="2080">
                <c:v>0</c:v>
              </c:pt>
              <c:pt idx="2081">
                <c:v>5.914855972557346</c:v>
              </c:pt>
              <c:pt idx="2082">
                <c:v>5.914855972557346</c:v>
              </c:pt>
              <c:pt idx="2083">
                <c:v>0</c:v>
              </c:pt>
              <c:pt idx="2084">
                <c:v>0</c:v>
              </c:pt>
              <c:pt idx="2085">
                <c:v>5.914855972557346</c:v>
              </c:pt>
              <c:pt idx="2086">
                <c:v>5.914855972557346</c:v>
              </c:pt>
              <c:pt idx="2087">
                <c:v>0</c:v>
              </c:pt>
              <c:pt idx="2088">
                <c:v>0</c:v>
              </c:pt>
              <c:pt idx="2089">
                <c:v>5.914855972557346</c:v>
              </c:pt>
              <c:pt idx="2090">
                <c:v>5.914855972557346</c:v>
              </c:pt>
              <c:pt idx="2091">
                <c:v>0</c:v>
              </c:pt>
              <c:pt idx="2092">
                <c:v>0</c:v>
              </c:pt>
              <c:pt idx="2093">
                <c:v>5.914855972557346</c:v>
              </c:pt>
              <c:pt idx="2094">
                <c:v>5.914855972557346</c:v>
              </c:pt>
              <c:pt idx="2095">
                <c:v>0</c:v>
              </c:pt>
              <c:pt idx="2096">
                <c:v>0</c:v>
              </c:pt>
              <c:pt idx="2097">
                <c:v>5.914855972557346</c:v>
              </c:pt>
              <c:pt idx="2098">
                <c:v>5.914855972557346</c:v>
              </c:pt>
              <c:pt idx="2099">
                <c:v>0</c:v>
              </c:pt>
              <c:pt idx="2100">
                <c:v>0</c:v>
              </c:pt>
              <c:pt idx="2101">
                <c:v>5.914855972557346</c:v>
              </c:pt>
              <c:pt idx="2102">
                <c:v>5.914855972557346</c:v>
              </c:pt>
              <c:pt idx="2103">
                <c:v>0</c:v>
              </c:pt>
              <c:pt idx="2104">
                <c:v>0</c:v>
              </c:pt>
              <c:pt idx="2105">
                <c:v>5.914855972557346</c:v>
              </c:pt>
              <c:pt idx="2106">
                <c:v>5.914855972557346</c:v>
              </c:pt>
              <c:pt idx="2107">
                <c:v>0</c:v>
              </c:pt>
              <c:pt idx="2108">
                <c:v>0</c:v>
              </c:pt>
              <c:pt idx="2109">
                <c:v>5.914855972557346</c:v>
              </c:pt>
              <c:pt idx="2110">
                <c:v>5.914855972557346</c:v>
              </c:pt>
              <c:pt idx="2111">
                <c:v>0</c:v>
              </c:pt>
              <c:pt idx="2112">
                <c:v>0</c:v>
              </c:pt>
              <c:pt idx="2113">
                <c:v>5.914855972557346</c:v>
              </c:pt>
              <c:pt idx="2114">
                <c:v>5.914855972557346</c:v>
              </c:pt>
              <c:pt idx="2115">
                <c:v>0</c:v>
              </c:pt>
              <c:pt idx="2116">
                <c:v>0</c:v>
              </c:pt>
              <c:pt idx="2117">
                <c:v>5.914855972557346</c:v>
              </c:pt>
              <c:pt idx="2118">
                <c:v>5.914855972557346</c:v>
              </c:pt>
              <c:pt idx="2119">
                <c:v>0</c:v>
              </c:pt>
              <c:pt idx="2120">
                <c:v>0</c:v>
              </c:pt>
              <c:pt idx="2121">
                <c:v>5.914855972557346</c:v>
              </c:pt>
              <c:pt idx="2122">
                <c:v>5.914855972557346</c:v>
              </c:pt>
              <c:pt idx="2123">
                <c:v>0</c:v>
              </c:pt>
              <c:pt idx="2124">
                <c:v>0</c:v>
              </c:pt>
              <c:pt idx="2125">
                <c:v>5.914855972557346</c:v>
              </c:pt>
              <c:pt idx="2126">
                <c:v>5.914855972557346</c:v>
              </c:pt>
              <c:pt idx="2127">
                <c:v>0</c:v>
              </c:pt>
              <c:pt idx="2128">
                <c:v>0</c:v>
              </c:pt>
              <c:pt idx="2129">
                <c:v>5.914855972557346</c:v>
              </c:pt>
              <c:pt idx="2130">
                <c:v>5.914855972557346</c:v>
              </c:pt>
              <c:pt idx="2131">
                <c:v>0</c:v>
              </c:pt>
              <c:pt idx="2132">
                <c:v>0</c:v>
              </c:pt>
              <c:pt idx="2133">
                <c:v>5.914855972557346</c:v>
              </c:pt>
              <c:pt idx="2134">
                <c:v>5.914855972557346</c:v>
              </c:pt>
              <c:pt idx="2135">
                <c:v>0</c:v>
              </c:pt>
              <c:pt idx="2136">
                <c:v>0</c:v>
              </c:pt>
              <c:pt idx="2137">
                <c:v>5.914855972557346</c:v>
              </c:pt>
              <c:pt idx="2138">
                <c:v>5.914855972557346</c:v>
              </c:pt>
              <c:pt idx="2139">
                <c:v>0</c:v>
              </c:pt>
              <c:pt idx="2140">
                <c:v>0</c:v>
              </c:pt>
              <c:pt idx="2141">
                <c:v>5.914855972557346</c:v>
              </c:pt>
              <c:pt idx="2142">
                <c:v>5.914855972557346</c:v>
              </c:pt>
              <c:pt idx="2143">
                <c:v>0</c:v>
              </c:pt>
              <c:pt idx="2144">
                <c:v>0</c:v>
              </c:pt>
              <c:pt idx="2145">
                <c:v>5.914855972557346</c:v>
              </c:pt>
              <c:pt idx="2146">
                <c:v>5.914855972557346</c:v>
              </c:pt>
              <c:pt idx="2147">
                <c:v>0</c:v>
              </c:pt>
              <c:pt idx="2148">
                <c:v>0</c:v>
              </c:pt>
              <c:pt idx="2149">
                <c:v>5.914855972557346</c:v>
              </c:pt>
              <c:pt idx="2150">
                <c:v>5.914855972557346</c:v>
              </c:pt>
              <c:pt idx="2151">
                <c:v>0</c:v>
              </c:pt>
              <c:pt idx="2152">
                <c:v>0</c:v>
              </c:pt>
              <c:pt idx="2153">
                <c:v>5.914855972557346</c:v>
              </c:pt>
              <c:pt idx="2154">
                <c:v>5.914855972557346</c:v>
              </c:pt>
              <c:pt idx="2155">
                <c:v>0</c:v>
              </c:pt>
              <c:pt idx="2156">
                <c:v>0</c:v>
              </c:pt>
              <c:pt idx="2157">
                <c:v>5.914855972557346</c:v>
              </c:pt>
              <c:pt idx="2158">
                <c:v>5.914855972557346</c:v>
              </c:pt>
              <c:pt idx="2159">
                <c:v>0</c:v>
              </c:pt>
              <c:pt idx="2160">
                <c:v>0</c:v>
              </c:pt>
              <c:pt idx="2161">
                <c:v>5.914855972557346</c:v>
              </c:pt>
              <c:pt idx="2162">
                <c:v>5.914855972557346</c:v>
              </c:pt>
              <c:pt idx="2163">
                <c:v>0</c:v>
              </c:pt>
              <c:pt idx="2164">
                <c:v>0</c:v>
              </c:pt>
              <c:pt idx="2165">
                <c:v>5.914855972557346</c:v>
              </c:pt>
              <c:pt idx="2166">
                <c:v>5.914855972557346</c:v>
              </c:pt>
              <c:pt idx="2167">
                <c:v>0</c:v>
              </c:pt>
              <c:pt idx="2168">
                <c:v>0</c:v>
              </c:pt>
              <c:pt idx="2169">
                <c:v>5.914855972557346</c:v>
              </c:pt>
              <c:pt idx="2170">
                <c:v>5.914855972557346</c:v>
              </c:pt>
              <c:pt idx="2171">
                <c:v>0</c:v>
              </c:pt>
              <c:pt idx="2172">
                <c:v>0</c:v>
              </c:pt>
              <c:pt idx="2173">
                <c:v>5.914855972557346</c:v>
              </c:pt>
              <c:pt idx="2174">
                <c:v>5.914855972557346</c:v>
              </c:pt>
              <c:pt idx="2175">
                <c:v>0</c:v>
              </c:pt>
              <c:pt idx="2176">
                <c:v>0</c:v>
              </c:pt>
              <c:pt idx="2177">
                <c:v>5.914855972557346</c:v>
              </c:pt>
              <c:pt idx="2178">
                <c:v>5.914855972557346</c:v>
              </c:pt>
              <c:pt idx="2179">
                <c:v>0</c:v>
              </c:pt>
              <c:pt idx="2180">
                <c:v>0</c:v>
              </c:pt>
              <c:pt idx="2181">
                <c:v>5.914855972557346</c:v>
              </c:pt>
              <c:pt idx="2182">
                <c:v>5.914855972557346</c:v>
              </c:pt>
              <c:pt idx="2183">
                <c:v>0</c:v>
              </c:pt>
              <c:pt idx="2184">
                <c:v>0</c:v>
              </c:pt>
              <c:pt idx="2185">
                <c:v>5.914855972557346</c:v>
              </c:pt>
              <c:pt idx="2186">
                <c:v>5.914855972557346</c:v>
              </c:pt>
              <c:pt idx="2187">
                <c:v>0</c:v>
              </c:pt>
              <c:pt idx="2188">
                <c:v>0</c:v>
              </c:pt>
              <c:pt idx="2189">
                <c:v>5.914855972557346</c:v>
              </c:pt>
              <c:pt idx="2190">
                <c:v>5.914855972557346</c:v>
              </c:pt>
              <c:pt idx="2191">
                <c:v>0</c:v>
              </c:pt>
              <c:pt idx="2192">
                <c:v>0</c:v>
              </c:pt>
              <c:pt idx="2193">
                <c:v>5.914855972557346</c:v>
              </c:pt>
              <c:pt idx="2194">
                <c:v>5.914855972557346</c:v>
              </c:pt>
              <c:pt idx="2195">
                <c:v>0</c:v>
              </c:pt>
              <c:pt idx="2196">
                <c:v>0</c:v>
              </c:pt>
              <c:pt idx="2197">
                <c:v>5.914855972557346</c:v>
              </c:pt>
              <c:pt idx="2198">
                <c:v>5.914855972557346</c:v>
              </c:pt>
              <c:pt idx="2199">
                <c:v>0</c:v>
              </c:pt>
              <c:pt idx="2200">
                <c:v>0</c:v>
              </c:pt>
              <c:pt idx="2201">
                <c:v>5.914855972557346</c:v>
              </c:pt>
              <c:pt idx="2202">
                <c:v>5.914855972557346</c:v>
              </c:pt>
              <c:pt idx="2203">
                <c:v>0</c:v>
              </c:pt>
              <c:pt idx="2204">
                <c:v>0</c:v>
              </c:pt>
              <c:pt idx="2205">
                <c:v>5.914855972557346</c:v>
              </c:pt>
              <c:pt idx="2206">
                <c:v>5.914855972557346</c:v>
              </c:pt>
              <c:pt idx="2207">
                <c:v>0</c:v>
              </c:pt>
              <c:pt idx="2208">
                <c:v>0</c:v>
              </c:pt>
              <c:pt idx="2209">
                <c:v>5.914855972557346</c:v>
              </c:pt>
              <c:pt idx="2210">
                <c:v>5.914855972557346</c:v>
              </c:pt>
              <c:pt idx="2211">
                <c:v>0</c:v>
              </c:pt>
              <c:pt idx="2212">
                <c:v>0</c:v>
              </c:pt>
              <c:pt idx="2213">
                <c:v>5.914855972557346</c:v>
              </c:pt>
              <c:pt idx="2214">
                <c:v>5.914855972557346</c:v>
              </c:pt>
              <c:pt idx="2215">
                <c:v>0</c:v>
              </c:pt>
              <c:pt idx="2216">
                <c:v>5.914855972557346</c:v>
              </c:pt>
              <c:pt idx="2217">
                <c:v>0</c:v>
              </c:pt>
              <c:pt idx="2220">
                <c:v>0</c:v>
              </c:pt>
              <c:pt idx="2221">
                <c:v>3.9876795388757516</c:v>
              </c:pt>
              <c:pt idx="2222">
                <c:v>3.9876795388757516</c:v>
              </c:pt>
              <c:pt idx="2223">
                <c:v>0</c:v>
              </c:pt>
              <c:pt idx="2224">
                <c:v>0</c:v>
              </c:pt>
              <c:pt idx="2225">
                <c:v>3.9876795388757516</c:v>
              </c:pt>
              <c:pt idx="2226">
                <c:v>3.9876795388757516</c:v>
              </c:pt>
              <c:pt idx="2227">
                <c:v>0</c:v>
              </c:pt>
              <c:pt idx="2228">
                <c:v>0</c:v>
              </c:pt>
              <c:pt idx="2229">
                <c:v>3.9876795388757516</c:v>
              </c:pt>
              <c:pt idx="2230">
                <c:v>3.9876795388757516</c:v>
              </c:pt>
              <c:pt idx="2231">
                <c:v>0</c:v>
              </c:pt>
              <c:pt idx="2232">
                <c:v>0</c:v>
              </c:pt>
              <c:pt idx="2233">
                <c:v>3.9876795388757516</c:v>
              </c:pt>
              <c:pt idx="2234">
                <c:v>3.9876795388757516</c:v>
              </c:pt>
              <c:pt idx="2235">
                <c:v>0</c:v>
              </c:pt>
              <c:pt idx="2236">
                <c:v>0</c:v>
              </c:pt>
              <c:pt idx="2237">
                <c:v>3.9876795388757516</c:v>
              </c:pt>
              <c:pt idx="2238">
                <c:v>3.9876795388757516</c:v>
              </c:pt>
              <c:pt idx="2239">
                <c:v>0</c:v>
              </c:pt>
              <c:pt idx="2240">
                <c:v>0</c:v>
              </c:pt>
              <c:pt idx="2241">
                <c:v>3.9876795388757516</c:v>
              </c:pt>
              <c:pt idx="2242">
                <c:v>3.9876795388757516</c:v>
              </c:pt>
              <c:pt idx="2243">
                <c:v>0</c:v>
              </c:pt>
              <c:pt idx="2244">
                <c:v>0</c:v>
              </c:pt>
              <c:pt idx="2245">
                <c:v>3.9876795388757516</c:v>
              </c:pt>
              <c:pt idx="2246">
                <c:v>3.9876795388757516</c:v>
              </c:pt>
              <c:pt idx="2247">
                <c:v>0</c:v>
              </c:pt>
              <c:pt idx="2248">
                <c:v>0</c:v>
              </c:pt>
              <c:pt idx="2249">
                <c:v>3.9876795388757516</c:v>
              </c:pt>
              <c:pt idx="2250">
                <c:v>3.9876795388757516</c:v>
              </c:pt>
              <c:pt idx="2251">
                <c:v>0</c:v>
              </c:pt>
              <c:pt idx="2252">
                <c:v>0</c:v>
              </c:pt>
              <c:pt idx="2253">
                <c:v>3.9876795388757516</c:v>
              </c:pt>
              <c:pt idx="2254">
                <c:v>3.9876795388757516</c:v>
              </c:pt>
              <c:pt idx="2255">
                <c:v>0</c:v>
              </c:pt>
              <c:pt idx="2256">
                <c:v>0</c:v>
              </c:pt>
              <c:pt idx="2257">
                <c:v>3.9876795388757516</c:v>
              </c:pt>
              <c:pt idx="2258">
                <c:v>3.9876795388757516</c:v>
              </c:pt>
              <c:pt idx="2259">
                <c:v>0</c:v>
              </c:pt>
              <c:pt idx="2260">
                <c:v>0</c:v>
              </c:pt>
              <c:pt idx="2261">
                <c:v>3.9876795388757516</c:v>
              </c:pt>
              <c:pt idx="2262">
                <c:v>3.9876795388757516</c:v>
              </c:pt>
              <c:pt idx="2263">
                <c:v>0</c:v>
              </c:pt>
              <c:pt idx="2264">
                <c:v>0</c:v>
              </c:pt>
              <c:pt idx="2265">
                <c:v>3.9876795388757516</c:v>
              </c:pt>
              <c:pt idx="2266">
                <c:v>3.9876795388757516</c:v>
              </c:pt>
              <c:pt idx="2267">
                <c:v>0</c:v>
              </c:pt>
              <c:pt idx="2268">
                <c:v>0</c:v>
              </c:pt>
              <c:pt idx="2269">
                <c:v>3.9876795388757516</c:v>
              </c:pt>
              <c:pt idx="2270">
                <c:v>3.9876795388757516</c:v>
              </c:pt>
              <c:pt idx="2271">
                <c:v>0</c:v>
              </c:pt>
              <c:pt idx="2272">
                <c:v>0</c:v>
              </c:pt>
              <c:pt idx="2273">
                <c:v>3.9876795388757516</c:v>
              </c:pt>
              <c:pt idx="2274">
                <c:v>3.9876795388757516</c:v>
              </c:pt>
              <c:pt idx="2275">
                <c:v>0</c:v>
              </c:pt>
              <c:pt idx="2276">
                <c:v>0</c:v>
              </c:pt>
              <c:pt idx="2277">
                <c:v>3.9876795388757516</c:v>
              </c:pt>
              <c:pt idx="2278">
                <c:v>3.9876795388757516</c:v>
              </c:pt>
              <c:pt idx="2279">
                <c:v>0</c:v>
              </c:pt>
              <c:pt idx="2280">
                <c:v>0</c:v>
              </c:pt>
              <c:pt idx="2281">
                <c:v>3.9876795388757516</c:v>
              </c:pt>
              <c:pt idx="2282">
                <c:v>3.9876795388757516</c:v>
              </c:pt>
              <c:pt idx="2283">
                <c:v>0</c:v>
              </c:pt>
              <c:pt idx="2284">
                <c:v>0</c:v>
              </c:pt>
              <c:pt idx="2285">
                <c:v>3.9876795388757516</c:v>
              </c:pt>
              <c:pt idx="2286">
                <c:v>3.9876795388757516</c:v>
              </c:pt>
              <c:pt idx="2287">
                <c:v>0</c:v>
              </c:pt>
              <c:pt idx="2288">
                <c:v>0</c:v>
              </c:pt>
              <c:pt idx="2289">
                <c:v>3.9876795388757516</c:v>
              </c:pt>
              <c:pt idx="2290">
                <c:v>3.9876795388757516</c:v>
              </c:pt>
              <c:pt idx="2291">
                <c:v>0</c:v>
              </c:pt>
              <c:pt idx="2292">
                <c:v>0</c:v>
              </c:pt>
              <c:pt idx="2293">
                <c:v>3.9876795388757516</c:v>
              </c:pt>
              <c:pt idx="2294">
                <c:v>3.9876795388757516</c:v>
              </c:pt>
              <c:pt idx="2295">
                <c:v>0</c:v>
              </c:pt>
              <c:pt idx="2296">
                <c:v>0</c:v>
              </c:pt>
              <c:pt idx="2297">
                <c:v>3.9876795388757516</c:v>
              </c:pt>
              <c:pt idx="2298">
                <c:v>3.9876795388757516</c:v>
              </c:pt>
              <c:pt idx="2299">
                <c:v>0</c:v>
              </c:pt>
              <c:pt idx="2300">
                <c:v>0</c:v>
              </c:pt>
              <c:pt idx="2301">
                <c:v>3.9876795388757516</c:v>
              </c:pt>
              <c:pt idx="2302">
                <c:v>3.9876795388757516</c:v>
              </c:pt>
              <c:pt idx="2303">
                <c:v>0</c:v>
              </c:pt>
              <c:pt idx="2304">
                <c:v>0</c:v>
              </c:pt>
              <c:pt idx="2305">
                <c:v>3.9876795388757516</c:v>
              </c:pt>
              <c:pt idx="2306">
                <c:v>3.9876795388757516</c:v>
              </c:pt>
              <c:pt idx="2307">
                <c:v>0</c:v>
              </c:pt>
              <c:pt idx="2308">
                <c:v>0</c:v>
              </c:pt>
              <c:pt idx="2309">
                <c:v>3.9876795388757516</c:v>
              </c:pt>
              <c:pt idx="2310">
                <c:v>3.9876795388757516</c:v>
              </c:pt>
              <c:pt idx="2311">
                <c:v>0</c:v>
              </c:pt>
              <c:pt idx="2312">
                <c:v>0</c:v>
              </c:pt>
              <c:pt idx="2313">
                <c:v>3.9876795388757516</c:v>
              </c:pt>
              <c:pt idx="2314">
                <c:v>3.9876795388757516</c:v>
              </c:pt>
              <c:pt idx="2315">
                <c:v>0</c:v>
              </c:pt>
              <c:pt idx="2316">
                <c:v>0</c:v>
              </c:pt>
              <c:pt idx="2317">
                <c:v>3.9876795388757516</c:v>
              </c:pt>
              <c:pt idx="2318">
                <c:v>3.9876795388757516</c:v>
              </c:pt>
              <c:pt idx="2319">
                <c:v>0</c:v>
              </c:pt>
              <c:pt idx="2320">
                <c:v>0</c:v>
              </c:pt>
              <c:pt idx="2321">
                <c:v>3.9876795388757516</c:v>
              </c:pt>
              <c:pt idx="2322">
                <c:v>3.9876795388757516</c:v>
              </c:pt>
              <c:pt idx="2323">
                <c:v>0</c:v>
              </c:pt>
              <c:pt idx="2324">
                <c:v>0</c:v>
              </c:pt>
              <c:pt idx="2325">
                <c:v>3.9876795388757516</c:v>
              </c:pt>
              <c:pt idx="2326">
                <c:v>3.9876795388757516</c:v>
              </c:pt>
              <c:pt idx="2327">
                <c:v>0</c:v>
              </c:pt>
              <c:pt idx="2328">
                <c:v>0</c:v>
              </c:pt>
              <c:pt idx="2329">
                <c:v>3.9876795388757516</c:v>
              </c:pt>
              <c:pt idx="2330">
                <c:v>3.9876795388757516</c:v>
              </c:pt>
              <c:pt idx="2331">
                <c:v>0</c:v>
              </c:pt>
              <c:pt idx="2332">
                <c:v>0</c:v>
              </c:pt>
              <c:pt idx="2333">
                <c:v>3.9876795388757516</c:v>
              </c:pt>
              <c:pt idx="2334">
                <c:v>3.9876795388757516</c:v>
              </c:pt>
              <c:pt idx="2335">
                <c:v>0</c:v>
              </c:pt>
              <c:pt idx="2336">
                <c:v>0</c:v>
              </c:pt>
              <c:pt idx="2337">
                <c:v>3.9876795388757516</c:v>
              </c:pt>
              <c:pt idx="2338">
                <c:v>3.9876795388757516</c:v>
              </c:pt>
              <c:pt idx="2339">
                <c:v>0</c:v>
              </c:pt>
              <c:pt idx="2340">
                <c:v>0</c:v>
              </c:pt>
              <c:pt idx="2341">
                <c:v>3.9876795388757516</c:v>
              </c:pt>
              <c:pt idx="2342">
                <c:v>3.9876795388757516</c:v>
              </c:pt>
              <c:pt idx="2343">
                <c:v>0</c:v>
              </c:pt>
              <c:pt idx="2344">
                <c:v>0</c:v>
              </c:pt>
              <c:pt idx="2345">
                <c:v>3.9876795388757516</c:v>
              </c:pt>
              <c:pt idx="2346">
                <c:v>3.9876795388757516</c:v>
              </c:pt>
              <c:pt idx="2347">
                <c:v>0</c:v>
              </c:pt>
              <c:pt idx="2348">
                <c:v>0</c:v>
              </c:pt>
              <c:pt idx="2349">
                <c:v>3.9876795388757516</c:v>
              </c:pt>
              <c:pt idx="2350">
                <c:v>3.9876795388757516</c:v>
              </c:pt>
              <c:pt idx="2351">
                <c:v>0</c:v>
              </c:pt>
              <c:pt idx="2352">
                <c:v>0</c:v>
              </c:pt>
              <c:pt idx="2353">
                <c:v>3.9876795388757516</c:v>
              </c:pt>
              <c:pt idx="2354">
                <c:v>3.9876795388757516</c:v>
              </c:pt>
              <c:pt idx="2355">
                <c:v>0</c:v>
              </c:pt>
              <c:pt idx="2356">
                <c:v>0</c:v>
              </c:pt>
              <c:pt idx="2357">
                <c:v>3.9876795388757516</c:v>
              </c:pt>
              <c:pt idx="2358">
                <c:v>3.9876795388757516</c:v>
              </c:pt>
              <c:pt idx="2359">
                <c:v>0</c:v>
              </c:pt>
              <c:pt idx="2360">
                <c:v>0</c:v>
              </c:pt>
              <c:pt idx="2361">
                <c:v>3.9876795388757516</c:v>
              </c:pt>
              <c:pt idx="2362">
                <c:v>3.9876795388757516</c:v>
              </c:pt>
              <c:pt idx="2363">
                <c:v>0</c:v>
              </c:pt>
              <c:pt idx="2364">
                <c:v>3.9876795388757516</c:v>
              </c:pt>
              <c:pt idx="2365">
                <c:v>0</c:v>
              </c:pt>
              <c:pt idx="2368">
                <c:v>0</c:v>
              </c:pt>
              <c:pt idx="2369">
                <c:v>3.0543928382878098</c:v>
              </c:pt>
              <c:pt idx="2370">
                <c:v>3.0543928382878098</c:v>
              </c:pt>
              <c:pt idx="2371">
                <c:v>0</c:v>
              </c:pt>
              <c:pt idx="2372">
                <c:v>0</c:v>
              </c:pt>
              <c:pt idx="2373">
                <c:v>3.0543928382878098</c:v>
              </c:pt>
              <c:pt idx="2374">
                <c:v>3.0543928382878098</c:v>
              </c:pt>
              <c:pt idx="2375">
                <c:v>0</c:v>
              </c:pt>
              <c:pt idx="2376">
                <c:v>0</c:v>
              </c:pt>
              <c:pt idx="2377">
                <c:v>3.0543928382878098</c:v>
              </c:pt>
              <c:pt idx="2378">
                <c:v>3.0543928382878098</c:v>
              </c:pt>
              <c:pt idx="2379">
                <c:v>0</c:v>
              </c:pt>
              <c:pt idx="2380">
                <c:v>0</c:v>
              </c:pt>
              <c:pt idx="2381">
                <c:v>3.0543928382878098</c:v>
              </c:pt>
              <c:pt idx="2382">
                <c:v>3.0543928382878098</c:v>
              </c:pt>
              <c:pt idx="2383">
                <c:v>0</c:v>
              </c:pt>
              <c:pt idx="2384">
                <c:v>0</c:v>
              </c:pt>
              <c:pt idx="2385">
                <c:v>3.0543928382878098</c:v>
              </c:pt>
              <c:pt idx="2386">
                <c:v>3.0543928382878098</c:v>
              </c:pt>
              <c:pt idx="2387">
                <c:v>0</c:v>
              </c:pt>
              <c:pt idx="2388">
                <c:v>0</c:v>
              </c:pt>
              <c:pt idx="2389">
                <c:v>3.0543928382878098</c:v>
              </c:pt>
              <c:pt idx="2390">
                <c:v>3.0543928382878098</c:v>
              </c:pt>
              <c:pt idx="2391">
                <c:v>0</c:v>
              </c:pt>
              <c:pt idx="2392">
                <c:v>0</c:v>
              </c:pt>
              <c:pt idx="2393">
                <c:v>3.0543928382878098</c:v>
              </c:pt>
              <c:pt idx="2394">
                <c:v>3.0543928382878098</c:v>
              </c:pt>
              <c:pt idx="2395">
                <c:v>0</c:v>
              </c:pt>
              <c:pt idx="2396">
                <c:v>0</c:v>
              </c:pt>
              <c:pt idx="2397">
                <c:v>3.0543928382878098</c:v>
              </c:pt>
              <c:pt idx="2398">
                <c:v>3.0543928382878098</c:v>
              </c:pt>
              <c:pt idx="2399">
                <c:v>0</c:v>
              </c:pt>
              <c:pt idx="2400">
                <c:v>0</c:v>
              </c:pt>
              <c:pt idx="2401">
                <c:v>3.0543928382878098</c:v>
              </c:pt>
              <c:pt idx="2402">
                <c:v>3.0543928382878098</c:v>
              </c:pt>
              <c:pt idx="2403">
                <c:v>0</c:v>
              </c:pt>
              <c:pt idx="2404">
                <c:v>0</c:v>
              </c:pt>
              <c:pt idx="2405">
                <c:v>3.0543928382878098</c:v>
              </c:pt>
              <c:pt idx="2406">
                <c:v>3.0543928382878098</c:v>
              </c:pt>
              <c:pt idx="2407">
                <c:v>0</c:v>
              </c:pt>
              <c:pt idx="2408">
                <c:v>0</c:v>
              </c:pt>
              <c:pt idx="2409">
                <c:v>3.0543928382878098</c:v>
              </c:pt>
              <c:pt idx="2410">
                <c:v>3.0543928382878098</c:v>
              </c:pt>
              <c:pt idx="2411">
                <c:v>0</c:v>
              </c:pt>
              <c:pt idx="2412">
                <c:v>0</c:v>
              </c:pt>
              <c:pt idx="2413">
                <c:v>3.0543928382878098</c:v>
              </c:pt>
              <c:pt idx="2414">
                <c:v>3.0543928382878098</c:v>
              </c:pt>
              <c:pt idx="2415">
                <c:v>0</c:v>
              </c:pt>
              <c:pt idx="2416">
                <c:v>0</c:v>
              </c:pt>
              <c:pt idx="2417">
                <c:v>3.0543928382878098</c:v>
              </c:pt>
              <c:pt idx="2418">
                <c:v>3.0543928382878098</c:v>
              </c:pt>
              <c:pt idx="2419">
                <c:v>0</c:v>
              </c:pt>
              <c:pt idx="2420">
                <c:v>0</c:v>
              </c:pt>
              <c:pt idx="2421">
                <c:v>3.0543928382878098</c:v>
              </c:pt>
              <c:pt idx="2422">
                <c:v>3.0543928382878098</c:v>
              </c:pt>
              <c:pt idx="2423">
                <c:v>0</c:v>
              </c:pt>
              <c:pt idx="2424">
                <c:v>0</c:v>
              </c:pt>
              <c:pt idx="2425">
                <c:v>3.0543928382878098</c:v>
              </c:pt>
              <c:pt idx="2426">
                <c:v>3.0543928382878098</c:v>
              </c:pt>
              <c:pt idx="2427">
                <c:v>0</c:v>
              </c:pt>
              <c:pt idx="2428">
                <c:v>0</c:v>
              </c:pt>
              <c:pt idx="2429">
                <c:v>3.0543928382878098</c:v>
              </c:pt>
              <c:pt idx="2430">
                <c:v>3.0543928382878098</c:v>
              </c:pt>
              <c:pt idx="2431">
                <c:v>0</c:v>
              </c:pt>
              <c:pt idx="2432">
                <c:v>0</c:v>
              </c:pt>
              <c:pt idx="2433">
                <c:v>3.0543928382878098</c:v>
              </c:pt>
              <c:pt idx="2434">
                <c:v>3.0543928382878098</c:v>
              </c:pt>
              <c:pt idx="2435">
                <c:v>0</c:v>
              </c:pt>
              <c:pt idx="2436">
                <c:v>0</c:v>
              </c:pt>
              <c:pt idx="2437">
                <c:v>3.0543928382878098</c:v>
              </c:pt>
              <c:pt idx="2438">
                <c:v>3.0543928382878098</c:v>
              </c:pt>
              <c:pt idx="2439">
                <c:v>0</c:v>
              </c:pt>
              <c:pt idx="2440">
                <c:v>0</c:v>
              </c:pt>
              <c:pt idx="2441">
                <c:v>3.0543928382878098</c:v>
              </c:pt>
              <c:pt idx="2442">
                <c:v>3.0543928382878098</c:v>
              </c:pt>
              <c:pt idx="2443">
                <c:v>0</c:v>
              </c:pt>
              <c:pt idx="2444">
                <c:v>0</c:v>
              </c:pt>
              <c:pt idx="2445">
                <c:v>3.0543928382878098</c:v>
              </c:pt>
              <c:pt idx="2446">
                <c:v>3.0543928382878098</c:v>
              </c:pt>
              <c:pt idx="2447">
                <c:v>0</c:v>
              </c:pt>
              <c:pt idx="2448">
                <c:v>0</c:v>
              </c:pt>
              <c:pt idx="2449">
                <c:v>3.0543928382878098</c:v>
              </c:pt>
              <c:pt idx="2450">
                <c:v>3.0543928382878098</c:v>
              </c:pt>
              <c:pt idx="2451">
                <c:v>0</c:v>
              </c:pt>
              <c:pt idx="2452">
                <c:v>0</c:v>
              </c:pt>
              <c:pt idx="2453">
                <c:v>3.0543928382878098</c:v>
              </c:pt>
              <c:pt idx="2454">
                <c:v>3.0543928382878098</c:v>
              </c:pt>
              <c:pt idx="2455">
                <c:v>0</c:v>
              </c:pt>
              <c:pt idx="2456">
                <c:v>0</c:v>
              </c:pt>
              <c:pt idx="2457">
                <c:v>3.0543928382878098</c:v>
              </c:pt>
              <c:pt idx="2458">
                <c:v>3.0543928382878098</c:v>
              </c:pt>
              <c:pt idx="2459">
                <c:v>0</c:v>
              </c:pt>
              <c:pt idx="2460">
                <c:v>0</c:v>
              </c:pt>
              <c:pt idx="2461">
                <c:v>3.0543928382878098</c:v>
              </c:pt>
              <c:pt idx="2462">
                <c:v>3.0543928382878098</c:v>
              </c:pt>
              <c:pt idx="2463">
                <c:v>0</c:v>
              </c:pt>
              <c:pt idx="2464">
                <c:v>0</c:v>
              </c:pt>
              <c:pt idx="2465">
                <c:v>3.0543928382878098</c:v>
              </c:pt>
              <c:pt idx="2466">
                <c:v>3.0543928382878098</c:v>
              </c:pt>
              <c:pt idx="2467">
                <c:v>0</c:v>
              </c:pt>
              <c:pt idx="2468">
                <c:v>0</c:v>
              </c:pt>
              <c:pt idx="2469">
                <c:v>3.0543928382878098</c:v>
              </c:pt>
              <c:pt idx="2470">
                <c:v>3.0543928382878098</c:v>
              </c:pt>
              <c:pt idx="2471">
                <c:v>0</c:v>
              </c:pt>
              <c:pt idx="2472">
                <c:v>0</c:v>
              </c:pt>
              <c:pt idx="2473">
                <c:v>3.0543928382878098</c:v>
              </c:pt>
              <c:pt idx="2474">
                <c:v>3.0543928382878098</c:v>
              </c:pt>
              <c:pt idx="2475">
                <c:v>0</c:v>
              </c:pt>
              <c:pt idx="2476">
                <c:v>0</c:v>
              </c:pt>
              <c:pt idx="2477">
                <c:v>3.0543928382878098</c:v>
              </c:pt>
              <c:pt idx="2478">
                <c:v>3.0543928382878098</c:v>
              </c:pt>
              <c:pt idx="2479">
                <c:v>0</c:v>
              </c:pt>
              <c:pt idx="2480">
                <c:v>0</c:v>
              </c:pt>
              <c:pt idx="2481">
                <c:v>3.0543928382878098</c:v>
              </c:pt>
              <c:pt idx="2482">
                <c:v>3.0543928382878098</c:v>
              </c:pt>
              <c:pt idx="2483">
                <c:v>0</c:v>
              </c:pt>
              <c:pt idx="2484">
                <c:v>0</c:v>
              </c:pt>
              <c:pt idx="2485">
                <c:v>3.0543928382878098</c:v>
              </c:pt>
              <c:pt idx="2486">
                <c:v>3.0543928382878098</c:v>
              </c:pt>
              <c:pt idx="2487">
                <c:v>0</c:v>
              </c:pt>
              <c:pt idx="2488">
                <c:v>0</c:v>
              </c:pt>
              <c:pt idx="2489">
                <c:v>3.0543928382878098</c:v>
              </c:pt>
              <c:pt idx="2490">
                <c:v>3.0543928382878098</c:v>
              </c:pt>
              <c:pt idx="2491">
                <c:v>0</c:v>
              </c:pt>
              <c:pt idx="2492">
                <c:v>0</c:v>
              </c:pt>
              <c:pt idx="2493">
                <c:v>3.0543928382878098</c:v>
              </c:pt>
              <c:pt idx="2494">
                <c:v>3.0543928382878098</c:v>
              </c:pt>
              <c:pt idx="2495">
                <c:v>0</c:v>
              </c:pt>
              <c:pt idx="2496">
                <c:v>0</c:v>
              </c:pt>
              <c:pt idx="2497">
                <c:v>3.0543928382878098</c:v>
              </c:pt>
              <c:pt idx="2498">
                <c:v>3.0543928382878098</c:v>
              </c:pt>
              <c:pt idx="2499">
                <c:v>0</c:v>
              </c:pt>
              <c:pt idx="2500">
                <c:v>0</c:v>
              </c:pt>
              <c:pt idx="2501">
                <c:v>3.0543928382878098</c:v>
              </c:pt>
              <c:pt idx="2502">
                <c:v>3.0543928382878098</c:v>
              </c:pt>
              <c:pt idx="2503">
                <c:v>0</c:v>
              </c:pt>
              <c:pt idx="2504">
                <c:v>0</c:v>
              </c:pt>
              <c:pt idx="2505">
                <c:v>3.0543928382878098</c:v>
              </c:pt>
              <c:pt idx="2506">
                <c:v>3.0543928382878098</c:v>
              </c:pt>
              <c:pt idx="2507">
                <c:v>0</c:v>
              </c:pt>
              <c:pt idx="2508">
                <c:v>0</c:v>
              </c:pt>
              <c:pt idx="2509">
                <c:v>3.0543928382878098</c:v>
              </c:pt>
              <c:pt idx="2510">
                <c:v>3.0543928382878098</c:v>
              </c:pt>
              <c:pt idx="2511">
                <c:v>0</c:v>
              </c:pt>
              <c:pt idx="2512">
                <c:v>3.0543928382878098</c:v>
              </c:pt>
              <c:pt idx="2513">
                <c:v>0</c:v>
              </c:pt>
              <c:pt idx="2516">
                <c:v>0</c:v>
              </c:pt>
              <c:pt idx="2517">
                <c:v>1.6484024841553258</c:v>
              </c:pt>
              <c:pt idx="2518">
                <c:v>1.6484024841553258</c:v>
              </c:pt>
              <c:pt idx="2519">
                <c:v>0</c:v>
              </c:pt>
              <c:pt idx="2520">
                <c:v>0</c:v>
              </c:pt>
              <c:pt idx="2521">
                <c:v>1.6484024841553258</c:v>
              </c:pt>
              <c:pt idx="2522">
                <c:v>1.6484024841553258</c:v>
              </c:pt>
              <c:pt idx="2523">
                <c:v>0</c:v>
              </c:pt>
              <c:pt idx="2524">
                <c:v>0</c:v>
              </c:pt>
              <c:pt idx="2525">
                <c:v>1.6484024841553258</c:v>
              </c:pt>
              <c:pt idx="2526">
                <c:v>1.6484024841553258</c:v>
              </c:pt>
              <c:pt idx="2527">
                <c:v>0</c:v>
              </c:pt>
              <c:pt idx="2528">
                <c:v>0</c:v>
              </c:pt>
              <c:pt idx="2529">
                <c:v>1.6484024841553258</c:v>
              </c:pt>
              <c:pt idx="2530">
                <c:v>1.6484024841553258</c:v>
              </c:pt>
              <c:pt idx="2531">
                <c:v>0</c:v>
              </c:pt>
              <c:pt idx="2532">
                <c:v>0</c:v>
              </c:pt>
              <c:pt idx="2533">
                <c:v>1.6484024841553258</c:v>
              </c:pt>
              <c:pt idx="2534">
                <c:v>1.6484024841553258</c:v>
              </c:pt>
              <c:pt idx="2535">
                <c:v>0</c:v>
              </c:pt>
              <c:pt idx="2536">
                <c:v>0</c:v>
              </c:pt>
              <c:pt idx="2537">
                <c:v>1.6484024841553258</c:v>
              </c:pt>
              <c:pt idx="2538">
                <c:v>1.6484024841553258</c:v>
              </c:pt>
              <c:pt idx="2539">
                <c:v>0</c:v>
              </c:pt>
              <c:pt idx="2540">
                <c:v>0</c:v>
              </c:pt>
              <c:pt idx="2541">
                <c:v>1.6484024841553258</c:v>
              </c:pt>
              <c:pt idx="2542">
                <c:v>1.6484024841553258</c:v>
              </c:pt>
              <c:pt idx="2543">
                <c:v>0</c:v>
              </c:pt>
              <c:pt idx="2544">
                <c:v>0</c:v>
              </c:pt>
              <c:pt idx="2545">
                <c:v>1.6484024841553258</c:v>
              </c:pt>
              <c:pt idx="2546">
                <c:v>1.6484024841553258</c:v>
              </c:pt>
              <c:pt idx="2547">
                <c:v>0</c:v>
              </c:pt>
              <c:pt idx="2548">
                <c:v>0</c:v>
              </c:pt>
              <c:pt idx="2549">
                <c:v>1.6484024841553258</c:v>
              </c:pt>
              <c:pt idx="2550">
                <c:v>1.6484024841553258</c:v>
              </c:pt>
              <c:pt idx="2551">
                <c:v>0</c:v>
              </c:pt>
              <c:pt idx="2552">
                <c:v>0</c:v>
              </c:pt>
              <c:pt idx="2553">
                <c:v>1.6484024841553258</c:v>
              </c:pt>
              <c:pt idx="2554">
                <c:v>1.6484024841553258</c:v>
              </c:pt>
              <c:pt idx="2555">
                <c:v>0</c:v>
              </c:pt>
              <c:pt idx="2556">
                <c:v>0</c:v>
              </c:pt>
              <c:pt idx="2557">
                <c:v>1.6484024841553258</c:v>
              </c:pt>
              <c:pt idx="2558">
                <c:v>1.6484024841553258</c:v>
              </c:pt>
              <c:pt idx="2559">
                <c:v>0</c:v>
              </c:pt>
              <c:pt idx="2560">
                <c:v>0</c:v>
              </c:pt>
              <c:pt idx="2561">
                <c:v>1.6484024841553258</c:v>
              </c:pt>
              <c:pt idx="2562">
                <c:v>1.6484024841553258</c:v>
              </c:pt>
              <c:pt idx="2563">
                <c:v>0</c:v>
              </c:pt>
              <c:pt idx="2564">
                <c:v>0</c:v>
              </c:pt>
              <c:pt idx="2565">
                <c:v>1.6484024841553258</c:v>
              </c:pt>
              <c:pt idx="2566">
                <c:v>1.6484024841553258</c:v>
              </c:pt>
              <c:pt idx="2567">
                <c:v>0</c:v>
              </c:pt>
              <c:pt idx="2568">
                <c:v>0</c:v>
              </c:pt>
              <c:pt idx="2569">
                <c:v>1.6484024841553258</c:v>
              </c:pt>
              <c:pt idx="2570">
                <c:v>1.6484024841553258</c:v>
              </c:pt>
              <c:pt idx="2571">
                <c:v>0</c:v>
              </c:pt>
              <c:pt idx="2572">
                <c:v>0</c:v>
              </c:pt>
              <c:pt idx="2573">
                <c:v>1.6484024841553258</c:v>
              </c:pt>
              <c:pt idx="2574">
                <c:v>1.6484024841553258</c:v>
              </c:pt>
              <c:pt idx="2575">
                <c:v>0</c:v>
              </c:pt>
              <c:pt idx="2576">
                <c:v>0</c:v>
              </c:pt>
              <c:pt idx="2577">
                <c:v>1.6484024841553258</c:v>
              </c:pt>
              <c:pt idx="2578">
                <c:v>1.6484024841553258</c:v>
              </c:pt>
              <c:pt idx="2579">
                <c:v>0</c:v>
              </c:pt>
              <c:pt idx="2580">
                <c:v>0</c:v>
              </c:pt>
              <c:pt idx="2581">
                <c:v>1.6484024841553258</c:v>
              </c:pt>
              <c:pt idx="2582">
                <c:v>1.6484024841553258</c:v>
              </c:pt>
              <c:pt idx="2583">
                <c:v>0</c:v>
              </c:pt>
              <c:pt idx="2584">
                <c:v>0</c:v>
              </c:pt>
              <c:pt idx="2585">
                <c:v>1.6484024841553258</c:v>
              </c:pt>
              <c:pt idx="2586">
                <c:v>1.6484024841553258</c:v>
              </c:pt>
              <c:pt idx="2587">
                <c:v>0</c:v>
              </c:pt>
              <c:pt idx="2588">
                <c:v>0</c:v>
              </c:pt>
              <c:pt idx="2589">
                <c:v>1.6484024841553258</c:v>
              </c:pt>
              <c:pt idx="2590">
                <c:v>1.6484024841553258</c:v>
              </c:pt>
              <c:pt idx="2591">
                <c:v>0</c:v>
              </c:pt>
              <c:pt idx="2592">
                <c:v>0</c:v>
              </c:pt>
              <c:pt idx="2593">
                <c:v>1.6484024841553258</c:v>
              </c:pt>
              <c:pt idx="2594">
                <c:v>1.6484024841553258</c:v>
              </c:pt>
              <c:pt idx="2595">
                <c:v>0</c:v>
              </c:pt>
              <c:pt idx="2596">
                <c:v>0</c:v>
              </c:pt>
              <c:pt idx="2597">
                <c:v>1.6484024841553258</c:v>
              </c:pt>
              <c:pt idx="2598">
                <c:v>1.6484024841553258</c:v>
              </c:pt>
              <c:pt idx="2599">
                <c:v>0</c:v>
              </c:pt>
              <c:pt idx="2600">
                <c:v>0</c:v>
              </c:pt>
              <c:pt idx="2601">
                <c:v>1.6484024841553258</c:v>
              </c:pt>
              <c:pt idx="2602">
                <c:v>1.6484024841553258</c:v>
              </c:pt>
              <c:pt idx="2603">
                <c:v>0</c:v>
              </c:pt>
              <c:pt idx="2604">
                <c:v>0</c:v>
              </c:pt>
              <c:pt idx="2605">
                <c:v>1.6484024841553258</c:v>
              </c:pt>
              <c:pt idx="2606">
                <c:v>1.6484024841553258</c:v>
              </c:pt>
              <c:pt idx="2607">
                <c:v>0</c:v>
              </c:pt>
              <c:pt idx="2608">
                <c:v>0</c:v>
              </c:pt>
              <c:pt idx="2609">
                <c:v>1.6484024841553258</c:v>
              </c:pt>
              <c:pt idx="2610">
                <c:v>1.6484024841553258</c:v>
              </c:pt>
              <c:pt idx="2611">
                <c:v>0</c:v>
              </c:pt>
              <c:pt idx="2612">
                <c:v>0</c:v>
              </c:pt>
              <c:pt idx="2613">
                <c:v>1.6484024841553258</c:v>
              </c:pt>
              <c:pt idx="2614">
                <c:v>1.6484024841553258</c:v>
              </c:pt>
              <c:pt idx="2615">
                <c:v>0</c:v>
              </c:pt>
              <c:pt idx="2616">
                <c:v>0</c:v>
              </c:pt>
              <c:pt idx="2617">
                <c:v>1.6484024841553258</c:v>
              </c:pt>
              <c:pt idx="2618">
                <c:v>1.6484024841553258</c:v>
              </c:pt>
              <c:pt idx="2619">
                <c:v>0</c:v>
              </c:pt>
              <c:pt idx="2620">
                <c:v>0</c:v>
              </c:pt>
              <c:pt idx="2621">
                <c:v>1.6484024841553258</c:v>
              </c:pt>
              <c:pt idx="2622">
                <c:v>1.6484024841553258</c:v>
              </c:pt>
              <c:pt idx="2623">
                <c:v>0</c:v>
              </c:pt>
              <c:pt idx="2624">
                <c:v>0</c:v>
              </c:pt>
              <c:pt idx="2625">
                <c:v>1.6484024841553258</c:v>
              </c:pt>
              <c:pt idx="2626">
                <c:v>1.6484024841553258</c:v>
              </c:pt>
              <c:pt idx="2627">
                <c:v>0</c:v>
              </c:pt>
              <c:pt idx="2628">
                <c:v>0</c:v>
              </c:pt>
              <c:pt idx="2629">
                <c:v>1.6484024841553258</c:v>
              </c:pt>
              <c:pt idx="2630">
                <c:v>1.6484024841553258</c:v>
              </c:pt>
              <c:pt idx="2631">
                <c:v>0</c:v>
              </c:pt>
              <c:pt idx="2632">
                <c:v>0</c:v>
              </c:pt>
              <c:pt idx="2633">
                <c:v>1.6484024841553258</c:v>
              </c:pt>
              <c:pt idx="2634">
                <c:v>1.6484024841553258</c:v>
              </c:pt>
              <c:pt idx="2635">
                <c:v>0</c:v>
              </c:pt>
              <c:pt idx="2636">
                <c:v>0</c:v>
              </c:pt>
              <c:pt idx="2637">
                <c:v>1.6484024841553258</c:v>
              </c:pt>
              <c:pt idx="2638">
                <c:v>1.6484024841553258</c:v>
              </c:pt>
              <c:pt idx="2639">
                <c:v>0</c:v>
              </c:pt>
              <c:pt idx="2640">
                <c:v>0</c:v>
              </c:pt>
              <c:pt idx="2641">
                <c:v>1.6484024841553258</c:v>
              </c:pt>
              <c:pt idx="2642">
                <c:v>1.6484024841553258</c:v>
              </c:pt>
              <c:pt idx="2643">
                <c:v>0</c:v>
              </c:pt>
              <c:pt idx="2644">
                <c:v>0</c:v>
              </c:pt>
              <c:pt idx="2645">
                <c:v>1.6484024841553258</c:v>
              </c:pt>
              <c:pt idx="2646">
                <c:v>1.6484024841553258</c:v>
              </c:pt>
              <c:pt idx="2647">
                <c:v>0</c:v>
              </c:pt>
              <c:pt idx="2648">
                <c:v>0</c:v>
              </c:pt>
              <c:pt idx="2649">
                <c:v>1.6484024841553258</c:v>
              </c:pt>
              <c:pt idx="2650">
                <c:v>1.6484024841553258</c:v>
              </c:pt>
              <c:pt idx="2651">
                <c:v>0</c:v>
              </c:pt>
              <c:pt idx="2652">
                <c:v>0</c:v>
              </c:pt>
              <c:pt idx="2653">
                <c:v>1.6484024841553258</c:v>
              </c:pt>
              <c:pt idx="2654">
                <c:v>1.6484024841553258</c:v>
              </c:pt>
              <c:pt idx="2655">
                <c:v>0</c:v>
              </c:pt>
              <c:pt idx="2656">
                <c:v>0</c:v>
              </c:pt>
              <c:pt idx="2657">
                <c:v>1.6484024841553258</c:v>
              </c:pt>
              <c:pt idx="2658">
                <c:v>1.6484024841553258</c:v>
              </c:pt>
              <c:pt idx="2659">
                <c:v>0</c:v>
              </c:pt>
              <c:pt idx="2660">
                <c:v>1.6484024841553258</c:v>
              </c:pt>
              <c:pt idx="2661">
                <c:v>0</c:v>
              </c:pt>
              <c:pt idx="2664">
                <c:v>0</c:v>
              </c:pt>
              <c:pt idx="2665">
                <c:v>0.71511578356738403</c:v>
              </c:pt>
              <c:pt idx="2666">
                <c:v>0.71511578356738403</c:v>
              </c:pt>
              <c:pt idx="2667">
                <c:v>0</c:v>
              </c:pt>
              <c:pt idx="2668">
                <c:v>0</c:v>
              </c:pt>
              <c:pt idx="2669">
                <c:v>0.71511578356738403</c:v>
              </c:pt>
              <c:pt idx="2670">
                <c:v>0.71511578356738403</c:v>
              </c:pt>
              <c:pt idx="2671">
                <c:v>0</c:v>
              </c:pt>
              <c:pt idx="2672">
                <c:v>0</c:v>
              </c:pt>
              <c:pt idx="2673">
                <c:v>0.71511578356738403</c:v>
              </c:pt>
              <c:pt idx="2674">
                <c:v>0.71511578356738403</c:v>
              </c:pt>
              <c:pt idx="2675">
                <c:v>0</c:v>
              </c:pt>
              <c:pt idx="2676">
                <c:v>0</c:v>
              </c:pt>
              <c:pt idx="2677">
                <c:v>0.71511578356738403</c:v>
              </c:pt>
              <c:pt idx="2678">
                <c:v>0.71511578356738403</c:v>
              </c:pt>
              <c:pt idx="2679">
                <c:v>0</c:v>
              </c:pt>
              <c:pt idx="2680">
                <c:v>0</c:v>
              </c:pt>
              <c:pt idx="2681">
                <c:v>0.71511578356738403</c:v>
              </c:pt>
              <c:pt idx="2682">
                <c:v>0.71511578356738403</c:v>
              </c:pt>
              <c:pt idx="2683">
                <c:v>0</c:v>
              </c:pt>
              <c:pt idx="2684">
                <c:v>0</c:v>
              </c:pt>
              <c:pt idx="2685">
                <c:v>0.71511578356738403</c:v>
              </c:pt>
              <c:pt idx="2686">
                <c:v>0.71511578356738403</c:v>
              </c:pt>
              <c:pt idx="2687">
                <c:v>0</c:v>
              </c:pt>
              <c:pt idx="2688">
                <c:v>0</c:v>
              </c:pt>
              <c:pt idx="2689">
                <c:v>0.71511578356738403</c:v>
              </c:pt>
              <c:pt idx="2690">
                <c:v>0.71511578356738403</c:v>
              </c:pt>
              <c:pt idx="2691">
                <c:v>0</c:v>
              </c:pt>
              <c:pt idx="2692">
                <c:v>0</c:v>
              </c:pt>
              <c:pt idx="2693">
                <c:v>0.71511578356738403</c:v>
              </c:pt>
              <c:pt idx="2694">
                <c:v>0.71511578356738403</c:v>
              </c:pt>
              <c:pt idx="2695">
                <c:v>0</c:v>
              </c:pt>
              <c:pt idx="2696">
                <c:v>0</c:v>
              </c:pt>
              <c:pt idx="2697">
                <c:v>0.71511578356738403</c:v>
              </c:pt>
              <c:pt idx="2698">
                <c:v>0.71511578356738403</c:v>
              </c:pt>
              <c:pt idx="2699">
                <c:v>0</c:v>
              </c:pt>
              <c:pt idx="2700">
                <c:v>0</c:v>
              </c:pt>
              <c:pt idx="2701">
                <c:v>0.71511578356738403</c:v>
              </c:pt>
              <c:pt idx="2702">
                <c:v>0.71511578356738403</c:v>
              </c:pt>
              <c:pt idx="2703">
                <c:v>0</c:v>
              </c:pt>
              <c:pt idx="2704">
                <c:v>0</c:v>
              </c:pt>
              <c:pt idx="2705">
                <c:v>0.71511578356738403</c:v>
              </c:pt>
              <c:pt idx="2706">
                <c:v>0.71511578356738403</c:v>
              </c:pt>
              <c:pt idx="2707">
                <c:v>0</c:v>
              </c:pt>
              <c:pt idx="2708">
                <c:v>0</c:v>
              </c:pt>
              <c:pt idx="2709">
                <c:v>0.71511578356738403</c:v>
              </c:pt>
              <c:pt idx="2710">
                <c:v>0.71511578356738403</c:v>
              </c:pt>
              <c:pt idx="2711">
                <c:v>0</c:v>
              </c:pt>
              <c:pt idx="2712">
                <c:v>0</c:v>
              </c:pt>
              <c:pt idx="2713">
                <c:v>0.71511578356738403</c:v>
              </c:pt>
              <c:pt idx="2714">
                <c:v>0.71511578356738403</c:v>
              </c:pt>
              <c:pt idx="2715">
                <c:v>0</c:v>
              </c:pt>
              <c:pt idx="2716">
                <c:v>0</c:v>
              </c:pt>
              <c:pt idx="2717">
                <c:v>0.71511578356738403</c:v>
              </c:pt>
              <c:pt idx="2718">
                <c:v>0.71511578356738403</c:v>
              </c:pt>
              <c:pt idx="2719">
                <c:v>0</c:v>
              </c:pt>
              <c:pt idx="2720">
                <c:v>0</c:v>
              </c:pt>
              <c:pt idx="2721">
                <c:v>0.71511578356738403</c:v>
              </c:pt>
              <c:pt idx="2722">
                <c:v>0.71511578356738403</c:v>
              </c:pt>
              <c:pt idx="2723">
                <c:v>0</c:v>
              </c:pt>
              <c:pt idx="2724">
                <c:v>0</c:v>
              </c:pt>
              <c:pt idx="2725">
                <c:v>0.71511578356738403</c:v>
              </c:pt>
              <c:pt idx="2726">
                <c:v>0.71511578356738403</c:v>
              </c:pt>
              <c:pt idx="2727">
                <c:v>0</c:v>
              </c:pt>
              <c:pt idx="2728">
                <c:v>0</c:v>
              </c:pt>
              <c:pt idx="2729">
                <c:v>0.71511578356738403</c:v>
              </c:pt>
              <c:pt idx="2730">
                <c:v>0.71511578356738403</c:v>
              </c:pt>
              <c:pt idx="2731">
                <c:v>0</c:v>
              </c:pt>
              <c:pt idx="2732">
                <c:v>0</c:v>
              </c:pt>
              <c:pt idx="2733">
                <c:v>0.71511578356738403</c:v>
              </c:pt>
              <c:pt idx="2734">
                <c:v>0.71511578356738403</c:v>
              </c:pt>
              <c:pt idx="2735">
                <c:v>0</c:v>
              </c:pt>
              <c:pt idx="2736">
                <c:v>0</c:v>
              </c:pt>
              <c:pt idx="2737">
                <c:v>0.71511578356738403</c:v>
              </c:pt>
              <c:pt idx="2738">
                <c:v>0.71511578356738403</c:v>
              </c:pt>
              <c:pt idx="2739">
                <c:v>0</c:v>
              </c:pt>
              <c:pt idx="2740">
                <c:v>0</c:v>
              </c:pt>
              <c:pt idx="2741">
                <c:v>0.71511578356738403</c:v>
              </c:pt>
              <c:pt idx="2742">
                <c:v>0.71511578356738403</c:v>
              </c:pt>
              <c:pt idx="2743">
                <c:v>0</c:v>
              </c:pt>
              <c:pt idx="2744">
                <c:v>0</c:v>
              </c:pt>
              <c:pt idx="2745">
                <c:v>0.71511578356738403</c:v>
              </c:pt>
              <c:pt idx="2746">
                <c:v>0.71511578356738403</c:v>
              </c:pt>
              <c:pt idx="2747">
                <c:v>0</c:v>
              </c:pt>
              <c:pt idx="2748">
                <c:v>0</c:v>
              </c:pt>
              <c:pt idx="2749">
                <c:v>0.71511578356738403</c:v>
              </c:pt>
              <c:pt idx="2750">
                <c:v>0.71511578356738403</c:v>
              </c:pt>
              <c:pt idx="2751">
                <c:v>0</c:v>
              </c:pt>
              <c:pt idx="2752">
                <c:v>0</c:v>
              </c:pt>
              <c:pt idx="2753">
                <c:v>0.71511578356738403</c:v>
              </c:pt>
              <c:pt idx="2754">
                <c:v>0.71511578356738403</c:v>
              </c:pt>
              <c:pt idx="2755">
                <c:v>0</c:v>
              </c:pt>
              <c:pt idx="2756">
                <c:v>0</c:v>
              </c:pt>
              <c:pt idx="2757">
                <c:v>0.71511578356738403</c:v>
              </c:pt>
              <c:pt idx="2758">
                <c:v>0.71511578356738403</c:v>
              </c:pt>
              <c:pt idx="2759">
                <c:v>0</c:v>
              </c:pt>
              <c:pt idx="2760">
                <c:v>0</c:v>
              </c:pt>
              <c:pt idx="2761">
                <c:v>0.71511578356738403</c:v>
              </c:pt>
              <c:pt idx="2762">
                <c:v>0.71511578356738403</c:v>
              </c:pt>
              <c:pt idx="2763">
                <c:v>0</c:v>
              </c:pt>
              <c:pt idx="2764">
                <c:v>0</c:v>
              </c:pt>
              <c:pt idx="2765">
                <c:v>0.71511578356738403</c:v>
              </c:pt>
              <c:pt idx="2766">
                <c:v>0.71511578356738403</c:v>
              </c:pt>
              <c:pt idx="2767">
                <c:v>0</c:v>
              </c:pt>
              <c:pt idx="2768">
                <c:v>0</c:v>
              </c:pt>
              <c:pt idx="2769">
                <c:v>0.71511578356738403</c:v>
              </c:pt>
              <c:pt idx="2770">
                <c:v>0.71511578356738403</c:v>
              </c:pt>
              <c:pt idx="2771">
                <c:v>0</c:v>
              </c:pt>
              <c:pt idx="2772">
                <c:v>0</c:v>
              </c:pt>
              <c:pt idx="2773">
                <c:v>0.71511578356738403</c:v>
              </c:pt>
              <c:pt idx="2774">
                <c:v>0.71511578356738403</c:v>
              </c:pt>
              <c:pt idx="2775">
                <c:v>0</c:v>
              </c:pt>
              <c:pt idx="2776">
                <c:v>0</c:v>
              </c:pt>
              <c:pt idx="2777">
                <c:v>0.71511578356738403</c:v>
              </c:pt>
              <c:pt idx="2778">
                <c:v>0.71511578356738403</c:v>
              </c:pt>
              <c:pt idx="2779">
                <c:v>0</c:v>
              </c:pt>
              <c:pt idx="2780">
                <c:v>0</c:v>
              </c:pt>
              <c:pt idx="2781">
                <c:v>0.71511578356738403</c:v>
              </c:pt>
              <c:pt idx="2782">
                <c:v>0.71511578356738403</c:v>
              </c:pt>
              <c:pt idx="2783">
                <c:v>0</c:v>
              </c:pt>
              <c:pt idx="2784">
                <c:v>0</c:v>
              </c:pt>
              <c:pt idx="2785">
                <c:v>0.71511578356738403</c:v>
              </c:pt>
              <c:pt idx="2786">
                <c:v>0.71511578356738403</c:v>
              </c:pt>
              <c:pt idx="2787">
                <c:v>0</c:v>
              </c:pt>
              <c:pt idx="2788">
                <c:v>0</c:v>
              </c:pt>
              <c:pt idx="2789">
                <c:v>0.71511578356738403</c:v>
              </c:pt>
              <c:pt idx="2790">
                <c:v>0.71511578356738403</c:v>
              </c:pt>
              <c:pt idx="2791">
                <c:v>0</c:v>
              </c:pt>
              <c:pt idx="2792">
                <c:v>0</c:v>
              </c:pt>
              <c:pt idx="2793">
                <c:v>0.71511578356738403</c:v>
              </c:pt>
              <c:pt idx="2794">
                <c:v>0.71511578356738403</c:v>
              </c:pt>
              <c:pt idx="2795">
                <c:v>0</c:v>
              </c:pt>
              <c:pt idx="2796">
                <c:v>0</c:v>
              </c:pt>
              <c:pt idx="2797">
                <c:v>0.71511578356738403</c:v>
              </c:pt>
              <c:pt idx="2798">
                <c:v>0.71511578356738403</c:v>
              </c:pt>
              <c:pt idx="2799">
                <c:v>0</c:v>
              </c:pt>
              <c:pt idx="2800">
                <c:v>0</c:v>
              </c:pt>
              <c:pt idx="2801">
                <c:v>0.71511578356738403</c:v>
              </c:pt>
              <c:pt idx="2802">
                <c:v>0.71511578356738403</c:v>
              </c:pt>
              <c:pt idx="2803">
                <c:v>0</c:v>
              </c:pt>
              <c:pt idx="2804">
                <c:v>0</c:v>
              </c:pt>
              <c:pt idx="2805">
                <c:v>0.71511578356738403</c:v>
              </c:pt>
              <c:pt idx="2806">
                <c:v>0.71511578356738403</c:v>
              </c:pt>
              <c:pt idx="2807">
                <c:v>0</c:v>
              </c:pt>
              <c:pt idx="2808">
                <c:v>0.71511578356738403</c:v>
              </c:pt>
              <c:pt idx="2809">
                <c:v>0</c:v>
              </c:pt>
              <c:pt idx="2812">
                <c:v>0</c:v>
              </c:pt>
              <c:pt idx="2813">
                <c:v>0.23029152352169993</c:v>
              </c:pt>
              <c:pt idx="2814">
                <c:v>0.23029152352169993</c:v>
              </c:pt>
              <c:pt idx="2815">
                <c:v>0</c:v>
              </c:pt>
              <c:pt idx="2816">
                <c:v>0</c:v>
              </c:pt>
              <c:pt idx="2817">
                <c:v>0.23029152352169993</c:v>
              </c:pt>
              <c:pt idx="2818">
                <c:v>0.23029152352169993</c:v>
              </c:pt>
              <c:pt idx="2819">
                <c:v>0</c:v>
              </c:pt>
              <c:pt idx="2820">
                <c:v>0</c:v>
              </c:pt>
              <c:pt idx="2821">
                <c:v>0.23029152352169993</c:v>
              </c:pt>
              <c:pt idx="2822">
                <c:v>0.23029152352169993</c:v>
              </c:pt>
              <c:pt idx="2823">
                <c:v>0</c:v>
              </c:pt>
              <c:pt idx="2824">
                <c:v>0</c:v>
              </c:pt>
              <c:pt idx="2825">
                <c:v>0.23029152352169993</c:v>
              </c:pt>
              <c:pt idx="2826">
                <c:v>0.23029152352169993</c:v>
              </c:pt>
              <c:pt idx="2827">
                <c:v>0</c:v>
              </c:pt>
              <c:pt idx="2828">
                <c:v>0</c:v>
              </c:pt>
              <c:pt idx="2829">
                <c:v>0.23029152352169993</c:v>
              </c:pt>
              <c:pt idx="2830">
                <c:v>0.23029152352169993</c:v>
              </c:pt>
              <c:pt idx="2831">
                <c:v>0</c:v>
              </c:pt>
              <c:pt idx="2832">
                <c:v>0</c:v>
              </c:pt>
              <c:pt idx="2833">
                <c:v>0.23029152352169993</c:v>
              </c:pt>
              <c:pt idx="2834">
                <c:v>0.23029152352169993</c:v>
              </c:pt>
              <c:pt idx="2835">
                <c:v>0</c:v>
              </c:pt>
              <c:pt idx="2836">
                <c:v>0</c:v>
              </c:pt>
              <c:pt idx="2837">
                <c:v>0.23029152352169993</c:v>
              </c:pt>
              <c:pt idx="2838">
                <c:v>0.23029152352169993</c:v>
              </c:pt>
              <c:pt idx="2839">
                <c:v>0</c:v>
              </c:pt>
              <c:pt idx="2840">
                <c:v>0</c:v>
              </c:pt>
              <c:pt idx="2841">
                <c:v>0.23029152352169993</c:v>
              </c:pt>
              <c:pt idx="2842">
                <c:v>0.23029152352169993</c:v>
              </c:pt>
              <c:pt idx="2843">
                <c:v>0</c:v>
              </c:pt>
              <c:pt idx="2844">
                <c:v>0</c:v>
              </c:pt>
              <c:pt idx="2845">
                <c:v>0.23029152352169993</c:v>
              </c:pt>
              <c:pt idx="2846">
                <c:v>0.23029152352169993</c:v>
              </c:pt>
              <c:pt idx="2847">
                <c:v>0</c:v>
              </c:pt>
              <c:pt idx="2848">
                <c:v>0</c:v>
              </c:pt>
              <c:pt idx="2849">
                <c:v>0.23029152352169993</c:v>
              </c:pt>
              <c:pt idx="2850">
                <c:v>0.23029152352169993</c:v>
              </c:pt>
              <c:pt idx="2851">
                <c:v>0</c:v>
              </c:pt>
              <c:pt idx="2852">
                <c:v>0</c:v>
              </c:pt>
              <c:pt idx="2853">
                <c:v>0.23029152352169993</c:v>
              </c:pt>
              <c:pt idx="2854">
                <c:v>0.23029152352169993</c:v>
              </c:pt>
              <c:pt idx="2855">
                <c:v>0</c:v>
              </c:pt>
              <c:pt idx="2856">
                <c:v>0</c:v>
              </c:pt>
              <c:pt idx="2857">
                <c:v>0.23029152352169993</c:v>
              </c:pt>
              <c:pt idx="2858">
                <c:v>0.23029152352169993</c:v>
              </c:pt>
              <c:pt idx="2859">
                <c:v>0</c:v>
              </c:pt>
              <c:pt idx="2860">
                <c:v>0</c:v>
              </c:pt>
              <c:pt idx="2861">
                <c:v>0.23029152352169993</c:v>
              </c:pt>
              <c:pt idx="2862">
                <c:v>0.23029152352169993</c:v>
              </c:pt>
              <c:pt idx="2863">
                <c:v>0</c:v>
              </c:pt>
              <c:pt idx="2864">
                <c:v>0</c:v>
              </c:pt>
              <c:pt idx="2865">
                <c:v>0.23029152352169993</c:v>
              </c:pt>
              <c:pt idx="2866">
                <c:v>0.23029152352169993</c:v>
              </c:pt>
              <c:pt idx="2867">
                <c:v>0</c:v>
              </c:pt>
              <c:pt idx="2868">
                <c:v>0</c:v>
              </c:pt>
              <c:pt idx="2869">
                <c:v>0.23029152352169993</c:v>
              </c:pt>
              <c:pt idx="2870">
                <c:v>0.23029152352169993</c:v>
              </c:pt>
              <c:pt idx="2871">
                <c:v>0</c:v>
              </c:pt>
              <c:pt idx="2872">
                <c:v>0</c:v>
              </c:pt>
              <c:pt idx="2873">
                <c:v>0.23029152352169993</c:v>
              </c:pt>
              <c:pt idx="2874">
                <c:v>0.23029152352169993</c:v>
              </c:pt>
              <c:pt idx="2875">
                <c:v>0</c:v>
              </c:pt>
              <c:pt idx="2876">
                <c:v>0</c:v>
              </c:pt>
              <c:pt idx="2877">
                <c:v>0.23029152352169993</c:v>
              </c:pt>
              <c:pt idx="2878">
                <c:v>0.23029152352169993</c:v>
              </c:pt>
              <c:pt idx="2879">
                <c:v>0</c:v>
              </c:pt>
              <c:pt idx="2880">
                <c:v>0</c:v>
              </c:pt>
              <c:pt idx="2881">
                <c:v>0.23029152352169993</c:v>
              </c:pt>
              <c:pt idx="2882">
                <c:v>0.23029152352169993</c:v>
              </c:pt>
              <c:pt idx="2883">
                <c:v>0</c:v>
              </c:pt>
              <c:pt idx="2884">
                <c:v>0</c:v>
              </c:pt>
              <c:pt idx="2885">
                <c:v>0.23029152352169993</c:v>
              </c:pt>
              <c:pt idx="2886">
                <c:v>0.23029152352169993</c:v>
              </c:pt>
              <c:pt idx="2887">
                <c:v>0</c:v>
              </c:pt>
              <c:pt idx="2888">
                <c:v>0</c:v>
              </c:pt>
              <c:pt idx="2889">
                <c:v>0.23029152352169993</c:v>
              </c:pt>
              <c:pt idx="2890">
                <c:v>0.23029152352169993</c:v>
              </c:pt>
              <c:pt idx="2891">
                <c:v>0</c:v>
              </c:pt>
              <c:pt idx="2892">
                <c:v>0</c:v>
              </c:pt>
              <c:pt idx="2893">
                <c:v>0.23029152352169993</c:v>
              </c:pt>
              <c:pt idx="2894">
                <c:v>0.23029152352169993</c:v>
              </c:pt>
              <c:pt idx="2895">
                <c:v>0</c:v>
              </c:pt>
              <c:pt idx="2896">
                <c:v>0</c:v>
              </c:pt>
              <c:pt idx="2897">
                <c:v>0.23029152352169993</c:v>
              </c:pt>
              <c:pt idx="2898">
                <c:v>0.23029152352169993</c:v>
              </c:pt>
              <c:pt idx="2899">
                <c:v>0</c:v>
              </c:pt>
              <c:pt idx="2900">
                <c:v>0</c:v>
              </c:pt>
              <c:pt idx="2901">
                <c:v>0.23029152352169993</c:v>
              </c:pt>
              <c:pt idx="2902">
                <c:v>0.23029152352169993</c:v>
              </c:pt>
              <c:pt idx="2903">
                <c:v>0</c:v>
              </c:pt>
              <c:pt idx="2904">
                <c:v>0</c:v>
              </c:pt>
              <c:pt idx="2905">
                <c:v>0.23029152352169993</c:v>
              </c:pt>
              <c:pt idx="2906">
                <c:v>0.23029152352169993</c:v>
              </c:pt>
              <c:pt idx="2907">
                <c:v>0</c:v>
              </c:pt>
              <c:pt idx="2908">
                <c:v>0</c:v>
              </c:pt>
              <c:pt idx="2909">
                <c:v>0.23029152352169993</c:v>
              </c:pt>
              <c:pt idx="2910">
                <c:v>0.23029152352169993</c:v>
              </c:pt>
              <c:pt idx="2911">
                <c:v>0</c:v>
              </c:pt>
              <c:pt idx="2912">
                <c:v>0</c:v>
              </c:pt>
              <c:pt idx="2913">
                <c:v>0.23029152352169993</c:v>
              </c:pt>
              <c:pt idx="2914">
                <c:v>0.23029152352169993</c:v>
              </c:pt>
              <c:pt idx="2915">
                <c:v>0</c:v>
              </c:pt>
              <c:pt idx="2916">
                <c:v>0</c:v>
              </c:pt>
              <c:pt idx="2917">
                <c:v>0.23029152352169993</c:v>
              </c:pt>
              <c:pt idx="2918">
                <c:v>0.23029152352169993</c:v>
              </c:pt>
              <c:pt idx="2919">
                <c:v>0</c:v>
              </c:pt>
              <c:pt idx="2920">
                <c:v>0</c:v>
              </c:pt>
              <c:pt idx="2921">
                <c:v>0.23029152352169993</c:v>
              </c:pt>
              <c:pt idx="2922">
                <c:v>0.23029152352169993</c:v>
              </c:pt>
              <c:pt idx="2923">
                <c:v>0</c:v>
              </c:pt>
              <c:pt idx="2924">
                <c:v>0</c:v>
              </c:pt>
              <c:pt idx="2925">
                <c:v>0.23029152352169993</c:v>
              </c:pt>
              <c:pt idx="2926">
                <c:v>0.23029152352169993</c:v>
              </c:pt>
              <c:pt idx="2927">
                <c:v>0</c:v>
              </c:pt>
              <c:pt idx="2928">
                <c:v>0</c:v>
              </c:pt>
              <c:pt idx="2929">
                <c:v>0.23029152352169993</c:v>
              </c:pt>
              <c:pt idx="2930">
                <c:v>0.23029152352169993</c:v>
              </c:pt>
              <c:pt idx="2931">
                <c:v>0</c:v>
              </c:pt>
              <c:pt idx="2932">
                <c:v>0</c:v>
              </c:pt>
              <c:pt idx="2933">
                <c:v>0.23029152352169993</c:v>
              </c:pt>
              <c:pt idx="2934">
                <c:v>0.23029152352169993</c:v>
              </c:pt>
              <c:pt idx="2935">
                <c:v>0</c:v>
              </c:pt>
              <c:pt idx="2936">
                <c:v>0</c:v>
              </c:pt>
              <c:pt idx="2937">
                <c:v>0.23029152352169993</c:v>
              </c:pt>
              <c:pt idx="2938">
                <c:v>0.23029152352169993</c:v>
              </c:pt>
              <c:pt idx="2939">
                <c:v>0</c:v>
              </c:pt>
              <c:pt idx="2940">
                <c:v>0</c:v>
              </c:pt>
              <c:pt idx="2941">
                <c:v>0.23029152352169993</c:v>
              </c:pt>
              <c:pt idx="2942">
                <c:v>0.23029152352169993</c:v>
              </c:pt>
              <c:pt idx="2943">
                <c:v>0</c:v>
              </c:pt>
              <c:pt idx="2944">
                <c:v>0</c:v>
              </c:pt>
              <c:pt idx="2945">
                <c:v>0.23029152352169993</c:v>
              </c:pt>
              <c:pt idx="2946">
                <c:v>0.23029152352169993</c:v>
              </c:pt>
              <c:pt idx="2947">
                <c:v>0</c:v>
              </c:pt>
              <c:pt idx="2948">
                <c:v>0</c:v>
              </c:pt>
              <c:pt idx="2949">
                <c:v>0.23029152352169993</c:v>
              </c:pt>
              <c:pt idx="2950">
                <c:v>0.23029152352169993</c:v>
              </c:pt>
              <c:pt idx="2951">
                <c:v>0</c:v>
              </c:pt>
              <c:pt idx="2952">
                <c:v>0</c:v>
              </c:pt>
              <c:pt idx="2953">
                <c:v>0.23029152352169993</c:v>
              </c:pt>
              <c:pt idx="2954">
                <c:v>0.23029152352169993</c:v>
              </c:pt>
              <c:pt idx="2955">
                <c:v>0</c:v>
              </c:pt>
              <c:pt idx="2956">
                <c:v>0.23029152352169993</c:v>
              </c:pt>
              <c:pt idx="2957">
                <c:v>0</c:v>
              </c:pt>
              <c:pt idx="2960">
                <c:v>0</c:v>
              </c:pt>
              <c:pt idx="2961">
                <c:v>3.6361819503426304E-2</c:v>
              </c:pt>
              <c:pt idx="2962">
                <c:v>3.6361819503426304E-2</c:v>
              </c:pt>
              <c:pt idx="2963">
                <c:v>0</c:v>
              </c:pt>
              <c:pt idx="2964">
                <c:v>0</c:v>
              </c:pt>
              <c:pt idx="2965">
                <c:v>3.6361819503426304E-2</c:v>
              </c:pt>
              <c:pt idx="2966">
                <c:v>3.6361819503426304E-2</c:v>
              </c:pt>
              <c:pt idx="2967">
                <c:v>0</c:v>
              </c:pt>
              <c:pt idx="2968">
                <c:v>0</c:v>
              </c:pt>
              <c:pt idx="2969">
                <c:v>3.6361819503426304E-2</c:v>
              </c:pt>
              <c:pt idx="2970">
                <c:v>3.6361819503426304E-2</c:v>
              </c:pt>
              <c:pt idx="2971">
                <c:v>0</c:v>
              </c:pt>
              <c:pt idx="2972">
                <c:v>0</c:v>
              </c:pt>
              <c:pt idx="2973">
                <c:v>3.6361819503426304E-2</c:v>
              </c:pt>
              <c:pt idx="2974">
                <c:v>3.6361819503426304E-2</c:v>
              </c:pt>
              <c:pt idx="2975">
                <c:v>0</c:v>
              </c:pt>
              <c:pt idx="2976">
                <c:v>0</c:v>
              </c:pt>
              <c:pt idx="2977">
                <c:v>3.6361819503426304E-2</c:v>
              </c:pt>
              <c:pt idx="2978">
                <c:v>3.6361819503426304E-2</c:v>
              </c:pt>
              <c:pt idx="2979">
                <c:v>0</c:v>
              </c:pt>
              <c:pt idx="2980">
                <c:v>0</c:v>
              </c:pt>
              <c:pt idx="2981">
                <c:v>3.6361819503426304E-2</c:v>
              </c:pt>
              <c:pt idx="2982">
                <c:v>3.6361819503426304E-2</c:v>
              </c:pt>
              <c:pt idx="2983">
                <c:v>0</c:v>
              </c:pt>
              <c:pt idx="2984">
                <c:v>0</c:v>
              </c:pt>
              <c:pt idx="2985">
                <c:v>3.6361819503426304E-2</c:v>
              </c:pt>
              <c:pt idx="2986">
                <c:v>3.6361819503426304E-2</c:v>
              </c:pt>
              <c:pt idx="2987">
                <c:v>0</c:v>
              </c:pt>
              <c:pt idx="2988">
                <c:v>0</c:v>
              </c:pt>
              <c:pt idx="2989">
                <c:v>3.6361819503426304E-2</c:v>
              </c:pt>
              <c:pt idx="2990">
                <c:v>3.6361819503426304E-2</c:v>
              </c:pt>
              <c:pt idx="2991">
                <c:v>0</c:v>
              </c:pt>
              <c:pt idx="2992">
                <c:v>0</c:v>
              </c:pt>
              <c:pt idx="2993">
                <c:v>3.6361819503426304E-2</c:v>
              </c:pt>
              <c:pt idx="2994">
                <c:v>3.6361819503426304E-2</c:v>
              </c:pt>
              <c:pt idx="2995">
                <c:v>0</c:v>
              </c:pt>
              <c:pt idx="2996">
                <c:v>0</c:v>
              </c:pt>
              <c:pt idx="2997">
                <c:v>3.6361819503426304E-2</c:v>
              </c:pt>
              <c:pt idx="2998">
                <c:v>3.6361819503426304E-2</c:v>
              </c:pt>
              <c:pt idx="2999">
                <c:v>0</c:v>
              </c:pt>
              <c:pt idx="3000">
                <c:v>0</c:v>
              </c:pt>
              <c:pt idx="3001">
                <c:v>3.6361819503426304E-2</c:v>
              </c:pt>
              <c:pt idx="3002">
                <c:v>3.6361819503426304E-2</c:v>
              </c:pt>
              <c:pt idx="3003">
                <c:v>0</c:v>
              </c:pt>
              <c:pt idx="3004">
                <c:v>0</c:v>
              </c:pt>
              <c:pt idx="3005">
                <c:v>3.6361819503426304E-2</c:v>
              </c:pt>
              <c:pt idx="3006">
                <c:v>3.6361819503426304E-2</c:v>
              </c:pt>
              <c:pt idx="3007">
                <c:v>0</c:v>
              </c:pt>
              <c:pt idx="3008">
                <c:v>0</c:v>
              </c:pt>
              <c:pt idx="3009">
                <c:v>3.6361819503426304E-2</c:v>
              </c:pt>
              <c:pt idx="3010">
                <c:v>3.6361819503426304E-2</c:v>
              </c:pt>
              <c:pt idx="3011">
                <c:v>0</c:v>
              </c:pt>
              <c:pt idx="3012">
                <c:v>0</c:v>
              </c:pt>
              <c:pt idx="3013">
                <c:v>3.6361819503426304E-2</c:v>
              </c:pt>
              <c:pt idx="3014">
                <c:v>3.6361819503426304E-2</c:v>
              </c:pt>
              <c:pt idx="3015">
                <c:v>0</c:v>
              </c:pt>
              <c:pt idx="3016">
                <c:v>0</c:v>
              </c:pt>
              <c:pt idx="3017">
                <c:v>3.6361819503426304E-2</c:v>
              </c:pt>
              <c:pt idx="3018">
                <c:v>3.6361819503426304E-2</c:v>
              </c:pt>
              <c:pt idx="3019">
                <c:v>0</c:v>
              </c:pt>
              <c:pt idx="3020">
                <c:v>0</c:v>
              </c:pt>
              <c:pt idx="3021">
                <c:v>3.6361819503426304E-2</c:v>
              </c:pt>
              <c:pt idx="3022">
                <c:v>3.6361819503426304E-2</c:v>
              </c:pt>
              <c:pt idx="3023">
                <c:v>0</c:v>
              </c:pt>
              <c:pt idx="3024">
                <c:v>0</c:v>
              </c:pt>
              <c:pt idx="3025">
                <c:v>3.6361819503426304E-2</c:v>
              </c:pt>
              <c:pt idx="3026">
                <c:v>3.6361819503426304E-2</c:v>
              </c:pt>
              <c:pt idx="3027">
                <c:v>0</c:v>
              </c:pt>
              <c:pt idx="3028">
                <c:v>0</c:v>
              </c:pt>
              <c:pt idx="3029">
                <c:v>3.6361819503426304E-2</c:v>
              </c:pt>
              <c:pt idx="3030">
                <c:v>3.6361819503426304E-2</c:v>
              </c:pt>
              <c:pt idx="3031">
                <c:v>0</c:v>
              </c:pt>
              <c:pt idx="3032">
                <c:v>0</c:v>
              </c:pt>
              <c:pt idx="3033">
                <c:v>3.6361819503426304E-2</c:v>
              </c:pt>
              <c:pt idx="3034">
                <c:v>3.6361819503426304E-2</c:v>
              </c:pt>
              <c:pt idx="3035">
                <c:v>0</c:v>
              </c:pt>
              <c:pt idx="3036">
                <c:v>0</c:v>
              </c:pt>
              <c:pt idx="3037">
                <c:v>3.6361819503426304E-2</c:v>
              </c:pt>
              <c:pt idx="3038">
                <c:v>3.6361819503426304E-2</c:v>
              </c:pt>
              <c:pt idx="3039">
                <c:v>0</c:v>
              </c:pt>
              <c:pt idx="3040">
                <c:v>0</c:v>
              </c:pt>
              <c:pt idx="3041">
                <c:v>3.6361819503426304E-2</c:v>
              </c:pt>
              <c:pt idx="3042">
                <c:v>3.6361819503426304E-2</c:v>
              </c:pt>
              <c:pt idx="3043">
                <c:v>0</c:v>
              </c:pt>
              <c:pt idx="3044">
                <c:v>0</c:v>
              </c:pt>
              <c:pt idx="3045">
                <c:v>3.6361819503426304E-2</c:v>
              </c:pt>
              <c:pt idx="3046">
                <c:v>3.6361819503426304E-2</c:v>
              </c:pt>
              <c:pt idx="3047">
                <c:v>0</c:v>
              </c:pt>
              <c:pt idx="3048">
                <c:v>0</c:v>
              </c:pt>
              <c:pt idx="3049">
                <c:v>3.6361819503426304E-2</c:v>
              </c:pt>
              <c:pt idx="3050">
                <c:v>3.6361819503426304E-2</c:v>
              </c:pt>
              <c:pt idx="3051">
                <c:v>0</c:v>
              </c:pt>
              <c:pt idx="3052">
                <c:v>0</c:v>
              </c:pt>
              <c:pt idx="3053">
                <c:v>3.6361819503426304E-2</c:v>
              </c:pt>
              <c:pt idx="3054">
                <c:v>3.6361819503426304E-2</c:v>
              </c:pt>
              <c:pt idx="3055">
                <c:v>0</c:v>
              </c:pt>
              <c:pt idx="3056">
                <c:v>0</c:v>
              </c:pt>
              <c:pt idx="3057">
                <c:v>3.6361819503426304E-2</c:v>
              </c:pt>
              <c:pt idx="3058">
                <c:v>3.6361819503426304E-2</c:v>
              </c:pt>
              <c:pt idx="3059">
                <c:v>0</c:v>
              </c:pt>
              <c:pt idx="3060">
                <c:v>0</c:v>
              </c:pt>
              <c:pt idx="3061">
                <c:v>3.6361819503426304E-2</c:v>
              </c:pt>
              <c:pt idx="3062">
                <c:v>3.6361819503426304E-2</c:v>
              </c:pt>
              <c:pt idx="3063">
                <c:v>0</c:v>
              </c:pt>
              <c:pt idx="3064">
                <c:v>0</c:v>
              </c:pt>
              <c:pt idx="3065">
                <c:v>3.6361819503426304E-2</c:v>
              </c:pt>
              <c:pt idx="3066">
                <c:v>3.6361819503426304E-2</c:v>
              </c:pt>
              <c:pt idx="3067">
                <c:v>0</c:v>
              </c:pt>
              <c:pt idx="3068">
                <c:v>0</c:v>
              </c:pt>
              <c:pt idx="3069">
                <c:v>3.6361819503426304E-2</c:v>
              </c:pt>
              <c:pt idx="3070">
                <c:v>3.6361819503426304E-2</c:v>
              </c:pt>
              <c:pt idx="3071">
                <c:v>0</c:v>
              </c:pt>
              <c:pt idx="3072">
                <c:v>0</c:v>
              </c:pt>
              <c:pt idx="3073">
                <c:v>3.6361819503426304E-2</c:v>
              </c:pt>
              <c:pt idx="3074">
                <c:v>3.6361819503426304E-2</c:v>
              </c:pt>
              <c:pt idx="3075">
                <c:v>0</c:v>
              </c:pt>
              <c:pt idx="3076">
                <c:v>0</c:v>
              </c:pt>
              <c:pt idx="3077">
                <c:v>3.6361819503426304E-2</c:v>
              </c:pt>
              <c:pt idx="3078">
                <c:v>3.6361819503426304E-2</c:v>
              </c:pt>
              <c:pt idx="3079">
                <c:v>0</c:v>
              </c:pt>
              <c:pt idx="3080">
                <c:v>0</c:v>
              </c:pt>
              <c:pt idx="3081">
                <c:v>3.6361819503426304E-2</c:v>
              </c:pt>
              <c:pt idx="3082">
                <c:v>3.6361819503426304E-2</c:v>
              </c:pt>
              <c:pt idx="3083">
                <c:v>0</c:v>
              </c:pt>
              <c:pt idx="3084">
                <c:v>0</c:v>
              </c:pt>
              <c:pt idx="3085">
                <c:v>3.6361819503426304E-2</c:v>
              </c:pt>
              <c:pt idx="3086">
                <c:v>3.6361819503426304E-2</c:v>
              </c:pt>
              <c:pt idx="3087">
                <c:v>0</c:v>
              </c:pt>
              <c:pt idx="3088">
                <c:v>0</c:v>
              </c:pt>
              <c:pt idx="3089">
                <c:v>3.6361819503426304E-2</c:v>
              </c:pt>
              <c:pt idx="3090">
                <c:v>3.6361819503426304E-2</c:v>
              </c:pt>
              <c:pt idx="3091">
                <c:v>0</c:v>
              </c:pt>
              <c:pt idx="3092">
                <c:v>0</c:v>
              </c:pt>
              <c:pt idx="3093">
                <c:v>3.6361819503426304E-2</c:v>
              </c:pt>
              <c:pt idx="3094">
                <c:v>3.6361819503426304E-2</c:v>
              </c:pt>
              <c:pt idx="3095">
                <c:v>0</c:v>
              </c:pt>
              <c:pt idx="3096">
                <c:v>0</c:v>
              </c:pt>
              <c:pt idx="3097">
                <c:v>3.6361819503426304E-2</c:v>
              </c:pt>
              <c:pt idx="3098">
                <c:v>3.6361819503426304E-2</c:v>
              </c:pt>
              <c:pt idx="3099">
                <c:v>0</c:v>
              </c:pt>
              <c:pt idx="3100">
                <c:v>0</c:v>
              </c:pt>
              <c:pt idx="3101">
                <c:v>3.6361819503426304E-2</c:v>
              </c:pt>
              <c:pt idx="3102">
                <c:v>3.6361819503426304E-2</c:v>
              </c:pt>
              <c:pt idx="3103">
                <c:v>0</c:v>
              </c:pt>
              <c:pt idx="3104">
                <c:v>3.6361819503426304E-2</c:v>
              </c:pt>
              <c:pt idx="3105">
                <c:v>0</c:v>
              </c:pt>
            </c:numLit>
          </c:yVal>
          <c:smooth val="0"/>
        </c:ser>
        <c:ser>
          <c:idx val="3"/>
          <c:order val="3"/>
          <c:spPr>
            <a:ln w="25400">
              <a:solidFill>
                <a:srgbClr val="000000"/>
              </a:solidFill>
              <a:prstDash val="solid"/>
            </a:ln>
          </c:spPr>
          <c:marker>
            <c:symbol val="none"/>
          </c:marker>
          <c:xVal>
            <c:numLit>
              <c:formatCode>General</c:formatCode>
              <c:ptCount val="65"/>
              <c:pt idx="0">
                <c:v>1.8623631447553635E-2</c:v>
              </c:pt>
              <c:pt idx="1">
                <c:v>1.8623631447553635E-2</c:v>
              </c:pt>
              <c:pt idx="2">
                <c:v>1.8623631447553635E-2</c:v>
              </c:pt>
              <c:pt idx="3">
                <c:v>3.5124455889066063E-2</c:v>
              </c:pt>
              <c:pt idx="4">
                <c:v>3.5124455889066063E-2</c:v>
              </c:pt>
              <c:pt idx="5">
                <c:v>3.5124455889066063E-2</c:v>
              </c:pt>
              <c:pt idx="6">
                <c:v>5.1625280330578484E-2</c:v>
              </c:pt>
              <c:pt idx="7">
                <c:v>5.1625280330578484E-2</c:v>
              </c:pt>
              <c:pt idx="8">
                <c:v>5.1625280330578484E-2</c:v>
              </c:pt>
              <c:pt idx="9">
                <c:v>6.8126104772090912E-2</c:v>
              </c:pt>
              <c:pt idx="10">
                <c:v>6.8126104772090912E-2</c:v>
              </c:pt>
              <c:pt idx="11">
                <c:v>6.8126104772090912E-2</c:v>
              </c:pt>
              <c:pt idx="12">
                <c:v>8.4626929213603333E-2</c:v>
              </c:pt>
              <c:pt idx="13">
                <c:v>8.4626929213603333E-2</c:v>
              </c:pt>
              <c:pt idx="14">
                <c:v>8.4626929213603333E-2</c:v>
              </c:pt>
              <c:pt idx="15">
                <c:v>0.10112775365511577</c:v>
              </c:pt>
              <c:pt idx="16">
                <c:v>0.10112775365511577</c:v>
              </c:pt>
              <c:pt idx="17">
                <c:v>0.10112775365511577</c:v>
              </c:pt>
              <c:pt idx="18">
                <c:v>0.11762857809662819</c:v>
              </c:pt>
              <c:pt idx="19">
                <c:v>0.11762857809662819</c:v>
              </c:pt>
              <c:pt idx="20">
                <c:v>0.11762857809662819</c:v>
              </c:pt>
              <c:pt idx="21">
                <c:v>0.13412940253814062</c:v>
              </c:pt>
              <c:pt idx="22">
                <c:v>0.13412940253814062</c:v>
              </c:pt>
              <c:pt idx="23">
                <c:v>0.13412940253814062</c:v>
              </c:pt>
              <c:pt idx="24">
                <c:v>0.15063022697965303</c:v>
              </c:pt>
              <c:pt idx="25">
                <c:v>0.15063022697965303</c:v>
              </c:pt>
              <c:pt idx="26">
                <c:v>0.15063022697965303</c:v>
              </c:pt>
              <c:pt idx="27">
                <c:v>0.16713105142116547</c:v>
              </c:pt>
              <c:pt idx="28">
                <c:v>0.16713105142116547</c:v>
              </c:pt>
              <c:pt idx="29">
                <c:v>0.16713105142116547</c:v>
              </c:pt>
              <c:pt idx="30">
                <c:v>0.1836318758626779</c:v>
              </c:pt>
              <c:pt idx="31">
                <c:v>0.1836318758626779</c:v>
              </c:pt>
              <c:pt idx="32">
                <c:v>0.1836318758626779</c:v>
              </c:pt>
              <c:pt idx="33">
                <c:v>0.20013270030419031</c:v>
              </c:pt>
              <c:pt idx="34">
                <c:v>0.20013270030419031</c:v>
              </c:pt>
              <c:pt idx="35">
                <c:v>0.20013270030419031</c:v>
              </c:pt>
              <c:pt idx="36">
                <c:v>0.21663352474570274</c:v>
              </c:pt>
              <c:pt idx="37">
                <c:v>0.21663352474570274</c:v>
              </c:pt>
              <c:pt idx="38">
                <c:v>0.21663352474570274</c:v>
              </c:pt>
              <c:pt idx="39">
                <c:v>0.23313434918721518</c:v>
              </c:pt>
              <c:pt idx="40">
                <c:v>0.23313434918721518</c:v>
              </c:pt>
              <c:pt idx="41">
                <c:v>0.23313434918721518</c:v>
              </c:pt>
              <c:pt idx="42">
                <c:v>0.24963517362872759</c:v>
              </c:pt>
              <c:pt idx="43">
                <c:v>0.24963517362872759</c:v>
              </c:pt>
              <c:pt idx="44">
                <c:v>0.24963517362872759</c:v>
              </c:pt>
              <c:pt idx="45">
                <c:v>0.26613599807024002</c:v>
              </c:pt>
              <c:pt idx="46">
                <c:v>0.26613599807024002</c:v>
              </c:pt>
              <c:pt idx="47">
                <c:v>0.26613599807024002</c:v>
              </c:pt>
              <c:pt idx="48">
                <c:v>0.28263682251175243</c:v>
              </c:pt>
              <c:pt idx="49">
                <c:v>0.28263682251175243</c:v>
              </c:pt>
              <c:pt idx="50">
                <c:v>0.28263682251175243</c:v>
              </c:pt>
              <c:pt idx="51">
                <c:v>0.29913764695326489</c:v>
              </c:pt>
              <c:pt idx="52">
                <c:v>0.29913764695326489</c:v>
              </c:pt>
              <c:pt idx="53">
                <c:v>0.29913764695326489</c:v>
              </c:pt>
              <c:pt idx="54">
                <c:v>0.3156384713947773</c:v>
              </c:pt>
              <c:pt idx="55">
                <c:v>0.3156384713947773</c:v>
              </c:pt>
              <c:pt idx="56">
                <c:v>0.3156384713947773</c:v>
              </c:pt>
              <c:pt idx="57">
                <c:v>0.33213929583628971</c:v>
              </c:pt>
              <c:pt idx="58">
                <c:v>0.33213929583628971</c:v>
              </c:pt>
              <c:pt idx="59">
                <c:v>0.33213929583628971</c:v>
              </c:pt>
              <c:pt idx="60">
                <c:v>0.34864012027780217</c:v>
              </c:pt>
              <c:pt idx="61">
                <c:v>0.34864012027780217</c:v>
              </c:pt>
              <c:pt idx="62">
                <c:v>0.34864012027780217</c:v>
              </c:pt>
              <c:pt idx="63">
                <c:v>0.36514094471931458</c:v>
              </c:pt>
              <c:pt idx="64">
                <c:v>0.36514094471931458</c:v>
              </c:pt>
            </c:numLit>
          </c:xVal>
          <c:yVal>
            <c:numLit>
              <c:formatCode>General</c:formatCode>
              <c:ptCount val="65"/>
              <c:pt idx="0">
                <c:v>0</c:v>
              </c:pt>
              <c:pt idx="1">
                <c:v>0</c:v>
              </c:pt>
              <c:pt idx="2">
                <c:v>2.4241213002284205E-2</c:v>
              </c:pt>
              <c:pt idx="3">
                <c:v>2.4241213002284205E-2</c:v>
              </c:pt>
              <c:pt idx="4">
                <c:v>0</c:v>
              </c:pt>
              <c:pt idx="5">
                <c:v>9.696485200913682E-2</c:v>
              </c:pt>
              <c:pt idx="6">
                <c:v>9.696485200913682E-2</c:v>
              </c:pt>
              <c:pt idx="7">
                <c:v>0</c:v>
              </c:pt>
              <c:pt idx="8">
                <c:v>0.14544727801370522</c:v>
              </c:pt>
              <c:pt idx="9">
                <c:v>0.14544727801370522</c:v>
              </c:pt>
              <c:pt idx="10">
                <c:v>0</c:v>
              </c:pt>
              <c:pt idx="11">
                <c:v>0.31513576902969465</c:v>
              </c:pt>
              <c:pt idx="12">
                <c:v>0.31513576902969465</c:v>
              </c:pt>
              <c:pt idx="13">
                <c:v>0</c:v>
              </c:pt>
              <c:pt idx="14">
                <c:v>0.69087457056509982</c:v>
              </c:pt>
              <c:pt idx="15">
                <c:v>0.69087457056509982</c:v>
              </c:pt>
              <c:pt idx="16">
                <c:v>0</c:v>
              </c:pt>
              <c:pt idx="17">
                <c:v>1.2363018631164944</c:v>
              </c:pt>
              <c:pt idx="18">
                <c:v>1.2363018631164944</c:v>
              </c:pt>
              <c:pt idx="19">
                <c:v>0</c:v>
              </c:pt>
              <c:pt idx="20">
                <c:v>2.0968649246975835</c:v>
              </c:pt>
              <c:pt idx="21">
                <c:v>2.0968649246975835</c:v>
              </c:pt>
              <c:pt idx="22">
                <c:v>0</c:v>
              </c:pt>
              <c:pt idx="23">
                <c:v>3.466493459326641</c:v>
              </c:pt>
              <c:pt idx="24">
                <c:v>3.466493459326641</c:v>
              </c:pt>
              <c:pt idx="25">
                <c:v>0</c:v>
              </c:pt>
              <c:pt idx="26">
                <c:v>4.4240213729168669</c:v>
              </c:pt>
              <c:pt idx="27">
                <c:v>4.4240213729168669</c:v>
              </c:pt>
              <c:pt idx="28">
                <c:v>0</c:v>
              </c:pt>
              <c:pt idx="29">
                <c:v>4.6906747159419933</c:v>
              </c:pt>
              <c:pt idx="30">
                <c:v>4.6906747159419933</c:v>
              </c:pt>
              <c:pt idx="31">
                <c:v>0</c:v>
              </c:pt>
              <c:pt idx="32">
                <c:v>6.2905947740927513</c:v>
              </c:pt>
              <c:pt idx="33">
                <c:v>6.2905947740927513</c:v>
              </c:pt>
              <c:pt idx="34">
                <c:v>0</c:v>
              </c:pt>
              <c:pt idx="35">
                <c:v>7.163278442174982</c:v>
              </c:pt>
              <c:pt idx="36">
                <c:v>7.163278442174982</c:v>
              </c:pt>
              <c:pt idx="37">
                <c:v>0</c:v>
              </c:pt>
              <c:pt idx="38">
                <c:v>7.4299317852001083</c:v>
              </c:pt>
              <c:pt idx="39">
                <c:v>7.4299317852001083</c:v>
              </c:pt>
              <c:pt idx="40">
                <c:v>0</c:v>
              </c:pt>
              <c:pt idx="41">
                <c:v>6.9451075251544241</c:v>
              </c:pt>
              <c:pt idx="42">
                <c:v>6.9451075251544241</c:v>
              </c:pt>
              <c:pt idx="43">
                <c:v>0</c:v>
              </c:pt>
              <c:pt idx="44">
                <c:v>5.914855972557346</c:v>
              </c:pt>
              <c:pt idx="45">
                <c:v>5.914855972557346</c:v>
              </c:pt>
              <c:pt idx="46">
                <c:v>0</c:v>
              </c:pt>
              <c:pt idx="47">
                <c:v>3.9876795388757516</c:v>
              </c:pt>
              <c:pt idx="48">
                <c:v>3.9876795388757516</c:v>
              </c:pt>
              <c:pt idx="49">
                <c:v>0</c:v>
              </c:pt>
              <c:pt idx="50">
                <c:v>3.0543928382878098</c:v>
              </c:pt>
              <c:pt idx="51">
                <c:v>3.0543928382878098</c:v>
              </c:pt>
              <c:pt idx="52">
                <c:v>0</c:v>
              </c:pt>
              <c:pt idx="53">
                <c:v>1.6484024841553258</c:v>
              </c:pt>
              <c:pt idx="54">
                <c:v>1.6484024841553258</c:v>
              </c:pt>
              <c:pt idx="55">
                <c:v>0</c:v>
              </c:pt>
              <c:pt idx="56">
                <c:v>0.71511578356738403</c:v>
              </c:pt>
              <c:pt idx="57">
                <c:v>0.71511578356738403</c:v>
              </c:pt>
              <c:pt idx="58">
                <c:v>0</c:v>
              </c:pt>
              <c:pt idx="59">
                <c:v>0.23029152352169993</c:v>
              </c:pt>
              <c:pt idx="60">
                <c:v>0.23029152352169993</c:v>
              </c:pt>
              <c:pt idx="61">
                <c:v>0</c:v>
              </c:pt>
              <c:pt idx="62">
                <c:v>3.6361819503426304E-2</c:v>
              </c:pt>
              <c:pt idx="63">
                <c:v>3.6361819503426304E-2</c:v>
              </c:pt>
              <c:pt idx="64">
                <c:v>0</c:v>
              </c:pt>
            </c:numLit>
          </c:yVal>
          <c:smooth val="0"/>
        </c:ser>
        <c:ser>
          <c:idx val="4"/>
          <c:order val="4"/>
          <c:tx>
            <c:v>meanLabel</c:v>
          </c:tx>
          <c:spPr>
            <a:ln w="19050">
              <a:noFill/>
            </a:ln>
          </c:spPr>
          <c:marker>
            <c:symbol val="none"/>
          </c:marker>
          <c:xVal>
            <c:numLit>
              <c:formatCode>General</c:formatCode>
              <c:ptCount val="1"/>
              <c:pt idx="0">
                <c:v>0.21300935745239258</c:v>
              </c:pt>
            </c:numLit>
          </c:xVal>
          <c:yVal>
            <c:numLit>
              <c:formatCode>General</c:formatCode>
              <c:ptCount val="1"/>
              <c:pt idx="0">
                <c:v>0</c:v>
              </c:pt>
            </c:numLit>
          </c:yVal>
          <c:smooth val="0"/>
        </c:ser>
        <c:ser>
          <c:idx val="5"/>
          <c:order val="5"/>
          <c:tx>
            <c:v>xDelimiter</c:v>
          </c:tx>
          <c:spPr>
            <a:ln w="19050">
              <a:noFill/>
            </a:ln>
          </c:spPr>
          <c:marker>
            <c:symbol val="none"/>
          </c:marker>
          <c:dLbls>
            <c:dLbl>
              <c:idx val="0"/>
              <c:layout>
                <c:manualLayout>
                  <c:x val="-4.289056712489836E-2"/>
                  <c:y val="-0.65716489246992837"/>
                </c:manualLayout>
              </c:layout>
              <c:tx>
                <c:rich>
                  <a:bodyPr/>
                  <a:lstStyle/>
                  <a:p>
                    <a:pPr>
                      <a:defRPr sz="800" b="0" i="0" u="none" strike="noStrike" baseline="0">
                        <a:solidFill>
                          <a:srgbClr val="000000"/>
                        </a:solidFill>
                        <a:latin typeface="Arial"/>
                        <a:ea typeface="Arial"/>
                        <a:cs typeface="Arial"/>
                      </a:defRPr>
                    </a:pPr>
                    <a:r>
                      <a:rPr lang="en-US"/>
                      <a:t>X &lt;=0.15</a:t>
                    </a:r>
                  </a:p>
                  <a:p>
                    <a:pPr>
                      <a:defRPr sz="800" b="0" i="0" u="none" strike="noStrike" baseline="0">
                        <a:solidFill>
                          <a:srgbClr val="000000"/>
                        </a:solidFill>
                        <a:latin typeface="Arial"/>
                        <a:ea typeface="Arial"/>
                        <a:cs typeface="Arial"/>
                      </a:defRPr>
                    </a:pPr>
                    <a:r>
                      <a:rPr lang="en-US"/>
                      <a:t>13%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1092504260824114E-2"/>
                  <c:y val="-0.65716489246992837"/>
                </c:manualLayout>
              </c:layout>
              <c:tx>
                <c:rich>
                  <a:bodyPr/>
                  <a:lstStyle/>
                  <a:p>
                    <a:pPr>
                      <a:defRPr sz="800" b="0" i="0" u="none" strike="noStrike" baseline="0">
                        <a:solidFill>
                          <a:srgbClr val="000000"/>
                        </a:solidFill>
                        <a:latin typeface="Arial"/>
                        <a:ea typeface="Arial"/>
                        <a:cs typeface="Arial"/>
                      </a:defRPr>
                    </a:pPr>
                    <a:r>
                      <a:rPr lang="en-US"/>
                      <a:t>X &lt;=0.3</a:t>
                    </a:r>
                  </a:p>
                  <a:p>
                    <a:pPr>
                      <a:defRPr sz="800" b="0" i="0" u="none" strike="noStrike" baseline="0">
                        <a:solidFill>
                          <a:srgbClr val="000000"/>
                        </a:solidFill>
                        <a:latin typeface="Arial"/>
                        <a:ea typeface="Arial"/>
                        <a:cs typeface="Arial"/>
                      </a:defRPr>
                    </a:pPr>
                    <a:r>
                      <a:rPr lang="en-US"/>
                      <a:t>95%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errBars>
            <c:errDir val="y"/>
            <c:errBarType val="plus"/>
            <c:errValType val="fixedVal"/>
            <c:noEndCap val="0"/>
            <c:val val="8"/>
            <c:spPr>
              <a:ln w="25400">
                <a:solidFill>
                  <a:srgbClr val="C0C0C0"/>
                </a:solidFill>
                <a:prstDash val="solid"/>
              </a:ln>
            </c:spPr>
          </c:errBars>
          <c:xVal>
            <c:numLit>
              <c:formatCode>General</c:formatCode>
              <c:ptCount val="3"/>
              <c:pt idx="0">
                <c:v>0.14998577535152435</c:v>
              </c:pt>
              <c:pt idx="1">
                <c:v>0.29618296027183533</c:v>
              </c:pt>
            </c:numLit>
          </c:xVal>
          <c:yVal>
            <c:numLit>
              <c:formatCode>General</c:formatCode>
              <c:ptCount val="3"/>
              <c:pt idx="0">
                <c:v>0</c:v>
              </c:pt>
              <c:pt idx="1">
                <c:v>0</c:v>
              </c:pt>
            </c:numLit>
          </c:yVal>
          <c:smooth val="0"/>
        </c:ser>
        <c:dLbls>
          <c:showLegendKey val="0"/>
          <c:showVal val="0"/>
          <c:showCatName val="0"/>
          <c:showSerName val="0"/>
          <c:showPercent val="0"/>
          <c:showBubbleSize val="0"/>
        </c:dLbls>
        <c:axId val="254077592"/>
        <c:axId val="254077984"/>
      </c:scatterChart>
      <c:valAx>
        <c:axId val="254077592"/>
        <c:scaling>
          <c:orientation val="minMax"/>
          <c:max val="0.4"/>
          <c:min val="0"/>
        </c:scaling>
        <c:delete val="0"/>
        <c:axPos val="b"/>
        <c:title>
          <c:tx>
            <c:rich>
              <a:bodyPr/>
              <a:lstStyle/>
              <a:p>
                <a:pPr>
                  <a:defRPr sz="1025" b="1" i="0" u="none" strike="noStrike" baseline="0">
                    <a:solidFill>
                      <a:srgbClr val="000000"/>
                    </a:solidFill>
                    <a:latin typeface="Arial"/>
                    <a:ea typeface="Arial"/>
                    <a:cs typeface="Arial"/>
                  </a:defRPr>
                </a:pPr>
                <a:r>
                  <a:rPr lang="en-US"/>
                  <a:t> Estimated ERR</a:t>
                </a:r>
              </a:p>
            </c:rich>
          </c:tx>
          <c:layout>
            <c:manualLayout>
              <c:xMode val="edge"/>
              <c:yMode val="edge"/>
              <c:x val="0.45240761478163494"/>
              <c:y val="0.90417690417690422"/>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4077984"/>
        <c:crossesAt val="0"/>
        <c:crossBetween val="midCat"/>
        <c:majorUnit val="0.1"/>
      </c:valAx>
      <c:valAx>
        <c:axId val="254077984"/>
        <c:scaling>
          <c:orientation val="minMax"/>
          <c:max val="8"/>
          <c:min val="0"/>
        </c:scaling>
        <c:delete val="0"/>
        <c:axPos val="l"/>
        <c:title>
          <c:tx>
            <c:rich>
              <a:bodyPr/>
              <a:lstStyle/>
              <a:p>
                <a:pPr>
                  <a:defRPr sz="1000" b="1" i="0" u="none" strike="noStrike" baseline="0">
                    <a:solidFill>
                      <a:srgbClr val="000000"/>
                    </a:solidFill>
                    <a:latin typeface="Arial"/>
                    <a:ea typeface="Arial"/>
                    <a:cs typeface="Arial"/>
                  </a:defRPr>
                </a:pPr>
                <a:r>
                  <a:rPr lang="en-US"/>
                  <a:t> </a:t>
                </a:r>
              </a:p>
            </c:rich>
          </c:tx>
          <c:layout>
            <c:manualLayout>
              <c:xMode val="edge"/>
              <c:yMode val="edge"/>
              <c:x val="1.7917133258678612E-2"/>
              <c:y val="0.51842751842751844"/>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4077592"/>
        <c:crossesAt val="0"/>
        <c:crossBetween val="midCat"/>
        <c:majorUnit val="1"/>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Estimated Population Share</a:t>
            </a:r>
          </a:p>
        </c:rich>
      </c:tx>
      <c:overlay val="0"/>
    </c:title>
    <c:autoTitleDeleted val="0"/>
    <c:plotArea>
      <c:layout/>
      <c:barChart>
        <c:barDir val="col"/>
        <c:grouping val="clustered"/>
        <c:varyColors val="0"/>
        <c:ser>
          <c:idx val="0"/>
          <c:order val="0"/>
          <c:invertIfNegative val="0"/>
          <c:cat>
            <c:strRef>
              <c:f>Scratch!$F$22:$U$22</c:f>
              <c:strCache>
                <c:ptCount val="16"/>
                <c:pt idx="0">
                  <c:v>15-19</c:v>
                </c:pt>
                <c:pt idx="1">
                  <c:v>20-24</c:v>
                </c:pt>
                <c:pt idx="2">
                  <c:v>25-29</c:v>
                </c:pt>
                <c:pt idx="3">
                  <c:v>30-34</c:v>
                </c:pt>
                <c:pt idx="4">
                  <c:v>35-39</c:v>
                </c:pt>
                <c:pt idx="5">
                  <c:v>40-44</c:v>
                </c:pt>
                <c:pt idx="6">
                  <c:v>45-49</c:v>
                </c:pt>
                <c:pt idx="7">
                  <c:v>50-54</c:v>
                </c:pt>
                <c:pt idx="8">
                  <c:v>55-59</c:v>
                </c:pt>
                <c:pt idx="9">
                  <c:v>60-64</c:v>
                </c:pt>
                <c:pt idx="10">
                  <c:v>65+</c:v>
                </c:pt>
                <c:pt idx="11">
                  <c:v>66</c:v>
                </c:pt>
                <c:pt idx="12">
                  <c:v>67</c:v>
                </c:pt>
                <c:pt idx="13">
                  <c:v>68</c:v>
                </c:pt>
                <c:pt idx="14">
                  <c:v>69</c:v>
                </c:pt>
                <c:pt idx="15">
                  <c:v>70</c:v>
                </c:pt>
              </c:strCache>
            </c:strRef>
          </c:cat>
          <c:val>
            <c:numRef>
              <c:f>Scratch!$F$32:$U$32</c:f>
              <c:numCache>
                <c:formatCode>General</c:formatCode>
                <c:ptCount val="16"/>
                <c:pt idx="0">
                  <c:v>0.10976503340757238</c:v>
                </c:pt>
                <c:pt idx="1">
                  <c:v>0.10348032665181886</c:v>
                </c:pt>
                <c:pt idx="2">
                  <c:v>8.7778396436525616E-2</c:v>
                </c:pt>
                <c:pt idx="3">
                  <c:v>8.1148849294729028E-2</c:v>
                </c:pt>
                <c:pt idx="4">
                  <c:v>7.2882331106161838E-2</c:v>
                </c:pt>
                <c:pt idx="5">
                  <c:v>6.5868225686711204E-2</c:v>
                </c:pt>
                <c:pt idx="6">
                  <c:v>5.7408685968819602E-2</c:v>
                </c:pt>
                <c:pt idx="7">
                  <c:v>4.1142167780252412E-2</c:v>
                </c:pt>
                <c:pt idx="8">
                  <c:v>2.669487750556793E-2</c:v>
                </c:pt>
                <c:pt idx="9">
                  <c:v>1.8992947290274686E-2</c:v>
                </c:pt>
                <c:pt idx="10">
                  <c:v>1.3513156098802558E-2</c:v>
                </c:pt>
                <c:pt idx="11">
                  <c:v>9.6143786933009425E-3</c:v>
                </c:pt>
                <c:pt idx="12">
                  <c:v>6.8404654680478526E-3</c:v>
                </c:pt>
                <c:pt idx="13">
                  <c:v>4.8668738056010415E-3</c:v>
                </c:pt>
                <c:pt idx="14">
                  <c:v>3.46269720244714E-3</c:v>
                </c:pt>
                <c:pt idx="15">
                  <c:v>2.2157917607536905E-3</c:v>
                </c:pt>
              </c:numCache>
            </c:numRef>
          </c:val>
        </c:ser>
        <c:dLbls>
          <c:showLegendKey val="0"/>
          <c:showVal val="0"/>
          <c:showCatName val="0"/>
          <c:showSerName val="0"/>
          <c:showPercent val="0"/>
          <c:showBubbleSize val="0"/>
        </c:dLbls>
        <c:gapWidth val="150"/>
        <c:axId val="178057864"/>
        <c:axId val="178057080"/>
      </c:barChart>
      <c:catAx>
        <c:axId val="178057864"/>
        <c:scaling>
          <c:orientation val="minMax"/>
        </c:scaling>
        <c:delete val="0"/>
        <c:axPos val="b"/>
        <c:numFmt formatCode="General" sourceLinked="0"/>
        <c:majorTickMark val="none"/>
        <c:minorTickMark val="none"/>
        <c:tickLblPos val="nextTo"/>
        <c:txPr>
          <a:bodyPr/>
          <a:lstStyle/>
          <a:p>
            <a:pPr>
              <a:defRPr lang="en-US"/>
            </a:pPr>
            <a:endParaRPr lang="en-US"/>
          </a:p>
        </c:txPr>
        <c:crossAx val="178057080"/>
        <c:crosses val="autoZero"/>
        <c:auto val="1"/>
        <c:lblAlgn val="ctr"/>
        <c:lblOffset val="100"/>
        <c:noMultiLvlLbl val="0"/>
      </c:catAx>
      <c:valAx>
        <c:axId val="178057080"/>
        <c:scaling>
          <c:orientation val="minMax"/>
        </c:scaling>
        <c:delete val="0"/>
        <c:axPos val="l"/>
        <c:majorGridlines/>
        <c:numFmt formatCode="General" sourceLinked="1"/>
        <c:majorTickMark val="none"/>
        <c:minorTickMark val="none"/>
        <c:tickLblPos val="nextTo"/>
        <c:txPr>
          <a:bodyPr/>
          <a:lstStyle/>
          <a:p>
            <a:pPr>
              <a:defRPr lang="en-US"/>
            </a:pPr>
            <a:endParaRPr lang="en-US"/>
          </a:p>
        </c:txPr>
        <c:crossAx val="178057864"/>
        <c:crosses val="autoZero"/>
        <c:crossBetween val="between"/>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S-hat</a:t>
            </a:r>
          </a:p>
        </c:rich>
      </c:tx>
      <c:overlay val="0"/>
    </c:title>
    <c:autoTitleDeleted val="0"/>
    <c:plotArea>
      <c:layout/>
      <c:scatterChart>
        <c:scatterStyle val="smoothMarker"/>
        <c:varyColors val="0"/>
        <c:ser>
          <c:idx val="0"/>
          <c:order val="0"/>
          <c:marker>
            <c:symbol val="none"/>
          </c:marker>
          <c:trendline>
            <c:trendlineType val="log"/>
            <c:dispRSqr val="0"/>
            <c:dispEq val="0"/>
          </c:trendline>
          <c:trendline>
            <c:trendlineType val="poly"/>
            <c:order val="3"/>
            <c:dispRSqr val="0"/>
            <c:dispEq val="0"/>
          </c:trendline>
          <c:trendline>
            <c:trendlineType val="poly"/>
            <c:order val="3"/>
            <c:dispRSqr val="1"/>
            <c:dispEq val="1"/>
            <c:trendlineLbl>
              <c:numFmt formatCode="General" sourceLinked="0"/>
              <c:txPr>
                <a:bodyPr/>
                <a:lstStyle/>
                <a:p>
                  <a:pPr>
                    <a:defRPr lang="en-US"/>
                  </a:pPr>
                  <a:endParaRPr lang="en-US"/>
                </a:p>
              </c:txPr>
            </c:trendlineLbl>
          </c:trendline>
          <c:xVal>
            <c:numRef>
              <c:f>Scratch!$F$36:$U$36</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Scratch!$F$37:$U$37</c:f>
              <c:numCache>
                <c:formatCode>General</c:formatCode>
                <c:ptCount val="16"/>
                <c:pt idx="0">
                  <c:v>1</c:v>
                </c:pt>
                <c:pt idx="1">
                  <c:v>0.94274399997294633</c:v>
                </c:pt>
                <c:pt idx="2">
                  <c:v>0.79969361563980568</c:v>
                </c:pt>
                <c:pt idx="3">
                  <c:v>0.73929599231671894</c:v>
                </c:pt>
                <c:pt idx="4">
                  <c:v>0.66398495808350833</c:v>
                </c:pt>
                <c:pt idx="5">
                  <c:v>0.60008386680058301</c:v>
                </c:pt>
                <c:pt idx="6">
                  <c:v>0.52301433513579321</c:v>
                </c:pt>
                <c:pt idx="7">
                  <c:v>0.3748203458152834</c:v>
                </c:pt>
                <c:pt idx="8">
                  <c:v>0.24320019478740784</c:v>
                </c:pt>
                <c:pt idx="9">
                  <c:v>0.17303276554156652</c:v>
                </c:pt>
                <c:pt idx="10">
                  <c:v>0.12310984362958637</c:v>
                </c:pt>
                <c:pt idx="11">
                  <c:v>8.7590541312017434E-2</c:v>
                </c:pt>
                <c:pt idx="12">
                  <c:v>6.2319167185494143E-2</c:v>
                </c:pt>
                <c:pt idx="13">
                  <c:v>4.433901812364674E-2</c:v>
                </c:pt>
                <c:pt idx="14">
                  <c:v>3.1546450585858962E-2</c:v>
                </c:pt>
                <c:pt idx="15">
                  <c:v>2.0186681422727368E-2</c:v>
                </c:pt>
              </c:numCache>
            </c:numRef>
          </c:yVal>
          <c:smooth val="1"/>
        </c:ser>
        <c:dLbls>
          <c:showLegendKey val="0"/>
          <c:showVal val="0"/>
          <c:showCatName val="0"/>
          <c:showSerName val="0"/>
          <c:showPercent val="0"/>
          <c:showBubbleSize val="0"/>
        </c:dLbls>
        <c:axId val="248620552"/>
        <c:axId val="177707752"/>
      </c:scatterChart>
      <c:valAx>
        <c:axId val="248620552"/>
        <c:scaling>
          <c:orientation val="minMax"/>
        </c:scaling>
        <c:delete val="0"/>
        <c:axPos val="b"/>
        <c:numFmt formatCode="General" sourceLinked="1"/>
        <c:majorTickMark val="out"/>
        <c:minorTickMark val="none"/>
        <c:tickLblPos val="nextTo"/>
        <c:txPr>
          <a:bodyPr/>
          <a:lstStyle/>
          <a:p>
            <a:pPr>
              <a:defRPr lang="en-US"/>
            </a:pPr>
            <a:endParaRPr lang="en-US"/>
          </a:p>
        </c:txPr>
        <c:crossAx val="177707752"/>
        <c:crosses val="autoZero"/>
        <c:crossBetween val="midCat"/>
      </c:valAx>
      <c:valAx>
        <c:axId val="17770775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248620552"/>
        <c:crosses val="autoZero"/>
        <c:crossBetween val="midCat"/>
      </c:valAx>
    </c:plotArea>
    <c:legend>
      <c:legendPos val="r"/>
      <c:legendEntry>
        <c:idx val="1"/>
        <c:delete val="1"/>
      </c:legendEntry>
      <c:legendEntry>
        <c:idx val="2"/>
        <c:delete val="1"/>
      </c:legendEntry>
      <c:overlay val="0"/>
      <c:txPr>
        <a:bodyPr/>
        <a:lstStyle/>
        <a:p>
          <a:pPr>
            <a:defRPr lang="en-US"/>
          </a:pPr>
          <a:endParaRPr lang="en-US"/>
        </a:p>
      </c:txPr>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trendline>
            <c:trendlineType val="linear"/>
            <c:dispRSqr val="0"/>
            <c:dispEq val="1"/>
            <c:trendlineLbl>
              <c:numFmt formatCode="General" sourceLinked="0"/>
              <c:txPr>
                <a:bodyPr/>
                <a:lstStyle/>
                <a:p>
                  <a:pPr>
                    <a:defRPr lang="en-US"/>
                  </a:pPr>
                  <a:endParaRPr lang="en-US"/>
                </a:p>
              </c:txPr>
            </c:trendlineLbl>
          </c:trendline>
          <c:xVal>
            <c:numRef>
              <c:f>Scratch!$F$36:$O$36</c:f>
              <c:numCache>
                <c:formatCode>General</c:formatCode>
                <c:ptCount val="10"/>
                <c:pt idx="0">
                  <c:v>0</c:v>
                </c:pt>
                <c:pt idx="1">
                  <c:v>1</c:v>
                </c:pt>
                <c:pt idx="2">
                  <c:v>2</c:v>
                </c:pt>
                <c:pt idx="3">
                  <c:v>3</c:v>
                </c:pt>
                <c:pt idx="4">
                  <c:v>4</c:v>
                </c:pt>
                <c:pt idx="5">
                  <c:v>5</c:v>
                </c:pt>
                <c:pt idx="6">
                  <c:v>6</c:v>
                </c:pt>
                <c:pt idx="7">
                  <c:v>7</c:v>
                </c:pt>
                <c:pt idx="8">
                  <c:v>8</c:v>
                </c:pt>
                <c:pt idx="9">
                  <c:v>9</c:v>
                </c:pt>
              </c:numCache>
            </c:numRef>
          </c:xVal>
          <c:yVal>
            <c:numRef>
              <c:f>Scratch!$F$37:$O$37</c:f>
              <c:numCache>
                <c:formatCode>General</c:formatCode>
                <c:ptCount val="10"/>
                <c:pt idx="0">
                  <c:v>1</c:v>
                </c:pt>
                <c:pt idx="1">
                  <c:v>0.94274399997294633</c:v>
                </c:pt>
                <c:pt idx="2">
                  <c:v>0.79969361563980568</c:v>
                </c:pt>
                <c:pt idx="3">
                  <c:v>0.73929599231671894</c:v>
                </c:pt>
                <c:pt idx="4">
                  <c:v>0.66398495808350833</c:v>
                </c:pt>
                <c:pt idx="5">
                  <c:v>0.60008386680058301</c:v>
                </c:pt>
                <c:pt idx="6">
                  <c:v>0.52301433513579321</c:v>
                </c:pt>
                <c:pt idx="7">
                  <c:v>0.3748203458152834</c:v>
                </c:pt>
                <c:pt idx="8">
                  <c:v>0.24320019478740784</c:v>
                </c:pt>
                <c:pt idx="9">
                  <c:v>0.17303276554156652</c:v>
                </c:pt>
              </c:numCache>
            </c:numRef>
          </c:yVal>
          <c:smooth val="1"/>
        </c:ser>
        <c:dLbls>
          <c:showLegendKey val="0"/>
          <c:showVal val="0"/>
          <c:showCatName val="0"/>
          <c:showSerName val="0"/>
          <c:showPercent val="0"/>
          <c:showBubbleSize val="0"/>
        </c:dLbls>
        <c:axId val="398738760"/>
        <c:axId val="398739152"/>
      </c:scatterChart>
      <c:valAx>
        <c:axId val="398738760"/>
        <c:scaling>
          <c:orientation val="minMax"/>
        </c:scaling>
        <c:delete val="0"/>
        <c:axPos val="b"/>
        <c:numFmt formatCode="General" sourceLinked="1"/>
        <c:majorTickMark val="out"/>
        <c:minorTickMark val="none"/>
        <c:tickLblPos val="nextTo"/>
        <c:txPr>
          <a:bodyPr/>
          <a:lstStyle/>
          <a:p>
            <a:pPr>
              <a:defRPr lang="en-US"/>
            </a:pPr>
            <a:endParaRPr lang="en-US"/>
          </a:p>
        </c:txPr>
        <c:crossAx val="398739152"/>
        <c:crosses val="autoZero"/>
        <c:crossBetween val="midCat"/>
      </c:valAx>
      <c:valAx>
        <c:axId val="398739152"/>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98738760"/>
        <c:crosses val="autoZero"/>
        <c:crossBetween val="midCat"/>
      </c:valAx>
    </c:plotArea>
    <c:legend>
      <c:legendPos val="r"/>
      <c:overlay val="0"/>
      <c:txPr>
        <a:bodyPr/>
        <a:lstStyle/>
        <a:p>
          <a:pPr>
            <a:defRPr lang="en-US"/>
          </a:pPr>
          <a:endParaRPr lang="en-US"/>
        </a:p>
      </c:txPr>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trendline>
            <c:trendlineType val="exp"/>
            <c:dispRSqr val="1"/>
            <c:dispEq val="1"/>
            <c:trendlineLbl>
              <c:layout>
                <c:manualLayout>
                  <c:x val="-0.16117585301837267"/>
                  <c:y val="-1.3404053659959291E-3"/>
                </c:manualLayout>
              </c:layout>
              <c:numFmt formatCode="General" sourceLinked="0"/>
              <c:txPr>
                <a:bodyPr/>
                <a:lstStyle/>
                <a:p>
                  <a:pPr>
                    <a:defRPr lang="en-US"/>
                  </a:pPr>
                  <a:endParaRPr lang="en-US"/>
                </a:p>
              </c:txPr>
            </c:trendlineLbl>
          </c:trendline>
          <c:xVal>
            <c:numRef>
              <c:f>Scratch!$F$46:$O$46</c:f>
              <c:numCache>
                <c:formatCode>0.000000</c:formatCode>
                <c:ptCount val="10"/>
                <c:pt idx="0">
                  <c:v>7.8117866672077429E-4</c:v>
                </c:pt>
                <c:pt idx="1">
                  <c:v>1.3523402301489369E-3</c:v>
                </c:pt>
                <c:pt idx="2">
                  <c:v>1.991753885188709E-3</c:v>
                </c:pt>
                <c:pt idx="3">
                  <c:v>2.4655215790316308E-3</c:v>
                </c:pt>
                <c:pt idx="4">
                  <c:v>3.4378262751788942E-3</c:v>
                </c:pt>
                <c:pt idx="5">
                  <c:v>5.6692345406285753E-3</c:v>
                </c:pt>
                <c:pt idx="6">
                  <c:v>7.6620177293271006E-3</c:v>
                </c:pt>
                <c:pt idx="7">
                  <c:v>1.0709420139484107E-2</c:v>
                </c:pt>
                <c:pt idx="8">
                  <c:v>1.4141498414817287E-2</c:v>
                </c:pt>
                <c:pt idx="9">
                  <c:v>2.1224617429202414E-2</c:v>
                </c:pt>
              </c:numCache>
            </c:numRef>
          </c:xVal>
          <c:yVal>
            <c:numRef>
              <c:f>Scratch!$F$32:$O$32</c:f>
              <c:numCache>
                <c:formatCode>General</c:formatCode>
                <c:ptCount val="10"/>
                <c:pt idx="0">
                  <c:v>0.10976503340757238</c:v>
                </c:pt>
                <c:pt idx="1">
                  <c:v>0.10348032665181886</c:v>
                </c:pt>
                <c:pt idx="2">
                  <c:v>8.7778396436525616E-2</c:v>
                </c:pt>
                <c:pt idx="3">
                  <c:v>8.1148849294729028E-2</c:v>
                </c:pt>
                <c:pt idx="4">
                  <c:v>7.2882331106161838E-2</c:v>
                </c:pt>
                <c:pt idx="5">
                  <c:v>6.5868225686711204E-2</c:v>
                </c:pt>
                <c:pt idx="6">
                  <c:v>5.7408685968819602E-2</c:v>
                </c:pt>
                <c:pt idx="7">
                  <c:v>4.1142167780252412E-2</c:v>
                </c:pt>
                <c:pt idx="8">
                  <c:v>2.669487750556793E-2</c:v>
                </c:pt>
                <c:pt idx="9">
                  <c:v>1.8992947290274686E-2</c:v>
                </c:pt>
              </c:numCache>
            </c:numRef>
          </c:yVal>
          <c:smooth val="1"/>
        </c:ser>
        <c:dLbls>
          <c:showLegendKey val="0"/>
          <c:showVal val="0"/>
          <c:showCatName val="0"/>
          <c:showSerName val="0"/>
          <c:showPercent val="0"/>
          <c:showBubbleSize val="0"/>
        </c:dLbls>
        <c:axId val="398739936"/>
        <c:axId val="398740328"/>
      </c:scatterChart>
      <c:valAx>
        <c:axId val="398739936"/>
        <c:scaling>
          <c:orientation val="minMax"/>
        </c:scaling>
        <c:delete val="0"/>
        <c:axPos val="b"/>
        <c:numFmt formatCode="0.000000" sourceLinked="1"/>
        <c:majorTickMark val="out"/>
        <c:minorTickMark val="none"/>
        <c:tickLblPos val="nextTo"/>
        <c:txPr>
          <a:bodyPr/>
          <a:lstStyle/>
          <a:p>
            <a:pPr>
              <a:defRPr lang="en-US"/>
            </a:pPr>
            <a:endParaRPr lang="en-US"/>
          </a:p>
        </c:txPr>
        <c:crossAx val="398740328"/>
        <c:crosses val="autoZero"/>
        <c:crossBetween val="midCat"/>
      </c:valAx>
      <c:valAx>
        <c:axId val="398740328"/>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98739936"/>
        <c:crosses val="autoZero"/>
        <c:crossBetween val="midCat"/>
      </c:valAx>
    </c:plotArea>
    <c:legend>
      <c:legendPos val="r"/>
      <c:overlay val="0"/>
      <c:txPr>
        <a:bodyPr/>
        <a:lstStyle/>
        <a:p>
          <a:pPr>
            <a:defRPr lang="en-US"/>
          </a:pPr>
          <a:endParaRPr lang="en-US"/>
        </a:p>
      </c:txPr>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trendline>
            <c:trendlineType val="linear"/>
            <c:dispRSqr val="1"/>
            <c:dispEq val="1"/>
            <c:trendlineLbl>
              <c:numFmt formatCode="General" sourceLinked="0"/>
              <c:txPr>
                <a:bodyPr/>
                <a:lstStyle/>
                <a:p>
                  <a:pPr>
                    <a:defRPr lang="en-US"/>
                  </a:pPr>
                  <a:endParaRPr lang="en-US"/>
                </a:p>
              </c:txPr>
            </c:trendlineLbl>
          </c:trendline>
          <c:xVal>
            <c:numRef>
              <c:f>Scratch!$G$88:$BT$88</c:f>
              <c:numCache>
                <c:formatCode>General</c:formatCode>
                <c:ptCount val="6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pt idx="65">
                  <c:v>80</c:v>
                </c:pt>
              </c:numCache>
            </c:numRef>
          </c:xVal>
          <c:yVal>
            <c:numRef>
              <c:f>Scratch!$G$99:$BT$99</c:f>
              <c:numCache>
                <c:formatCode>General</c:formatCode>
                <c:ptCount val="66"/>
                <c:pt idx="0">
                  <c:v>1</c:v>
                </c:pt>
                <c:pt idx="1">
                  <c:v>0.99922341898234124</c:v>
                </c:pt>
                <c:pt idx="2">
                  <c:v>0.99844683796468248</c:v>
                </c:pt>
                <c:pt idx="3">
                  <c:v>0.99767025694702371</c:v>
                </c:pt>
                <c:pt idx="4">
                  <c:v>0.99689367592936495</c:v>
                </c:pt>
                <c:pt idx="5">
                  <c:v>0.97835702468177066</c:v>
                </c:pt>
                <c:pt idx="6">
                  <c:v>0.95982037343417637</c:v>
                </c:pt>
                <c:pt idx="7">
                  <c:v>0.94128372218658207</c:v>
                </c:pt>
                <c:pt idx="8">
                  <c:v>0.92274707093898778</c:v>
                </c:pt>
                <c:pt idx="9">
                  <c:v>0.90421041969139349</c:v>
                </c:pt>
                <c:pt idx="10">
                  <c:v>0.86896039436809946</c:v>
                </c:pt>
                <c:pt idx="11">
                  <c:v>0.83371036904480533</c:v>
                </c:pt>
                <c:pt idx="12">
                  <c:v>0.79846034372151131</c:v>
                </c:pt>
                <c:pt idx="13">
                  <c:v>0.76321031839821729</c:v>
                </c:pt>
                <c:pt idx="14">
                  <c:v>0.72796029307492316</c:v>
                </c:pt>
                <c:pt idx="15">
                  <c:v>0.72728500523348072</c:v>
                </c:pt>
                <c:pt idx="16">
                  <c:v>0.72660971739203828</c:v>
                </c:pt>
                <c:pt idx="17">
                  <c:v>0.72593442955059584</c:v>
                </c:pt>
                <c:pt idx="18">
                  <c:v>0.7252591417091534</c:v>
                </c:pt>
                <c:pt idx="19">
                  <c:v>0.72458385386771096</c:v>
                </c:pt>
                <c:pt idx="20">
                  <c:v>0.70403822129182547</c:v>
                </c:pt>
                <c:pt idx="21">
                  <c:v>0.68349258871593999</c:v>
                </c:pt>
                <c:pt idx="22">
                  <c:v>0.6629469561400545</c:v>
                </c:pt>
                <c:pt idx="23">
                  <c:v>0.64240132356416901</c:v>
                </c:pt>
                <c:pt idx="24">
                  <c:v>0.62185569098828353</c:v>
                </c:pt>
                <c:pt idx="25">
                  <c:v>0.61429246716412855</c:v>
                </c:pt>
                <c:pt idx="26">
                  <c:v>0.60672924333997347</c:v>
                </c:pt>
                <c:pt idx="27">
                  <c:v>0.59916601951581838</c:v>
                </c:pt>
                <c:pt idx="28">
                  <c:v>0.5916027956916633</c:v>
                </c:pt>
                <c:pt idx="29">
                  <c:v>0.58403957186750821</c:v>
                </c:pt>
                <c:pt idx="30">
                  <c:v>0.56342641050747855</c:v>
                </c:pt>
                <c:pt idx="31">
                  <c:v>0.54281324914744877</c:v>
                </c:pt>
                <c:pt idx="32">
                  <c:v>0.52220008778741911</c:v>
                </c:pt>
                <c:pt idx="33">
                  <c:v>0.50158692642738945</c:v>
                </c:pt>
                <c:pt idx="34">
                  <c:v>0.48097376506735978</c:v>
                </c:pt>
                <c:pt idx="35">
                  <c:v>0.44538609582334454</c:v>
                </c:pt>
                <c:pt idx="36">
                  <c:v>0.4097984265793293</c:v>
                </c:pt>
                <c:pt idx="37">
                  <c:v>0.37421075733531406</c:v>
                </c:pt>
                <c:pt idx="38">
                  <c:v>0.33862308809129882</c:v>
                </c:pt>
                <c:pt idx="39">
                  <c:v>0.30303541884728358</c:v>
                </c:pt>
                <c:pt idx="40">
                  <c:v>0.28296248776040783</c:v>
                </c:pt>
                <c:pt idx="41">
                  <c:v>0.26288955667353203</c:v>
                </c:pt>
                <c:pt idx="42">
                  <c:v>0.24281662558665626</c:v>
                </c:pt>
                <c:pt idx="43">
                  <c:v>0.22274369449978049</c:v>
                </c:pt>
                <c:pt idx="44">
                  <c:v>0.20267076341290471</c:v>
                </c:pt>
                <c:pt idx="45">
                  <c:v>0.19269338555559304</c:v>
                </c:pt>
                <c:pt idx="46">
                  <c:v>0.18271600769828136</c:v>
                </c:pt>
                <c:pt idx="47">
                  <c:v>0.17273862984096969</c:v>
                </c:pt>
                <c:pt idx="48">
                  <c:v>0.16276125198365801</c:v>
                </c:pt>
                <c:pt idx="49">
                  <c:v>0.15278387412634634</c:v>
                </c:pt>
                <c:pt idx="50">
                  <c:v>0.14836073876489853</c:v>
                </c:pt>
                <c:pt idx="51">
                  <c:v>0.14393760340345071</c:v>
                </c:pt>
                <c:pt idx="52">
                  <c:v>0.1395144680420029</c:v>
                </c:pt>
                <c:pt idx="53">
                  <c:v>0.13509133268055509</c:v>
                </c:pt>
                <c:pt idx="54">
                  <c:v>0.13066819731910728</c:v>
                </c:pt>
                <c:pt idx="55">
                  <c:v>0.12624506195765947</c:v>
                </c:pt>
                <c:pt idx="56">
                  <c:v>0.12182192659621166</c:v>
                </c:pt>
                <c:pt idx="57">
                  <c:v>0.11739879123476385</c:v>
                </c:pt>
                <c:pt idx="58">
                  <c:v>0.11297565587331602</c:v>
                </c:pt>
                <c:pt idx="59">
                  <c:v>0.1085525205118682</c:v>
                </c:pt>
                <c:pt idx="60">
                  <c:v>0.10412938515042038</c:v>
                </c:pt>
                <c:pt idx="61">
                  <c:v>9.9706249788972565E-2</c:v>
                </c:pt>
                <c:pt idx="62">
                  <c:v>9.528311442752474E-2</c:v>
                </c:pt>
                <c:pt idx="63">
                  <c:v>9.0859979066076929E-2</c:v>
                </c:pt>
                <c:pt idx="64">
                  <c:v>8.6436843704629118E-2</c:v>
                </c:pt>
                <c:pt idx="65">
                  <c:v>8.2013708343181307E-2</c:v>
                </c:pt>
              </c:numCache>
            </c:numRef>
          </c:yVal>
          <c:smooth val="1"/>
        </c:ser>
        <c:dLbls>
          <c:showLegendKey val="0"/>
          <c:showVal val="0"/>
          <c:showCatName val="0"/>
          <c:showSerName val="0"/>
          <c:showPercent val="0"/>
          <c:showBubbleSize val="0"/>
        </c:dLbls>
        <c:axId val="398741504"/>
        <c:axId val="398741896"/>
      </c:scatterChart>
      <c:valAx>
        <c:axId val="398741504"/>
        <c:scaling>
          <c:orientation val="minMax"/>
        </c:scaling>
        <c:delete val="0"/>
        <c:axPos val="b"/>
        <c:numFmt formatCode="General" sourceLinked="1"/>
        <c:majorTickMark val="out"/>
        <c:minorTickMark val="none"/>
        <c:tickLblPos val="nextTo"/>
        <c:txPr>
          <a:bodyPr/>
          <a:lstStyle/>
          <a:p>
            <a:pPr>
              <a:defRPr lang="en-US"/>
            </a:pPr>
            <a:endParaRPr lang="en-US"/>
          </a:p>
        </c:txPr>
        <c:crossAx val="398741896"/>
        <c:crosses val="autoZero"/>
        <c:crossBetween val="midCat"/>
      </c:valAx>
      <c:valAx>
        <c:axId val="398741896"/>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98741504"/>
        <c:crosses val="autoZero"/>
        <c:crossBetween val="midCat"/>
      </c:valAx>
    </c:plotArea>
    <c:legend>
      <c:legendPos val="r"/>
      <c:overlay val="0"/>
      <c:txPr>
        <a:bodyPr/>
        <a:lstStyle/>
        <a:p>
          <a:pPr>
            <a:defRPr lang="en-US"/>
          </a:pPr>
          <a:endParaRPr lang="en-US"/>
        </a:p>
      </c:txPr>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trendline>
            <c:trendlineType val="linear"/>
            <c:dispRSqr val="1"/>
            <c:dispEq val="1"/>
            <c:trendlineLbl>
              <c:numFmt formatCode="General" sourceLinked="0"/>
              <c:txPr>
                <a:bodyPr/>
                <a:lstStyle/>
                <a:p>
                  <a:pPr>
                    <a:defRPr lang="en-US"/>
                  </a:pPr>
                  <a:endParaRPr lang="en-US"/>
                </a:p>
              </c:txPr>
            </c:trendlineLbl>
          </c:trendline>
          <c:xVal>
            <c:numRef>
              <c:f>Scratch!$G$88:$BT$88</c:f>
              <c:numCache>
                <c:formatCode>General</c:formatCode>
                <c:ptCount val="6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pt idx="65">
                  <c:v>80</c:v>
                </c:pt>
              </c:numCache>
            </c:numRef>
          </c:xVal>
          <c:yVal>
            <c:numRef>
              <c:f>Scratch!$G$101:$BT$101</c:f>
              <c:numCache>
                <c:formatCode>General</c:formatCode>
                <c:ptCount val="66"/>
                <c:pt idx="0">
                  <c:v>1.6199999999999999E-2</c:v>
                </c:pt>
                <c:pt idx="1">
                  <c:v>1.6212590389943906E-2</c:v>
                </c:pt>
                <c:pt idx="2">
                  <c:v>1.6212600182611343E-2</c:v>
                </c:pt>
                <c:pt idx="3">
                  <c:v>1.6212609990523891E-2</c:v>
                </c:pt>
                <c:pt idx="4">
                  <c:v>1.6212619813717188E-2</c:v>
                </c:pt>
                <c:pt idx="5">
                  <c:v>1.6506936775262285E-2</c:v>
                </c:pt>
                <c:pt idx="6">
                  <c:v>1.651286453020016E-2</c:v>
                </c:pt>
                <c:pt idx="7">
                  <c:v>1.6519025755075686E-2</c:v>
                </c:pt>
                <c:pt idx="8">
                  <c:v>1.6525434520106845E-2</c:v>
                </c:pt>
                <c:pt idx="9">
                  <c:v>1.6532106049290514E-2</c:v>
                </c:pt>
                <c:pt idx="10">
                  <c:v>1.6857165060615478E-2</c:v>
                </c:pt>
                <c:pt idx="11">
                  <c:v>1.6884950591284628E-2</c:v>
                </c:pt>
                <c:pt idx="12">
                  <c:v>1.691518944519621E-2</c:v>
                </c:pt>
                <c:pt idx="13">
                  <c:v>1.6948221553707309E-2</c:v>
                </c:pt>
                <c:pt idx="14">
                  <c:v>1.6984452690166976E-2</c:v>
                </c:pt>
                <c:pt idx="15">
                  <c:v>1.6215041782729804E-2</c:v>
                </c:pt>
                <c:pt idx="16">
                  <c:v>1.6215055762081782E-2</c:v>
                </c:pt>
                <c:pt idx="17">
                  <c:v>1.6215069767441859E-2</c:v>
                </c:pt>
                <c:pt idx="18">
                  <c:v>1.621508379888268E-2</c:v>
                </c:pt>
                <c:pt idx="19">
                  <c:v>1.6215097856477165E-2</c:v>
                </c:pt>
                <c:pt idx="20">
                  <c:v>1.6672757355585929E-2</c:v>
                </c:pt>
                <c:pt idx="21">
                  <c:v>1.6686968334732991E-2</c:v>
                </c:pt>
                <c:pt idx="22">
                  <c:v>1.6702060149227125E-2</c:v>
                </c:pt>
                <c:pt idx="23">
                  <c:v>1.6718117313150423E-2</c:v>
                </c:pt>
                <c:pt idx="24">
                  <c:v>1.6735235509705442E-2</c:v>
                </c:pt>
                <c:pt idx="25">
                  <c:v>1.639945584961662E-2</c:v>
                </c:pt>
                <c:pt idx="26">
                  <c:v>1.6401942179804667E-2</c:v>
                </c:pt>
                <c:pt idx="27">
                  <c:v>1.6404491279479304E-2</c:v>
                </c:pt>
                <c:pt idx="28">
                  <c:v>1.640710555603116E-2</c:v>
                </c:pt>
                <c:pt idx="29">
                  <c:v>1.6409787541552246E-2</c:v>
                </c:pt>
                <c:pt idx="30">
                  <c:v>1.6792682926829266E-2</c:v>
                </c:pt>
                <c:pt idx="31">
                  <c:v>1.6815189873417721E-2</c:v>
                </c:pt>
                <c:pt idx="32">
                  <c:v>1.6839473684210526E-2</c:v>
                </c:pt>
                <c:pt idx="33">
                  <c:v>1.6865753424657532E-2</c:v>
                </c:pt>
                <c:pt idx="34">
                  <c:v>1.6894285714285712E-2</c:v>
                </c:pt>
                <c:pt idx="35">
                  <c:v>1.7494428019103933E-2</c:v>
                </c:pt>
                <c:pt idx="36">
                  <c:v>1.7606838592732967E-2</c:v>
                </c:pt>
                <c:pt idx="37">
                  <c:v>1.7740629793377243E-2</c:v>
                </c:pt>
                <c:pt idx="38">
                  <c:v>1.7902542626383487E-2</c:v>
                </c:pt>
                <c:pt idx="39">
                  <c:v>1.8102484679665739E-2</c:v>
                </c:pt>
                <c:pt idx="40">
                  <c:v>1.7349203508143902E-2</c:v>
                </c:pt>
                <c:pt idx="41">
                  <c:v>1.743695093758027E-2</c:v>
                </c:pt>
                <c:pt idx="42">
                  <c:v>1.7539206007091704E-2</c:v>
                </c:pt>
                <c:pt idx="43">
                  <c:v>1.7659890859481581E-2</c:v>
                </c:pt>
                <c:pt idx="44">
                  <c:v>1.7804481466055809E-2</c:v>
                </c:pt>
                <c:pt idx="45">
                  <c:v>1.7038811985281233E-2</c:v>
                </c:pt>
                <c:pt idx="46">
                  <c:v>1.708461609535249E-2</c:v>
                </c:pt>
                <c:pt idx="47">
                  <c:v>1.7135711493354182E-2</c:v>
                </c:pt>
                <c:pt idx="48">
                  <c:v>1.7193071258168241E-2</c:v>
                </c:pt>
                <c:pt idx="49">
                  <c:v>1.72579226519337E-2</c:v>
                </c:pt>
                <c:pt idx="50">
                  <c:v>1.6682976786527082E-2</c:v>
                </c:pt>
                <c:pt idx="51">
                  <c:v>1.6697818437719916E-2</c:v>
                </c:pt>
                <c:pt idx="52">
                  <c:v>1.6713601161665054E-2</c:v>
                </c:pt>
                <c:pt idx="53">
                  <c:v>1.6730417395651086E-2</c:v>
                </c:pt>
                <c:pt idx="54">
                  <c:v>1.6748372093023253E-2</c:v>
                </c:pt>
                <c:pt idx="55">
                  <c:v>1.6767584915752875E-2</c:v>
                </c:pt>
                <c:pt idx="56">
                  <c:v>1.6788192904656319E-2</c:v>
                </c:pt>
                <c:pt idx="57">
                  <c:v>1.6810353753235547E-2</c:v>
                </c:pt>
                <c:pt idx="58">
                  <c:v>1.6834249850567841E-2</c:v>
                </c:pt>
                <c:pt idx="59">
                  <c:v>1.6860093312597201E-2</c:v>
                </c:pt>
                <c:pt idx="60">
                  <c:v>1.6888132295719845E-2</c:v>
                </c:pt>
                <c:pt idx="61">
                  <c:v>1.6918658990856754E-2</c:v>
                </c:pt>
                <c:pt idx="62">
                  <c:v>1.6952019844082209E-2</c:v>
                </c:pt>
                <c:pt idx="63">
                  <c:v>1.6988628762541803E-2</c:v>
                </c:pt>
                <c:pt idx="64">
                  <c:v>1.7028984374999997E-2</c:v>
                </c:pt>
                <c:pt idx="65">
                  <c:v>1.7073692877727458E-2</c:v>
                </c:pt>
              </c:numCache>
            </c:numRef>
          </c:yVal>
          <c:smooth val="1"/>
        </c:ser>
        <c:dLbls>
          <c:showLegendKey val="0"/>
          <c:showVal val="0"/>
          <c:showCatName val="0"/>
          <c:showSerName val="0"/>
          <c:showPercent val="0"/>
          <c:showBubbleSize val="0"/>
        </c:dLbls>
        <c:axId val="398334312"/>
        <c:axId val="398334704"/>
      </c:scatterChart>
      <c:valAx>
        <c:axId val="398334312"/>
        <c:scaling>
          <c:orientation val="minMax"/>
        </c:scaling>
        <c:delete val="0"/>
        <c:axPos val="b"/>
        <c:numFmt formatCode="General" sourceLinked="1"/>
        <c:majorTickMark val="out"/>
        <c:minorTickMark val="none"/>
        <c:tickLblPos val="nextTo"/>
        <c:txPr>
          <a:bodyPr/>
          <a:lstStyle/>
          <a:p>
            <a:pPr>
              <a:defRPr lang="en-US"/>
            </a:pPr>
            <a:endParaRPr lang="en-US"/>
          </a:p>
        </c:txPr>
        <c:crossAx val="398334704"/>
        <c:crosses val="autoZero"/>
        <c:crossBetween val="midCat"/>
      </c:valAx>
      <c:valAx>
        <c:axId val="398334704"/>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398334312"/>
        <c:crosses val="autoZero"/>
        <c:crossBetween val="midCat"/>
      </c:valAx>
    </c:plotArea>
    <c:legend>
      <c:legendPos val="r"/>
      <c:overlay val="0"/>
      <c:txPr>
        <a:bodyPr/>
        <a:lstStyle/>
        <a:p>
          <a:pPr>
            <a:defRPr lang="en-US"/>
          </a:pPr>
          <a:endParaRPr lang="en-US"/>
        </a:p>
      </c:txPr>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123825</xdr:rowOff>
    </xdr:from>
    <xdr:ext cx="2654300" cy="75353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14325"/>
          <a:ext cx="2654300" cy="753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27</xdr:row>
      <xdr:rowOff>19050</xdr:rowOff>
    </xdr:from>
    <xdr:ext cx="2162175" cy="150896"/>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552950"/>
          <a:ext cx="2162175" cy="15089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581025</xdr:colOff>
      <xdr:row>28</xdr:row>
      <xdr:rowOff>0</xdr:rowOff>
    </xdr:from>
    <xdr:to>
      <xdr:col>6</xdr:col>
      <xdr:colOff>381000</xdr:colOff>
      <xdr:row>51</xdr:row>
      <xdr:rowOff>152400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1371600</xdr:colOff>
          <xdr:row>6</xdr:row>
          <xdr:rowOff>95250</xdr:rowOff>
        </xdr:to>
        <xdr:sp macro="" textlink="">
          <xdr:nvSpPr>
            <xdr:cNvPr id="23553" name="Button 1" hidden="1">
              <a:extLst>
                <a:ext uri="{63B3BB69-23CF-44E3-9099-C40C66FF867C}">
                  <a14:compatExt spid="_x0000_s23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oneCellAnchor>
    <xdr:from>
      <xdr:col>5</xdr:col>
      <xdr:colOff>57150</xdr:colOff>
      <xdr:row>1</xdr:row>
      <xdr:rowOff>85725</xdr:rowOff>
    </xdr:from>
    <xdr:ext cx="2157941" cy="152400"/>
    <xdr:pic>
      <xdr:nvPicPr>
        <xdr:cNvPr id="4" name="Picture 17" descr="MCC horizont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05150" y="247650"/>
          <a:ext cx="2157941"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18</xdr:col>
      <xdr:colOff>264321</xdr:colOff>
      <xdr:row>1</xdr:row>
      <xdr:rowOff>9525</xdr:rowOff>
    </xdr:from>
    <xdr:ext cx="2157148" cy="152400"/>
    <xdr:pic>
      <xdr:nvPicPr>
        <xdr:cNvPr id="3"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4446" y="200025"/>
          <a:ext cx="215714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8</xdr:col>
      <xdr:colOff>514350</xdr:colOff>
      <xdr:row>52</xdr:row>
      <xdr:rowOff>85725</xdr:rowOff>
    </xdr:from>
    <xdr:to>
      <xdr:col>16</xdr:col>
      <xdr:colOff>209550</xdr:colOff>
      <xdr:row>66</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542925</xdr:colOff>
      <xdr:row>50</xdr:row>
      <xdr:rowOff>0</xdr:rowOff>
    </xdr:from>
    <xdr:to>
      <xdr:col>24</xdr:col>
      <xdr:colOff>238125</xdr:colOff>
      <xdr:row>66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561975</xdr:colOff>
      <xdr:row>67</xdr:row>
      <xdr:rowOff>123825</xdr:rowOff>
    </xdr:from>
    <xdr:to>
      <xdr:col>24</xdr:col>
      <xdr:colOff>257175</xdr:colOff>
      <xdr:row>82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180975</xdr:colOff>
      <xdr:row>69</xdr:row>
      <xdr:rowOff>9525</xdr:rowOff>
    </xdr:from>
    <xdr:to>
      <xdr:col>13</xdr:col>
      <xdr:colOff>485775</xdr:colOff>
      <xdr:row>83</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209550</xdr:colOff>
      <xdr:row>101</xdr:row>
      <xdr:rowOff>161925</xdr:rowOff>
    </xdr:from>
    <xdr:to>
      <xdr:col>49</xdr:col>
      <xdr:colOff>514350</xdr:colOff>
      <xdr:row>116</xdr:row>
      <xdr:rowOff>47625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600075</xdr:colOff>
      <xdr:row>102</xdr:row>
      <xdr:rowOff>28575</xdr:rowOff>
    </xdr:from>
    <xdr:to>
      <xdr:col>16</xdr:col>
      <xdr:colOff>600075</xdr:colOff>
      <xdr:row>120</xdr:row>
      <xdr:rowOff>104775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who.int/DATA98/TARG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Ongoing%20Work/Tanzania/Tanzania%20Water%20&amp;%20Sanitation%20-%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iorepn/AppData/Local/Microsoft/Windows/Temporary%20Internet%20Files/Content.Outlook/TT2VR2VN/mongolia_health_revised_ERR_v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ismailna/Local%20Settings/Temporary%20Internet%20Files/OLK7D/Land%20Project%20Budget%20Template%20Nov%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WHR2003\GBD\NBD\Templates%20v2\Singapore\DALYs%20country%203350%20year%20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WHR2003\GBD\NBD\Templates%20v2\Italy\DALYs%20country%204180%20year%20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anzania/Economic%20Analysis/Roads/Roads-Transport%20ERR%20Tanga_Horohoro%20ED%20AR%20BND%20final%20report%20cos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stimating%20adult%20mortality\Relational\New%20Stand-WHO\Country\AUSTRI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Vaio-PC/Desktop/Mongolia%20ERR/ERR/Shopping/NCD%20screening%20data%20April%20201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Vaio-PC/Desktop/Mongolia%20ERR/ERR/cancer/Annual%20report%20of%20Breast%20Ca%20screening_2012%20(2)E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TA98\TARGE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Estimating%20adult%20mortality\Relational\BaseYearUN\RegionalLifeTab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cdcnasfs01.mcc.gov\office_shares\_divisions\Economic%20Analysis\Rescoping%20Economic%20Analysis%20(Keith%20Kranker)\Tanzania\2010\Non%20Revenue%20Water\TZ%20NRW%20ERR%20model%20-%202010-05-13%20-%20Keit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Tanzania\Roads-Transport%20ERR%20Template.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WPP-DATA-NEW/DB4_Population_ByAgeSex_Annual/WPP2000_DB4_F1_AGE_ANNUAL_BOTH_2001-20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iorepn/Downloads/mcc-err-mongolia-health%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Summary"/>
      <sheetName val="Assumptions"/>
      <sheetName val="Morogoro"/>
      <sheetName val="Dar NRW"/>
      <sheetName val="Dar Ruvu"/>
      <sheetName val="Annex III"/>
    </sheetNames>
    <sheetDataSet>
      <sheetData sheetId="0" refreshError="1"/>
      <sheetData sheetId="1" refreshError="1"/>
      <sheetData sheetId="2" refreshError="1"/>
      <sheetData sheetId="3" refreshError="1"/>
      <sheetData sheetId="4">
        <row r="5">
          <cell r="F5">
            <v>2008</v>
          </cell>
        </row>
        <row r="6">
          <cell r="F6">
            <v>20</v>
          </cell>
        </row>
        <row r="7">
          <cell r="F7">
            <v>1300</v>
          </cell>
        </row>
        <row r="8">
          <cell r="F8">
            <v>6.4000000000000001E-2</v>
          </cell>
        </row>
        <row r="9">
          <cell r="F9">
            <v>7.0000000000000007E-2</v>
          </cell>
        </row>
        <row r="14">
          <cell r="E14" t="str">
            <v>A</v>
          </cell>
        </row>
        <row r="15">
          <cell r="E15" t="str">
            <v>B</v>
          </cell>
        </row>
        <row r="16">
          <cell r="E16" t="str">
            <v>C</v>
          </cell>
        </row>
      </sheetData>
      <sheetData sheetId="5"/>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
      <sheetName val="SUMMARY ERR"/>
      <sheetName val="CVD"/>
      <sheetName val="Cancer"/>
      <sheetName val="Cancer benefits"/>
      <sheetName val="HPV Vaccine"/>
      <sheetName val="Diabetes"/>
      <sheetName val="Diabetes benefits "/>
      <sheetName val="Smoking Ban"/>
      <sheetName val="Notes and Assumptions"/>
    </sheetNames>
    <sheetDataSet>
      <sheetData sheetId="0"/>
      <sheetData sheetId="1"/>
      <sheetData sheetId="2">
        <row r="9">
          <cell r="B9">
            <v>2694000</v>
          </cell>
        </row>
        <row r="13">
          <cell r="G13">
            <v>2676326.1258191932</v>
          </cell>
          <cell r="H13">
            <v>2980268.9494550331</v>
          </cell>
          <cell r="I13">
            <v>3112805.715616778</v>
          </cell>
          <cell r="J13">
            <v>3237317.9442414492</v>
          </cell>
          <cell r="K13">
            <v>3366810.6620111074</v>
          </cell>
          <cell r="L13">
            <v>3501483.088491552</v>
          </cell>
          <cell r="M13">
            <v>3641542.4120312142</v>
          </cell>
          <cell r="N13">
            <v>3787204.108512463</v>
          </cell>
          <cell r="O13">
            <v>3938692.2728529619</v>
          </cell>
          <cell r="P13">
            <v>4096239.9637670806</v>
          </cell>
          <cell r="Q13">
            <v>4260089.5623177644</v>
          </cell>
          <cell r="R13">
            <v>4430493.1448104754</v>
          </cell>
          <cell r="S13">
            <v>4607712.8706028946</v>
          </cell>
          <cell r="T13">
            <v>4792021.3854270102</v>
          </cell>
          <cell r="U13">
            <v>4983702.2408440905</v>
          </cell>
          <cell r="V13">
            <v>5183050.3304778542</v>
          </cell>
          <cell r="W13">
            <v>5390372.3436969686</v>
          </cell>
        </row>
        <row r="14">
          <cell r="B14">
            <v>1560</v>
          </cell>
        </row>
        <row r="15">
          <cell r="B15">
            <v>1.4999999999999999E-2</v>
          </cell>
        </row>
      </sheetData>
      <sheetData sheetId="3"/>
      <sheetData sheetId="4"/>
      <sheetData sheetId="5"/>
      <sheetData sheetId="6"/>
      <sheetData sheetId="7"/>
      <sheetData sheetId="8"/>
      <sheetData sheetId="9">
        <row r="5">
          <cell r="B5">
            <v>1.92</v>
          </cell>
        </row>
        <row r="34">
          <cell r="E34">
            <v>1.41</v>
          </cell>
          <cell r="F34">
            <v>120</v>
          </cell>
          <cell r="G34">
            <v>0.43</v>
          </cell>
        </row>
        <row r="59">
          <cell r="C59">
            <v>394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Cost Summaries"/>
      <sheetName val="Summary by Sub-Activity"/>
      <sheetName val="Act 1 Contractor"/>
      <sheetName val="Act 1 Imp Entities"/>
      <sheetName val="Act 2 Contractor"/>
      <sheetName val="Act 2 Imp Entities"/>
      <sheetName val="Act 3 Contractor"/>
      <sheetName val="Act 3 Imp Entities"/>
      <sheetName val="Act 4 Contractor"/>
      <sheetName val="Act 4 Imp Entities"/>
      <sheetName val="Act 5 Contractor"/>
      <sheetName val="Act 5 Imp Entities"/>
      <sheetName val="Act 6 Contractor"/>
      <sheetName val="Act 6 Imp Entities"/>
    </sheetNames>
    <sheetDataSet>
      <sheetData sheetId="0"/>
      <sheetData sheetId="1">
        <row r="4">
          <cell r="C4">
            <v>1</v>
          </cell>
        </row>
        <row r="5">
          <cell r="C5">
            <v>1</v>
          </cell>
        </row>
        <row r="7">
          <cell r="C7">
            <v>1</v>
          </cell>
        </row>
        <row r="75">
          <cell r="E7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MPH for DALYwb"/>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TH Sum"/>
      <sheetName val="TH1"/>
      <sheetName val="TH2"/>
      <sheetName val="TH4"/>
      <sheetName val="TanIRI"/>
    </sheetNames>
    <sheetDataSet>
      <sheetData sheetId="0"/>
      <sheetData sheetId="1">
        <row r="41">
          <cell r="H41">
            <v>0.04</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on, 2013 onii 1,2,3,4 sar"/>
    </sheetNames>
    <sheetDataSet>
      <sheetData sheetId="0">
        <row r="30">
          <cell r="B30">
            <v>631960</v>
          </cell>
          <cell r="C30">
            <v>305018</v>
          </cell>
          <cell r="E30">
            <v>18416</v>
          </cell>
          <cell r="G30">
            <v>260975</v>
          </cell>
          <cell r="I30">
            <v>2963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_C50"/>
      <sheetName val="Sep_C50"/>
      <sheetName val="Oct_C50"/>
      <sheetName val="Nov_C50"/>
      <sheetName val="Dec_C50"/>
      <sheetName val="Total_C50"/>
    </sheetNames>
    <sheetDataSet>
      <sheetData sheetId="0"/>
      <sheetData sheetId="1"/>
      <sheetData sheetId="2"/>
      <sheetData sheetId="3"/>
      <sheetData sheetId="4"/>
      <sheetData sheetId="5">
        <row r="40">
          <cell r="C40">
            <v>104615</v>
          </cell>
          <cell r="K40">
            <v>2884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0"/>
      <sheetData sheetId="1"/>
      <sheetData sheetId="2"/>
      <sheetData sheetId="3" refreshError="1">
        <row r="6">
          <cell r="A6" t="str">
            <v>AMAMA1</v>
          </cell>
          <cell r="B6" t="str">
            <v>Lits Lits - Norsup Road Sealing</v>
          </cell>
          <cell r="D6" t="str">
            <v>Malekula</v>
          </cell>
          <cell r="E6" t="str">
            <v>Malampa</v>
          </cell>
          <cell r="F6">
            <v>189.60480000000001</v>
          </cell>
          <cell r="G6">
            <v>1.7556</v>
          </cell>
          <cell r="H6">
            <v>2.0555555555555527</v>
          </cell>
          <cell r="I6">
            <v>1.9032921810699561E-2</v>
          </cell>
          <cell r="J6">
            <v>0.22462370197905585</v>
          </cell>
          <cell r="K6">
            <v>159.72431508259623</v>
          </cell>
          <cell r="L6">
            <v>2.0643322529748724</v>
          </cell>
          <cell r="M6">
            <v>0.18788677288242828</v>
          </cell>
          <cell r="N6">
            <v>0.18029281080962259</v>
          </cell>
          <cell r="O6">
            <v>0.27176594642684698</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0.60259259259259257</v>
          </cell>
          <cell r="H7">
            <v>0</v>
          </cell>
          <cell r="I7">
            <v>0</v>
          </cell>
          <cell r="J7">
            <v>0.11364998061127222</v>
          </cell>
          <cell r="K7">
            <v>4.8669713136717592</v>
          </cell>
          <cell r="L7">
            <v>1.0914032036645314</v>
          </cell>
          <cell r="M7">
            <v>8.6199929420376672E-2</v>
          </cell>
          <cell r="N7">
            <v>8.0545631873867957E-2</v>
          </cell>
          <cell r="O7">
            <v>0.14917191258480131</v>
          </cell>
          <cell r="P7">
            <v>4.585583610297489E-2</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3.4259259259259253E-2</v>
          </cell>
          <cell r="J8">
            <v>0.15606943163381698</v>
          </cell>
          <cell r="K8">
            <v>79.083471624762012</v>
          </cell>
          <cell r="L8">
            <v>1.346935096185802</v>
          </cell>
          <cell r="M8">
            <v>0.12016075318448843</v>
          </cell>
          <cell r="N8">
            <v>0.11283654648106228</v>
          </cell>
          <cell r="O8">
            <v>1.6089379885231746E-2</v>
          </cell>
          <cell r="P8">
            <v>6.7136633368479748E-2</v>
          </cell>
          <cell r="Q8">
            <v>1</v>
          </cell>
          <cell r="R8">
            <v>1</v>
          </cell>
          <cell r="S8">
            <v>2007</v>
          </cell>
        </row>
        <row r="9">
          <cell r="A9" t="str">
            <v>ASASA1</v>
          </cell>
          <cell r="B9" t="str">
            <v>Port Olry Road Upgrading</v>
          </cell>
          <cell r="D9" t="str">
            <v>Santo</v>
          </cell>
          <cell r="E9" t="str">
            <v>Sanma</v>
          </cell>
          <cell r="F9">
            <v>1863.9288000000001</v>
          </cell>
          <cell r="G9">
            <v>17.258600000000001</v>
          </cell>
          <cell r="H9">
            <v>40.94444444444445</v>
          </cell>
          <cell r="I9">
            <v>0.3791152263374486</v>
          </cell>
          <cell r="J9">
            <v>0.33786431307382958</v>
          </cell>
          <cell r="K9">
            <v>4425.8390368603514</v>
          </cell>
          <cell r="L9">
            <v>3.6616796658483661</v>
          </cell>
          <cell r="M9">
            <v>0.29106356187309074</v>
          </cell>
          <cell r="N9">
            <v>0.28150155877118105</v>
          </cell>
          <cell r="O9">
            <v>0.39892725896301917</v>
          </cell>
          <cell r="P9">
            <v>0.20370814266007911</v>
          </cell>
          <cell r="Q9">
            <v>1</v>
          </cell>
          <cell r="R9">
            <v>1</v>
          </cell>
          <cell r="S9">
            <v>2007</v>
          </cell>
        </row>
        <row r="10">
          <cell r="A10" t="str">
            <v>ASASA2</v>
          </cell>
          <cell r="B10" t="str">
            <v>South Coast Bridges and Culverts</v>
          </cell>
          <cell r="D10" t="str">
            <v>Santo</v>
          </cell>
          <cell r="E10" t="str">
            <v>Sanma</v>
          </cell>
          <cell r="F10">
            <v>202.82399999999998</v>
          </cell>
          <cell r="G10">
            <v>1.8779999999999999</v>
          </cell>
          <cell r="H10">
            <v>0</v>
          </cell>
          <cell r="I10">
            <v>0</v>
          </cell>
          <cell r="J10">
            <v>0.24276840985467887</v>
          </cell>
          <cell r="K10">
            <v>174.0999826086306</v>
          </cell>
          <cell r="L10">
            <v>2.0491306138956471</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2520.6120000000001</v>
          </cell>
          <cell r="G11">
            <v>23.339000000000002</v>
          </cell>
          <cell r="H11">
            <v>52.5</v>
          </cell>
          <cell r="I11">
            <v>0.4861111111111111</v>
          </cell>
          <cell r="J11">
            <v>0.20550479502577151</v>
          </cell>
          <cell r="K11">
            <v>1885.7291621038769</v>
          </cell>
          <cell r="L11">
            <v>1.8423788997682973</v>
          </cell>
          <cell r="M11">
            <v>0.16988037798308492</v>
          </cell>
          <cell r="N11">
            <v>0.16249056620484598</v>
          </cell>
          <cell r="O11">
            <v>0.25098920223897309</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0.17657184537773801</v>
          </cell>
          <cell r="K12">
            <v>204.41274323363672</v>
          </cell>
          <cell r="L12">
            <v>1.619941829781381</v>
          </cell>
          <cell r="M12">
            <v>0.14456524340112237</v>
          </cell>
          <cell r="N12">
            <v>0.13797068071259416</v>
          </cell>
          <cell r="O12">
            <v>0.21779276825660171</v>
          </cell>
          <cell r="P12">
            <v>9.3930340569284801E-2</v>
          </cell>
          <cell r="Q12">
            <v>1</v>
          </cell>
          <cell r="R12">
            <v>1</v>
          </cell>
          <cell r="S12">
            <v>2007</v>
          </cell>
        </row>
        <row r="13">
          <cell r="A13" t="str">
            <v>BPEAM1</v>
          </cell>
          <cell r="B13" t="str">
            <v>Ambae Creek Crossings Reinstatement</v>
          </cell>
          <cell r="D13" t="str">
            <v>Ambae</v>
          </cell>
          <cell r="E13" t="str">
            <v>Penama</v>
          </cell>
          <cell r="F13">
            <v>132.47200000000001</v>
          </cell>
          <cell r="G13">
            <v>1.2265925925925927</v>
          </cell>
          <cell r="H13">
            <v>0</v>
          </cell>
          <cell r="I13">
            <v>0</v>
          </cell>
          <cell r="J13">
            <v>0.12314963811312898</v>
          </cell>
          <cell r="K13">
            <v>16.066209299402473</v>
          </cell>
          <cell r="L13">
            <v>1.1482311585286173</v>
          </cell>
          <cell r="M13">
            <v>9.3151298776611227E-2</v>
          </cell>
          <cell r="N13">
            <v>8.701571493564024E-2</v>
          </cell>
          <cell r="O13">
            <v>0.16248784418636669</v>
          </cell>
          <cell r="P13">
            <v>5.031998681090321E-2</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0.58512073757047434</v>
          </cell>
          <cell r="L14">
            <v>1.0058362241964951</v>
          </cell>
          <cell r="M14">
            <v>7.4141625794993518E-2</v>
          </cell>
          <cell r="N14">
            <v>6.8619757407542378E-2</v>
          </cell>
          <cell r="O14">
            <v>0.13547536346423877</v>
          </cell>
          <cell r="P14">
            <v>3.5685163178576916E-2</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3.7037037037037035E-2</v>
          </cell>
          <cell r="J15">
            <v>0.16838748695577699</v>
          </cell>
          <cell r="K15">
            <v>45.992161706502642</v>
          </cell>
          <cell r="L15">
            <v>1.3776013836392784</v>
          </cell>
          <cell r="M15">
            <v>0.12734818413458404</v>
          </cell>
          <cell r="N15">
            <v>0.11897501062329664</v>
          </cell>
          <cell r="O15">
            <v>0.22286032753779406</v>
          </cell>
          <cell r="P15">
            <v>6.6553615221133275E-2</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1.2854617768249781</v>
          </cell>
          <cell r="M16">
            <v>0.1151492708742208</v>
          </cell>
          <cell r="N16">
            <v>0.10604506949655668</v>
          </cell>
          <cell r="O16">
            <v>0.22244484054528116</v>
          </cell>
          <cell r="P16">
            <v>5.6611990677413307E-2</v>
          </cell>
          <cell r="Q16">
            <v>1</v>
          </cell>
          <cell r="R16">
            <v>1</v>
          </cell>
          <cell r="S16">
            <v>2007</v>
          </cell>
        </row>
      </sheetData>
      <sheetData sheetId="4" refreshError="1">
        <row r="3">
          <cell r="A3" t="str">
            <v>AMAMA1</v>
          </cell>
          <cell r="B3" t="str">
            <v>Malampa</v>
          </cell>
          <cell r="C3" t="str">
            <v>Malekula</v>
          </cell>
          <cell r="D3" t="str">
            <v>Lits Lits - Norsup Road Sealing</v>
          </cell>
          <cell r="E3">
            <v>3127.71</v>
          </cell>
          <cell r="F3">
            <v>168</v>
          </cell>
          <cell r="R3">
            <v>189.60480000000001</v>
          </cell>
          <cell r="S3">
            <v>2.2999999999999998</v>
          </cell>
          <cell r="T3">
            <v>8.8000000000000007</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25.212499999999999</v>
          </cell>
          <cell r="P6">
            <v>290.48700000000002</v>
          </cell>
          <cell r="R6">
            <v>163.94399999999999</v>
          </cell>
          <cell r="S6">
            <v>1.5</v>
          </cell>
          <cell r="T6">
            <v>0</v>
          </cell>
        </row>
        <row r="8">
          <cell r="A8" t="str">
            <v>ASASA1</v>
          </cell>
          <cell r="B8" t="str">
            <v>Sanma</v>
          </cell>
          <cell r="C8" t="str">
            <v>Santo</v>
          </cell>
          <cell r="D8" t="str">
            <v>Port Olry Road Upgrading</v>
          </cell>
          <cell r="E8">
            <v>7403.7599999999993</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17.600000000000001</v>
          </cell>
          <cell r="T9">
            <v>17.600000000000001</v>
          </cell>
        </row>
        <row r="10">
          <cell r="A10" t="str">
            <v>ASHEF1</v>
          </cell>
          <cell r="B10" t="str">
            <v>Shefa</v>
          </cell>
          <cell r="C10" t="str">
            <v>Efate</v>
          </cell>
          <cell r="D10" t="str">
            <v>Round-Island Road Upgrading</v>
          </cell>
          <cell r="E10">
            <v>13914.819999999998</v>
          </cell>
          <cell r="F10">
            <v>60</v>
          </cell>
          <cell r="R10">
            <v>2520.6120000000001</v>
          </cell>
          <cell r="S10">
            <v>22.5</v>
          </cell>
          <cell r="T10">
            <v>40</v>
          </cell>
          <cell r="U10">
            <v>7</v>
          </cell>
        </row>
        <row r="11">
          <cell r="A11" t="str">
            <v>ATATA1</v>
          </cell>
          <cell r="B11" t="str">
            <v>Tafea</v>
          </cell>
          <cell r="C11" t="str">
            <v>Tanna</v>
          </cell>
          <cell r="D11" t="str">
            <v>Whitesands Road Upgrading</v>
          </cell>
          <cell r="E11">
            <v>5675.9100000000008</v>
          </cell>
          <cell r="F11">
            <v>100</v>
          </cell>
          <cell r="R11">
            <v>403.00200000000001</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132.47200000000001</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2.9249999999999998</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54513.510000000009</v>
          </cell>
          <cell r="I39">
            <v>1500</v>
          </cell>
          <cell r="J39">
            <v>16</v>
          </cell>
          <cell r="K39">
            <v>1</v>
          </cell>
          <cell r="L39">
            <v>1250</v>
          </cell>
          <cell r="M39">
            <v>420</v>
          </cell>
          <cell r="N39">
            <v>3187</v>
          </cell>
          <cell r="O39">
            <v>28.137499999999999</v>
          </cell>
          <cell r="P39">
            <v>439.98700000000002</v>
          </cell>
          <cell r="Q39">
            <v>104</v>
          </cell>
          <cell r="R39">
            <v>7075.9616000000015</v>
          </cell>
          <cell r="S39">
            <v>87.8</v>
          </cell>
          <cell r="T39">
            <v>117.6</v>
          </cell>
        </row>
        <row r="40">
          <cell r="R40" t="str">
            <v>= US$ 65.5 M</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RR"/>
      <sheetName val="HH Bgt Svy"/>
      <sheetName val="Population"/>
    </sheetNames>
    <sheetDataSet>
      <sheetData sheetId="0">
        <row r="50">
          <cell r="C50">
            <v>0.13321697289902587</v>
          </cell>
          <cell r="D50">
            <v>0.11503732774646641</v>
          </cell>
        </row>
        <row r="51">
          <cell r="C51">
            <v>0.2</v>
          </cell>
          <cell r="D51">
            <v>0.2</v>
          </cell>
        </row>
        <row r="58">
          <cell r="E58">
            <v>0.375</v>
          </cell>
        </row>
        <row r="64">
          <cell r="E64">
            <v>0.1875</v>
          </cell>
        </row>
        <row r="72">
          <cell r="E72">
            <v>0.57999999999999996</v>
          </cell>
        </row>
        <row r="126">
          <cell r="C126">
            <v>37.393193929970529</v>
          </cell>
          <cell r="D126">
            <v>37.752259025471446</v>
          </cell>
        </row>
        <row r="140">
          <cell r="C140">
            <v>1.4976092896746465</v>
          </cell>
          <cell r="D140">
            <v>1.5858117928368101</v>
          </cell>
        </row>
        <row r="143">
          <cell r="E143">
            <v>1</v>
          </cell>
        </row>
        <row r="144">
          <cell r="E144">
            <v>1</v>
          </cell>
        </row>
        <row r="145">
          <cell r="E145">
            <v>1</v>
          </cell>
        </row>
        <row r="146">
          <cell r="E146">
            <v>1</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0" refreshError="1"/>
      <sheetData sheetId="1" refreshError="1">
        <row r="9">
          <cell r="G9">
            <v>0.68310000000000015</v>
          </cell>
        </row>
        <row r="24">
          <cell r="G24">
            <v>365</v>
          </cell>
        </row>
        <row r="37">
          <cell r="G37">
            <v>0.5</v>
          </cell>
        </row>
        <row r="38">
          <cell r="G38">
            <v>3.1899999999999998E-2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UM-2000 REVISION"/>
      <sheetName val="NOTE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sheetData sheetId="1"/>
      <sheetData sheetId="2"/>
      <sheetData sheetId="3"/>
      <sheetData sheetId="4"/>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sheetData>
      <sheetData sheetId="6">
        <row r="25">
          <cell r="C25">
            <v>0.2</v>
          </cell>
        </row>
        <row r="26">
          <cell r="C26">
            <v>0.1</v>
          </cell>
        </row>
        <row r="31">
          <cell r="E31">
            <v>0.25</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89"/>
  <sheetViews>
    <sheetView showGridLines="0" zoomScale="90" zoomScaleNormal="90" workbookViewId="0">
      <selection activeCell="D16" sqref="D16"/>
    </sheetView>
  </sheetViews>
  <sheetFormatPr defaultColWidth="9.140625" defaultRowHeight="12.75"/>
  <cols>
    <col min="1" max="1" width="7.7109375" style="276" customWidth="1"/>
    <col min="2" max="2" width="35.28515625" style="276" customWidth="1"/>
    <col min="3" max="3" width="66.85546875" style="276" customWidth="1"/>
    <col min="4" max="4" width="65.85546875" style="276" customWidth="1"/>
    <col min="5" max="16384" width="9.140625" style="276"/>
  </cols>
  <sheetData>
    <row r="1" spans="2:6">
      <c r="D1" s="322"/>
    </row>
    <row r="2" spans="2:6">
      <c r="B2" s="314"/>
      <c r="C2" s="377" t="s">
        <v>562</v>
      </c>
      <c r="D2" s="377"/>
    </row>
    <row r="3" spans="2:6" ht="12.75" customHeight="1">
      <c r="C3" s="377"/>
      <c r="D3" s="377"/>
    </row>
    <row r="4" spans="2:6">
      <c r="C4" s="377"/>
      <c r="D4" s="377"/>
    </row>
    <row r="5" spans="2:6">
      <c r="C5" s="377"/>
      <c r="D5" s="377"/>
    </row>
    <row r="6" spans="2:6">
      <c r="C6" s="377"/>
      <c r="D6" s="377"/>
    </row>
    <row r="7" spans="2:6" ht="25.5" customHeight="1">
      <c r="C7" s="378"/>
      <c r="D7" s="378"/>
    </row>
    <row r="8" spans="2:6" ht="13.5" thickBot="1"/>
    <row r="9" spans="2:6" s="315" customFormat="1" ht="18" customHeight="1" thickTop="1">
      <c r="B9" s="321" t="s">
        <v>611</v>
      </c>
      <c r="C9" s="320" t="s">
        <v>610</v>
      </c>
      <c r="D9" s="326" t="s">
        <v>614</v>
      </c>
      <c r="E9" s="319"/>
    </row>
    <row r="10" spans="2:6" s="315" customFormat="1" ht="18" customHeight="1">
      <c r="B10" s="311" t="s">
        <v>609</v>
      </c>
      <c r="C10" s="318">
        <v>39310</v>
      </c>
      <c r="D10" s="328">
        <v>41500</v>
      </c>
      <c r="E10" s="316"/>
    </row>
    <row r="11" spans="2:6" s="315" customFormat="1" ht="18" customHeight="1">
      <c r="B11" s="311" t="s">
        <v>561</v>
      </c>
      <c r="C11" s="317" t="s">
        <v>560</v>
      </c>
      <c r="D11" s="365" t="s">
        <v>632</v>
      </c>
      <c r="E11" s="316"/>
    </row>
    <row r="12" spans="2:6" ht="51" customHeight="1">
      <c r="B12" s="370" t="s">
        <v>554</v>
      </c>
      <c r="C12" s="368" t="s">
        <v>612</v>
      </c>
      <c r="D12" s="368" t="s">
        <v>612</v>
      </c>
      <c r="E12" s="309"/>
      <c r="F12" s="314"/>
    </row>
    <row r="13" spans="2:6">
      <c r="B13" s="371"/>
      <c r="C13" s="369"/>
      <c r="D13" s="369"/>
      <c r="E13" s="309"/>
      <c r="F13" s="314"/>
    </row>
    <row r="14" spans="2:6">
      <c r="B14" s="371"/>
      <c r="C14" s="324" t="s">
        <v>613</v>
      </c>
      <c r="D14" s="324" t="s">
        <v>613</v>
      </c>
      <c r="E14" s="309"/>
      <c r="F14" s="314"/>
    </row>
    <row r="15" spans="2:6" ht="25.5" customHeight="1">
      <c r="B15" s="371"/>
      <c r="C15" s="313" t="s">
        <v>633</v>
      </c>
      <c r="D15" s="313" t="s">
        <v>633</v>
      </c>
      <c r="E15" s="309"/>
      <c r="F15" s="314"/>
    </row>
    <row r="16" spans="2:6">
      <c r="B16" s="371"/>
      <c r="C16" s="313" t="s">
        <v>634</v>
      </c>
      <c r="D16" s="313" t="s">
        <v>634</v>
      </c>
      <c r="E16" s="309"/>
      <c r="F16" s="314"/>
    </row>
    <row r="17" spans="2:6" ht="25.5" customHeight="1">
      <c r="B17" s="371"/>
      <c r="C17" s="313" t="s">
        <v>635</v>
      </c>
      <c r="D17" s="313" t="s">
        <v>635</v>
      </c>
      <c r="E17" s="309"/>
      <c r="F17" s="314"/>
    </row>
    <row r="18" spans="2:6" ht="25.5" customHeight="1">
      <c r="B18" s="371"/>
      <c r="C18" s="313" t="s">
        <v>636</v>
      </c>
      <c r="D18" s="313" t="s">
        <v>636</v>
      </c>
      <c r="E18" s="309"/>
      <c r="F18" s="314"/>
    </row>
    <row r="19" spans="2:6" ht="76.5">
      <c r="B19" s="372"/>
      <c r="C19" s="325" t="s">
        <v>559</v>
      </c>
      <c r="D19" s="325" t="s">
        <v>559</v>
      </c>
      <c r="E19" s="309"/>
    </row>
    <row r="20" spans="2:6" ht="25.5">
      <c r="B20" s="373" t="s">
        <v>558</v>
      </c>
      <c r="C20" s="323" t="s">
        <v>617</v>
      </c>
      <c r="D20" s="336" t="s">
        <v>617</v>
      </c>
      <c r="E20" s="309"/>
      <c r="F20" s="314"/>
    </row>
    <row r="21" spans="2:6" ht="25.5">
      <c r="B21" s="374"/>
      <c r="C21" s="313" t="s">
        <v>557</v>
      </c>
      <c r="D21" s="367" t="s">
        <v>557</v>
      </c>
      <c r="E21" s="309"/>
    </row>
    <row r="22" spans="2:6">
      <c r="B22" s="374"/>
      <c r="C22" s="313"/>
      <c r="D22" s="367"/>
      <c r="E22" s="309"/>
    </row>
    <row r="23" spans="2:6">
      <c r="B23" s="374"/>
      <c r="C23" s="313"/>
      <c r="D23" s="367"/>
      <c r="E23" s="309"/>
    </row>
    <row r="24" spans="2:6">
      <c r="B24" s="374"/>
      <c r="C24" s="313"/>
      <c r="D24" s="337"/>
      <c r="E24" s="309"/>
    </row>
    <row r="25" spans="2:6">
      <c r="B25" s="375"/>
      <c r="C25" s="312"/>
      <c r="D25" s="338"/>
      <c r="E25" s="309"/>
    </row>
    <row r="26" spans="2:6" ht="38.25" customHeight="1">
      <c r="B26" s="311" t="s">
        <v>608</v>
      </c>
      <c r="C26" s="310" t="s">
        <v>556</v>
      </c>
      <c r="D26" s="339" t="s">
        <v>616</v>
      </c>
      <c r="E26" s="309"/>
    </row>
    <row r="27" spans="2:6" ht="18" customHeight="1" thickBot="1">
      <c r="B27" s="308" t="s">
        <v>607</v>
      </c>
      <c r="C27" s="307" t="s">
        <v>555</v>
      </c>
      <c r="D27" s="327" t="s">
        <v>615</v>
      </c>
      <c r="E27" s="309"/>
    </row>
    <row r="28" spans="2:6" ht="18" customHeight="1" thickTop="1">
      <c r="B28" s="305"/>
      <c r="C28" s="306"/>
      <c r="D28" s="305"/>
    </row>
    <row r="29" spans="2:6" ht="12.75" customHeight="1">
      <c r="B29" s="304" t="s">
        <v>606</v>
      </c>
      <c r="C29" s="301"/>
      <c r="D29" s="301"/>
    </row>
    <row r="30" spans="2:6">
      <c r="B30" s="303" t="s">
        <v>554</v>
      </c>
      <c r="C30" s="302"/>
      <c r="D30" s="300"/>
    </row>
    <row r="31" spans="2:6" ht="12.75" customHeight="1">
      <c r="B31" s="379" t="s">
        <v>553</v>
      </c>
      <c r="C31" s="379"/>
      <c r="D31" s="379"/>
    </row>
    <row r="32" spans="2:6">
      <c r="B32" s="301"/>
      <c r="C32" s="301"/>
      <c r="D32" s="300"/>
    </row>
    <row r="33" spans="2:4" s="281" customFormat="1">
      <c r="B33" s="299" t="s">
        <v>552</v>
      </c>
      <c r="C33" s="298"/>
      <c r="D33" s="278"/>
    </row>
    <row r="34" spans="2:4" s="281" customFormat="1" ht="12.75" customHeight="1">
      <c r="B34" s="366" t="s">
        <v>605</v>
      </c>
      <c r="C34" s="366"/>
      <c r="D34" s="366"/>
    </row>
    <row r="35" spans="2:4" s="281" customFormat="1">
      <c r="B35" s="293"/>
      <c r="C35" s="293"/>
      <c r="D35" s="278"/>
    </row>
    <row r="36" spans="2:4" s="281" customFormat="1">
      <c r="B36" s="280" t="s">
        <v>604</v>
      </c>
      <c r="C36" s="279"/>
      <c r="D36" s="278"/>
    </row>
    <row r="37" spans="2:4" s="281" customFormat="1" ht="12.75" customHeight="1">
      <c r="B37" s="380" t="s">
        <v>603</v>
      </c>
      <c r="C37" s="380"/>
      <c r="D37" s="380"/>
    </row>
    <row r="38" spans="2:4" s="281" customFormat="1"/>
    <row r="39" spans="2:4" s="281" customFormat="1" ht="15">
      <c r="B39" s="122" t="s">
        <v>629</v>
      </c>
      <c r="C39" s="297"/>
      <c r="D39" s="278"/>
    </row>
    <row r="40" spans="2:4" s="281" customFormat="1">
      <c r="B40" s="381" t="s">
        <v>601</v>
      </c>
      <c r="C40" s="381"/>
      <c r="D40" s="381"/>
    </row>
    <row r="41" spans="2:4" s="281" customFormat="1">
      <c r="B41" s="294"/>
      <c r="C41" s="294"/>
      <c r="D41" s="294"/>
    </row>
    <row r="42" spans="2:4" s="281" customFormat="1">
      <c r="B42" s="292"/>
      <c r="C42" s="294"/>
      <c r="D42" s="294"/>
    </row>
    <row r="43" spans="2:4" s="281" customFormat="1">
      <c r="B43" s="296"/>
      <c r="C43" s="294"/>
      <c r="D43" s="294"/>
    </row>
    <row r="44" spans="2:4" s="281" customFormat="1">
      <c r="B44" s="294"/>
      <c r="C44" s="294"/>
      <c r="D44" s="294"/>
    </row>
    <row r="45" spans="2:4" s="281" customFormat="1">
      <c r="B45" s="292"/>
      <c r="C45" s="294"/>
      <c r="D45" s="294"/>
    </row>
    <row r="46" spans="2:4" s="281" customFormat="1">
      <c r="B46" s="295"/>
      <c r="C46" s="294"/>
      <c r="D46" s="294"/>
    </row>
    <row r="47" spans="2:4" s="281" customFormat="1">
      <c r="B47" s="293"/>
      <c r="C47" s="293"/>
      <c r="D47" s="278"/>
    </row>
    <row r="48" spans="2:4" s="281" customFormat="1">
      <c r="B48" s="285"/>
      <c r="C48" s="291"/>
      <c r="D48" s="291"/>
    </row>
    <row r="49" spans="1:4" s="281" customFormat="1">
      <c r="B49" s="366"/>
      <c r="C49" s="366"/>
      <c r="D49" s="366"/>
    </row>
    <row r="50" spans="1:4" s="281" customFormat="1">
      <c r="B50" s="293"/>
      <c r="C50" s="293"/>
      <c r="D50" s="293"/>
    </row>
    <row r="51" spans="1:4" s="281" customFormat="1">
      <c r="B51" s="292"/>
      <c r="C51" s="291"/>
      <c r="D51" s="291"/>
    </row>
    <row r="52" spans="1:4" s="366" customFormat="1" ht="12.75" customHeight="1">
      <c r="A52" s="281"/>
    </row>
    <row r="53" spans="1:4" s="281" customFormat="1">
      <c r="B53" s="291"/>
      <c r="C53" s="291"/>
      <c r="D53" s="291"/>
    </row>
    <row r="54" spans="1:4" s="281" customFormat="1">
      <c r="B54" s="288"/>
      <c r="C54" s="282"/>
      <c r="D54" s="282"/>
    </row>
    <row r="55" spans="1:4" s="281" customFormat="1">
      <c r="B55" s="366"/>
      <c r="C55" s="366"/>
      <c r="D55" s="366"/>
    </row>
    <row r="56" spans="1:4" s="281" customFormat="1">
      <c r="B56" s="283"/>
      <c r="C56" s="282"/>
      <c r="D56" s="282"/>
    </row>
    <row r="57" spans="1:4" s="281" customFormat="1">
      <c r="B57" s="288"/>
      <c r="C57" s="282"/>
      <c r="D57" s="282"/>
    </row>
    <row r="58" spans="1:4" s="281" customFormat="1">
      <c r="B58" s="366"/>
      <c r="C58" s="366"/>
      <c r="D58" s="366"/>
    </row>
    <row r="59" spans="1:4" s="281" customFormat="1">
      <c r="B59" s="283"/>
      <c r="C59" s="282"/>
      <c r="D59" s="282"/>
    </row>
    <row r="60" spans="1:4" s="281" customFormat="1">
      <c r="B60" s="288"/>
      <c r="C60" s="282"/>
      <c r="D60" s="282"/>
    </row>
    <row r="61" spans="1:4" s="281" customFormat="1">
      <c r="B61" s="366"/>
      <c r="C61" s="366"/>
      <c r="D61" s="366"/>
    </row>
    <row r="62" spans="1:4" s="281" customFormat="1">
      <c r="B62" s="283"/>
      <c r="C62" s="282"/>
      <c r="D62" s="282"/>
    </row>
    <row r="63" spans="1:4" s="281" customFormat="1">
      <c r="B63" s="382"/>
      <c r="C63" s="382"/>
      <c r="D63" s="282"/>
    </row>
    <row r="64" spans="1:4" s="281" customFormat="1">
      <c r="B64" s="290"/>
      <c r="C64" s="283"/>
      <c r="D64" s="282"/>
    </row>
    <row r="65" spans="2:4" s="281" customFormat="1">
      <c r="B65" s="283"/>
      <c r="C65" s="283"/>
      <c r="D65" s="282"/>
    </row>
    <row r="66" spans="2:4" s="281" customFormat="1">
      <c r="B66" s="288"/>
      <c r="C66" s="282"/>
      <c r="D66" s="282"/>
    </row>
    <row r="67" spans="2:4" s="281" customFormat="1">
      <c r="B67" s="376"/>
      <c r="C67" s="376"/>
      <c r="D67" s="376"/>
    </row>
    <row r="68" spans="2:4" s="281" customFormat="1">
      <c r="B68" s="283"/>
      <c r="C68" s="282"/>
      <c r="D68" s="282"/>
    </row>
    <row r="69" spans="2:4" s="281" customFormat="1">
      <c r="B69" s="288"/>
      <c r="C69" s="282"/>
      <c r="D69" s="282"/>
    </row>
    <row r="70" spans="2:4" s="281" customFormat="1">
      <c r="B70" s="289"/>
      <c r="C70" s="282"/>
      <c r="D70" s="282"/>
    </row>
    <row r="71" spans="2:4" s="281" customFormat="1">
      <c r="B71" s="283"/>
      <c r="C71" s="282"/>
      <c r="D71" s="282"/>
    </row>
    <row r="72" spans="2:4" s="281" customFormat="1" ht="13.5" thickBot="1">
      <c r="B72" s="288"/>
      <c r="C72" s="282"/>
      <c r="D72" s="282"/>
    </row>
    <row r="73" spans="2:4" s="281" customFormat="1" ht="14.25" thickTop="1" thickBot="1">
      <c r="B73" s="284"/>
      <c r="C73" s="282"/>
      <c r="D73" s="282"/>
    </row>
    <row r="74" spans="2:4" s="281" customFormat="1" ht="13.5" thickTop="1">
      <c r="B74" s="287"/>
      <c r="C74" s="282"/>
      <c r="D74" s="282"/>
    </row>
    <row r="75" spans="2:4" ht="13.5" thickBot="1">
      <c r="B75" s="285"/>
    </row>
    <row r="76" spans="2:4" ht="14.25" thickTop="1" thickBot="1">
      <c r="B76" s="286"/>
    </row>
    <row r="77" spans="2:4" ht="13.5" thickTop="1"/>
    <row r="78" spans="2:4" ht="13.5" thickBot="1">
      <c r="B78" s="285"/>
    </row>
    <row r="79" spans="2:4" ht="14.25" thickTop="1" thickBot="1">
      <c r="B79" s="284"/>
    </row>
    <row r="80" spans="2:4" s="281" customFormat="1" ht="13.5" thickTop="1">
      <c r="B80" s="283"/>
      <c r="C80" s="282"/>
      <c r="D80" s="282"/>
    </row>
    <row r="81" spans="2:4">
      <c r="B81" s="280"/>
      <c r="C81" s="279"/>
      <c r="D81" s="278"/>
    </row>
    <row r="82" spans="2:4">
      <c r="B82" s="376"/>
      <c r="C82" s="376"/>
      <c r="D82" s="376"/>
    </row>
    <row r="86" spans="2:4">
      <c r="B86" s="277"/>
    </row>
    <row r="89" spans="2:4">
      <c r="B89" s="277"/>
    </row>
  </sheetData>
  <mergeCells count="19">
    <mergeCell ref="B82:D82"/>
    <mergeCell ref="C2:D6"/>
    <mergeCell ref="C7:D7"/>
    <mergeCell ref="B31:D31"/>
    <mergeCell ref="B34:D34"/>
    <mergeCell ref="B37:D37"/>
    <mergeCell ref="B61:D61"/>
    <mergeCell ref="B40:D40"/>
    <mergeCell ref="B49:D49"/>
    <mergeCell ref="B67:D67"/>
    <mergeCell ref="B55:D55"/>
    <mergeCell ref="B58:D58"/>
    <mergeCell ref="B63:C63"/>
    <mergeCell ref="B52:XFD52"/>
    <mergeCell ref="D21:D23"/>
    <mergeCell ref="D12:D13"/>
    <mergeCell ref="B12:B19"/>
    <mergeCell ref="B20:B25"/>
    <mergeCell ref="C12:C13"/>
  </mergeCells>
  <hyperlinks>
    <hyperlink ref="B33" location="'ERR &amp; Sensitivity Analysis'!A1" display="ERR &amp; Sensitivity Analysis"/>
    <hyperlink ref="B30" location="'Project Description'!A1" display="Project Description"/>
    <hyperlink ref="B36" location="'Cost-Benefit Summary'!A1" display="Cost-Benefit Summary"/>
    <hyperlink ref="B39" location="'SUMMARY ERR'!exrate" display="ERR Summary"/>
  </hyperlink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9"/>
  <sheetViews>
    <sheetView workbookViewId="0">
      <selection activeCell="D25" sqref="D25"/>
    </sheetView>
  </sheetViews>
  <sheetFormatPr defaultRowHeight="15"/>
  <cols>
    <col min="1" max="1" width="34.42578125" customWidth="1"/>
    <col min="2" max="2" width="21.85546875" customWidth="1"/>
    <col min="6" max="6" width="8.85546875" bestFit="1" customWidth="1"/>
    <col min="7" max="7" width="9.85546875" bestFit="1" customWidth="1"/>
    <col min="8" max="8" width="12" bestFit="1" customWidth="1"/>
    <col min="9" max="9" width="12.28515625" customWidth="1"/>
    <col min="10" max="23" width="11.7109375" customWidth="1"/>
  </cols>
  <sheetData>
    <row r="1" spans="1:23">
      <c r="A1" s="37" t="s">
        <v>159</v>
      </c>
      <c r="C1">
        <v>2008</v>
      </c>
      <c r="D1">
        <v>2009</v>
      </c>
      <c r="E1">
        <v>2010</v>
      </c>
      <c r="F1">
        <v>2011</v>
      </c>
      <c r="G1">
        <v>2012</v>
      </c>
      <c r="H1">
        <v>2013</v>
      </c>
      <c r="I1">
        <v>2014</v>
      </c>
      <c r="J1">
        <v>2015</v>
      </c>
      <c r="K1">
        <v>2016</v>
      </c>
      <c r="L1">
        <v>2017</v>
      </c>
      <c r="M1">
        <v>2018</v>
      </c>
      <c r="N1">
        <v>2019</v>
      </c>
      <c r="O1">
        <v>2020</v>
      </c>
      <c r="P1">
        <v>2021</v>
      </c>
      <c r="Q1">
        <v>2022</v>
      </c>
      <c r="R1">
        <v>2023</v>
      </c>
      <c r="S1">
        <v>2024</v>
      </c>
      <c r="T1">
        <v>2025</v>
      </c>
      <c r="U1">
        <v>2026</v>
      </c>
      <c r="V1">
        <v>2027</v>
      </c>
      <c r="W1">
        <v>2028</v>
      </c>
    </row>
    <row r="2" spans="1:23">
      <c r="A2" s="60" t="s">
        <v>509</v>
      </c>
      <c r="G2" s="61">
        <v>0.7</v>
      </c>
    </row>
    <row r="3" spans="1:23">
      <c r="A3" t="s">
        <v>510</v>
      </c>
      <c r="G3">
        <f>'[11]Notes and Assumptions'!C59</f>
        <v>394</v>
      </c>
      <c r="I3" t="s">
        <v>511</v>
      </c>
    </row>
    <row r="4" spans="1:23">
      <c r="A4" t="s">
        <v>512</v>
      </c>
      <c r="G4">
        <f>'[11]Notes and Assumptions'!E34</f>
        <v>1.41</v>
      </c>
      <c r="I4" t="s">
        <v>511</v>
      </c>
      <c r="K4" t="s">
        <v>513</v>
      </c>
    </row>
    <row r="5" spans="1:23">
      <c r="A5" t="s">
        <v>514</v>
      </c>
      <c r="G5">
        <f>'[11]Notes and Assumptions'!F34</f>
        <v>120</v>
      </c>
      <c r="I5" t="s">
        <v>511</v>
      </c>
      <c r="K5" t="s">
        <v>515</v>
      </c>
    </row>
    <row r="6" spans="1:23">
      <c r="A6" t="s">
        <v>516</v>
      </c>
      <c r="G6">
        <f>'[11]Notes and Assumptions'!G34</f>
        <v>0.43</v>
      </c>
      <c r="I6" t="s">
        <v>511</v>
      </c>
    </row>
    <row r="7" spans="1:23">
      <c r="A7" t="s">
        <v>517</v>
      </c>
      <c r="G7" s="61">
        <f>G6/G4</f>
        <v>0.30496453900709219</v>
      </c>
    </row>
    <row r="8" spans="1:23">
      <c r="A8" t="s">
        <v>518</v>
      </c>
      <c r="G8" s="61">
        <v>0.1</v>
      </c>
      <c r="I8" t="s">
        <v>519</v>
      </c>
    </row>
    <row r="9" spans="1:23">
      <c r="A9" t="s">
        <v>520</v>
      </c>
      <c r="G9" s="61">
        <v>0.65</v>
      </c>
      <c r="I9" t="s">
        <v>519</v>
      </c>
    </row>
    <row r="10" spans="1:23">
      <c r="A10" t="s">
        <v>521</v>
      </c>
      <c r="G10" s="61">
        <v>0.6</v>
      </c>
      <c r="I10" t="s">
        <v>519</v>
      </c>
    </row>
    <row r="11" spans="1:23">
      <c r="A11" t="s">
        <v>522</v>
      </c>
      <c r="G11" s="61">
        <v>0.65</v>
      </c>
      <c r="I11" t="s">
        <v>519</v>
      </c>
    </row>
    <row r="12" spans="1:23">
      <c r="F12" s="43"/>
    </row>
    <row r="13" spans="1:23">
      <c r="A13" s="37" t="s">
        <v>523</v>
      </c>
      <c r="C13">
        <v>2008</v>
      </c>
      <c r="D13">
        <v>2009</v>
      </c>
      <c r="E13">
        <v>2010</v>
      </c>
      <c r="F13">
        <v>2011</v>
      </c>
      <c r="G13">
        <v>2012</v>
      </c>
      <c r="H13">
        <v>2013</v>
      </c>
      <c r="I13">
        <v>2014</v>
      </c>
      <c r="J13">
        <v>2015</v>
      </c>
      <c r="K13">
        <v>2016</v>
      </c>
      <c r="L13">
        <v>2017</v>
      </c>
      <c r="M13">
        <v>2018</v>
      </c>
      <c r="N13">
        <v>2019</v>
      </c>
      <c r="O13">
        <v>2020</v>
      </c>
      <c r="P13">
        <v>2021</v>
      </c>
      <c r="Q13">
        <v>2022</v>
      </c>
      <c r="R13">
        <v>2023</v>
      </c>
      <c r="S13">
        <v>2024</v>
      </c>
      <c r="T13">
        <v>2025</v>
      </c>
      <c r="U13">
        <v>2026</v>
      </c>
      <c r="V13">
        <v>2027</v>
      </c>
      <c r="W13">
        <v>2028</v>
      </c>
    </row>
    <row r="14" spans="1:23">
      <c r="A14" s="60" t="s">
        <v>524</v>
      </c>
      <c r="G14">
        <f>ROUND(14063/$G$8,0)</f>
        <v>140630</v>
      </c>
      <c r="H14">
        <f>ROUND(G14*(1+'[11]Notes and Assumptions'!$B$5/100),0)</f>
        <v>143330</v>
      </c>
      <c r="I14">
        <f>ROUND(H14*(1+'[11]Notes and Assumptions'!$B$5/100),0)</f>
        <v>146082</v>
      </c>
      <c r="J14">
        <f>ROUND(I14*(1+'[11]Notes and Assumptions'!$B$5/100),0)</f>
        <v>148887</v>
      </c>
      <c r="K14">
        <f>ROUND(J14*(1+'[11]Notes and Assumptions'!$B$5/100),0)</f>
        <v>151746</v>
      </c>
      <c r="L14">
        <f>ROUND(K14*(1+'[11]Notes and Assumptions'!$B$5/100),0)</f>
        <v>154660</v>
      </c>
      <c r="M14">
        <f>ROUND(L14*(1+'[11]Notes and Assumptions'!$B$5/100),0)</f>
        <v>157629</v>
      </c>
      <c r="N14">
        <f>ROUND(M14*(1+'[11]Notes and Assumptions'!$B$5/100),0)</f>
        <v>160655</v>
      </c>
      <c r="O14">
        <f>ROUND(N14*(1+'[11]Notes and Assumptions'!$B$5/100),0)</f>
        <v>163740</v>
      </c>
      <c r="P14">
        <f>ROUND(O14*(1+'[11]Notes and Assumptions'!$B$5/100),0)</f>
        <v>166884</v>
      </c>
      <c r="Q14">
        <f>ROUND(P14*(1+'[11]Notes and Assumptions'!$B$5/100),0)</f>
        <v>170088</v>
      </c>
      <c r="R14">
        <f>ROUND(Q14*(1+'[11]Notes and Assumptions'!$B$5/100),0)</f>
        <v>173354</v>
      </c>
      <c r="S14">
        <f>ROUND(R14*(1+'[11]Notes and Assumptions'!$B$5/100),0)</f>
        <v>176682</v>
      </c>
      <c r="T14">
        <f>ROUND(S14*(1+'[11]Notes and Assumptions'!$B$5/100),0)</f>
        <v>180074</v>
      </c>
      <c r="U14">
        <f>ROUND(T14*(1+'[11]Notes and Assumptions'!$B$5/100),0)</f>
        <v>183531</v>
      </c>
      <c r="V14">
        <f>ROUND(U14*(1+'[11]Notes and Assumptions'!$B$5/100),0)</f>
        <v>187055</v>
      </c>
      <c r="W14">
        <f>ROUND(V14*(1+'[11]Notes and Assumptions'!$B$5/100),0)</f>
        <v>190646</v>
      </c>
    </row>
    <row r="15" spans="1:23">
      <c r="A15" t="s">
        <v>525</v>
      </c>
      <c r="G15">
        <f>ROUND(G14*$G$8*$G$9,0)</f>
        <v>9141</v>
      </c>
    </row>
    <row r="16" spans="1:23">
      <c r="A16" t="s">
        <v>526</v>
      </c>
      <c r="H16">
        <f>ROUND(H14*$G$10*$G$11,0)</f>
        <v>55899</v>
      </c>
      <c r="I16">
        <f t="shared" ref="I16:W16" si="0">ROUND(I14*$G$10*$G$11,0)</f>
        <v>56972</v>
      </c>
      <c r="J16">
        <f t="shared" si="0"/>
        <v>58066</v>
      </c>
      <c r="K16">
        <f t="shared" si="0"/>
        <v>59181</v>
      </c>
      <c r="L16">
        <f t="shared" si="0"/>
        <v>60317</v>
      </c>
      <c r="M16">
        <f t="shared" si="0"/>
        <v>61475</v>
      </c>
      <c r="N16">
        <f t="shared" si="0"/>
        <v>62655</v>
      </c>
      <c r="O16">
        <f t="shared" si="0"/>
        <v>63859</v>
      </c>
      <c r="P16">
        <f t="shared" si="0"/>
        <v>65085</v>
      </c>
      <c r="Q16">
        <f t="shared" si="0"/>
        <v>66334</v>
      </c>
      <c r="R16">
        <f t="shared" si="0"/>
        <v>67608</v>
      </c>
      <c r="S16">
        <f t="shared" si="0"/>
        <v>68906</v>
      </c>
      <c r="T16">
        <f t="shared" si="0"/>
        <v>70229</v>
      </c>
      <c r="U16">
        <f t="shared" si="0"/>
        <v>71577</v>
      </c>
      <c r="V16">
        <f t="shared" si="0"/>
        <v>72951</v>
      </c>
      <c r="W16">
        <f t="shared" si="0"/>
        <v>74352</v>
      </c>
    </row>
    <row r="17" spans="1:23">
      <c r="A17" t="s">
        <v>527</v>
      </c>
      <c r="G17">
        <f>ROUND(G2*$G$15,0)</f>
        <v>6399</v>
      </c>
      <c r="H17">
        <f>ROUND(H16*$G$2,0)</f>
        <v>39129</v>
      </c>
      <c r="I17">
        <f t="shared" ref="I17:W17" si="1">ROUND(I16*$G$2,0)</f>
        <v>39880</v>
      </c>
      <c r="J17">
        <f t="shared" si="1"/>
        <v>40646</v>
      </c>
      <c r="K17">
        <f t="shared" si="1"/>
        <v>41427</v>
      </c>
      <c r="L17">
        <f t="shared" si="1"/>
        <v>42222</v>
      </c>
      <c r="M17">
        <f t="shared" si="1"/>
        <v>43033</v>
      </c>
      <c r="N17">
        <f t="shared" si="1"/>
        <v>43859</v>
      </c>
      <c r="O17">
        <f t="shared" si="1"/>
        <v>44701</v>
      </c>
      <c r="P17">
        <f t="shared" si="1"/>
        <v>45560</v>
      </c>
      <c r="Q17">
        <f t="shared" si="1"/>
        <v>46434</v>
      </c>
      <c r="R17">
        <f t="shared" si="1"/>
        <v>47326</v>
      </c>
      <c r="S17">
        <f t="shared" si="1"/>
        <v>48234</v>
      </c>
      <c r="T17">
        <f t="shared" si="1"/>
        <v>49160</v>
      </c>
      <c r="U17">
        <f t="shared" si="1"/>
        <v>50104</v>
      </c>
      <c r="V17">
        <f t="shared" si="1"/>
        <v>51066</v>
      </c>
      <c r="W17">
        <f t="shared" si="1"/>
        <v>52046</v>
      </c>
    </row>
    <row r="18" spans="1:23">
      <c r="A18" t="s">
        <v>528</v>
      </c>
      <c r="G18">
        <f t="shared" ref="G18:W18" si="2">ROUND(G17*$G$4/10000,0)</f>
        <v>1</v>
      </c>
      <c r="H18">
        <f t="shared" si="2"/>
        <v>6</v>
      </c>
      <c r="I18">
        <f t="shared" si="2"/>
        <v>6</v>
      </c>
      <c r="J18">
        <f t="shared" si="2"/>
        <v>6</v>
      </c>
      <c r="K18">
        <f t="shared" si="2"/>
        <v>6</v>
      </c>
      <c r="L18">
        <f t="shared" si="2"/>
        <v>6</v>
      </c>
      <c r="M18">
        <f t="shared" si="2"/>
        <v>6</v>
      </c>
      <c r="N18">
        <f t="shared" si="2"/>
        <v>6</v>
      </c>
      <c r="O18">
        <f t="shared" si="2"/>
        <v>6</v>
      </c>
      <c r="P18">
        <f t="shared" si="2"/>
        <v>6</v>
      </c>
      <c r="Q18">
        <f t="shared" si="2"/>
        <v>7</v>
      </c>
      <c r="R18">
        <f t="shared" si="2"/>
        <v>7</v>
      </c>
      <c r="S18">
        <f t="shared" si="2"/>
        <v>7</v>
      </c>
      <c r="T18">
        <f t="shared" si="2"/>
        <v>7</v>
      </c>
      <c r="U18">
        <f t="shared" si="2"/>
        <v>7</v>
      </c>
      <c r="V18">
        <f t="shared" si="2"/>
        <v>7</v>
      </c>
      <c r="W18">
        <f t="shared" si="2"/>
        <v>7</v>
      </c>
    </row>
    <row r="19" spans="1:23">
      <c r="A19" t="s">
        <v>529</v>
      </c>
      <c r="G19">
        <f>ROUND(0.0249*G15,0)</f>
        <v>228</v>
      </c>
      <c r="H19">
        <f>ROUND(0.0249*H16,0)</f>
        <v>1392</v>
      </c>
      <c r="I19">
        <f t="shared" ref="I19:W19" si="3">ROUND(0.0249*I16,0)</f>
        <v>1419</v>
      </c>
      <c r="J19">
        <f t="shared" si="3"/>
        <v>1446</v>
      </c>
      <c r="K19">
        <f t="shared" si="3"/>
        <v>1474</v>
      </c>
      <c r="L19">
        <f t="shared" si="3"/>
        <v>1502</v>
      </c>
      <c r="M19">
        <f t="shared" si="3"/>
        <v>1531</v>
      </c>
      <c r="N19">
        <f t="shared" si="3"/>
        <v>1560</v>
      </c>
      <c r="O19">
        <f t="shared" si="3"/>
        <v>1590</v>
      </c>
      <c r="P19">
        <f t="shared" si="3"/>
        <v>1621</v>
      </c>
      <c r="Q19">
        <f t="shared" si="3"/>
        <v>1652</v>
      </c>
      <c r="R19">
        <f t="shared" si="3"/>
        <v>1683</v>
      </c>
      <c r="S19">
        <f t="shared" si="3"/>
        <v>1716</v>
      </c>
      <c r="T19">
        <f t="shared" si="3"/>
        <v>1749</v>
      </c>
      <c r="U19">
        <f t="shared" si="3"/>
        <v>1782</v>
      </c>
      <c r="V19">
        <f t="shared" si="3"/>
        <v>1816</v>
      </c>
      <c r="W19">
        <f t="shared" si="3"/>
        <v>1851</v>
      </c>
    </row>
    <row r="20" spans="1:23">
      <c r="A20" t="s">
        <v>530</v>
      </c>
      <c r="G20">
        <f>ROUND(G18*$G$7,0)</f>
        <v>0</v>
      </c>
      <c r="H20">
        <f t="shared" ref="H20:W21" si="4">ROUND(H18*$G$7,0)</f>
        <v>2</v>
      </c>
      <c r="I20">
        <f t="shared" si="4"/>
        <v>2</v>
      </c>
      <c r="J20">
        <f t="shared" si="4"/>
        <v>2</v>
      </c>
      <c r="K20">
        <f t="shared" si="4"/>
        <v>2</v>
      </c>
      <c r="L20">
        <f t="shared" si="4"/>
        <v>2</v>
      </c>
      <c r="M20">
        <f t="shared" si="4"/>
        <v>2</v>
      </c>
      <c r="N20">
        <f t="shared" si="4"/>
        <v>2</v>
      </c>
      <c r="O20">
        <f t="shared" si="4"/>
        <v>2</v>
      </c>
      <c r="P20">
        <f t="shared" si="4"/>
        <v>2</v>
      </c>
      <c r="Q20">
        <f t="shared" si="4"/>
        <v>2</v>
      </c>
      <c r="R20">
        <f t="shared" si="4"/>
        <v>2</v>
      </c>
      <c r="S20">
        <f t="shared" si="4"/>
        <v>2</v>
      </c>
      <c r="T20">
        <f t="shared" si="4"/>
        <v>2</v>
      </c>
      <c r="U20">
        <f t="shared" si="4"/>
        <v>2</v>
      </c>
      <c r="V20">
        <f t="shared" si="4"/>
        <v>2</v>
      </c>
      <c r="W20">
        <f t="shared" si="4"/>
        <v>2</v>
      </c>
    </row>
    <row r="21" spans="1:23">
      <c r="A21" t="s">
        <v>531</v>
      </c>
      <c r="G21">
        <f>ROUND(G19*$G$7,0)</f>
        <v>70</v>
      </c>
      <c r="H21">
        <f t="shared" si="4"/>
        <v>425</v>
      </c>
      <c r="I21">
        <f t="shared" si="4"/>
        <v>433</v>
      </c>
      <c r="J21">
        <f t="shared" si="4"/>
        <v>441</v>
      </c>
      <c r="K21">
        <f t="shared" si="4"/>
        <v>450</v>
      </c>
      <c r="L21">
        <f t="shared" si="4"/>
        <v>458</v>
      </c>
      <c r="M21">
        <f t="shared" si="4"/>
        <v>467</v>
      </c>
      <c r="N21">
        <f t="shared" si="4"/>
        <v>476</v>
      </c>
      <c r="O21">
        <f t="shared" si="4"/>
        <v>485</v>
      </c>
      <c r="P21">
        <f t="shared" si="4"/>
        <v>494</v>
      </c>
      <c r="Q21">
        <f t="shared" si="4"/>
        <v>504</v>
      </c>
      <c r="R21">
        <f t="shared" si="4"/>
        <v>513</v>
      </c>
      <c r="S21">
        <f t="shared" si="4"/>
        <v>523</v>
      </c>
      <c r="T21">
        <f t="shared" si="4"/>
        <v>533</v>
      </c>
      <c r="U21">
        <f t="shared" si="4"/>
        <v>543</v>
      </c>
      <c r="V21">
        <f t="shared" si="4"/>
        <v>554</v>
      </c>
      <c r="W21">
        <f t="shared" si="4"/>
        <v>564</v>
      </c>
    </row>
    <row r="22" spans="1:23">
      <c r="A22" t="s">
        <v>532</v>
      </c>
      <c r="G22" s="21">
        <f>G20*[11]CVD!G13/exrate</f>
        <v>0</v>
      </c>
      <c r="H22" s="21">
        <f>H20*[11]CVD!H13/exrate</f>
        <v>3820.8576275064524</v>
      </c>
      <c r="I22" s="21">
        <f>I20*[11]CVD!I13/exrate</f>
        <v>3990.7765584830486</v>
      </c>
      <c r="J22" s="21">
        <f>J20*[11]CVD!J13/exrate</f>
        <v>4150.4076208223705</v>
      </c>
      <c r="K22" s="21">
        <f>K20*[11]CVD!K13/exrate</f>
        <v>4316.4239256552655</v>
      </c>
      <c r="L22" s="21">
        <f>L20*[11]CVD!L13/exrate</f>
        <v>4489.0808826814773</v>
      </c>
      <c r="M22" s="21">
        <f>M20*[11]CVD!M13/exrate</f>
        <v>4668.6441179887361</v>
      </c>
      <c r="N22" s="21">
        <f>N20*[11]CVD!N13/exrate</f>
        <v>4855.3898827082858</v>
      </c>
      <c r="O22" s="21">
        <f>O20*[11]CVD!O13/exrate</f>
        <v>5049.6054780166178</v>
      </c>
      <c r="P22" s="21">
        <f>P20*[11]CVD!P13/exrate</f>
        <v>5251.5896971372831</v>
      </c>
      <c r="Q22" s="21">
        <f>Q20*[11]CVD!Q13/exrate</f>
        <v>5461.653285022775</v>
      </c>
      <c r="R22" s="21">
        <f>R20*[11]CVD!R13/exrate</f>
        <v>5680.1194164236867</v>
      </c>
      <c r="S22" s="21">
        <f>S20*[11]CVD!S13/exrate</f>
        <v>5907.3241930806344</v>
      </c>
      <c r="T22" s="21">
        <f>T20*[11]CVD!T13/exrate</f>
        <v>6143.6171608038594</v>
      </c>
      <c r="U22" s="21">
        <f>U20*[11]CVD!U13/exrate</f>
        <v>6389.3618472360131</v>
      </c>
      <c r="V22" s="21">
        <f>V20*[11]CVD!V13/exrate</f>
        <v>6644.936321125454</v>
      </c>
      <c r="W22" s="21">
        <f>W20*[11]CVD!W13/exrate</f>
        <v>6910.7337739704726</v>
      </c>
    </row>
    <row r="23" spans="1:23">
      <c r="A23" t="s">
        <v>533</v>
      </c>
      <c r="G23" s="21">
        <f>G21*[11]CVD!G13/exrate</f>
        <v>120091.5569277843</v>
      </c>
      <c r="H23" s="21">
        <f>H21*[11]CVD!H13/exrate</f>
        <v>811932.2458451211</v>
      </c>
      <c r="I23" s="21">
        <f>I21*[11]CVD!I13/exrate</f>
        <v>864003.12491158</v>
      </c>
      <c r="J23" s="21">
        <f>J21*[11]CVD!J13/exrate</f>
        <v>915164.88039133279</v>
      </c>
      <c r="K23" s="21">
        <f>K21*[11]CVD!K13/exrate</f>
        <v>971195.38327243482</v>
      </c>
      <c r="L23" s="21">
        <f>L21*[11]CVD!L13/exrate</f>
        <v>1027999.5221340583</v>
      </c>
      <c r="M23" s="21">
        <f>M21*[11]CVD!M13/exrate</f>
        <v>1090128.4015503698</v>
      </c>
      <c r="N23" s="21">
        <f>N21*[11]CVD!N13/exrate</f>
        <v>1155582.7920845721</v>
      </c>
      <c r="O23" s="21">
        <f>O21*[11]CVD!O13/exrate</f>
        <v>1224529.3284190299</v>
      </c>
      <c r="P23" s="21">
        <f>P21*[11]CVD!P13/exrate</f>
        <v>1297142.6551929088</v>
      </c>
      <c r="Q23" s="21">
        <f>Q21*[11]CVD!Q13/exrate</f>
        <v>1376336.6278257393</v>
      </c>
      <c r="R23" s="21">
        <f>R21*[11]CVD!R13/exrate</f>
        <v>1456950.6303126756</v>
      </c>
      <c r="S23" s="21">
        <f>S21*[11]CVD!S13/exrate</f>
        <v>1544765.2764905859</v>
      </c>
      <c r="T23" s="21">
        <f>T21*[11]CVD!T13/exrate</f>
        <v>1637273.9733542285</v>
      </c>
      <c r="U23" s="21">
        <f>U21*[11]CVD!U13/exrate</f>
        <v>1734711.7415245778</v>
      </c>
      <c r="V23" s="21">
        <f>V21*[11]CVD!V13/exrate</f>
        <v>1840647.3609517508</v>
      </c>
      <c r="W23" s="21">
        <f>W21*[11]CVD!W13/exrate</f>
        <v>1948826.9242596733</v>
      </c>
    </row>
    <row r="25" spans="1:23">
      <c r="A25" s="37" t="s">
        <v>534</v>
      </c>
      <c r="B25" t="s">
        <v>535</v>
      </c>
    </row>
    <row r="26" spans="1:23">
      <c r="A26" t="s">
        <v>536</v>
      </c>
      <c r="B26" t="s">
        <v>537</v>
      </c>
      <c r="G26" s="85">
        <v>400000</v>
      </c>
    </row>
    <row r="27" spans="1:23">
      <c r="A27" t="s">
        <v>538</v>
      </c>
      <c r="B27" t="s">
        <v>537</v>
      </c>
      <c r="G27" s="85">
        <v>100000</v>
      </c>
    </row>
    <row r="28" spans="1:23">
      <c r="A28" t="s">
        <v>539</v>
      </c>
      <c r="B28" t="s">
        <v>537</v>
      </c>
      <c r="G28" s="85">
        <v>6813</v>
      </c>
    </row>
    <row r="29" spans="1:23">
      <c r="A29" t="s">
        <v>540</v>
      </c>
      <c r="B29" t="s">
        <v>537</v>
      </c>
      <c r="G29" s="85">
        <v>30000</v>
      </c>
    </row>
    <row r="30" spans="1:23">
      <c r="A30" t="s">
        <v>541</v>
      </c>
      <c r="B30" t="s">
        <v>537</v>
      </c>
      <c r="G30">
        <f>44800*129</f>
        <v>5779200</v>
      </c>
    </row>
    <row r="31" spans="1:23">
      <c r="A31" t="s">
        <v>542</v>
      </c>
      <c r="B31" t="s">
        <v>543</v>
      </c>
      <c r="G31" s="61">
        <v>0.5</v>
      </c>
    </row>
    <row r="32" spans="1:23">
      <c r="A32" t="s">
        <v>544</v>
      </c>
      <c r="B32" t="s">
        <v>537</v>
      </c>
      <c r="H32" s="21">
        <f t="shared" ref="H32:W32" si="5">(SUM($G$26:$G$30)/$G$15)*H16*(1-G31)</f>
        <v>19311826.424187724</v>
      </c>
      <c r="I32" s="21">
        <f t="shared" si="5"/>
        <v>39365046.782190129</v>
      </c>
      <c r="J32" s="21">
        <f t="shared" si="5"/>
        <v>40120950.755716003</v>
      </c>
      <c r="K32" s="21">
        <f t="shared" si="5"/>
        <v>40891364.76895307</v>
      </c>
      <c r="L32" s="21">
        <f t="shared" si="5"/>
        <v>41676288.821901321</v>
      </c>
      <c r="M32" s="21">
        <f t="shared" si="5"/>
        <v>42476413.86883273</v>
      </c>
      <c r="N32" s="21">
        <f t="shared" si="5"/>
        <v>43291739.909747295</v>
      </c>
      <c r="O32" s="21">
        <f t="shared" si="5"/>
        <v>44123648.853188932</v>
      </c>
      <c r="P32" s="21">
        <f t="shared" si="5"/>
        <v>44970758.790613718</v>
      </c>
      <c r="Q32" s="21">
        <f t="shared" si="5"/>
        <v>45833760.676293619</v>
      </c>
      <c r="R32" s="21">
        <f t="shared" si="5"/>
        <v>46714036.418772563</v>
      </c>
      <c r="S32" s="21">
        <f t="shared" si="5"/>
        <v>47610895.063778579</v>
      </c>
      <c r="T32" s="21">
        <f t="shared" si="5"/>
        <v>48525027.565583631</v>
      </c>
      <c r="U32" s="21">
        <f t="shared" si="5"/>
        <v>49456433.924187727</v>
      </c>
      <c r="V32" s="21">
        <f t="shared" si="5"/>
        <v>50405805.093862817</v>
      </c>
      <c r="W32" s="21">
        <f t="shared" si="5"/>
        <v>51373832.028880864</v>
      </c>
    </row>
    <row r="33" spans="1:23">
      <c r="A33" t="s">
        <v>545</v>
      </c>
      <c r="B33" t="s">
        <v>537</v>
      </c>
      <c r="C33">
        <v>55</v>
      </c>
      <c r="D33" t="s">
        <v>546</v>
      </c>
      <c r="H33">
        <f t="shared" ref="H33:W33" si="6">($C$33+(10*3))*H16</f>
        <v>4751415</v>
      </c>
      <c r="I33">
        <f t="shared" si="6"/>
        <v>4842620</v>
      </c>
      <c r="J33">
        <f t="shared" si="6"/>
        <v>4935610</v>
      </c>
      <c r="K33">
        <f t="shared" si="6"/>
        <v>5030385</v>
      </c>
      <c r="L33">
        <f t="shared" si="6"/>
        <v>5126945</v>
      </c>
      <c r="M33">
        <f t="shared" si="6"/>
        <v>5225375</v>
      </c>
      <c r="N33">
        <f t="shared" si="6"/>
        <v>5325675</v>
      </c>
      <c r="O33">
        <f t="shared" si="6"/>
        <v>5428015</v>
      </c>
      <c r="P33">
        <f t="shared" si="6"/>
        <v>5532225</v>
      </c>
      <c r="Q33">
        <f t="shared" si="6"/>
        <v>5638390</v>
      </c>
      <c r="R33">
        <f t="shared" si="6"/>
        <v>5746680</v>
      </c>
      <c r="S33">
        <f t="shared" si="6"/>
        <v>5857010</v>
      </c>
      <c r="T33">
        <f t="shared" si="6"/>
        <v>5969465</v>
      </c>
      <c r="U33">
        <f t="shared" si="6"/>
        <v>6084045</v>
      </c>
      <c r="V33">
        <f t="shared" si="6"/>
        <v>6200835</v>
      </c>
      <c r="W33">
        <f t="shared" si="6"/>
        <v>6319920</v>
      </c>
    </row>
    <row r="34" spans="1:23">
      <c r="A34" s="37" t="s">
        <v>547</v>
      </c>
      <c r="B34" t="s">
        <v>537</v>
      </c>
      <c r="G34" s="85">
        <f>SUM(G26:G30)</f>
        <v>6316013</v>
      </c>
      <c r="H34">
        <f>H33</f>
        <v>4751415</v>
      </c>
      <c r="I34">
        <f t="shared" ref="I34:W34" si="7">I33</f>
        <v>4842620</v>
      </c>
      <c r="J34">
        <f t="shared" si="7"/>
        <v>4935610</v>
      </c>
      <c r="K34">
        <f t="shared" si="7"/>
        <v>5030385</v>
      </c>
      <c r="L34">
        <f t="shared" si="7"/>
        <v>5126945</v>
      </c>
      <c r="M34">
        <f t="shared" si="7"/>
        <v>5225375</v>
      </c>
      <c r="N34">
        <f t="shared" si="7"/>
        <v>5325675</v>
      </c>
      <c r="O34">
        <f t="shared" si="7"/>
        <v>5428015</v>
      </c>
      <c r="P34">
        <f t="shared" si="7"/>
        <v>5532225</v>
      </c>
      <c r="Q34">
        <f t="shared" si="7"/>
        <v>5638390</v>
      </c>
      <c r="R34">
        <f t="shared" si="7"/>
        <v>5746680</v>
      </c>
      <c r="S34">
        <f t="shared" si="7"/>
        <v>5857010</v>
      </c>
      <c r="T34">
        <f t="shared" si="7"/>
        <v>5969465</v>
      </c>
      <c r="U34">
        <f t="shared" si="7"/>
        <v>6084045</v>
      </c>
      <c r="V34">
        <f t="shared" si="7"/>
        <v>6200835</v>
      </c>
      <c r="W34">
        <f t="shared" si="7"/>
        <v>6319920</v>
      </c>
    </row>
    <row r="36" spans="1:23">
      <c r="A36" t="s">
        <v>548</v>
      </c>
      <c r="B36" t="s">
        <v>537</v>
      </c>
      <c r="G36" s="85">
        <f>G22-G34</f>
        <v>-6316013</v>
      </c>
      <c r="H36" s="85">
        <f t="shared" ref="H36:W36" si="8">H22-H34</f>
        <v>-4747594.1423724936</v>
      </c>
      <c r="I36" s="85">
        <f t="shared" si="8"/>
        <v>-4838629.223441517</v>
      </c>
      <c r="J36" s="85">
        <f t="shared" si="8"/>
        <v>-4931459.5923791779</v>
      </c>
      <c r="K36" s="85">
        <f t="shared" si="8"/>
        <v>-5026068.576074345</v>
      </c>
      <c r="L36" s="85">
        <f t="shared" si="8"/>
        <v>-5122455.9191173185</v>
      </c>
      <c r="M36" s="85">
        <f t="shared" si="8"/>
        <v>-5220706.3558820114</v>
      </c>
      <c r="N36" s="85">
        <f t="shared" si="8"/>
        <v>-5320819.610117292</v>
      </c>
      <c r="O36" s="85">
        <f t="shared" si="8"/>
        <v>-5422965.3945219833</v>
      </c>
      <c r="P36" s="85">
        <f t="shared" si="8"/>
        <v>-5526973.4103028625</v>
      </c>
      <c r="Q36" s="85">
        <f t="shared" si="8"/>
        <v>-5632928.3467149772</v>
      </c>
      <c r="R36" s="85">
        <f t="shared" si="8"/>
        <v>-5740999.8805835759</v>
      </c>
      <c r="S36" s="85">
        <f t="shared" si="8"/>
        <v>-5851102.6758069191</v>
      </c>
      <c r="T36" s="85">
        <f t="shared" si="8"/>
        <v>-5963321.3828391964</v>
      </c>
      <c r="U36" s="85">
        <f t="shared" si="8"/>
        <v>-6077655.6381527642</v>
      </c>
      <c r="V36" s="85">
        <f t="shared" si="8"/>
        <v>-6194190.0636788746</v>
      </c>
      <c r="W36" s="85">
        <f t="shared" si="8"/>
        <v>-6313009.26622603</v>
      </c>
    </row>
    <row r="37" spans="1:23">
      <c r="A37" t="s">
        <v>549</v>
      </c>
      <c r="B37" t="s">
        <v>537</v>
      </c>
      <c r="G37" s="85">
        <f>G23-G34</f>
        <v>-6195921.4430722157</v>
      </c>
      <c r="H37" s="85">
        <f t="shared" ref="H37:W37" si="9">H23-H34</f>
        <v>-3939482.7541548787</v>
      </c>
      <c r="I37" s="85">
        <f t="shared" si="9"/>
        <v>-3978616.8750884198</v>
      </c>
      <c r="J37" s="85">
        <f t="shared" si="9"/>
        <v>-4020445.1196086672</v>
      </c>
      <c r="K37" s="85">
        <f t="shared" si="9"/>
        <v>-4059189.6167275654</v>
      </c>
      <c r="L37" s="85">
        <f t="shared" si="9"/>
        <v>-4098945.4778659418</v>
      </c>
      <c r="M37" s="85">
        <f t="shared" si="9"/>
        <v>-4135246.5984496302</v>
      </c>
      <c r="N37" s="85">
        <f t="shared" si="9"/>
        <v>-4170092.2079154281</v>
      </c>
      <c r="O37" s="85">
        <f t="shared" si="9"/>
        <v>-4203485.6715809703</v>
      </c>
      <c r="P37" s="85">
        <f t="shared" si="9"/>
        <v>-4235082.3448070912</v>
      </c>
      <c r="Q37" s="85">
        <f t="shared" si="9"/>
        <v>-4262053.3721742611</v>
      </c>
      <c r="R37" s="85">
        <f t="shared" si="9"/>
        <v>-4289729.3696873244</v>
      </c>
      <c r="S37" s="85">
        <f t="shared" si="9"/>
        <v>-4312244.7235094141</v>
      </c>
      <c r="T37" s="85">
        <f t="shared" si="9"/>
        <v>-4332191.0266457712</v>
      </c>
      <c r="U37" s="85">
        <f t="shared" si="9"/>
        <v>-4349333.2584754219</v>
      </c>
      <c r="V37" s="85">
        <f t="shared" si="9"/>
        <v>-4360187.6390482495</v>
      </c>
      <c r="W37" s="85">
        <f t="shared" si="9"/>
        <v>-4371093.0757403262</v>
      </c>
    </row>
    <row r="38" spans="1:23">
      <c r="A38" t="s">
        <v>550</v>
      </c>
      <c r="B38" s="223">
        <f>NPV(0.1,G36:W36)</f>
        <v>-43394063.520718016</v>
      </c>
    </row>
    <row r="39" spans="1:23">
      <c r="A39" t="s">
        <v>551</v>
      </c>
      <c r="B39" s="223">
        <f>NPV(0.1,G37:W37)</f>
        <v>-35046199.637210302</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
  <sheetViews>
    <sheetView workbookViewId="0">
      <selection activeCell="C5" sqref="C5"/>
    </sheetView>
  </sheetViews>
  <sheetFormatPr defaultRowHeight="15"/>
  <cols>
    <col min="1" max="1" width="33.140625" customWidth="1"/>
  </cols>
  <sheetData>
    <row r="1" spans="1:23">
      <c r="A1" s="37" t="s">
        <v>159</v>
      </c>
      <c r="C1">
        <v>2008</v>
      </c>
      <c r="D1">
        <v>2009</v>
      </c>
      <c r="E1">
        <v>2010</v>
      </c>
      <c r="F1">
        <v>2011</v>
      </c>
      <c r="G1">
        <v>2012</v>
      </c>
      <c r="H1">
        <v>2013</v>
      </c>
      <c r="I1">
        <v>2014</v>
      </c>
      <c r="J1">
        <v>2015</v>
      </c>
      <c r="K1">
        <v>2016</v>
      </c>
      <c r="L1">
        <v>2017</v>
      </c>
      <c r="M1">
        <v>2018</v>
      </c>
      <c r="N1">
        <v>2019</v>
      </c>
      <c r="O1">
        <v>2020</v>
      </c>
      <c r="P1">
        <v>2021</v>
      </c>
      <c r="Q1">
        <v>2022</v>
      </c>
      <c r="R1">
        <v>2023</v>
      </c>
      <c r="S1">
        <v>2024</v>
      </c>
      <c r="T1">
        <v>2025</v>
      </c>
      <c r="U1">
        <v>2026</v>
      </c>
      <c r="V1">
        <v>2027</v>
      </c>
      <c r="W1">
        <v>2028</v>
      </c>
    </row>
    <row r="2" spans="1:23">
      <c r="A2" s="60" t="s">
        <v>210</v>
      </c>
    </row>
    <row r="3" spans="1:23">
      <c r="A3" t="s">
        <v>179</v>
      </c>
    </row>
    <row r="4" spans="1:23">
      <c r="A4" t="s">
        <v>180</v>
      </c>
    </row>
    <row r="6" spans="1:23">
      <c r="A6" t="s">
        <v>331</v>
      </c>
      <c r="G6">
        <v>216807</v>
      </c>
      <c r="H6" s="157">
        <f>+'[18]2012 on, 2013 onii 1,2,3,4 sar'!$G$30</f>
        <v>260975</v>
      </c>
    </row>
    <row r="7" spans="1:23">
      <c r="A7" t="s">
        <v>366</v>
      </c>
      <c r="G7">
        <v>19615</v>
      </c>
      <c r="H7" s="157"/>
    </row>
    <row r="8" spans="1:23">
      <c r="A8" t="s">
        <v>181</v>
      </c>
      <c r="G8">
        <v>2760</v>
      </c>
      <c r="H8" s="157">
        <f>+'[18]2012 on, 2013 onii 1,2,3,4 sar'!$I$30</f>
        <v>2963</v>
      </c>
    </row>
    <row r="9" spans="1:23">
      <c r="A9" t="s">
        <v>182</v>
      </c>
    </row>
    <row r="11" spans="1:23">
      <c r="A11" t="s">
        <v>198</v>
      </c>
    </row>
    <row r="12" spans="1:23">
      <c r="A12" t="s">
        <v>199</v>
      </c>
    </row>
    <row r="14" spans="1:23">
      <c r="A14" t="s">
        <v>183</v>
      </c>
    </row>
    <row r="15" spans="1:23">
      <c r="A15" t="s">
        <v>184</v>
      </c>
    </row>
    <row r="16" spans="1:23">
      <c r="A16" t="s">
        <v>185</v>
      </c>
    </row>
    <row r="18" spans="1:3">
      <c r="A18" t="s">
        <v>193</v>
      </c>
      <c r="C18" s="61">
        <v>0.25</v>
      </c>
    </row>
    <row r="19" spans="1:3">
      <c r="A19" t="s">
        <v>194</v>
      </c>
    </row>
    <row r="21" spans="1:3">
      <c r="A21" t="s">
        <v>186</v>
      </c>
    </row>
    <row r="22" spans="1:3">
      <c r="A22" t="s">
        <v>187</v>
      </c>
    </row>
    <row r="23" spans="1:3">
      <c r="A23" t="s">
        <v>188</v>
      </c>
    </row>
    <row r="25" spans="1:3">
      <c r="A25" t="s">
        <v>189</v>
      </c>
    </row>
    <row r="26" spans="1:3">
      <c r="A26" t="s">
        <v>190</v>
      </c>
    </row>
    <row r="27" spans="1:3">
      <c r="A27" t="s">
        <v>191</v>
      </c>
    </row>
    <row r="29" spans="1:3">
      <c r="A29" s="57" t="s">
        <v>172</v>
      </c>
    </row>
    <row r="30" spans="1:3">
      <c r="A30" s="57" t="s">
        <v>192</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55"/>
  <sheetViews>
    <sheetView topLeftCell="A3" workbookViewId="0">
      <selection activeCell="B21" sqref="B21"/>
    </sheetView>
  </sheetViews>
  <sheetFormatPr defaultRowHeight="15"/>
  <cols>
    <col min="1" max="1" width="32" customWidth="1"/>
    <col min="2" max="2" width="12" bestFit="1" customWidth="1"/>
    <col min="3" max="3" width="11" customWidth="1"/>
    <col min="4" max="4" width="11.5703125" bestFit="1" customWidth="1"/>
    <col min="5" max="5" width="9.28515625" bestFit="1" customWidth="1"/>
    <col min="6" max="6" width="10.28515625" customWidth="1"/>
    <col min="7" max="7" width="9.28515625" bestFit="1" customWidth="1"/>
    <col min="8" max="8" width="10" customWidth="1"/>
    <col min="9" max="9" width="10.5703125" customWidth="1"/>
    <col min="10" max="20" width="9.28515625" bestFit="1" customWidth="1"/>
    <col min="21" max="23" width="9.5703125" bestFit="1" customWidth="1"/>
  </cols>
  <sheetData>
    <row r="1" spans="1:23">
      <c r="A1" t="s">
        <v>0</v>
      </c>
    </row>
    <row r="2" spans="1:23">
      <c r="A2" t="s">
        <v>141</v>
      </c>
    </row>
    <row r="3" spans="1:23">
      <c r="A3" t="s">
        <v>140</v>
      </c>
    </row>
    <row r="4" spans="1:23">
      <c r="A4" t="s">
        <v>142</v>
      </c>
    </row>
    <row r="6" spans="1:23">
      <c r="A6" t="s">
        <v>40</v>
      </c>
    </row>
    <row r="7" spans="1:23">
      <c r="A7" t="s">
        <v>138</v>
      </c>
      <c r="D7" t="s">
        <v>33</v>
      </c>
    </row>
    <row r="8" spans="1:23">
      <c r="A8" t="s">
        <v>83</v>
      </c>
      <c r="B8" s="29">
        <v>6130000000000</v>
      </c>
    </row>
    <row r="9" spans="1:23">
      <c r="A9" t="s">
        <v>53</v>
      </c>
      <c r="B9">
        <f>+'SUMMARY ERR'!pop</f>
        <v>2683500</v>
      </c>
      <c r="D9">
        <v>1</v>
      </c>
      <c r="E9">
        <v>2</v>
      </c>
      <c r="F9">
        <v>3</v>
      </c>
      <c r="G9">
        <v>4</v>
      </c>
      <c r="H9">
        <v>5</v>
      </c>
      <c r="I9">
        <v>6</v>
      </c>
      <c r="J9">
        <v>7</v>
      </c>
      <c r="K9">
        <v>8</v>
      </c>
      <c r="L9">
        <v>9</v>
      </c>
      <c r="M9">
        <v>10</v>
      </c>
      <c r="N9">
        <v>11</v>
      </c>
      <c r="O9">
        <v>12</v>
      </c>
      <c r="P9">
        <v>13</v>
      </c>
      <c r="Q9">
        <v>14</v>
      </c>
      <c r="R9">
        <v>15</v>
      </c>
      <c r="S9">
        <v>16</v>
      </c>
      <c r="T9">
        <v>17</v>
      </c>
      <c r="U9">
        <v>18</v>
      </c>
      <c r="V9">
        <v>19</v>
      </c>
      <c r="W9">
        <v>20</v>
      </c>
    </row>
    <row r="10" spans="1:23">
      <c r="A10" t="s">
        <v>39</v>
      </c>
      <c r="B10" s="21">
        <f>+'SUMMARY ERR'!B10</f>
        <v>2409298.8993385485</v>
      </c>
      <c r="C10" s="35" t="s">
        <v>107</v>
      </c>
      <c r="D10">
        <v>2009</v>
      </c>
      <c r="E10">
        <v>2010</v>
      </c>
      <c r="F10">
        <v>2011</v>
      </c>
      <c r="G10">
        <v>2012</v>
      </c>
      <c r="H10">
        <v>2013</v>
      </c>
    </row>
    <row r="11" spans="1:23">
      <c r="A11" t="s">
        <v>106</v>
      </c>
      <c r="B11" s="21">
        <f>B8/(pop*0.68)</f>
        <v>3359309.0673944252</v>
      </c>
      <c r="C11" s="35" t="s">
        <v>146</v>
      </c>
    </row>
    <row r="12" spans="1:23">
      <c r="A12" t="s">
        <v>139</v>
      </c>
      <c r="D12" s="4"/>
      <c r="E12" s="4">
        <v>2.7411793543993753E-2</v>
      </c>
      <c r="F12" s="4">
        <v>4.3937234259515179E-2</v>
      </c>
      <c r="G12" s="4">
        <v>9.6622660718111889E-2</v>
      </c>
      <c r="H12" s="4">
        <v>0.11356718477005716</v>
      </c>
      <c r="I12" s="4">
        <v>4.4471411275140323E-2</v>
      </c>
      <c r="J12" s="4">
        <v>0.04</v>
      </c>
      <c r="K12" s="4">
        <v>0.04</v>
      </c>
      <c r="L12" s="4">
        <v>0.04</v>
      </c>
      <c r="M12" s="4">
        <v>0.04</v>
      </c>
      <c r="N12" s="4">
        <v>0.04</v>
      </c>
      <c r="O12" s="4">
        <v>0.04</v>
      </c>
      <c r="P12" s="4">
        <v>0.04</v>
      </c>
      <c r="Q12" s="4">
        <v>0.04</v>
      </c>
      <c r="R12" s="4">
        <v>0.04</v>
      </c>
      <c r="S12" s="4">
        <v>0.04</v>
      </c>
      <c r="T12" s="4">
        <v>0.04</v>
      </c>
      <c r="U12" s="4">
        <v>0.04</v>
      </c>
      <c r="V12" s="4">
        <v>0.04</v>
      </c>
      <c r="W12" s="4">
        <v>0.04</v>
      </c>
    </row>
    <row r="13" spans="1:23">
      <c r="A13" s="27" t="s">
        <v>145</v>
      </c>
      <c r="B13" s="27">
        <v>1560</v>
      </c>
      <c r="D13" s="21">
        <f>B10*(1+D12)</f>
        <v>2409298.8993385485</v>
      </c>
      <c r="E13" s="21">
        <f>D13*(1+E12)</f>
        <v>2475342.1033529881</v>
      </c>
      <c r="F13" s="21">
        <f t="shared" ref="F13:W13" si="0">E13*(1+F12)</f>
        <v>2584101.7892204495</v>
      </c>
      <c r="G13" s="21">
        <f t="shared" si="0"/>
        <v>2833784.5796613633</v>
      </c>
      <c r="H13" s="21">
        <f t="shared" si="0"/>
        <v>3155609.5166183044</v>
      </c>
      <c r="I13" s="21">
        <f t="shared" si="0"/>
        <v>3295943.9252555836</v>
      </c>
      <c r="J13" s="21">
        <f t="shared" si="0"/>
        <v>3427781.6822658069</v>
      </c>
      <c r="K13" s="21">
        <f t="shared" si="0"/>
        <v>3564892.9495564392</v>
      </c>
      <c r="L13" s="21">
        <f t="shared" si="0"/>
        <v>3707488.6675386969</v>
      </c>
      <c r="M13" s="21">
        <f t="shared" si="0"/>
        <v>3855788.2142402451</v>
      </c>
      <c r="N13" s="21">
        <f t="shared" si="0"/>
        <v>4010019.7428098549</v>
      </c>
      <c r="O13" s="21">
        <f t="shared" si="0"/>
        <v>4170420.532522249</v>
      </c>
      <c r="P13" s="21">
        <f t="shared" si="0"/>
        <v>4337237.3538231393</v>
      </c>
      <c r="Q13" s="21">
        <f t="shared" si="0"/>
        <v>4510726.8479760652</v>
      </c>
      <c r="R13" s="21">
        <f t="shared" si="0"/>
        <v>4691155.9218951082</v>
      </c>
      <c r="S13" s="21">
        <f t="shared" si="0"/>
        <v>4878802.1587709123</v>
      </c>
      <c r="T13" s="21">
        <f t="shared" si="0"/>
        <v>5073954.2451217491</v>
      </c>
      <c r="U13" s="21">
        <f t="shared" si="0"/>
        <v>5276912.4149266193</v>
      </c>
      <c r="V13" s="21">
        <f t="shared" si="0"/>
        <v>5487988.9115236839</v>
      </c>
      <c r="W13" s="21">
        <f t="shared" si="0"/>
        <v>5707508.4679846317</v>
      </c>
    </row>
    <row r="14" spans="1:23">
      <c r="A14" t="s">
        <v>98</v>
      </c>
      <c r="B14" s="4">
        <v>1.4999999999999999E-2</v>
      </c>
    </row>
    <row r="15" spans="1:23">
      <c r="A15" t="s">
        <v>119</v>
      </c>
      <c r="B15">
        <v>753</v>
      </c>
    </row>
    <row r="16" spans="1:23">
      <c r="A16" t="s">
        <v>126</v>
      </c>
      <c r="B16" s="21">
        <f>B10/B15</f>
        <v>3199.6001319237034</v>
      </c>
      <c r="D16" t="s">
        <v>132</v>
      </c>
      <c r="S16" s="3"/>
      <c r="T16" s="3"/>
      <c r="U16" s="3"/>
      <c r="V16" s="3"/>
      <c r="W16" s="3"/>
    </row>
    <row r="17" spans="1:35">
      <c r="D17" s="399" t="s">
        <v>1</v>
      </c>
      <c r="E17" s="400" t="s">
        <v>2</v>
      </c>
      <c r="F17" s="401" t="s">
        <v>3</v>
      </c>
      <c r="G17" s="401" t="s">
        <v>4</v>
      </c>
      <c r="H17" s="401" t="s">
        <v>5</v>
      </c>
      <c r="I17" s="396" t="s">
        <v>6</v>
      </c>
      <c r="J17" s="396" t="s">
        <v>7</v>
      </c>
      <c r="K17" s="396" t="s">
        <v>8</v>
      </c>
      <c r="L17" s="396" t="s">
        <v>9</v>
      </c>
      <c r="M17" s="396" t="s">
        <v>10</v>
      </c>
      <c r="N17" s="396" t="s">
        <v>11</v>
      </c>
      <c r="O17" s="396" t="s">
        <v>12</v>
      </c>
      <c r="P17" s="396" t="s">
        <v>13</v>
      </c>
      <c r="Q17" s="396" t="s">
        <v>14</v>
      </c>
      <c r="R17" s="396" t="s">
        <v>15</v>
      </c>
      <c r="S17" s="397" t="s">
        <v>17</v>
      </c>
      <c r="T17" s="398"/>
      <c r="U17" s="398"/>
      <c r="V17" s="398"/>
      <c r="W17" s="398"/>
    </row>
    <row r="18" spans="1:35">
      <c r="D18" s="399"/>
      <c r="E18" s="400"/>
      <c r="F18" s="401"/>
      <c r="G18" s="401"/>
      <c r="H18" s="401"/>
      <c r="I18" s="396"/>
      <c r="J18" s="396"/>
      <c r="K18" s="396"/>
      <c r="L18" s="396"/>
      <c r="M18" s="396"/>
      <c r="N18" s="396"/>
      <c r="O18" s="396"/>
      <c r="P18" s="396"/>
      <c r="Q18" s="396"/>
      <c r="R18" s="396"/>
      <c r="S18" s="1">
        <v>66</v>
      </c>
      <c r="T18" s="2">
        <v>67</v>
      </c>
      <c r="U18" s="2">
        <v>68</v>
      </c>
      <c r="V18" s="2">
        <v>69</v>
      </c>
      <c r="W18" s="2">
        <v>70</v>
      </c>
      <c r="X18" s="2">
        <v>71</v>
      </c>
      <c r="Y18" s="2">
        <v>72</v>
      </c>
      <c r="Z18" s="2">
        <v>73</v>
      </c>
      <c r="AA18" s="2">
        <v>74</v>
      </c>
      <c r="AB18" s="2">
        <v>75</v>
      </c>
      <c r="AC18" s="2">
        <v>76</v>
      </c>
      <c r="AD18" s="2">
        <v>77</v>
      </c>
      <c r="AE18" s="2">
        <v>78</v>
      </c>
      <c r="AF18" s="2">
        <v>79</v>
      </c>
      <c r="AG18" s="2">
        <v>80</v>
      </c>
      <c r="AH18" s="2">
        <v>81</v>
      </c>
      <c r="AI18" s="2">
        <v>82</v>
      </c>
    </row>
    <row r="19" spans="1:35">
      <c r="A19" t="s">
        <v>16</v>
      </c>
      <c r="B19">
        <f>SUM(D19:AH19)</f>
        <v>5438</v>
      </c>
      <c r="C19" t="s">
        <v>18</v>
      </c>
      <c r="D19">
        <v>0</v>
      </c>
      <c r="E19">
        <v>0</v>
      </c>
      <c r="F19">
        <v>0</v>
      </c>
      <c r="G19">
        <v>1</v>
      </c>
      <c r="H19">
        <f>Scratch!F7</f>
        <v>11</v>
      </c>
      <c r="I19">
        <f>Scratch!G7</f>
        <v>20</v>
      </c>
      <c r="J19">
        <f>Scratch!H7</f>
        <v>50</v>
      </c>
      <c r="K19">
        <f>Scratch!I7</f>
        <v>77</v>
      </c>
      <c r="L19">
        <f>Scratch!J7</f>
        <v>135</v>
      </c>
      <c r="M19">
        <f>Scratch!K7</f>
        <v>267</v>
      </c>
      <c r="N19">
        <f>Scratch!L7</f>
        <v>393</v>
      </c>
      <c r="O19">
        <f>Scratch!M7</f>
        <v>470</v>
      </c>
      <c r="P19">
        <f>Scratch!N7</f>
        <v>412</v>
      </c>
      <c r="Q19">
        <f>Scratch!O7</f>
        <v>452</v>
      </c>
      <c r="R19">
        <v>100</v>
      </c>
      <c r="S19">
        <v>150</v>
      </c>
      <c r="T19">
        <v>200</v>
      </c>
      <c r="U19">
        <f t="shared" ref="U19:AG19" si="1">T19</f>
        <v>200</v>
      </c>
      <c r="V19">
        <f t="shared" si="1"/>
        <v>200</v>
      </c>
      <c r="W19">
        <f t="shared" si="1"/>
        <v>200</v>
      </c>
      <c r="X19">
        <f t="shared" si="1"/>
        <v>200</v>
      </c>
      <c r="Y19">
        <f t="shared" si="1"/>
        <v>200</v>
      </c>
      <c r="Z19">
        <f t="shared" si="1"/>
        <v>200</v>
      </c>
      <c r="AA19">
        <f t="shared" si="1"/>
        <v>200</v>
      </c>
      <c r="AB19">
        <f t="shared" si="1"/>
        <v>200</v>
      </c>
      <c r="AC19">
        <f t="shared" si="1"/>
        <v>200</v>
      </c>
      <c r="AD19">
        <f t="shared" si="1"/>
        <v>200</v>
      </c>
      <c r="AE19">
        <f t="shared" si="1"/>
        <v>200</v>
      </c>
      <c r="AF19">
        <f t="shared" si="1"/>
        <v>200</v>
      </c>
      <c r="AG19">
        <f t="shared" si="1"/>
        <v>200</v>
      </c>
      <c r="AH19">
        <v>100</v>
      </c>
    </row>
    <row r="20" spans="1:35">
      <c r="B20" t="s">
        <v>19</v>
      </c>
      <c r="G20" s="4">
        <f>G19/$B19</f>
        <v>1.8389113644722325E-4</v>
      </c>
      <c r="H20" s="4">
        <f t="shared" ref="H20:AH20" si="2">H19/$B19</f>
        <v>2.0228025009194558E-3</v>
      </c>
      <c r="I20" s="4">
        <f t="shared" si="2"/>
        <v>3.677822728944465E-3</v>
      </c>
      <c r="J20" s="4">
        <f t="shared" si="2"/>
        <v>9.1945568223611614E-3</v>
      </c>
      <c r="K20" s="4">
        <f t="shared" si="2"/>
        <v>1.4159617506436189E-2</v>
      </c>
      <c r="L20" s="4">
        <f t="shared" si="2"/>
        <v>2.4825303420375137E-2</v>
      </c>
      <c r="M20" s="4">
        <f t="shared" si="2"/>
        <v>4.9098933431408608E-2</v>
      </c>
      <c r="N20" s="4">
        <f t="shared" si="2"/>
        <v>7.2269216623758736E-2</v>
      </c>
      <c r="O20" s="4">
        <f t="shared" si="2"/>
        <v>8.642883413019492E-2</v>
      </c>
      <c r="P20" s="4">
        <f t="shared" si="2"/>
        <v>7.5763148216255974E-2</v>
      </c>
      <c r="Q20" s="4">
        <f t="shared" si="2"/>
        <v>8.3118793674144903E-2</v>
      </c>
      <c r="R20" s="4">
        <f t="shared" si="2"/>
        <v>1.8389113644722323E-2</v>
      </c>
      <c r="S20" s="4">
        <f t="shared" si="2"/>
        <v>2.7583670467083488E-2</v>
      </c>
      <c r="T20" s="4">
        <f t="shared" si="2"/>
        <v>3.6778227289444645E-2</v>
      </c>
      <c r="U20" s="4">
        <f t="shared" si="2"/>
        <v>3.6778227289444645E-2</v>
      </c>
      <c r="V20" s="4">
        <f t="shared" si="2"/>
        <v>3.6778227289444645E-2</v>
      </c>
      <c r="W20" s="4">
        <f t="shared" si="2"/>
        <v>3.6778227289444645E-2</v>
      </c>
      <c r="X20" s="4">
        <f t="shared" si="2"/>
        <v>3.6778227289444645E-2</v>
      </c>
      <c r="Y20" s="4">
        <f t="shared" si="2"/>
        <v>3.6778227289444645E-2</v>
      </c>
      <c r="Z20" s="4">
        <f t="shared" si="2"/>
        <v>3.6778227289444645E-2</v>
      </c>
      <c r="AA20" s="4">
        <f t="shared" si="2"/>
        <v>3.6778227289444645E-2</v>
      </c>
      <c r="AB20" s="4">
        <f t="shared" si="2"/>
        <v>3.6778227289444645E-2</v>
      </c>
      <c r="AC20" s="4">
        <f t="shared" si="2"/>
        <v>3.6778227289444645E-2</v>
      </c>
      <c r="AD20" s="4">
        <f t="shared" si="2"/>
        <v>3.6778227289444645E-2</v>
      </c>
      <c r="AE20" s="4">
        <f t="shared" si="2"/>
        <v>3.6778227289444645E-2</v>
      </c>
      <c r="AF20" s="4">
        <f t="shared" si="2"/>
        <v>3.6778227289444645E-2</v>
      </c>
      <c r="AG20" s="4">
        <f t="shared" si="2"/>
        <v>3.6778227289444645E-2</v>
      </c>
      <c r="AH20" s="4">
        <f t="shared" si="2"/>
        <v>1.8389113644722323E-2</v>
      </c>
    </row>
    <row r="21" spans="1:35">
      <c r="A21" t="s">
        <v>148</v>
      </c>
      <c r="B21" s="57">
        <v>109</v>
      </c>
      <c r="C21" t="s">
        <v>18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row>
    <row r="22" spans="1:35">
      <c r="A22" t="s">
        <v>149</v>
      </c>
      <c r="B22" t="s">
        <v>19</v>
      </c>
      <c r="D22">
        <f>+D24</f>
        <v>0</v>
      </c>
      <c r="E22">
        <f t="shared" ref="E22:AH22" si="3">+E24</f>
        <v>0</v>
      </c>
      <c r="F22">
        <f t="shared" si="3"/>
        <v>0</v>
      </c>
      <c r="G22">
        <f t="shared" si="3"/>
        <v>0</v>
      </c>
      <c r="H22" s="28">
        <f t="shared" si="3"/>
        <v>4.193548387096774E-3</v>
      </c>
      <c r="I22" s="28">
        <f t="shared" si="3"/>
        <v>7.0967741935483875E-3</v>
      </c>
      <c r="J22" s="28">
        <f t="shared" si="3"/>
        <v>6.4516129032258064E-3</v>
      </c>
      <c r="K22" s="28">
        <f t="shared" si="3"/>
        <v>1.2903225806451613E-2</v>
      </c>
      <c r="L22" s="28">
        <f t="shared" si="3"/>
        <v>2.3225806451612905E-2</v>
      </c>
      <c r="M22" s="28">
        <f t="shared" si="3"/>
        <v>6.0645161290322581E-2</v>
      </c>
      <c r="N22" s="28">
        <f t="shared" si="3"/>
        <v>8.4193548387096778E-2</v>
      </c>
      <c r="O22" s="28">
        <f t="shared" si="3"/>
        <v>0.10161290322580645</v>
      </c>
      <c r="P22" s="28">
        <f t="shared" si="3"/>
        <v>0.10516129032258065</v>
      </c>
      <c r="Q22" s="28">
        <f t="shared" si="3"/>
        <v>0.12580645161290321</v>
      </c>
      <c r="R22" s="28">
        <f t="shared" si="3"/>
        <v>1.6129032258064516E-2</v>
      </c>
      <c r="S22" s="28">
        <f t="shared" si="3"/>
        <v>1.6129032258064516E-2</v>
      </c>
      <c r="T22" s="28">
        <f t="shared" si="3"/>
        <v>2.4193548387096774E-2</v>
      </c>
      <c r="U22" s="28">
        <f t="shared" si="3"/>
        <v>2.4193548387096774E-2</v>
      </c>
      <c r="V22" s="28">
        <f t="shared" si="3"/>
        <v>2.4193548387096774E-2</v>
      </c>
      <c r="W22" s="28">
        <f t="shared" si="3"/>
        <v>3.2258064516129031E-2</v>
      </c>
      <c r="X22" s="28">
        <f t="shared" si="3"/>
        <v>3.2258064516129031E-2</v>
      </c>
      <c r="Y22" s="28">
        <f t="shared" si="3"/>
        <v>3.2258064516129031E-2</v>
      </c>
      <c r="Z22" s="28">
        <f t="shared" si="3"/>
        <v>3.2258064516129031E-2</v>
      </c>
      <c r="AA22" s="28">
        <f t="shared" si="3"/>
        <v>3.2258064516129031E-2</v>
      </c>
      <c r="AB22" s="28">
        <f t="shared" si="3"/>
        <v>3.2258064516129031E-2</v>
      </c>
      <c r="AC22" s="28">
        <f t="shared" si="3"/>
        <v>3.2258064516129031E-2</v>
      </c>
      <c r="AD22" s="28">
        <f t="shared" si="3"/>
        <v>3.2258064516129031E-2</v>
      </c>
      <c r="AE22" s="28">
        <f t="shared" si="3"/>
        <v>3.2258064516129031E-2</v>
      </c>
      <c r="AF22" s="28">
        <f t="shared" si="3"/>
        <v>3.2258064516129031E-2</v>
      </c>
      <c r="AG22" s="28">
        <f t="shared" si="3"/>
        <v>2.5161290322580646E-2</v>
      </c>
      <c r="AH22" s="28">
        <f t="shared" si="3"/>
        <v>1.6129032258064516E-2</v>
      </c>
    </row>
    <row r="23" spans="1:35">
      <c r="A23" t="s">
        <v>324</v>
      </c>
      <c r="B23" s="57">
        <v>164</v>
      </c>
      <c r="C23" t="s">
        <v>18</v>
      </c>
    </row>
    <row r="24" spans="1:35">
      <c r="B24" t="s">
        <v>19</v>
      </c>
      <c r="D24" s="57">
        <v>0</v>
      </c>
      <c r="E24" s="57">
        <v>0</v>
      </c>
      <c r="F24" s="57">
        <v>0</v>
      </c>
      <c r="G24" s="57">
        <v>0</v>
      </c>
      <c r="H24" s="58">
        <f>+Scratch!F13</f>
        <v>4.193548387096774E-3</v>
      </c>
      <c r="I24" s="58">
        <f>+Scratch!G13</f>
        <v>7.0967741935483875E-3</v>
      </c>
      <c r="J24" s="58">
        <f>+Scratch!H13</f>
        <v>6.4516129032258064E-3</v>
      </c>
      <c r="K24" s="58">
        <f>+Scratch!I13</f>
        <v>1.2903225806451613E-2</v>
      </c>
      <c r="L24" s="58">
        <f>+Scratch!J13</f>
        <v>2.3225806451612905E-2</v>
      </c>
      <c r="M24" s="58">
        <f>+Scratch!K13</f>
        <v>6.0645161290322581E-2</v>
      </c>
      <c r="N24" s="58">
        <f>+Scratch!L13</f>
        <v>8.4193548387096778E-2</v>
      </c>
      <c r="O24" s="58">
        <f>+Scratch!M13</f>
        <v>0.10161290322580645</v>
      </c>
      <c r="P24" s="58">
        <f>+Scratch!N13</f>
        <v>0.10516129032258065</v>
      </c>
      <c r="Q24" s="58">
        <f>+Scratch!O13</f>
        <v>0.12580645161290321</v>
      </c>
      <c r="R24" s="58">
        <f>+Scratch!P13</f>
        <v>1.6129032258064516E-2</v>
      </c>
      <c r="S24" s="58">
        <f>+Scratch!Q13</f>
        <v>1.6129032258064516E-2</v>
      </c>
      <c r="T24" s="58">
        <f>+Scratch!R13</f>
        <v>2.4193548387096774E-2</v>
      </c>
      <c r="U24" s="58">
        <f>+Scratch!S13</f>
        <v>2.4193548387096774E-2</v>
      </c>
      <c r="V24" s="58">
        <f>+Scratch!T13</f>
        <v>2.4193548387096774E-2</v>
      </c>
      <c r="W24" s="58">
        <f>+Scratch!U13</f>
        <v>3.2258064516129031E-2</v>
      </c>
      <c r="X24" s="58">
        <f>+Scratch!V13</f>
        <v>3.2258064516129031E-2</v>
      </c>
      <c r="Y24" s="58">
        <f>+Scratch!W13</f>
        <v>3.2258064516129031E-2</v>
      </c>
      <c r="Z24" s="58">
        <f>+Scratch!X13</f>
        <v>3.2258064516129031E-2</v>
      </c>
      <c r="AA24" s="58">
        <f>+Scratch!Y13</f>
        <v>3.2258064516129031E-2</v>
      </c>
      <c r="AB24" s="58">
        <f>+Scratch!Z13</f>
        <v>3.2258064516129031E-2</v>
      </c>
      <c r="AC24" s="58">
        <f>+Scratch!AA13</f>
        <v>3.2258064516129031E-2</v>
      </c>
      <c r="AD24" s="58">
        <f>+Scratch!AB13</f>
        <v>3.2258064516129031E-2</v>
      </c>
      <c r="AE24" s="58">
        <f>+Scratch!AC13</f>
        <v>3.2258064516129031E-2</v>
      </c>
      <c r="AF24" s="58">
        <f>+Scratch!AD13</f>
        <v>3.2258064516129031E-2</v>
      </c>
      <c r="AG24" s="58">
        <f>+Scratch!AE13</f>
        <v>2.5161290322580646E-2</v>
      </c>
      <c r="AH24" s="58">
        <f>+Scratch!AF13</f>
        <v>1.6129032258064516E-2</v>
      </c>
      <c r="AI24" s="57"/>
    </row>
    <row r="25" spans="1:35">
      <c r="G25" s="4"/>
      <c r="H25" s="4"/>
      <c r="I25" s="4"/>
      <c r="J25" s="4"/>
      <c r="K25" s="4"/>
      <c r="L25" s="4"/>
      <c r="M25" s="4"/>
      <c r="N25" s="4"/>
      <c r="O25" s="4"/>
      <c r="P25" s="4"/>
      <c r="Q25" s="4"/>
      <c r="R25" s="4"/>
      <c r="S25" s="4"/>
      <c r="T25" s="4"/>
      <c r="U25" s="4"/>
      <c r="V25" s="4"/>
      <c r="W25" s="4"/>
    </row>
    <row r="26" spans="1:35">
      <c r="A26" s="24" t="s">
        <v>127</v>
      </c>
      <c r="B26" s="24"/>
      <c r="D26" s="24" t="s">
        <v>128</v>
      </c>
      <c r="E26" s="24"/>
      <c r="F26" s="24"/>
      <c r="G26" s="36"/>
      <c r="H26" s="36"/>
      <c r="I26" s="36"/>
      <c r="J26" s="4"/>
      <c r="K26" s="4"/>
      <c r="L26" s="4"/>
      <c r="M26" s="4"/>
      <c r="N26" s="4"/>
      <c r="O26" s="4"/>
      <c r="P26" s="4"/>
      <c r="Q26" s="4"/>
      <c r="R26" s="4"/>
      <c r="S26" s="4"/>
      <c r="T26" s="4"/>
      <c r="U26" s="4"/>
      <c r="V26" s="4"/>
      <c r="W26" s="4"/>
    </row>
    <row r="27" spans="1:35">
      <c r="A27" t="s">
        <v>34</v>
      </c>
      <c r="B27">
        <v>10</v>
      </c>
      <c r="G27" s="4"/>
      <c r="H27" s="4"/>
      <c r="I27" s="4"/>
      <c r="J27" s="4"/>
      <c r="K27" s="4"/>
      <c r="L27" s="4"/>
      <c r="M27" s="4"/>
      <c r="N27" s="4"/>
      <c r="O27" s="4"/>
      <c r="P27" s="4"/>
      <c r="Q27" s="4"/>
      <c r="R27" s="4"/>
      <c r="S27" s="4"/>
      <c r="T27" s="4"/>
      <c r="U27" s="4"/>
      <c r="V27" s="4"/>
      <c r="W27" s="4"/>
    </row>
    <row r="28" spans="1:35">
      <c r="A28" t="s">
        <v>35</v>
      </c>
      <c r="B28">
        <v>0.66</v>
      </c>
      <c r="G28" s="4"/>
      <c r="H28" s="4"/>
      <c r="I28" s="4"/>
      <c r="J28" s="4"/>
      <c r="K28" s="4"/>
      <c r="L28" s="4"/>
      <c r="M28" s="4"/>
      <c r="N28" s="4"/>
      <c r="O28" s="4"/>
      <c r="P28" s="4"/>
      <c r="Q28" s="4"/>
      <c r="R28" s="4"/>
      <c r="S28" s="4"/>
      <c r="T28" s="4"/>
      <c r="U28" s="4"/>
      <c r="V28" s="4"/>
      <c r="W28" s="4"/>
    </row>
    <row r="29" spans="1:35">
      <c r="A29" t="s">
        <v>36</v>
      </c>
      <c r="B29">
        <f>LN(B28)/10</f>
        <v>-4.1551544396166581E-2</v>
      </c>
      <c r="E29" t="s">
        <v>38</v>
      </c>
      <c r="G29" s="4"/>
      <c r="H29" s="4"/>
      <c r="I29" s="4"/>
      <c r="J29" s="4"/>
      <c r="K29" s="4"/>
      <c r="L29" s="4"/>
      <c r="M29" s="4"/>
      <c r="N29" s="4"/>
      <c r="O29" s="4"/>
      <c r="P29" s="4"/>
      <c r="Q29" s="4"/>
      <c r="R29" s="4"/>
      <c r="S29" s="4"/>
      <c r="T29" s="4"/>
      <c r="U29" s="4"/>
      <c r="V29" s="4"/>
      <c r="W29" s="4"/>
    </row>
    <row r="30" spans="1:35">
      <c r="D30">
        <v>0</v>
      </c>
      <c r="E30">
        <v>1</v>
      </c>
      <c r="F30">
        <v>2</v>
      </c>
      <c r="G30">
        <v>3</v>
      </c>
      <c r="H30">
        <v>4</v>
      </c>
      <c r="I30">
        <v>5</v>
      </c>
      <c r="J30">
        <v>6</v>
      </c>
      <c r="K30">
        <v>7</v>
      </c>
      <c r="L30">
        <v>8</v>
      </c>
      <c r="M30">
        <v>9</v>
      </c>
      <c r="N30">
        <v>10</v>
      </c>
      <c r="O30" s="4"/>
      <c r="P30" s="4"/>
      <c r="Q30" s="4"/>
      <c r="R30" s="4"/>
      <c r="S30" s="4"/>
      <c r="T30" s="4"/>
      <c r="U30" s="4"/>
      <c r="V30" s="4"/>
      <c r="W30" s="4"/>
    </row>
    <row r="31" spans="1:35">
      <c r="A31" t="s">
        <v>37</v>
      </c>
      <c r="D31">
        <f>EXP($B29*D30)</f>
        <v>1</v>
      </c>
      <c r="E31">
        <f t="shared" ref="E31:M31" si="4">EXP($B29*E30)</f>
        <v>0.95929988753365902</v>
      </c>
      <c r="F31">
        <f t="shared" si="4"/>
        <v>0.92025627422209078</v>
      </c>
      <c r="G31">
        <f t="shared" si="4"/>
        <v>0.88280174036339565</v>
      </c>
      <c r="H31">
        <f t="shared" si="4"/>
        <v>0.84687161024512392</v>
      </c>
      <c r="I31">
        <f t="shared" si="4"/>
        <v>0.81240384046359604</v>
      </c>
      <c r="J31">
        <f t="shared" si="4"/>
        <v>0.77933891278864031</v>
      </c>
      <c r="K31">
        <f t="shared" si="4"/>
        <v>0.74761973138874671</v>
      </c>
      <c r="L31">
        <f t="shared" si="4"/>
        <v>0.7171915242391691</v>
      </c>
      <c r="M31">
        <f t="shared" si="4"/>
        <v>0.68800174854272833</v>
      </c>
      <c r="N31">
        <f>EXP($B29*N30)</f>
        <v>0.66</v>
      </c>
      <c r="O31" s="4"/>
      <c r="P31" s="4"/>
      <c r="Q31" s="4"/>
      <c r="R31" s="4"/>
      <c r="S31" s="4"/>
      <c r="T31" s="4"/>
      <c r="U31" s="4"/>
      <c r="V31" s="4"/>
      <c r="W31" s="4"/>
    </row>
    <row r="32" spans="1:35">
      <c r="O32" s="4"/>
      <c r="P32" s="4"/>
      <c r="Q32" s="4"/>
      <c r="R32" s="4"/>
      <c r="S32" s="4"/>
      <c r="T32" s="4"/>
      <c r="U32" s="4"/>
      <c r="V32" s="4"/>
      <c r="W32" s="4"/>
    </row>
    <row r="33" spans="1:24">
      <c r="A33" s="37" t="s">
        <v>129</v>
      </c>
      <c r="O33" s="4"/>
      <c r="P33" s="4"/>
      <c r="Q33" s="4"/>
      <c r="R33" s="4"/>
      <c r="S33" s="4"/>
      <c r="T33" s="4"/>
      <c r="U33" s="4"/>
      <c r="V33" s="4"/>
      <c r="W33" s="4"/>
    </row>
    <row r="34" spans="1:24">
      <c r="A34" t="s">
        <v>102</v>
      </c>
      <c r="C34" s="4">
        <f>popgrowth</f>
        <v>1.4999999999999999E-2</v>
      </c>
      <c r="D34" t="s">
        <v>103</v>
      </c>
      <c r="O34" s="4"/>
      <c r="P34" s="4"/>
      <c r="Q34" s="4"/>
      <c r="R34" s="4"/>
      <c r="S34" s="4"/>
      <c r="T34" s="4"/>
      <c r="U34" s="4"/>
      <c r="V34" s="4"/>
      <c r="W34" s="4"/>
    </row>
    <row r="35" spans="1:24">
      <c r="G35" s="4"/>
      <c r="H35" s="4"/>
      <c r="I35" s="4"/>
      <c r="J35" s="4"/>
      <c r="K35" s="4"/>
      <c r="L35" s="4"/>
      <c r="M35" s="4"/>
      <c r="N35" s="4"/>
      <c r="O35" s="4"/>
      <c r="P35" s="4"/>
      <c r="Q35" s="4"/>
      <c r="R35" s="4"/>
      <c r="S35" s="4"/>
      <c r="T35" s="4"/>
      <c r="U35" s="4"/>
      <c r="V35" s="4"/>
      <c r="W35" s="4"/>
    </row>
    <row r="36" spans="1:24">
      <c r="A36" s="37" t="s">
        <v>112</v>
      </c>
      <c r="D36" t="s">
        <v>33</v>
      </c>
    </row>
    <row r="37" spans="1:24" s="57" customFormat="1">
      <c r="A37" s="57" t="s">
        <v>130</v>
      </c>
      <c r="E37" s="58">
        <v>2.5000000000000001E-3</v>
      </c>
      <c r="F37" s="58">
        <v>5.0000000000000001E-3</v>
      </c>
      <c r="G37" s="58">
        <v>0.02</v>
      </c>
      <c r="H37" s="58">
        <v>0.03</v>
      </c>
      <c r="I37" s="58">
        <v>3.5000000000000003E-2</v>
      </c>
      <c r="J37" s="58">
        <v>3.5000000000000003E-2</v>
      </c>
      <c r="K37" s="58">
        <v>3.5000000000000003E-2</v>
      </c>
      <c r="L37" s="58">
        <v>3.5000000000000003E-2</v>
      </c>
      <c r="M37" s="58">
        <v>3.5000000000000003E-2</v>
      </c>
      <c r="N37" s="58">
        <v>3.5000000000000003E-2</v>
      </c>
      <c r="O37" s="58">
        <v>3.5000000000000003E-2</v>
      </c>
      <c r="P37" s="58">
        <v>3.5000000000000003E-2</v>
      </c>
      <c r="Q37" s="58">
        <v>3.5000000000000003E-2</v>
      </c>
      <c r="R37" s="58">
        <v>3.5000000000000003E-2</v>
      </c>
      <c r="S37" s="58">
        <v>3.5000000000000003E-2</v>
      </c>
      <c r="T37" s="58">
        <v>3.5000000000000003E-2</v>
      </c>
      <c r="U37" s="58">
        <v>3.5000000000000003E-2</v>
      </c>
      <c r="V37" s="58">
        <v>3.5000000000000003E-2</v>
      </c>
      <c r="W37" s="58">
        <v>3.5000000000000003E-2</v>
      </c>
    </row>
    <row r="38" spans="1:24">
      <c r="A38" t="s">
        <v>32</v>
      </c>
      <c r="D38">
        <v>1</v>
      </c>
      <c r="E38">
        <v>2</v>
      </c>
      <c r="F38">
        <v>3</v>
      </c>
      <c r="G38">
        <v>4</v>
      </c>
      <c r="H38">
        <v>5</v>
      </c>
      <c r="I38">
        <v>6</v>
      </c>
      <c r="J38">
        <v>7</v>
      </c>
      <c r="K38">
        <v>8</v>
      </c>
      <c r="L38">
        <v>9</v>
      </c>
      <c r="M38">
        <v>10</v>
      </c>
      <c r="N38">
        <v>11</v>
      </c>
      <c r="O38">
        <v>12</v>
      </c>
      <c r="P38">
        <v>13</v>
      </c>
      <c r="Q38">
        <v>14</v>
      </c>
      <c r="R38">
        <v>15</v>
      </c>
      <c r="S38">
        <v>16</v>
      </c>
      <c r="T38">
        <v>17</v>
      </c>
      <c r="U38">
        <v>18</v>
      </c>
      <c r="V38">
        <v>19</v>
      </c>
      <c r="W38">
        <v>20</v>
      </c>
    </row>
    <row r="39" spans="1:24">
      <c r="A39" t="s">
        <v>104</v>
      </c>
      <c r="D39">
        <f>ROUND(B21*(1+popgrowth),0)</f>
        <v>111</v>
      </c>
      <c r="E39">
        <f t="shared" ref="E39:W39" si="5">ROUND(D39*(1+popgrowth),0)</f>
        <v>113</v>
      </c>
      <c r="F39">
        <f t="shared" si="5"/>
        <v>115</v>
      </c>
      <c r="G39">
        <f t="shared" si="5"/>
        <v>117</v>
      </c>
      <c r="H39">
        <f t="shared" si="5"/>
        <v>119</v>
      </c>
      <c r="I39">
        <f t="shared" si="5"/>
        <v>121</v>
      </c>
      <c r="J39">
        <f t="shared" si="5"/>
        <v>123</v>
      </c>
      <c r="K39">
        <f t="shared" si="5"/>
        <v>125</v>
      </c>
      <c r="L39">
        <f t="shared" si="5"/>
        <v>127</v>
      </c>
      <c r="M39">
        <f t="shared" si="5"/>
        <v>129</v>
      </c>
      <c r="N39">
        <f t="shared" si="5"/>
        <v>131</v>
      </c>
      <c r="O39">
        <f t="shared" si="5"/>
        <v>133</v>
      </c>
      <c r="P39">
        <f t="shared" si="5"/>
        <v>135</v>
      </c>
      <c r="Q39">
        <f t="shared" si="5"/>
        <v>137</v>
      </c>
      <c r="R39">
        <f t="shared" si="5"/>
        <v>139</v>
      </c>
      <c r="S39">
        <f t="shared" si="5"/>
        <v>141</v>
      </c>
      <c r="T39">
        <f t="shared" si="5"/>
        <v>143</v>
      </c>
      <c r="U39">
        <f t="shared" si="5"/>
        <v>145</v>
      </c>
      <c r="V39">
        <f t="shared" si="5"/>
        <v>147</v>
      </c>
      <c r="W39">
        <f t="shared" si="5"/>
        <v>149</v>
      </c>
    </row>
    <row r="40" spans="1:24" s="57" customFormat="1">
      <c r="A40" s="57" t="s">
        <v>158</v>
      </c>
      <c r="D40" s="59">
        <f>ROUND(B21*(1+C34),0)</f>
        <v>111</v>
      </c>
      <c r="E40" s="57">
        <f t="shared" ref="E40:X40" si="6">ROUND((D40*(1+popgrowth))*(1-E37),0)</f>
        <v>112</v>
      </c>
      <c r="F40" s="57">
        <f t="shared" si="6"/>
        <v>113</v>
      </c>
      <c r="G40" s="57">
        <f t="shared" si="6"/>
        <v>112</v>
      </c>
      <c r="H40" s="57">
        <f t="shared" si="6"/>
        <v>110</v>
      </c>
      <c r="I40" s="57">
        <f t="shared" si="6"/>
        <v>108</v>
      </c>
      <c r="J40" s="57">
        <f t="shared" si="6"/>
        <v>106</v>
      </c>
      <c r="K40" s="57">
        <f t="shared" si="6"/>
        <v>104</v>
      </c>
      <c r="L40" s="57">
        <f t="shared" si="6"/>
        <v>102</v>
      </c>
      <c r="M40" s="57">
        <f t="shared" si="6"/>
        <v>100</v>
      </c>
      <c r="N40" s="57">
        <f t="shared" si="6"/>
        <v>98</v>
      </c>
      <c r="O40" s="57">
        <f t="shared" si="6"/>
        <v>96</v>
      </c>
      <c r="P40" s="57">
        <f t="shared" si="6"/>
        <v>94</v>
      </c>
      <c r="Q40" s="57">
        <f t="shared" si="6"/>
        <v>92</v>
      </c>
      <c r="R40" s="57">
        <f t="shared" si="6"/>
        <v>90</v>
      </c>
      <c r="S40" s="57">
        <f t="shared" si="6"/>
        <v>88</v>
      </c>
      <c r="T40" s="57">
        <f t="shared" si="6"/>
        <v>86</v>
      </c>
      <c r="U40" s="57">
        <f t="shared" si="6"/>
        <v>84</v>
      </c>
      <c r="V40" s="57">
        <f t="shared" si="6"/>
        <v>82</v>
      </c>
      <c r="W40" s="57">
        <f t="shared" si="6"/>
        <v>80</v>
      </c>
      <c r="X40" s="57">
        <f t="shared" si="6"/>
        <v>81</v>
      </c>
    </row>
    <row r="41" spans="1:24">
      <c r="A41" t="s">
        <v>131</v>
      </c>
      <c r="B41">
        <f>SUM(D41:W41)</f>
        <v>632</v>
      </c>
      <c r="C41" t="s">
        <v>18</v>
      </c>
      <c r="D41" s="21">
        <f>$D40-D40</f>
        <v>0</v>
      </c>
      <c r="E41">
        <f>E39-E40</f>
        <v>1</v>
      </c>
      <c r="F41">
        <f>F39-F40</f>
        <v>2</v>
      </c>
      <c r="G41">
        <f t="shared" ref="G41:W41" si="7">G39-G40</f>
        <v>5</v>
      </c>
      <c r="H41">
        <f t="shared" si="7"/>
        <v>9</v>
      </c>
      <c r="I41">
        <f t="shared" si="7"/>
        <v>13</v>
      </c>
      <c r="J41">
        <f t="shared" si="7"/>
        <v>17</v>
      </c>
      <c r="K41">
        <f t="shared" si="7"/>
        <v>21</v>
      </c>
      <c r="L41">
        <f t="shared" si="7"/>
        <v>25</v>
      </c>
      <c r="M41">
        <f t="shared" si="7"/>
        <v>29</v>
      </c>
      <c r="N41">
        <f t="shared" si="7"/>
        <v>33</v>
      </c>
      <c r="O41">
        <f t="shared" si="7"/>
        <v>37</v>
      </c>
      <c r="P41">
        <f t="shared" si="7"/>
        <v>41</v>
      </c>
      <c r="Q41">
        <f t="shared" si="7"/>
        <v>45</v>
      </c>
      <c r="R41">
        <f t="shared" si="7"/>
        <v>49</v>
      </c>
      <c r="S41">
        <f t="shared" si="7"/>
        <v>53</v>
      </c>
      <c r="T41">
        <f t="shared" si="7"/>
        <v>57</v>
      </c>
      <c r="U41">
        <f t="shared" si="7"/>
        <v>61</v>
      </c>
      <c r="V41">
        <f t="shared" si="7"/>
        <v>65</v>
      </c>
      <c r="W41">
        <f t="shared" si="7"/>
        <v>69</v>
      </c>
      <c r="X41">
        <f>38/X40</f>
        <v>0.46913580246913578</v>
      </c>
    </row>
    <row r="42" spans="1:24">
      <c r="A42" t="s">
        <v>215</v>
      </c>
      <c r="B42" t="s">
        <v>216</v>
      </c>
      <c r="D42" s="21"/>
    </row>
    <row r="43" spans="1:24">
      <c r="D43" s="21"/>
    </row>
    <row r="44" spans="1:24">
      <c r="A44" t="s">
        <v>105</v>
      </c>
      <c r="B44">
        <f>B41/20</f>
        <v>31.6</v>
      </c>
      <c r="D44">
        <f>pop</f>
        <v>2683500</v>
      </c>
      <c r="E44">
        <f t="shared" ref="E44:W44" si="8">D44*(1+popgrowth)</f>
        <v>2723752.4999999995</v>
      </c>
      <c r="F44">
        <f t="shared" si="8"/>
        <v>2764608.7874999992</v>
      </c>
      <c r="G44">
        <f t="shared" si="8"/>
        <v>2806077.919312499</v>
      </c>
      <c r="H44">
        <f t="shared" si="8"/>
        <v>2848169.0881021861</v>
      </c>
      <c r="I44" s="21">
        <f t="shared" si="8"/>
        <v>2890891.6244237185</v>
      </c>
      <c r="J44">
        <f t="shared" si="8"/>
        <v>2934254.9987900741</v>
      </c>
      <c r="K44">
        <f t="shared" si="8"/>
        <v>2978268.8237719252</v>
      </c>
      <c r="L44">
        <f t="shared" si="8"/>
        <v>3022942.8561285036</v>
      </c>
      <c r="M44">
        <f t="shared" si="8"/>
        <v>3068286.9989704308</v>
      </c>
      <c r="N44">
        <f t="shared" si="8"/>
        <v>3114311.3039549869</v>
      </c>
      <c r="O44">
        <f t="shared" si="8"/>
        <v>3161025.9735143115</v>
      </c>
      <c r="P44">
        <f t="shared" si="8"/>
        <v>3208441.3631170257</v>
      </c>
      <c r="Q44">
        <f t="shared" si="8"/>
        <v>3256567.9835637808</v>
      </c>
      <c r="R44">
        <f t="shared" si="8"/>
        <v>3305416.5033172374</v>
      </c>
      <c r="S44">
        <f t="shared" si="8"/>
        <v>3354997.7508669957</v>
      </c>
      <c r="T44">
        <f t="shared" si="8"/>
        <v>3405322.7171300002</v>
      </c>
      <c r="U44">
        <f t="shared" si="8"/>
        <v>3456402.5578869497</v>
      </c>
      <c r="V44">
        <f t="shared" si="8"/>
        <v>3508248.5962552535</v>
      </c>
      <c r="W44">
        <f t="shared" si="8"/>
        <v>3560872.325199082</v>
      </c>
      <c r="X44">
        <f>X41*2</f>
        <v>0.93827160493827155</v>
      </c>
    </row>
    <row r="45" spans="1:24">
      <c r="D45" s="21">
        <f>D40/(D44*0.68)*100000</f>
        <v>6.0829250649393343</v>
      </c>
    </row>
    <row r="46" spans="1:24">
      <c r="D46" s="21" t="s">
        <v>144</v>
      </c>
    </row>
    <row r="47" spans="1:24">
      <c r="D47" s="54">
        <v>1</v>
      </c>
      <c r="E47" s="54">
        <v>2</v>
      </c>
      <c r="F47" s="54">
        <v>3</v>
      </c>
      <c r="G47" s="54">
        <v>4</v>
      </c>
      <c r="H47" s="54">
        <v>5</v>
      </c>
    </row>
    <row r="48" spans="1:24">
      <c r="D48" s="55">
        <f t="shared" ref="D48:I48" si="9">+D40*1000000/D44</f>
        <v>41.363890441587479</v>
      </c>
      <c r="E48" s="55">
        <f t="shared" si="9"/>
        <v>41.119741973619121</v>
      </c>
      <c r="F48" s="55">
        <f t="shared" si="9"/>
        <v>40.87377588862563</v>
      </c>
      <c r="G48" s="55">
        <f t="shared" si="9"/>
        <v>39.913360648032352</v>
      </c>
      <c r="H48" s="55">
        <f t="shared" si="9"/>
        <v>38.621302527124904</v>
      </c>
      <c r="I48" s="55">
        <f t="shared" si="9"/>
        <v>37.358716282395797</v>
      </c>
    </row>
    <row r="49" spans="1:23">
      <c r="A49" t="s">
        <v>133</v>
      </c>
      <c r="B49" t="s">
        <v>111</v>
      </c>
      <c r="H49" s="4">
        <f t="shared" ref="H49:W49" si="10">(G40-H40)/G40</f>
        <v>1.7857142857142856E-2</v>
      </c>
      <c r="I49" s="4">
        <f t="shared" si="10"/>
        <v>1.8181818181818181E-2</v>
      </c>
      <c r="J49" s="4">
        <f t="shared" si="10"/>
        <v>1.8518518518518517E-2</v>
      </c>
      <c r="K49" s="4">
        <f t="shared" si="10"/>
        <v>1.8867924528301886E-2</v>
      </c>
      <c r="L49" s="4">
        <f t="shared" si="10"/>
        <v>1.9230769230769232E-2</v>
      </c>
      <c r="M49" s="4">
        <f t="shared" si="10"/>
        <v>1.9607843137254902E-2</v>
      </c>
      <c r="N49" s="4">
        <f t="shared" si="10"/>
        <v>0.02</v>
      </c>
      <c r="O49" s="4">
        <f t="shared" si="10"/>
        <v>2.0408163265306121E-2</v>
      </c>
      <c r="P49" s="4">
        <f t="shared" si="10"/>
        <v>2.0833333333333332E-2</v>
      </c>
      <c r="Q49" s="4">
        <f t="shared" si="10"/>
        <v>2.1276595744680851E-2</v>
      </c>
      <c r="R49" s="4">
        <f t="shared" si="10"/>
        <v>2.1739130434782608E-2</v>
      </c>
      <c r="S49" s="4">
        <f t="shared" si="10"/>
        <v>2.2222222222222223E-2</v>
      </c>
      <c r="T49" s="4">
        <f t="shared" si="10"/>
        <v>2.2727272727272728E-2</v>
      </c>
      <c r="U49" s="4">
        <f t="shared" si="10"/>
        <v>2.3255813953488372E-2</v>
      </c>
      <c r="V49" s="4">
        <f t="shared" si="10"/>
        <v>2.3809523809523808E-2</v>
      </c>
      <c r="W49" s="4">
        <f t="shared" si="10"/>
        <v>2.4390243902439025E-2</v>
      </c>
    </row>
    <row r="51" spans="1:23">
      <c r="A51" s="22" t="s">
        <v>41</v>
      </c>
      <c r="D51" s="3">
        <v>1</v>
      </c>
      <c r="E51" s="3">
        <v>2</v>
      </c>
      <c r="F51" s="3">
        <v>3</v>
      </c>
      <c r="G51" s="3">
        <v>4</v>
      </c>
      <c r="H51" s="3">
        <v>5</v>
      </c>
      <c r="I51" s="3">
        <v>6</v>
      </c>
      <c r="J51" s="3">
        <v>7</v>
      </c>
      <c r="K51" s="3">
        <v>8</v>
      </c>
      <c r="L51" s="3">
        <v>9</v>
      </c>
      <c r="M51" s="3">
        <v>10</v>
      </c>
      <c r="N51" s="3">
        <v>11</v>
      </c>
      <c r="O51" s="3">
        <v>12</v>
      </c>
      <c r="P51" s="3">
        <v>13</v>
      </c>
      <c r="Q51" s="3">
        <v>14</v>
      </c>
      <c r="R51" s="3">
        <v>15</v>
      </c>
      <c r="S51" s="3">
        <v>16</v>
      </c>
      <c r="T51" s="3">
        <v>17</v>
      </c>
      <c r="U51" s="3">
        <v>18</v>
      </c>
      <c r="V51" s="3">
        <v>19</v>
      </c>
      <c r="W51" s="3">
        <v>20</v>
      </c>
    </row>
    <row r="52" spans="1:23">
      <c r="A52" s="22" t="s">
        <v>5</v>
      </c>
      <c r="D52">
        <v>0</v>
      </c>
      <c r="E52">
        <f>ROUND($E$41*H$20,0)</f>
        <v>0</v>
      </c>
      <c r="F52">
        <f>ROUND($F$41*H$20,0)</f>
        <v>0</v>
      </c>
      <c r="G52">
        <f>ROUND($G$41*H$20,0)</f>
        <v>0</v>
      </c>
      <c r="H52">
        <f>ROUND($H$41*H$20,0)</f>
        <v>0</v>
      </c>
      <c r="I52">
        <f>ROUND($I$41*H$20,0)</f>
        <v>0</v>
      </c>
      <c r="J52">
        <f>ROUND($J$41*H$20,0)</f>
        <v>0</v>
      </c>
      <c r="K52">
        <f>ROUND($K$41*H$20,0)</f>
        <v>0</v>
      </c>
      <c r="L52">
        <f>ROUND($L$41*H$20,0)</f>
        <v>0</v>
      </c>
      <c r="M52">
        <f>ROUND($M$41*H$20,0)</f>
        <v>0</v>
      </c>
      <c r="N52">
        <f>ROUND($N$41*H$20,0)</f>
        <v>0</v>
      </c>
      <c r="O52">
        <f>ROUND($O$41*H$20,0)</f>
        <v>0</v>
      </c>
      <c r="P52">
        <f>ROUND($P$41*H$20,0)</f>
        <v>0</v>
      </c>
      <c r="Q52">
        <f>ROUND($Q$41*H$20,0)</f>
        <v>0</v>
      </c>
      <c r="R52">
        <f>ROUND($R$41*H$20,0)</f>
        <v>0</v>
      </c>
      <c r="S52">
        <f>ROUND($S$41*H$20,0)</f>
        <v>0</v>
      </c>
      <c r="T52">
        <f>ROUND($T$41*H$20,0)</f>
        <v>0</v>
      </c>
      <c r="U52">
        <f>ROUND($U$41*H$20,0)</f>
        <v>0</v>
      </c>
      <c r="V52">
        <f>ROUND($V$41*H$20,0)</f>
        <v>0</v>
      </c>
      <c r="W52">
        <f>ROUND($W$41*H$20,0)</f>
        <v>0</v>
      </c>
    </row>
    <row r="53" spans="1:23">
      <c r="A53" s="22" t="s">
        <v>6</v>
      </c>
      <c r="D53">
        <v>0</v>
      </c>
      <c r="E53">
        <f>ROUND($E$41*I$20,0)</f>
        <v>0</v>
      </c>
      <c r="F53">
        <f>ROUND($F$41*I$20,0)</f>
        <v>0</v>
      </c>
      <c r="G53">
        <f>ROUND($G$41*I$20,0)</f>
        <v>0</v>
      </c>
      <c r="H53">
        <f>ROUND($H$41*I$20,0)</f>
        <v>0</v>
      </c>
      <c r="I53">
        <f>ROUND($I$41*I$20,0)</f>
        <v>0</v>
      </c>
      <c r="J53">
        <f>ROUND($J$41*I$20,0)</f>
        <v>0</v>
      </c>
      <c r="K53">
        <f>ROUND($K$41*I$20,0)</f>
        <v>0</v>
      </c>
      <c r="L53">
        <f>ROUND($L$41*I$20,0)</f>
        <v>0</v>
      </c>
      <c r="M53">
        <f>ROUND($M$41*I$20,0)</f>
        <v>0</v>
      </c>
      <c r="N53">
        <f>ROUND($N$41*I$20,0)</f>
        <v>0</v>
      </c>
      <c r="O53">
        <f>ROUND($O$41*I$20,0)</f>
        <v>0</v>
      </c>
      <c r="P53">
        <f>ROUND($P$41*I$20,0)</f>
        <v>0</v>
      </c>
      <c r="Q53">
        <f>ROUND($Q$41*I$20,0)</f>
        <v>0</v>
      </c>
      <c r="R53">
        <f>ROUND($R$41*I$20,0)</f>
        <v>0</v>
      </c>
      <c r="S53">
        <f>ROUND($S$41*I$20,0)</f>
        <v>0</v>
      </c>
      <c r="T53">
        <f>ROUND($T$41*I$20,0)</f>
        <v>0</v>
      </c>
      <c r="U53">
        <f>ROUND($U$41*I$20,0)</f>
        <v>0</v>
      </c>
      <c r="V53">
        <f>ROUND($V$41*I$20,0)</f>
        <v>0</v>
      </c>
      <c r="W53">
        <f>ROUND($W$41*I$20,0)</f>
        <v>0</v>
      </c>
    </row>
    <row r="54" spans="1:23">
      <c r="A54" s="22" t="s">
        <v>7</v>
      </c>
      <c r="D54">
        <v>0</v>
      </c>
      <c r="E54">
        <f>ROUND($E$41*J$20,0)</f>
        <v>0</v>
      </c>
      <c r="F54">
        <f>ROUND($F$41*J$20,0)</f>
        <v>0</v>
      </c>
      <c r="G54">
        <f>ROUND($G$41*J$20,0)</f>
        <v>0</v>
      </c>
      <c r="H54">
        <f>ROUND($H$41*J$20,0)</f>
        <v>0</v>
      </c>
      <c r="I54">
        <f>ROUND($I$41*J$20,0)</f>
        <v>0</v>
      </c>
      <c r="J54">
        <f>ROUND($J$41*J$20,0)</f>
        <v>0</v>
      </c>
      <c r="K54">
        <f>ROUND($K$41*J$20,0)</f>
        <v>0</v>
      </c>
      <c r="L54">
        <f>ROUND($L$41*J$20,0)</f>
        <v>0</v>
      </c>
      <c r="M54">
        <f>ROUND($M$41*J$20,0)</f>
        <v>0</v>
      </c>
      <c r="N54">
        <f>ROUND($N$41*J$20,0)</f>
        <v>0</v>
      </c>
      <c r="O54">
        <f>ROUND($O$41*J$20,0)</f>
        <v>0</v>
      </c>
      <c r="P54">
        <f>ROUND($P$41*J$20,0)</f>
        <v>0</v>
      </c>
      <c r="Q54">
        <f>ROUND($Q$41*J$20,0)</f>
        <v>0</v>
      </c>
      <c r="R54">
        <f>ROUND($R$41*J$20,0)</f>
        <v>0</v>
      </c>
      <c r="S54">
        <f>ROUND($S$41*J$20,0)</f>
        <v>0</v>
      </c>
      <c r="T54">
        <f>ROUND($T$41*J$20,0)</f>
        <v>1</v>
      </c>
      <c r="U54">
        <f>ROUND($U$41*J$20,0)</f>
        <v>1</v>
      </c>
      <c r="V54">
        <f>ROUND($V$41*J$20,0)</f>
        <v>1</v>
      </c>
      <c r="W54">
        <f>ROUND($W$41*J$20,0)</f>
        <v>1</v>
      </c>
    </row>
    <row r="55" spans="1:23">
      <c r="A55" s="22" t="s">
        <v>8</v>
      </c>
      <c r="D55">
        <v>0</v>
      </c>
      <c r="E55">
        <f>ROUND($E$41*K$20,0)</f>
        <v>0</v>
      </c>
      <c r="F55">
        <f>ROUND($F$41*K$20,0)</f>
        <v>0</v>
      </c>
      <c r="G55">
        <f>ROUND($G$41*K$20,0)</f>
        <v>0</v>
      </c>
      <c r="H55">
        <f>ROUND($H$41*K$20,0)</f>
        <v>0</v>
      </c>
      <c r="I55">
        <f>ROUND($I$41*K$20,0)</f>
        <v>0</v>
      </c>
      <c r="J55">
        <f>ROUND($J$41*K$20,0)</f>
        <v>0</v>
      </c>
      <c r="K55">
        <f>ROUND($K$41*K$20,0)</f>
        <v>0</v>
      </c>
      <c r="L55">
        <f>ROUND($L$41*K$20,0)</f>
        <v>0</v>
      </c>
      <c r="M55">
        <f>ROUND($M$41*K$20,0)</f>
        <v>0</v>
      </c>
      <c r="N55">
        <f>ROUND($N$41*K$20,0)</f>
        <v>0</v>
      </c>
      <c r="O55">
        <f>ROUND($O$41*K$20,0)</f>
        <v>1</v>
      </c>
      <c r="P55">
        <f>ROUND($P$41*K$20,0)</f>
        <v>1</v>
      </c>
      <c r="Q55">
        <f>ROUND($Q$41*K$20,0)</f>
        <v>1</v>
      </c>
      <c r="R55">
        <f>ROUND($R$41*K$20,0)</f>
        <v>1</v>
      </c>
      <c r="S55">
        <f>ROUND($S$41*K$20,0)</f>
        <v>1</v>
      </c>
      <c r="T55">
        <f>ROUND($T$41*K$20,0)</f>
        <v>1</v>
      </c>
      <c r="U55">
        <f>ROUND($U$41*K$20,0)</f>
        <v>1</v>
      </c>
      <c r="V55">
        <f>ROUND($V$41*K$20,0)</f>
        <v>1</v>
      </c>
      <c r="W55">
        <f>ROUND($W$41*K$20,0)</f>
        <v>1</v>
      </c>
    </row>
    <row r="56" spans="1:23">
      <c r="A56" s="22" t="s">
        <v>9</v>
      </c>
      <c r="D56">
        <v>0</v>
      </c>
      <c r="E56">
        <f>ROUND($E$41*L$20,0)</f>
        <v>0</v>
      </c>
      <c r="F56">
        <f>ROUND($F$41*L$20,0)</f>
        <v>0</v>
      </c>
      <c r="G56">
        <f>ROUND($G$41*L$20,0)</f>
        <v>0</v>
      </c>
      <c r="H56">
        <f>ROUND($H$41*L$20,0)</f>
        <v>0</v>
      </c>
      <c r="I56">
        <f>ROUND($I$41*L$20,0)</f>
        <v>0</v>
      </c>
      <c r="J56">
        <f>ROUND($J$41*L$20,0)</f>
        <v>0</v>
      </c>
      <c r="K56">
        <f>ROUND($K$41*L$20,0)</f>
        <v>1</v>
      </c>
      <c r="L56">
        <f>ROUND($L$41*L$20,0)</f>
        <v>1</v>
      </c>
      <c r="M56">
        <f>ROUND($M$41*L$20,0)</f>
        <v>1</v>
      </c>
      <c r="N56">
        <f>ROUND($N$41*L$20,0)</f>
        <v>1</v>
      </c>
      <c r="O56">
        <f>ROUND($O$41*L$20,0)</f>
        <v>1</v>
      </c>
      <c r="P56">
        <f>ROUND($P$41*L$20,0)</f>
        <v>1</v>
      </c>
      <c r="Q56">
        <f>ROUND($Q$41*L$20,0)</f>
        <v>1</v>
      </c>
      <c r="R56">
        <f>ROUND($R$41*L$20,0)</f>
        <v>1</v>
      </c>
      <c r="S56">
        <f>ROUND($S$41*L$20,0)</f>
        <v>1</v>
      </c>
      <c r="T56">
        <f>ROUND($T$41*L$20,0)</f>
        <v>1</v>
      </c>
      <c r="U56">
        <f>ROUND($U$41*L$20,0)</f>
        <v>2</v>
      </c>
      <c r="V56">
        <f>ROUND($V$41*L$20,0)</f>
        <v>2</v>
      </c>
      <c r="W56">
        <f>ROUND($W$41*L$20,0)</f>
        <v>2</v>
      </c>
    </row>
    <row r="57" spans="1:23">
      <c r="A57" s="22" t="s">
        <v>10</v>
      </c>
      <c r="D57">
        <v>0</v>
      </c>
      <c r="E57">
        <f>ROUND($E$41*M$20,0)</f>
        <v>0</v>
      </c>
      <c r="F57">
        <f>ROUND($F$41*M$20,0)</f>
        <v>0</v>
      </c>
      <c r="G57">
        <f>ROUND($G$41*M$20,0)</f>
        <v>0</v>
      </c>
      <c r="H57">
        <f>ROUND($H$41*M$20,0)</f>
        <v>0</v>
      </c>
      <c r="I57">
        <f>ROUND($I$41*M$20,0)</f>
        <v>1</v>
      </c>
      <c r="J57">
        <f>ROUND($J$41*M$20,0)</f>
        <v>1</v>
      </c>
      <c r="K57">
        <f>ROUND($K$41*M$20,0)</f>
        <v>1</v>
      </c>
      <c r="L57">
        <f>ROUND($L$41*M$20,0)</f>
        <v>1</v>
      </c>
      <c r="M57">
        <f>ROUND($M$41*M$20,0)</f>
        <v>1</v>
      </c>
      <c r="N57">
        <f>ROUND($N$41*M$20,0)</f>
        <v>2</v>
      </c>
      <c r="O57">
        <f>ROUND($O$41*M$20,0)</f>
        <v>2</v>
      </c>
      <c r="P57">
        <f>ROUND($P$41*M$20,0)</f>
        <v>2</v>
      </c>
      <c r="Q57">
        <f>ROUND($Q$41*M$20,0)</f>
        <v>2</v>
      </c>
      <c r="R57">
        <f>ROUND($R$41*M$20,0)</f>
        <v>2</v>
      </c>
      <c r="S57">
        <f>ROUND($S$41*M$20,0)</f>
        <v>3</v>
      </c>
      <c r="T57">
        <f>ROUND($T$41*M$20,0)</f>
        <v>3</v>
      </c>
      <c r="U57">
        <f>ROUND($U$41*M$20,0)</f>
        <v>3</v>
      </c>
      <c r="V57">
        <f>ROUND($V$41*M$20,0)</f>
        <v>3</v>
      </c>
      <c r="W57">
        <f>ROUND($W$41*M$20,0)</f>
        <v>3</v>
      </c>
    </row>
    <row r="58" spans="1:23">
      <c r="A58" s="22" t="s">
        <v>11</v>
      </c>
      <c r="D58">
        <v>0</v>
      </c>
      <c r="E58">
        <f>ROUND($E$41*N$20,0)</f>
        <v>0</v>
      </c>
      <c r="F58">
        <f>ROUND($F$41*N$20,0)</f>
        <v>0</v>
      </c>
      <c r="G58">
        <f>ROUND($G$41*N$20,0)</f>
        <v>0</v>
      </c>
      <c r="H58">
        <f>ROUND($H$41*N$20,0)</f>
        <v>1</v>
      </c>
      <c r="I58">
        <f>ROUND($I$41*N$20,0)</f>
        <v>1</v>
      </c>
      <c r="J58">
        <f>ROUND($J$41*N$20,0)</f>
        <v>1</v>
      </c>
      <c r="K58">
        <f>ROUND($K$41*N$20,0)</f>
        <v>2</v>
      </c>
      <c r="L58">
        <f>ROUND($L$41*N$20,0)</f>
        <v>2</v>
      </c>
      <c r="M58">
        <f>ROUND($M$41*N$20,0)</f>
        <v>2</v>
      </c>
      <c r="N58">
        <f>ROUND($N$41*N$20,0)</f>
        <v>2</v>
      </c>
      <c r="O58">
        <f>ROUND($O$41*N$20,0)</f>
        <v>3</v>
      </c>
      <c r="P58">
        <f>ROUND($P$41*N$20,0)</f>
        <v>3</v>
      </c>
      <c r="Q58">
        <f>ROUND($Q$41*N$20,0)</f>
        <v>3</v>
      </c>
      <c r="R58">
        <f>ROUND($R$41*N$20,0)</f>
        <v>4</v>
      </c>
      <c r="S58">
        <f>ROUND($S$41*N$20,0)</f>
        <v>4</v>
      </c>
      <c r="T58">
        <f>ROUND($T$41*N$20,0)</f>
        <v>4</v>
      </c>
      <c r="U58">
        <f>ROUND($U$41*N$20,0)</f>
        <v>4</v>
      </c>
      <c r="V58">
        <f>ROUND($V$41*N$20,0)</f>
        <v>5</v>
      </c>
      <c r="W58">
        <f>ROUND($W$41*N$20,0)</f>
        <v>5</v>
      </c>
    </row>
    <row r="59" spans="1:23">
      <c r="A59" s="22" t="s">
        <v>12</v>
      </c>
      <c r="D59">
        <v>0</v>
      </c>
      <c r="E59">
        <f>ROUND($E$41*O$20,0)</f>
        <v>0</v>
      </c>
      <c r="F59">
        <f>ROUND($F$41*O$20,0)</f>
        <v>0</v>
      </c>
      <c r="G59">
        <f>ROUND($G$41*O$20,0)</f>
        <v>0</v>
      </c>
      <c r="H59">
        <f>ROUND($H$41*O$20,0)</f>
        <v>1</v>
      </c>
      <c r="I59">
        <f>ROUND($I$41*O$20,0)</f>
        <v>1</v>
      </c>
      <c r="J59">
        <f>ROUND($J$41*O$20,0)</f>
        <v>1</v>
      </c>
      <c r="K59">
        <f>ROUND($K$41*O$20,0)</f>
        <v>2</v>
      </c>
      <c r="L59">
        <f>ROUND($L$41*O$20,0)</f>
        <v>2</v>
      </c>
      <c r="M59">
        <f>ROUND($M$41*O$20,0)</f>
        <v>3</v>
      </c>
      <c r="N59">
        <f>ROUND($N$41*O$20,0)</f>
        <v>3</v>
      </c>
      <c r="O59">
        <f>ROUND($O$41*O$20,0)</f>
        <v>3</v>
      </c>
      <c r="P59">
        <f>ROUND($P$41*O$20,0)</f>
        <v>4</v>
      </c>
      <c r="Q59">
        <f>ROUND($Q$41*O$20,0)</f>
        <v>4</v>
      </c>
      <c r="R59">
        <f>ROUND($R$41*O$20,0)</f>
        <v>4</v>
      </c>
      <c r="S59">
        <f>ROUND($S$41*O$20,0)</f>
        <v>5</v>
      </c>
      <c r="T59">
        <f>ROUND($T$41*O$20,0)</f>
        <v>5</v>
      </c>
      <c r="U59">
        <f>ROUND($U$41*O$20,0)</f>
        <v>5</v>
      </c>
      <c r="V59">
        <f>ROUND($V$41*O$20,0)</f>
        <v>6</v>
      </c>
      <c r="W59">
        <f>ROUND($W$41*O$20,0)</f>
        <v>6</v>
      </c>
    </row>
    <row r="60" spans="1:23">
      <c r="A60" s="22" t="s">
        <v>13</v>
      </c>
      <c r="D60">
        <v>0</v>
      </c>
      <c r="E60">
        <f>ROUND($E$41*P$20,0)</f>
        <v>0</v>
      </c>
      <c r="F60">
        <f>ROUND($F$41*P$20,0)</f>
        <v>0</v>
      </c>
      <c r="G60">
        <f>ROUND($G$41*P$20,0)</f>
        <v>0</v>
      </c>
      <c r="H60">
        <f>ROUND($H$41*P$20,0)</f>
        <v>1</v>
      </c>
      <c r="I60">
        <f>ROUND($I$41*P$20,0)</f>
        <v>1</v>
      </c>
      <c r="J60">
        <f>ROUND($J$41*P$20,0)</f>
        <v>1</v>
      </c>
      <c r="K60">
        <f>ROUND($K$41*P$20,0)</f>
        <v>2</v>
      </c>
      <c r="L60">
        <f>ROUND($L$41*P$20,0)</f>
        <v>2</v>
      </c>
      <c r="M60">
        <f>ROUND($M$41*P$20,0)</f>
        <v>2</v>
      </c>
      <c r="N60">
        <f>ROUND($N$41*P$20,0)</f>
        <v>3</v>
      </c>
      <c r="O60">
        <f>ROUND($O$41*P$20,0)</f>
        <v>3</v>
      </c>
      <c r="P60">
        <f>ROUND($P$41*P$20,0)</f>
        <v>3</v>
      </c>
      <c r="Q60">
        <f>ROUND($Q$41*P$20,0)</f>
        <v>3</v>
      </c>
      <c r="R60">
        <f>ROUND($R$41*P$20,0)</f>
        <v>4</v>
      </c>
      <c r="S60">
        <f>ROUND($S$41*P$20,0)</f>
        <v>4</v>
      </c>
      <c r="T60">
        <f>ROUND($T$41*P$20,0)</f>
        <v>4</v>
      </c>
      <c r="U60">
        <f>ROUND($U$41*P$20,0)</f>
        <v>5</v>
      </c>
      <c r="V60">
        <f>ROUND($V$41*P$20,0)</f>
        <v>5</v>
      </c>
      <c r="W60">
        <f>ROUND($W$41*P$20,0)</f>
        <v>5</v>
      </c>
    </row>
    <row r="61" spans="1:23">
      <c r="A61" s="22" t="s">
        <v>14</v>
      </c>
      <c r="D61">
        <v>0</v>
      </c>
      <c r="E61">
        <f>ROUND($E$41*Q$20,0)</f>
        <v>0</v>
      </c>
      <c r="F61">
        <f>ROUND($F$41*Q$20,0)</f>
        <v>0</v>
      </c>
      <c r="G61">
        <f>ROUND($G$41*Q$20,0)</f>
        <v>0</v>
      </c>
      <c r="H61">
        <f>ROUND($H$41*Q$20,0)</f>
        <v>1</v>
      </c>
      <c r="I61">
        <f>ROUND($I$41*Q$20,0)</f>
        <v>1</v>
      </c>
      <c r="J61">
        <f>ROUND($J$41*Q$20,0)</f>
        <v>1</v>
      </c>
      <c r="K61">
        <f>ROUND($K$41*Q$20,0)</f>
        <v>2</v>
      </c>
      <c r="L61">
        <f>ROUND($L$41*Q$20,0)</f>
        <v>2</v>
      </c>
      <c r="M61">
        <f>ROUND($M$41*Q$20,0)</f>
        <v>2</v>
      </c>
      <c r="N61">
        <f>ROUND($N$41*Q$20,0)</f>
        <v>3</v>
      </c>
      <c r="O61">
        <f>ROUND($O$41*Q$20,0)</f>
        <v>3</v>
      </c>
      <c r="P61">
        <f>ROUND($P$41*Q$20,0)</f>
        <v>3</v>
      </c>
      <c r="Q61">
        <f>ROUND($Q$41*Q$20,0)</f>
        <v>4</v>
      </c>
      <c r="R61">
        <f>ROUND($R$41*Q$20,0)</f>
        <v>4</v>
      </c>
      <c r="S61">
        <f>ROUND($S$41*Q$20,0)</f>
        <v>4</v>
      </c>
      <c r="T61">
        <f>ROUND($T$41*Q$20,0)</f>
        <v>5</v>
      </c>
      <c r="U61">
        <f>ROUND($U$41*Q$20,0)</f>
        <v>5</v>
      </c>
      <c r="V61">
        <f>ROUND($V$41*Q$20,0)</f>
        <v>5</v>
      </c>
      <c r="W61">
        <f>ROUND($W$41*Q$20,0)</f>
        <v>6</v>
      </c>
    </row>
    <row r="62" spans="1:23">
      <c r="A62" s="22" t="s">
        <v>15</v>
      </c>
      <c r="D62">
        <v>0</v>
      </c>
      <c r="E62">
        <f>ROUND($E$41*R$20,0)</f>
        <v>0</v>
      </c>
      <c r="F62">
        <f>ROUND($F$41*R$20,0)</f>
        <v>0</v>
      </c>
      <c r="G62">
        <f>ROUND($G$41*R$20,0)</f>
        <v>0</v>
      </c>
      <c r="H62">
        <f>ROUND($H$41*R$20,0)</f>
        <v>0</v>
      </c>
      <c r="I62">
        <f>ROUND($I$41*R$20,0)</f>
        <v>0</v>
      </c>
      <c r="J62">
        <f>ROUND($J$41*R$20,0)</f>
        <v>0</v>
      </c>
      <c r="K62">
        <f>ROUND($K$41*R$20,0)</f>
        <v>0</v>
      </c>
      <c r="L62">
        <f>ROUND($L$41*R$20,0)</f>
        <v>0</v>
      </c>
      <c r="M62">
        <f>ROUND($M$41*R$20,0)</f>
        <v>1</v>
      </c>
      <c r="N62">
        <f>ROUND($N$41*R$20,0)</f>
        <v>1</v>
      </c>
      <c r="O62">
        <f>ROUND($O$41*R$20,0)</f>
        <v>1</v>
      </c>
      <c r="P62">
        <f>ROUND($P$41*R$20,0)</f>
        <v>1</v>
      </c>
      <c r="Q62">
        <f>ROUND($Q$41*R$20,0)</f>
        <v>1</v>
      </c>
      <c r="R62">
        <f>ROUND($R$41*R$20,0)</f>
        <v>1</v>
      </c>
      <c r="S62">
        <f>ROUND($S$41*R$20,0)</f>
        <v>1</v>
      </c>
      <c r="T62">
        <f>ROUND($T$41*R$20,0)</f>
        <v>1</v>
      </c>
      <c r="U62">
        <f>ROUND($U$41*R$20,0)</f>
        <v>1</v>
      </c>
      <c r="V62">
        <f>ROUND($V$41*R$20,0)</f>
        <v>1</v>
      </c>
      <c r="W62">
        <f>ROUND($W$41*R$20,0)</f>
        <v>1</v>
      </c>
    </row>
    <row r="63" spans="1:23">
      <c r="A63">
        <v>66</v>
      </c>
      <c r="D63">
        <v>0</v>
      </c>
      <c r="E63">
        <f>ROUND($E$41*S$20,0)</f>
        <v>0</v>
      </c>
      <c r="F63">
        <f>ROUND($F$41*S$20,0)</f>
        <v>0</v>
      </c>
      <c r="G63">
        <f>ROUND($G$41*S$20,0)</f>
        <v>0</v>
      </c>
      <c r="H63">
        <f>ROUND($H$41*S$20,0)</f>
        <v>0</v>
      </c>
      <c r="I63">
        <f>ROUND($I$41*S$20,0)</f>
        <v>0</v>
      </c>
      <c r="J63">
        <f>ROUND($J$41*S$20,0)</f>
        <v>0</v>
      </c>
      <c r="K63">
        <f>ROUND($K$41*S$20,0)</f>
        <v>1</v>
      </c>
      <c r="L63">
        <f>ROUND($L$41*S$20,0)</f>
        <v>1</v>
      </c>
      <c r="M63">
        <f>ROUND($M$41*S$20,0)</f>
        <v>1</v>
      </c>
      <c r="N63">
        <f>ROUND($N$41*S$20,0)</f>
        <v>1</v>
      </c>
      <c r="O63">
        <f>ROUND($O$41*S$20,0)</f>
        <v>1</v>
      </c>
      <c r="P63">
        <f>ROUND($P$41*S$20,0)</f>
        <v>1</v>
      </c>
      <c r="Q63">
        <f>ROUND($Q$41*S$20,0)</f>
        <v>1</v>
      </c>
      <c r="R63">
        <f>ROUND($R$41*S$20,0)</f>
        <v>1</v>
      </c>
      <c r="S63">
        <f>ROUND($S$41*S$20,0)</f>
        <v>1</v>
      </c>
      <c r="T63">
        <f>ROUND($T$41*S$20,0)</f>
        <v>2</v>
      </c>
      <c r="U63">
        <f>ROUND($U$41*S$20,0)</f>
        <v>2</v>
      </c>
      <c r="V63">
        <f>ROUND($V$41*S$20,0)</f>
        <v>2</v>
      </c>
      <c r="W63">
        <f>ROUND($W$41*S$20,0)</f>
        <v>2</v>
      </c>
    </row>
    <row r="64" spans="1:23">
      <c r="A64">
        <v>67</v>
      </c>
      <c r="D64">
        <v>0</v>
      </c>
      <c r="E64">
        <f>ROUND($E$41*T$20,0)</f>
        <v>0</v>
      </c>
      <c r="F64">
        <f>ROUND($F$41*T$20,0)</f>
        <v>0</v>
      </c>
      <c r="G64">
        <f>ROUND($G$41*T$20,0)</f>
        <v>0</v>
      </c>
      <c r="H64">
        <f>ROUND($H$41*T$20,0)</f>
        <v>0</v>
      </c>
      <c r="I64">
        <f>ROUND($I$41*T$20,0)</f>
        <v>0</v>
      </c>
      <c r="J64">
        <f>ROUND($J$41*T$20,0)</f>
        <v>1</v>
      </c>
      <c r="K64">
        <f>ROUND($K$41*T$20,0)</f>
        <v>1</v>
      </c>
      <c r="L64">
        <f>ROUND($L$41*T$20,0)</f>
        <v>1</v>
      </c>
      <c r="M64">
        <f>ROUND($M$41*T$20,0)</f>
        <v>1</v>
      </c>
      <c r="N64">
        <f>ROUND($N$41*T$20,0)</f>
        <v>1</v>
      </c>
      <c r="O64">
        <f>ROUND($O$41*T$20,0)</f>
        <v>1</v>
      </c>
      <c r="P64">
        <f>ROUND($P$41*T$20,0)</f>
        <v>2</v>
      </c>
      <c r="Q64">
        <f>ROUND($Q$41*T$20,0)</f>
        <v>2</v>
      </c>
      <c r="R64">
        <f>ROUND($R$41*T$20,0)</f>
        <v>2</v>
      </c>
      <c r="S64">
        <f>ROUND($S$41*T$20,0)</f>
        <v>2</v>
      </c>
      <c r="T64">
        <f>ROUND($T$41*T$20,0)</f>
        <v>2</v>
      </c>
      <c r="U64">
        <f>ROUND($U$41*T$20,0)</f>
        <v>2</v>
      </c>
      <c r="V64">
        <f>ROUND($V$41*T$20,0)</f>
        <v>2</v>
      </c>
      <c r="W64">
        <f>ROUND($W$41*T$20,0)</f>
        <v>3</v>
      </c>
    </row>
    <row r="65" spans="1:23">
      <c r="A65">
        <v>68</v>
      </c>
      <c r="D65">
        <v>0</v>
      </c>
      <c r="E65">
        <f>ROUND($E$41*U$20,0)</f>
        <v>0</v>
      </c>
      <c r="F65">
        <f>ROUND($F$41*U$20,0)</f>
        <v>0</v>
      </c>
      <c r="G65">
        <f>ROUND($G$41*U$20,0)</f>
        <v>0</v>
      </c>
      <c r="H65">
        <f>ROUND($H$41*U$20,0)</f>
        <v>0</v>
      </c>
      <c r="I65">
        <f>ROUND($I$41*U$20,0)</f>
        <v>0</v>
      </c>
      <c r="J65">
        <f>ROUND($J$41*U$20,0)</f>
        <v>1</v>
      </c>
      <c r="K65">
        <f>ROUND($K$41*U$20,0)</f>
        <v>1</v>
      </c>
      <c r="L65">
        <f>ROUND($L$41*U$20,0)</f>
        <v>1</v>
      </c>
      <c r="M65">
        <f>ROUND($M$41*U$20,0)</f>
        <v>1</v>
      </c>
      <c r="N65">
        <f>ROUND($N$41*U$20,0)</f>
        <v>1</v>
      </c>
      <c r="O65">
        <f>ROUND($O$41*U$20,0)</f>
        <v>1</v>
      </c>
      <c r="P65">
        <f>ROUND($P$41*U$20,0)</f>
        <v>2</v>
      </c>
      <c r="Q65">
        <f>ROUND($Q$41*U$20,0)</f>
        <v>2</v>
      </c>
      <c r="R65">
        <f>ROUND($R$41*U$20,0)</f>
        <v>2</v>
      </c>
      <c r="S65">
        <f>ROUND($S$41*U$20,0)</f>
        <v>2</v>
      </c>
      <c r="T65">
        <f>ROUND($T$41*U$20,0)</f>
        <v>2</v>
      </c>
      <c r="U65">
        <f>ROUND($U$41*U$20,0)</f>
        <v>2</v>
      </c>
      <c r="V65">
        <f>ROUND($V$41*U$20,0)</f>
        <v>2</v>
      </c>
      <c r="W65">
        <f>ROUND($W$41*U$20,0)</f>
        <v>3</v>
      </c>
    </row>
    <row r="66" spans="1:23">
      <c r="A66">
        <v>69</v>
      </c>
      <c r="D66">
        <v>0</v>
      </c>
      <c r="E66">
        <f>ROUND($E$41*V$20,0)</f>
        <v>0</v>
      </c>
      <c r="F66">
        <f>ROUND($F$41*V$20,0)</f>
        <v>0</v>
      </c>
      <c r="G66">
        <f>ROUND($G$41*V$20,0)</f>
        <v>0</v>
      </c>
      <c r="H66">
        <f>ROUND($H$41*V$20,0)</f>
        <v>0</v>
      </c>
      <c r="I66">
        <f>ROUND($I$41*V$20,0)</f>
        <v>0</v>
      </c>
      <c r="J66">
        <f>ROUND($J$41*V$20,0)</f>
        <v>1</v>
      </c>
      <c r="K66">
        <f>ROUND($K$41*V$20,0)</f>
        <v>1</v>
      </c>
      <c r="L66">
        <f>ROUND($L$41*V$20,0)</f>
        <v>1</v>
      </c>
      <c r="M66">
        <f>ROUND($M$41*V$20,0)</f>
        <v>1</v>
      </c>
      <c r="N66">
        <f>ROUND($N$41*V$20,0)</f>
        <v>1</v>
      </c>
      <c r="O66">
        <f>ROUND($O$41*V$20,0)</f>
        <v>1</v>
      </c>
      <c r="P66">
        <f>ROUND($P$41*V$20,0)</f>
        <v>2</v>
      </c>
      <c r="Q66">
        <f>ROUND($Q$41*V$20,0)</f>
        <v>2</v>
      </c>
      <c r="R66">
        <f>ROUND($R$41*V$20,0)</f>
        <v>2</v>
      </c>
      <c r="S66">
        <f>ROUND($S$41*V$20,0)</f>
        <v>2</v>
      </c>
      <c r="T66">
        <f>ROUND($T$41*V$20,0)</f>
        <v>2</v>
      </c>
      <c r="U66">
        <f>ROUND($U$41*V$20,0)</f>
        <v>2</v>
      </c>
      <c r="V66">
        <f>ROUND($V$41*V$20,0)</f>
        <v>2</v>
      </c>
      <c r="W66">
        <f>ROUND($W$41*V$20,0)</f>
        <v>3</v>
      </c>
    </row>
    <row r="67" spans="1:23">
      <c r="A67">
        <v>70</v>
      </c>
      <c r="D67">
        <v>0</v>
      </c>
      <c r="E67">
        <f>ROUND($E$41*W$20,0)</f>
        <v>0</v>
      </c>
      <c r="F67">
        <f>ROUND($F$41*W$20,0)</f>
        <v>0</v>
      </c>
      <c r="G67">
        <f>ROUND($G$41*W$20,0)</f>
        <v>0</v>
      </c>
      <c r="H67">
        <f>ROUND($H$41*W$20,0)</f>
        <v>0</v>
      </c>
      <c r="I67">
        <f>ROUND($I$41*W$20,0)</f>
        <v>0</v>
      </c>
      <c r="J67">
        <f>ROUND($J$41*W$20,0)</f>
        <v>1</v>
      </c>
      <c r="K67">
        <f>ROUND($K$41*W$20,0)</f>
        <v>1</v>
      </c>
      <c r="L67">
        <f>ROUND($L$41*W$20,0)</f>
        <v>1</v>
      </c>
      <c r="M67">
        <f>ROUND($M$41*W$20,0)</f>
        <v>1</v>
      </c>
      <c r="N67">
        <f>ROUND($N$41*W$20,0)</f>
        <v>1</v>
      </c>
      <c r="O67">
        <f>ROUND($O$41*W$20,0)</f>
        <v>1</v>
      </c>
      <c r="P67">
        <f>ROUND($P$41*W$20,0)</f>
        <v>2</v>
      </c>
      <c r="Q67">
        <f>ROUND($Q$41*W$20,0)</f>
        <v>2</v>
      </c>
      <c r="R67">
        <f>ROUND($R$41*W$20,0)</f>
        <v>2</v>
      </c>
      <c r="S67">
        <f>ROUND($S$41*W$20,0)</f>
        <v>2</v>
      </c>
      <c r="T67">
        <f>ROUND($T$41*W$20,0)</f>
        <v>2</v>
      </c>
      <c r="U67">
        <f>ROUND($U$41*W$20,0)</f>
        <v>2</v>
      </c>
      <c r="V67">
        <f>ROUND($V$41*W$20,0)</f>
        <v>2</v>
      </c>
      <c r="W67">
        <f>ROUND($W$41*W$20,0)</f>
        <v>3</v>
      </c>
    </row>
    <row r="69" spans="1:23">
      <c r="A69" s="31" t="s">
        <v>134</v>
      </c>
      <c r="H69" t="s">
        <v>42</v>
      </c>
    </row>
    <row r="70" spans="1:23">
      <c r="A70" s="22" t="s">
        <v>5</v>
      </c>
      <c r="D70" s="23">
        <f>$D52*D$13</f>
        <v>0</v>
      </c>
      <c r="E70" s="23">
        <f>(SUM($E52:E52))*E$13</f>
        <v>0</v>
      </c>
      <c r="F70" s="23">
        <f>(SUM($E52:F52))*F$13</f>
        <v>0</v>
      </c>
      <c r="G70" s="23">
        <f>(SUM($E52:G52))*G$13</f>
        <v>0</v>
      </c>
      <c r="H70" s="23">
        <f>(SUM($E52:H52))*H$13</f>
        <v>0</v>
      </c>
      <c r="I70" s="23">
        <f>(SUM($E52:I52))*I$13</f>
        <v>0</v>
      </c>
      <c r="J70" s="23">
        <f>(SUM($E52:J52))*J$13</f>
        <v>0</v>
      </c>
      <c r="K70" s="23">
        <f>(SUM($E52:K52))*K$13</f>
        <v>0</v>
      </c>
      <c r="L70" s="23">
        <f>(SUM($E52:L52))*L$13</f>
        <v>0</v>
      </c>
      <c r="M70" s="23">
        <f>(SUM($E52:M52))*M$13</f>
        <v>0</v>
      </c>
      <c r="N70" s="23">
        <f>(SUM($E52:N52))*N$13</f>
        <v>0</v>
      </c>
      <c r="O70" s="23">
        <f>(SUM($E52:O52))*O$13</f>
        <v>0</v>
      </c>
      <c r="P70" s="23">
        <f>(SUM($E52:P52))*P$13</f>
        <v>0</v>
      </c>
      <c r="Q70" s="23">
        <f>(SUM($E52:Q52))*Q$13</f>
        <v>0</v>
      </c>
      <c r="R70" s="23">
        <f>(SUM($E52:R52))*R$13</f>
        <v>0</v>
      </c>
      <c r="S70" s="23">
        <f>(SUM($E52:S52))*S$13</f>
        <v>0</v>
      </c>
      <c r="T70" s="23">
        <f>(SUM($E52:T52))*T$13</f>
        <v>0</v>
      </c>
      <c r="U70" s="23">
        <f>(SUM($E52:U52))*U$13</f>
        <v>0</v>
      </c>
      <c r="V70" s="23">
        <f>(SUM($E52:V52))*V$13</f>
        <v>0</v>
      </c>
      <c r="W70" s="23">
        <f>(SUM($E52:W52))*W$13</f>
        <v>0</v>
      </c>
    </row>
    <row r="71" spans="1:23">
      <c r="A71" s="22" t="s">
        <v>6</v>
      </c>
      <c r="D71" s="23">
        <f>$D53*D$13</f>
        <v>0</v>
      </c>
      <c r="E71" s="23">
        <f>(SUM($E53:E53))*E$13</f>
        <v>0</v>
      </c>
      <c r="F71" s="23">
        <f>(SUM($E53:F53))*F$13</f>
        <v>0</v>
      </c>
      <c r="G71" s="23">
        <f>(SUM($E53:G53))*G$13</f>
        <v>0</v>
      </c>
      <c r="H71" s="23">
        <f>(SUM($E53:H53))*H$13</f>
        <v>0</v>
      </c>
      <c r="I71" s="23">
        <f>(SUM($E53:I53))*I$13</f>
        <v>0</v>
      </c>
      <c r="J71" s="23">
        <f>(SUM($E53:J53))*J$13</f>
        <v>0</v>
      </c>
      <c r="K71" s="23">
        <f>(SUM($E53:K53))*K$13</f>
        <v>0</v>
      </c>
      <c r="L71" s="23">
        <f>(SUM($E53:L53))*L$13</f>
        <v>0</v>
      </c>
      <c r="M71" s="23">
        <f>(SUM($E53:M53))*M$13</f>
        <v>0</v>
      </c>
      <c r="N71" s="23">
        <f>(SUM($E53:N53))*N$13</f>
        <v>0</v>
      </c>
      <c r="O71" s="23">
        <f>(SUM($E53:O53))*O$13</f>
        <v>0</v>
      </c>
      <c r="P71" s="23">
        <f>(SUM($E53:P53))*P$13</f>
        <v>0</v>
      </c>
      <c r="Q71" s="23">
        <f>(SUM($E53:Q53))*Q$13</f>
        <v>0</v>
      </c>
      <c r="R71" s="23">
        <f>(SUM($E53:R53))*R$13</f>
        <v>0</v>
      </c>
      <c r="S71" s="23">
        <f>(SUM($E53:S53))*S$13</f>
        <v>0</v>
      </c>
      <c r="T71" s="23">
        <f>(SUM($E53:T53))*T$13</f>
        <v>0</v>
      </c>
      <c r="U71" s="23">
        <f>(SUM($E53:U53))*U$13</f>
        <v>0</v>
      </c>
      <c r="V71" s="23">
        <f>(SUM($E53:V53))*V$13</f>
        <v>0</v>
      </c>
      <c r="W71" s="23">
        <f>(SUM($E53:W53))*W$13</f>
        <v>0</v>
      </c>
    </row>
    <row r="72" spans="1:23">
      <c r="A72" s="22" t="s">
        <v>7</v>
      </c>
      <c r="D72" s="23">
        <f t="shared" ref="D72:D80" si="11">$D54*D$13</f>
        <v>0</v>
      </c>
      <c r="E72" s="23">
        <f>(SUM($E54:E54))*E$13</f>
        <v>0</v>
      </c>
      <c r="F72" s="23">
        <f>(SUM($E54:F54))*F$13</f>
        <v>0</v>
      </c>
      <c r="G72" s="23">
        <f>(SUM($E54:G54))*G$13</f>
        <v>0</v>
      </c>
      <c r="H72" s="23">
        <f>(SUM($E54:H54))*H$13</f>
        <v>0</v>
      </c>
      <c r="I72" s="23">
        <f>(SUM($E54:I54))*I$13</f>
        <v>0</v>
      </c>
      <c r="J72" s="23">
        <f>(SUM($E54:J54))*J$13</f>
        <v>0</v>
      </c>
      <c r="K72" s="23">
        <f>(SUM($E54:K54))*K$13</f>
        <v>0</v>
      </c>
      <c r="L72" s="23">
        <f>(SUM($E54:L54))*L$13</f>
        <v>0</v>
      </c>
      <c r="M72" s="23">
        <f>(SUM($E54:M54))*M$13</f>
        <v>0</v>
      </c>
      <c r="N72" s="23">
        <f>(SUM($E54:N54))*N$13</f>
        <v>0</v>
      </c>
      <c r="O72" s="23">
        <f>(SUM($E54:O54))*O$13</f>
        <v>0</v>
      </c>
      <c r="P72" s="23">
        <f>(SUM($E54:P54))*P$13</f>
        <v>0</v>
      </c>
      <c r="Q72" s="23">
        <f>(SUM($E54:Q54))*Q$13</f>
        <v>0</v>
      </c>
      <c r="R72" s="23">
        <f>(SUM($E54:R54))*R$13</f>
        <v>0</v>
      </c>
      <c r="S72" s="23">
        <f>(SUM($E54:S54))*S$13</f>
        <v>0</v>
      </c>
      <c r="T72" s="23">
        <f>(SUM($E54:T54))*T$13</f>
        <v>5073954.2451217491</v>
      </c>
      <c r="U72" s="23">
        <f>(SUM($E54:U54))*U$13</f>
        <v>10553824.829853239</v>
      </c>
      <c r="V72" s="23">
        <f>(SUM($E54:V54))*V$13</f>
        <v>16463966.734571051</v>
      </c>
      <c r="W72" s="23">
        <f>(SUM($E54:W54))*W$13</f>
        <v>22830033.871938527</v>
      </c>
    </row>
    <row r="73" spans="1:23">
      <c r="A73" s="22" t="s">
        <v>8</v>
      </c>
      <c r="D73" s="23">
        <f t="shared" si="11"/>
        <v>0</v>
      </c>
      <c r="E73" s="23">
        <f>(SUM($E55:E55))*E$13</f>
        <v>0</v>
      </c>
      <c r="F73" s="23">
        <f>(SUM($E55:F55))*F$13</f>
        <v>0</v>
      </c>
      <c r="G73" s="23">
        <f>(SUM($E55:G55))*G$13</f>
        <v>0</v>
      </c>
      <c r="H73" s="23">
        <f>(SUM($E55:H55))*H$13</f>
        <v>0</v>
      </c>
      <c r="I73" s="23">
        <f>(SUM($E55:I55))*I$13</f>
        <v>0</v>
      </c>
      <c r="J73" s="23">
        <f>(SUM($E55:J55))*J$13</f>
        <v>0</v>
      </c>
      <c r="K73" s="23">
        <f>(SUM($E55:K55))*K$13</f>
        <v>0</v>
      </c>
      <c r="L73" s="23">
        <f>(SUM($E55:L55))*L$13</f>
        <v>0</v>
      </c>
      <c r="M73" s="23">
        <f>(SUM($E55:M55))*M$13</f>
        <v>0</v>
      </c>
      <c r="N73" s="23">
        <f>(SUM($E55:N55))*N$13</f>
        <v>0</v>
      </c>
      <c r="O73" s="23">
        <f>(SUM($E55:O55))*O$13</f>
        <v>4170420.532522249</v>
      </c>
      <c r="P73" s="23">
        <f>(SUM($E55:P55))*P$13</f>
        <v>8674474.7076462787</v>
      </c>
      <c r="Q73" s="23">
        <f>(SUM($E55:Q55))*Q$13</f>
        <v>13532180.543928195</v>
      </c>
      <c r="R73" s="23">
        <f>(SUM($E55:R55))*R$13</f>
        <v>18764623.687580433</v>
      </c>
      <c r="S73" s="23">
        <f>(SUM($E55:S55))*S$13</f>
        <v>24394010.793854561</v>
      </c>
      <c r="T73" s="23">
        <f>(SUM($E55:T55))*T$13</f>
        <v>30443725.470730495</v>
      </c>
      <c r="U73" s="23">
        <f>(SUM($E55:U55))*U$13</f>
        <v>36938386.904486336</v>
      </c>
      <c r="V73" s="23">
        <f>(SUM($E55:V55))*V$13</f>
        <v>43903911.292189471</v>
      </c>
      <c r="W73" s="23">
        <f>(SUM($E55:W55))*W$13</f>
        <v>51367576.211861685</v>
      </c>
    </row>
    <row r="74" spans="1:23">
      <c r="A74" s="22" t="s">
        <v>9</v>
      </c>
      <c r="D74" s="23">
        <f t="shared" si="11"/>
        <v>0</v>
      </c>
      <c r="E74" s="23">
        <f>(SUM($E56:E56))*E$13</f>
        <v>0</v>
      </c>
      <c r="F74" s="23">
        <f>(SUM($E56:F56))*F$13</f>
        <v>0</v>
      </c>
      <c r="G74" s="23">
        <f>(SUM($E56:G56))*G$13</f>
        <v>0</v>
      </c>
      <c r="H74" s="23">
        <f>(SUM($E56:H56))*H$13</f>
        <v>0</v>
      </c>
      <c r="I74" s="23">
        <f>(SUM($E56:I56))*I$13</f>
        <v>0</v>
      </c>
      <c r="J74" s="23">
        <f>(SUM($E56:J56))*J$13</f>
        <v>0</v>
      </c>
      <c r="K74" s="23">
        <f>(SUM($E56:K56))*K$13</f>
        <v>3564892.9495564392</v>
      </c>
      <c r="L74" s="23">
        <f>(SUM($E56:L56))*L$13</f>
        <v>7414977.3350773938</v>
      </c>
      <c r="M74" s="23">
        <f>(SUM($E56:M56))*M$13</f>
        <v>11567364.642720735</v>
      </c>
      <c r="N74" s="23">
        <f>(SUM($E56:N56))*N$13</f>
        <v>16040078.97123942</v>
      </c>
      <c r="O74" s="23">
        <f>(SUM($E56:O56))*O$13</f>
        <v>20852102.662611246</v>
      </c>
      <c r="P74" s="23">
        <f>(SUM($E56:P56))*P$13</f>
        <v>26023424.122938834</v>
      </c>
      <c r="Q74" s="23">
        <f>(SUM($E56:Q56))*Q$13</f>
        <v>31575087.935832456</v>
      </c>
      <c r="R74" s="23">
        <f>(SUM($E56:R56))*R$13</f>
        <v>37529247.375160865</v>
      </c>
      <c r="S74" s="23">
        <f>(SUM($E56:S56))*S$13</f>
        <v>43909219.42893821</v>
      </c>
      <c r="T74" s="23">
        <f>(SUM($E56:T56))*T$13</f>
        <v>50739542.451217487</v>
      </c>
      <c r="U74" s="23">
        <f>(SUM($E56:U56))*U$13</f>
        <v>63322948.979119435</v>
      </c>
      <c r="V74" s="23">
        <f>(SUM($E56:V56))*V$13</f>
        <v>76831844.761331573</v>
      </c>
      <c r="W74" s="23">
        <f>(SUM($E56:W56))*W$13</f>
        <v>91320135.487754107</v>
      </c>
    </row>
    <row r="75" spans="1:23">
      <c r="A75" s="22" t="s">
        <v>10</v>
      </c>
      <c r="D75" s="23">
        <f t="shared" si="11"/>
        <v>0</v>
      </c>
      <c r="E75" s="23">
        <f>(SUM($E57:E57))*E$13</f>
        <v>0</v>
      </c>
      <c r="F75" s="23">
        <f>(SUM($D57:F57))*F$13</f>
        <v>0</v>
      </c>
      <c r="G75" s="23">
        <f>(SUM($D57:G57))*G$13</f>
        <v>0</v>
      </c>
      <c r="H75" s="23">
        <f>(SUM($D57:H57))*H$13</f>
        <v>0</v>
      </c>
      <c r="I75" s="23">
        <f>(SUM($D57:I57))*I$13</f>
        <v>3295943.9252555836</v>
      </c>
      <c r="J75" s="23">
        <f>(SUM($D57:J57))*J$13</f>
        <v>6855563.3645316139</v>
      </c>
      <c r="K75" s="23">
        <f>(SUM($D57:K57))*K$13</f>
        <v>10694678.848669317</v>
      </c>
      <c r="L75" s="23">
        <f>(SUM($D57:L57))*L$13</f>
        <v>14829954.670154788</v>
      </c>
      <c r="M75" s="23">
        <f>(SUM($D57:M57))*M$13</f>
        <v>19278941.071201224</v>
      </c>
      <c r="N75" s="23">
        <f>(SUM($D57:N57))*N$13</f>
        <v>28070138.199668985</v>
      </c>
      <c r="O75" s="23">
        <f>(SUM($D57:O57))*O$13</f>
        <v>37533784.792700239</v>
      </c>
      <c r="P75" s="23">
        <f>(SUM($D57:P57))*P$13</f>
        <v>47709610.892054535</v>
      </c>
      <c r="Q75" s="23">
        <f>(SUM($D57:Q57))*Q$13</f>
        <v>58639449.023688845</v>
      </c>
      <c r="R75" s="23">
        <f>(SUM($D57:R57))*R$13</f>
        <v>70367338.828426629</v>
      </c>
      <c r="S75" s="23">
        <f>(SUM($D57:S57))*S$13</f>
        <v>87818438.85787642</v>
      </c>
      <c r="T75" s="23">
        <f>(SUM($D57:T57))*T$13</f>
        <v>106553039.14755674</v>
      </c>
      <c r="U75" s="23">
        <f>(SUM($D57:U57))*U$13</f>
        <v>126645897.95823887</v>
      </c>
      <c r="V75" s="23">
        <f>(SUM($D57:V57))*V$13</f>
        <v>148175700.61113948</v>
      </c>
      <c r="W75" s="23">
        <f>(SUM($D57:W57))*W$13</f>
        <v>171225254.03953895</v>
      </c>
    </row>
    <row r="76" spans="1:23">
      <c r="A76" s="22" t="s">
        <v>11</v>
      </c>
      <c r="D76" s="23">
        <f t="shared" si="11"/>
        <v>0</v>
      </c>
      <c r="E76" s="23">
        <f>(SUM($E58:E58))*E$13</f>
        <v>0</v>
      </c>
      <c r="F76" s="23">
        <f>(SUM($E58:F58))*F$13</f>
        <v>0</v>
      </c>
      <c r="G76" s="23">
        <f>(SUM($E58:G58))*G$13</f>
        <v>0</v>
      </c>
      <c r="H76" s="23">
        <f>(SUM($E58:H58))*H$13</f>
        <v>3155609.5166183044</v>
      </c>
      <c r="I76" s="23">
        <f>(SUM($E58:I58))*I$13</f>
        <v>6591887.8505111672</v>
      </c>
      <c r="J76" s="23">
        <f>(SUM($E58:J58))*J$13</f>
        <v>10283345.046797421</v>
      </c>
      <c r="K76" s="23">
        <f>(SUM($E58:K58))*K$13</f>
        <v>17824464.747782197</v>
      </c>
      <c r="L76" s="23">
        <f>(SUM($E58:L58))*L$13</f>
        <v>25952420.67277088</v>
      </c>
      <c r="M76" s="23">
        <f>(SUM($E58:M58))*M$13</f>
        <v>34702093.928162202</v>
      </c>
      <c r="N76" s="23">
        <f>(SUM($E58:N58))*N$13</f>
        <v>44110217.170908406</v>
      </c>
      <c r="O76" s="23">
        <f>(SUM($E58:O58))*O$13</f>
        <v>58385887.455311485</v>
      </c>
      <c r="P76" s="23">
        <f>(SUM($E58:P58))*P$13</f>
        <v>73733035.01499337</v>
      </c>
      <c r="Q76" s="23">
        <f>(SUM($E58:Q58))*Q$13</f>
        <v>90214536.959521309</v>
      </c>
      <c r="R76" s="23">
        <f>(SUM($E58:R58))*R$13</f>
        <v>112587742.12548259</v>
      </c>
      <c r="S76" s="23">
        <f>(SUM($E58:S58))*S$13</f>
        <v>136606460.44558555</v>
      </c>
      <c r="T76" s="23">
        <f>(SUM($E58:T58))*T$13</f>
        <v>162366535.84389597</v>
      </c>
      <c r="U76" s="23">
        <f>(SUM($E58:U58))*U$13</f>
        <v>189968846.93735829</v>
      </c>
      <c r="V76" s="23">
        <f>(SUM($E58:V58))*V$13</f>
        <v>225007545.37247103</v>
      </c>
      <c r="W76" s="23">
        <f>(SUM($F58:W58))*W$13</f>
        <v>262545389.52729306</v>
      </c>
    </row>
    <row r="77" spans="1:23">
      <c r="A77" s="22" t="s">
        <v>12</v>
      </c>
      <c r="D77" s="23">
        <f t="shared" si="11"/>
        <v>0</v>
      </c>
      <c r="E77" s="23">
        <f>(SUM($E59:E59))*E$13</f>
        <v>0</v>
      </c>
      <c r="F77" s="23">
        <f>(SUM($E59:F59))*F$13</f>
        <v>0</v>
      </c>
      <c r="G77" s="23">
        <f>(SUM($E59:G59))*G$13</f>
        <v>0</v>
      </c>
      <c r="H77" s="23">
        <f>(SUM($E59:H59))*H$13</f>
        <v>3155609.5166183044</v>
      </c>
      <c r="I77" s="23">
        <f>(SUM($E59:I59))*I$13</f>
        <v>6591887.8505111672</v>
      </c>
      <c r="J77" s="23">
        <f>(SUM($E59:J59))*J$13</f>
        <v>10283345.046797421</v>
      </c>
      <c r="K77" s="23">
        <f>(SUM($E59:K59))*K$13</f>
        <v>17824464.747782197</v>
      </c>
      <c r="L77" s="23">
        <f>(SUM($E59:L59))*L$13</f>
        <v>25952420.67277088</v>
      </c>
      <c r="M77" s="23">
        <f>(SUM($E59:M59))*M$13</f>
        <v>38557882.142402448</v>
      </c>
      <c r="N77" s="23">
        <f>(SUM($E59:N59))*N$13</f>
        <v>52130256.656528115</v>
      </c>
      <c r="O77" s="23">
        <f>(SUM($E59:O59))*O$13</f>
        <v>66726728.520355985</v>
      </c>
      <c r="P77" s="23">
        <f>(SUM($E59:P59))*P$13</f>
        <v>86744747.07646279</v>
      </c>
      <c r="Q77" s="23">
        <f>(SUM($E59:Q59))*Q$13</f>
        <v>108257444.35142556</v>
      </c>
      <c r="R77" s="23">
        <f>(SUM(F59:R59))*R$13</f>
        <v>131352365.81306303</v>
      </c>
      <c r="S77" s="23">
        <f t="shared" ref="S77:W77" si="12">(SUM(G59:S59))*S$13</f>
        <v>161000471.23944011</v>
      </c>
      <c r="T77" s="23">
        <f t="shared" si="12"/>
        <v>192810261.31462646</v>
      </c>
      <c r="U77" s="23">
        <f t="shared" si="12"/>
        <v>221630321.426918</v>
      </c>
      <c r="V77" s="23">
        <f t="shared" si="12"/>
        <v>257935478.84161314</v>
      </c>
      <c r="W77" s="23">
        <f t="shared" si="12"/>
        <v>296790440.33520085</v>
      </c>
    </row>
    <row r="78" spans="1:23">
      <c r="A78" s="22" t="s">
        <v>13</v>
      </c>
      <c r="D78" s="23">
        <f t="shared" si="11"/>
        <v>0</v>
      </c>
      <c r="E78" s="23">
        <f>(SUM($E60:E60))*E$13</f>
        <v>0</v>
      </c>
      <c r="F78" s="23">
        <f>(SUM($E60:F60))*F$13</f>
        <v>0</v>
      </c>
      <c r="G78" s="23">
        <f>(SUM($E60:G60))*G$13</f>
        <v>0</v>
      </c>
      <c r="H78" s="23">
        <f>(SUM($E60:H60))*H$13</f>
        <v>3155609.5166183044</v>
      </c>
      <c r="I78" s="23">
        <f>(SUM($E60:I60))*I$13</f>
        <v>6591887.8505111672</v>
      </c>
      <c r="J78" s="23">
        <f>(SUM($E60:J60))*J$13</f>
        <v>10283345.046797421</v>
      </c>
      <c r="K78" s="23">
        <f>(SUM($E60:K60))*K$13</f>
        <v>17824464.747782197</v>
      </c>
      <c r="L78" s="23">
        <f>(SUM($E60:L60))*L$13</f>
        <v>25952420.67277088</v>
      </c>
      <c r="M78" s="23">
        <f>(SUM(F60:M60))*M$13</f>
        <v>34702093.928162202</v>
      </c>
      <c r="N78" s="23">
        <f t="shared" ref="N78:W78" si="13">(SUM(G60:N60))*N$13</f>
        <v>48120236.913718261</v>
      </c>
      <c r="O78" s="23">
        <f t="shared" si="13"/>
        <v>62556307.987833738</v>
      </c>
      <c r="P78" s="23">
        <f t="shared" si="13"/>
        <v>73733035.01499337</v>
      </c>
      <c r="Q78" s="23">
        <f t="shared" si="13"/>
        <v>85703810.111545235</v>
      </c>
      <c r="R78" s="23">
        <f t="shared" si="13"/>
        <v>103205430.28169239</v>
      </c>
      <c r="S78" s="23">
        <f t="shared" si="13"/>
        <v>117091251.8105019</v>
      </c>
      <c r="T78" s="23">
        <f t="shared" si="13"/>
        <v>131922810.37316547</v>
      </c>
      <c r="U78" s="23">
        <f t="shared" si="13"/>
        <v>153030460.03287196</v>
      </c>
      <c r="V78" s="23">
        <f t="shared" si="13"/>
        <v>170127656.25723422</v>
      </c>
      <c r="W78" s="23">
        <f t="shared" si="13"/>
        <v>188347779.44349283</v>
      </c>
    </row>
    <row r="79" spans="1:23">
      <c r="A79" s="22" t="s">
        <v>14</v>
      </c>
      <c r="D79" s="23">
        <f t="shared" si="11"/>
        <v>0</v>
      </c>
      <c r="E79" s="23">
        <f>(SUM($E61:E61))*E$13</f>
        <v>0</v>
      </c>
      <c r="F79" s="23">
        <f>(SUM($E61:F61))*F$13</f>
        <v>0</v>
      </c>
      <c r="G79" s="23">
        <f>(SUM($E61:G61))*G$13</f>
        <v>0</v>
      </c>
      <c r="H79" s="23">
        <f>(SUM(F61:H61))*H$13</f>
        <v>3155609.5166183044</v>
      </c>
      <c r="I79" s="23">
        <f t="shared" ref="I79:W79" si="14">(SUM(G61:I61))*I$13</f>
        <v>6591887.8505111672</v>
      </c>
      <c r="J79" s="23">
        <f t="shared" si="14"/>
        <v>10283345.046797421</v>
      </c>
      <c r="K79" s="23">
        <f t="shared" si="14"/>
        <v>14259571.798225757</v>
      </c>
      <c r="L79" s="23">
        <f t="shared" si="14"/>
        <v>18537443.337693483</v>
      </c>
      <c r="M79" s="23">
        <f t="shared" si="14"/>
        <v>23134729.285441469</v>
      </c>
      <c r="N79" s="23">
        <f t="shared" si="14"/>
        <v>28070138.199668985</v>
      </c>
      <c r="O79" s="23">
        <f t="shared" si="14"/>
        <v>33363364.260177992</v>
      </c>
      <c r="P79" s="23">
        <f t="shared" si="14"/>
        <v>39035136.184408255</v>
      </c>
      <c r="Q79" s="23">
        <f t="shared" si="14"/>
        <v>45107268.479760654</v>
      </c>
      <c r="R79" s="23">
        <f t="shared" si="14"/>
        <v>51602715.140846193</v>
      </c>
      <c r="S79" s="23">
        <f t="shared" si="14"/>
        <v>58545625.905250952</v>
      </c>
      <c r="T79" s="23">
        <f t="shared" si="14"/>
        <v>65961405.186582737</v>
      </c>
      <c r="U79" s="23">
        <f t="shared" si="14"/>
        <v>73876773.808972672</v>
      </c>
      <c r="V79" s="23">
        <f t="shared" si="14"/>
        <v>82319833.672855258</v>
      </c>
      <c r="W79" s="23">
        <f t="shared" si="14"/>
        <v>91320135.487754107</v>
      </c>
    </row>
    <row r="80" spans="1:23">
      <c r="A80" s="22" t="s">
        <v>15</v>
      </c>
      <c r="D80" s="23">
        <f t="shared" si="11"/>
        <v>0</v>
      </c>
      <c r="E80" s="23">
        <f>(SUM($D62:E62))*E$13</f>
        <v>0</v>
      </c>
      <c r="F80" s="23">
        <f>(SUM($D62:F62))*F$13</f>
        <v>0</v>
      </c>
      <c r="G80" s="23">
        <f>(SUM($D62:G62))*G$13</f>
        <v>0</v>
      </c>
      <c r="H80" s="23">
        <f>(SUM($D62:H62))*H$13</f>
        <v>0</v>
      </c>
      <c r="I80" s="23">
        <f>(SUM($D62:I62))*I$13</f>
        <v>0</v>
      </c>
      <c r="J80" s="23">
        <f>(SUM($D62:J62))*J$13</f>
        <v>0</v>
      </c>
      <c r="K80" s="23">
        <f>(SUM($D62:K62))*K$13</f>
        <v>0</v>
      </c>
      <c r="L80" s="23">
        <f>(SUM($D62:L62))*L$13</f>
        <v>0</v>
      </c>
      <c r="M80" s="23">
        <f>(SUM($D62:M62))*M$13</f>
        <v>3855788.2142402451</v>
      </c>
      <c r="N80" s="23">
        <f>(SUM($D62:N62))*N$13</f>
        <v>8020039.4856197098</v>
      </c>
      <c r="O80" s="23">
        <f>(SUM($D62:O62))*O$13</f>
        <v>12511261.597566746</v>
      </c>
      <c r="P80" s="23">
        <f>(SUM($D62:P62))*P$13</f>
        <v>17348949.415292557</v>
      </c>
      <c r="Q80" s="23">
        <f>(SUM($D62:Q62))*Q$13</f>
        <v>22553634.239880327</v>
      </c>
      <c r="R80" s="23">
        <f>(SUM($D62:R62))*R$13</f>
        <v>28146935.531370647</v>
      </c>
      <c r="S80" s="23">
        <f>(SUM($D62:S62))*S$13</f>
        <v>34151615.111396387</v>
      </c>
      <c r="T80" s="23">
        <f>(SUM($D62:T62))*T$13</f>
        <v>40591633.960973993</v>
      </c>
      <c r="U80" s="23">
        <f>(SUM($D62:U62))*U$13</f>
        <v>47492211.734339572</v>
      </c>
      <c r="V80" s="23">
        <f>(SUM($D62:V62))*V$13</f>
        <v>54879889.115236841</v>
      </c>
      <c r="W80" s="23">
        <f>(SUM($D62:W62))*W$13</f>
        <v>62782593.147830948</v>
      </c>
    </row>
    <row r="81" spans="1:23">
      <c r="A81">
        <v>66</v>
      </c>
      <c r="D81" s="23"/>
      <c r="E81" s="23"/>
      <c r="F81" s="23"/>
      <c r="G81" s="23"/>
      <c r="H81" s="23"/>
      <c r="I81" s="23"/>
      <c r="J81" s="23"/>
      <c r="K81" s="23"/>
      <c r="L81" s="23"/>
      <c r="M81" s="23"/>
      <c r="N81" s="23"/>
      <c r="O81" s="23"/>
      <c r="P81" s="23"/>
      <c r="Q81" s="23"/>
      <c r="R81" s="23"/>
      <c r="S81" s="23"/>
      <c r="T81" s="23"/>
      <c r="U81" s="23"/>
      <c r="V81" s="23"/>
      <c r="W81" s="23"/>
    </row>
    <row r="82" spans="1:23">
      <c r="A82">
        <v>67</v>
      </c>
    </row>
    <row r="83" spans="1:23">
      <c r="A83">
        <v>68</v>
      </c>
    </row>
    <row r="84" spans="1:23">
      <c r="A84">
        <v>69</v>
      </c>
    </row>
    <row r="85" spans="1:23">
      <c r="A85">
        <v>70</v>
      </c>
      <c r="D85" s="3"/>
      <c r="E85" s="3"/>
      <c r="F85" s="3"/>
      <c r="G85" s="3"/>
      <c r="H85" s="3"/>
      <c r="I85" s="3"/>
      <c r="J85" s="3"/>
      <c r="K85" s="3"/>
      <c r="L85" s="3"/>
      <c r="M85" s="3"/>
      <c r="N85" s="3"/>
      <c r="O85" s="3"/>
      <c r="P85" s="3"/>
      <c r="Q85" s="3"/>
      <c r="R85" s="3"/>
      <c r="S85" s="3"/>
      <c r="T85" s="3"/>
      <c r="U85" s="3"/>
      <c r="V85" s="3"/>
      <c r="W85" s="3"/>
    </row>
    <row r="86" spans="1:23">
      <c r="A86" s="22" t="s">
        <v>43</v>
      </c>
      <c r="D86" s="23">
        <f>SUM(D70:D85)</f>
        <v>0</v>
      </c>
      <c r="E86" s="23">
        <f t="shared" ref="E86:W86" si="15">SUM(E70:E85)</f>
        <v>0</v>
      </c>
      <c r="F86" s="23">
        <f t="shared" si="15"/>
        <v>0</v>
      </c>
      <c r="G86" s="23">
        <f t="shared" si="15"/>
        <v>0</v>
      </c>
      <c r="H86" s="23">
        <f t="shared" si="15"/>
        <v>12622438.066473218</v>
      </c>
      <c r="I86" s="23">
        <f t="shared" si="15"/>
        <v>29663495.327300254</v>
      </c>
      <c r="J86" s="23">
        <f t="shared" si="15"/>
        <v>47988943.551721305</v>
      </c>
      <c r="K86" s="23">
        <f t="shared" si="15"/>
        <v>81992537.839798108</v>
      </c>
      <c r="L86" s="23">
        <f t="shared" si="15"/>
        <v>118639637.3612383</v>
      </c>
      <c r="M86" s="23">
        <f t="shared" si="15"/>
        <v>165798893.21233052</v>
      </c>
      <c r="N86" s="23">
        <f t="shared" si="15"/>
        <v>224561105.59735188</v>
      </c>
      <c r="O86" s="23">
        <f t="shared" si="15"/>
        <v>296099857.80907965</v>
      </c>
      <c r="P86" s="23">
        <f t="shared" si="15"/>
        <v>373002412.42878997</v>
      </c>
      <c r="Q86" s="23">
        <f t="shared" si="15"/>
        <v>455583411.64558256</v>
      </c>
      <c r="R86" s="23">
        <f t="shared" si="15"/>
        <v>553556398.78362274</v>
      </c>
      <c r="S86" s="23">
        <f t="shared" si="15"/>
        <v>663517093.59284413</v>
      </c>
      <c r="T86" s="23">
        <f t="shared" si="15"/>
        <v>786462907.99387097</v>
      </c>
      <c r="U86" s="23">
        <f t="shared" si="15"/>
        <v>923459672.61215842</v>
      </c>
      <c r="V86" s="23">
        <f t="shared" si="15"/>
        <v>1075645826.6586421</v>
      </c>
      <c r="W86" s="23">
        <f t="shared" si="15"/>
        <v>1238529337.5526652</v>
      </c>
    </row>
    <row r="87" spans="1:23">
      <c r="A87" s="22"/>
      <c r="D87" s="23"/>
      <c r="E87" s="23"/>
      <c r="F87" s="23"/>
      <c r="G87" s="23"/>
      <c r="H87" s="23"/>
      <c r="I87" s="23"/>
      <c r="J87" s="23"/>
      <c r="K87" s="23"/>
      <c r="L87" s="23"/>
      <c r="M87" s="23"/>
      <c r="N87" s="23"/>
      <c r="O87" s="23"/>
      <c r="P87" s="23"/>
      <c r="Q87" s="23"/>
      <c r="R87" s="23"/>
      <c r="S87" s="23"/>
      <c r="T87" s="23"/>
      <c r="U87" s="23"/>
      <c r="V87" s="23"/>
      <c r="W87" s="23"/>
    </row>
    <row r="88" spans="1:23">
      <c r="A88" t="s">
        <v>135</v>
      </c>
      <c r="D88" s="23"/>
      <c r="E88" s="23"/>
      <c r="F88" s="23"/>
      <c r="G88" s="23"/>
      <c r="H88" s="23"/>
      <c r="I88" s="23"/>
      <c r="J88" s="23"/>
      <c r="K88" s="21"/>
      <c r="L88" s="23"/>
      <c r="M88" s="23"/>
      <c r="N88" s="23"/>
      <c r="O88" s="23"/>
      <c r="P88" s="23"/>
      <c r="Q88" s="23"/>
      <c r="R88" s="23"/>
      <c r="S88" s="23"/>
      <c r="T88" s="23"/>
      <c r="U88" s="23"/>
      <c r="V88" s="23"/>
      <c r="W88" s="23"/>
    </row>
    <row r="89" spans="1:23">
      <c r="A89" t="s">
        <v>70</v>
      </c>
    </row>
    <row r="90" spans="1:23">
      <c r="B90" t="s">
        <v>71</v>
      </c>
      <c r="C90" t="s">
        <v>72</v>
      </c>
      <c r="D90">
        <v>1</v>
      </c>
      <c r="E90">
        <v>2</v>
      </c>
      <c r="F90">
        <v>3</v>
      </c>
      <c r="G90">
        <v>4</v>
      </c>
      <c r="H90">
        <v>5</v>
      </c>
      <c r="I90">
        <v>6</v>
      </c>
      <c r="J90">
        <v>7</v>
      </c>
      <c r="K90">
        <v>8</v>
      </c>
      <c r="L90">
        <v>9</v>
      </c>
      <c r="M90">
        <v>10</v>
      </c>
      <c r="N90">
        <v>11</v>
      </c>
      <c r="O90">
        <v>12</v>
      </c>
      <c r="P90">
        <v>13</v>
      </c>
      <c r="Q90">
        <v>14</v>
      </c>
      <c r="R90">
        <v>15</v>
      </c>
      <c r="S90">
        <v>16</v>
      </c>
      <c r="T90">
        <v>17</v>
      </c>
      <c r="U90">
        <v>18</v>
      </c>
      <c r="V90">
        <v>19</v>
      </c>
      <c r="W90">
        <v>20</v>
      </c>
    </row>
    <row r="91" spans="1:23">
      <c r="A91" s="22" t="s">
        <v>5</v>
      </c>
      <c r="B91">
        <v>10</v>
      </c>
      <c r="C91">
        <v>3</v>
      </c>
      <c r="D91">
        <f>NORMDIST(D$90,$B91,$C91,)</f>
        <v>1.4772828039793357E-3</v>
      </c>
      <c r="E91">
        <f t="shared" ref="E91:W101" si="16">NORMDIST(E$90,$B91,$C91,)</f>
        <v>3.798662007932481E-3</v>
      </c>
      <c r="F91">
        <f t="shared" si="16"/>
        <v>8.7406296979031604E-3</v>
      </c>
      <c r="G91">
        <f t="shared" si="16"/>
        <v>1.7996988837729353E-2</v>
      </c>
      <c r="H91">
        <f t="shared" si="16"/>
        <v>3.3159046264249557E-2</v>
      </c>
      <c r="I91">
        <f t="shared" si="16"/>
        <v>5.4670024891997876E-2</v>
      </c>
      <c r="J91">
        <f t="shared" si="16"/>
        <v>8.0656908173047798E-2</v>
      </c>
      <c r="K91">
        <f t="shared" si="16"/>
        <v>0.10648266850745074</v>
      </c>
      <c r="L91">
        <f t="shared" si="16"/>
        <v>0.12579440923099772</v>
      </c>
      <c r="M91">
        <f t="shared" si="16"/>
        <v>0.13298076013381088</v>
      </c>
      <c r="N91">
        <f t="shared" si="16"/>
        <v>0.12579440923099772</v>
      </c>
      <c r="O91">
        <f t="shared" si="16"/>
        <v>0.10648266850745074</v>
      </c>
      <c r="P91">
        <f t="shared" si="16"/>
        <v>8.0656908173047798E-2</v>
      </c>
      <c r="Q91">
        <f t="shared" si="16"/>
        <v>5.4670024891997876E-2</v>
      </c>
      <c r="R91">
        <f t="shared" si="16"/>
        <v>3.3159046264249557E-2</v>
      </c>
      <c r="S91">
        <f t="shared" si="16"/>
        <v>1.7996988837729353E-2</v>
      </c>
      <c r="T91">
        <f t="shared" si="16"/>
        <v>8.7406296979031604E-3</v>
      </c>
      <c r="U91">
        <f t="shared" si="16"/>
        <v>3.798662007932481E-3</v>
      </c>
      <c r="V91">
        <f t="shared" si="16"/>
        <v>1.4772828039793357E-3</v>
      </c>
      <c r="W91">
        <f t="shared" si="16"/>
        <v>5.140929987637018E-4</v>
      </c>
    </row>
    <row r="92" spans="1:23">
      <c r="A92" s="22" t="s">
        <v>6</v>
      </c>
      <c r="B92">
        <v>10</v>
      </c>
      <c r="C92">
        <v>3</v>
      </c>
      <c r="D92">
        <f t="shared" ref="D92:D101" si="17">NORMDIST(D$90,$B92,$C92,)</f>
        <v>1.4772828039793357E-3</v>
      </c>
      <c r="E92">
        <f t="shared" si="16"/>
        <v>3.798662007932481E-3</v>
      </c>
      <c r="F92">
        <f t="shared" si="16"/>
        <v>8.7406296979031604E-3</v>
      </c>
      <c r="G92">
        <f t="shared" si="16"/>
        <v>1.7996988837729353E-2</v>
      </c>
      <c r="H92">
        <f t="shared" si="16"/>
        <v>3.3159046264249557E-2</v>
      </c>
      <c r="I92">
        <f t="shared" si="16"/>
        <v>5.4670024891997876E-2</v>
      </c>
      <c r="J92">
        <f t="shared" si="16"/>
        <v>8.0656908173047798E-2</v>
      </c>
      <c r="K92">
        <f t="shared" si="16"/>
        <v>0.10648266850745074</v>
      </c>
      <c r="L92">
        <f t="shared" si="16"/>
        <v>0.12579440923099772</v>
      </c>
      <c r="M92">
        <f t="shared" si="16"/>
        <v>0.13298076013381088</v>
      </c>
      <c r="N92">
        <f t="shared" si="16"/>
        <v>0.12579440923099772</v>
      </c>
      <c r="O92">
        <f t="shared" si="16"/>
        <v>0.10648266850745074</v>
      </c>
      <c r="P92">
        <f t="shared" si="16"/>
        <v>8.0656908173047798E-2</v>
      </c>
      <c r="Q92">
        <f t="shared" si="16"/>
        <v>5.4670024891997876E-2</v>
      </c>
      <c r="R92">
        <f t="shared" si="16"/>
        <v>3.3159046264249557E-2</v>
      </c>
      <c r="S92">
        <f t="shared" si="16"/>
        <v>1.7996988837729353E-2</v>
      </c>
      <c r="T92">
        <f t="shared" si="16"/>
        <v>8.7406296979031604E-3</v>
      </c>
      <c r="U92">
        <f t="shared" si="16"/>
        <v>3.798662007932481E-3</v>
      </c>
      <c r="V92">
        <f t="shared" si="16"/>
        <v>1.4772828039793357E-3</v>
      </c>
      <c r="W92">
        <f t="shared" si="16"/>
        <v>5.140929987637018E-4</v>
      </c>
    </row>
    <row r="93" spans="1:23">
      <c r="A93" s="22" t="s">
        <v>7</v>
      </c>
      <c r="B93">
        <v>9</v>
      </c>
      <c r="C93">
        <v>3</v>
      </c>
      <c r="D93">
        <f t="shared" si="17"/>
        <v>3.798662007932481E-3</v>
      </c>
      <c r="E93">
        <f t="shared" si="16"/>
        <v>8.7406296979031604E-3</v>
      </c>
      <c r="F93">
        <f t="shared" si="16"/>
        <v>1.7996988837729353E-2</v>
      </c>
      <c r="G93">
        <f t="shared" si="16"/>
        <v>3.3159046264249557E-2</v>
      </c>
      <c r="H93">
        <f t="shared" si="16"/>
        <v>5.4670024891997876E-2</v>
      </c>
      <c r="I93">
        <f t="shared" si="16"/>
        <v>8.0656908173047798E-2</v>
      </c>
      <c r="J93">
        <f t="shared" si="16"/>
        <v>0.10648266850745074</v>
      </c>
      <c r="K93">
        <f t="shared" si="16"/>
        <v>0.12579440923099772</v>
      </c>
      <c r="L93">
        <f t="shared" si="16"/>
        <v>0.13298076013381088</v>
      </c>
      <c r="M93">
        <f t="shared" si="16"/>
        <v>0.12579440923099772</v>
      </c>
      <c r="N93">
        <f t="shared" si="16"/>
        <v>0.10648266850745074</v>
      </c>
      <c r="O93">
        <f t="shared" si="16"/>
        <v>8.0656908173047798E-2</v>
      </c>
      <c r="P93">
        <f t="shared" si="16"/>
        <v>5.4670024891997876E-2</v>
      </c>
      <c r="Q93">
        <f t="shared" si="16"/>
        <v>3.3159046264249557E-2</v>
      </c>
      <c r="R93">
        <f t="shared" si="16"/>
        <v>1.7996988837729353E-2</v>
      </c>
      <c r="S93">
        <f t="shared" si="16"/>
        <v>8.7406296979031604E-3</v>
      </c>
      <c r="T93">
        <f t="shared" si="16"/>
        <v>3.798662007932481E-3</v>
      </c>
      <c r="U93">
        <f t="shared" si="16"/>
        <v>1.4772828039793357E-3</v>
      </c>
      <c r="V93">
        <f t="shared" si="16"/>
        <v>5.140929987637018E-4</v>
      </c>
      <c r="W93">
        <f t="shared" si="16"/>
        <v>1.6009021720694023E-4</v>
      </c>
    </row>
    <row r="94" spans="1:23">
      <c r="A94" s="22" t="s">
        <v>8</v>
      </c>
      <c r="B94">
        <v>9</v>
      </c>
      <c r="C94">
        <v>3</v>
      </c>
      <c r="D94">
        <f t="shared" si="17"/>
        <v>3.798662007932481E-3</v>
      </c>
      <c r="E94">
        <f t="shared" si="16"/>
        <v>8.7406296979031604E-3</v>
      </c>
      <c r="F94">
        <f t="shared" si="16"/>
        <v>1.7996988837729353E-2</v>
      </c>
      <c r="G94">
        <f t="shared" si="16"/>
        <v>3.3159046264249557E-2</v>
      </c>
      <c r="H94">
        <f t="shared" si="16"/>
        <v>5.4670024891997876E-2</v>
      </c>
      <c r="I94">
        <f t="shared" si="16"/>
        <v>8.0656908173047798E-2</v>
      </c>
      <c r="J94">
        <f t="shared" si="16"/>
        <v>0.10648266850745074</v>
      </c>
      <c r="K94">
        <f t="shared" si="16"/>
        <v>0.12579440923099772</v>
      </c>
      <c r="L94">
        <f t="shared" si="16"/>
        <v>0.13298076013381088</v>
      </c>
      <c r="M94">
        <f t="shared" si="16"/>
        <v>0.12579440923099772</v>
      </c>
      <c r="N94">
        <f t="shared" si="16"/>
        <v>0.10648266850745074</v>
      </c>
      <c r="O94">
        <f t="shared" si="16"/>
        <v>8.0656908173047798E-2</v>
      </c>
      <c r="P94">
        <f t="shared" si="16"/>
        <v>5.4670024891997876E-2</v>
      </c>
      <c r="Q94">
        <f t="shared" si="16"/>
        <v>3.3159046264249557E-2</v>
      </c>
      <c r="R94">
        <f t="shared" si="16"/>
        <v>1.7996988837729353E-2</v>
      </c>
      <c r="S94">
        <f t="shared" si="16"/>
        <v>8.7406296979031604E-3</v>
      </c>
      <c r="T94">
        <f t="shared" si="16"/>
        <v>3.798662007932481E-3</v>
      </c>
      <c r="U94">
        <f t="shared" si="16"/>
        <v>1.4772828039793357E-3</v>
      </c>
      <c r="V94">
        <f t="shared" si="16"/>
        <v>5.140929987637018E-4</v>
      </c>
      <c r="W94">
        <f t="shared" si="16"/>
        <v>1.6009021720694023E-4</v>
      </c>
    </row>
    <row r="95" spans="1:23">
      <c r="A95" s="22" t="s">
        <v>9</v>
      </c>
      <c r="B95">
        <v>8</v>
      </c>
      <c r="C95">
        <v>3</v>
      </c>
      <c r="D95">
        <f t="shared" si="17"/>
        <v>8.7406296979031604E-3</v>
      </c>
      <c r="E95">
        <f t="shared" si="16"/>
        <v>1.7996988837729353E-2</v>
      </c>
      <c r="F95">
        <f t="shared" si="16"/>
        <v>3.3159046264249557E-2</v>
      </c>
      <c r="G95">
        <f t="shared" si="16"/>
        <v>5.4670024891997876E-2</v>
      </c>
      <c r="H95">
        <f t="shared" si="16"/>
        <v>8.0656908173047798E-2</v>
      </c>
      <c r="I95">
        <f t="shared" si="16"/>
        <v>0.10648266850745074</v>
      </c>
      <c r="J95">
        <f t="shared" si="16"/>
        <v>0.12579440923099772</v>
      </c>
      <c r="K95">
        <f t="shared" si="16"/>
        <v>0.13298076013381088</v>
      </c>
      <c r="L95">
        <f t="shared" si="16"/>
        <v>0.12579440923099772</v>
      </c>
      <c r="M95">
        <f t="shared" si="16"/>
        <v>0.10648266850745074</v>
      </c>
      <c r="N95">
        <f t="shared" si="16"/>
        <v>8.0656908173047798E-2</v>
      </c>
      <c r="O95">
        <f t="shared" si="16"/>
        <v>5.4670024891997876E-2</v>
      </c>
      <c r="P95">
        <f t="shared" si="16"/>
        <v>3.3159046264249557E-2</v>
      </c>
      <c r="Q95">
        <f t="shared" si="16"/>
        <v>1.7996988837729353E-2</v>
      </c>
      <c r="R95">
        <f t="shared" si="16"/>
        <v>8.7406296979031604E-3</v>
      </c>
      <c r="S95">
        <f t="shared" si="16"/>
        <v>3.798662007932481E-3</v>
      </c>
      <c r="T95">
        <f t="shared" si="16"/>
        <v>1.4772828039793357E-3</v>
      </c>
      <c r="U95">
        <f t="shared" si="16"/>
        <v>5.140929987637018E-4</v>
      </c>
      <c r="V95">
        <f t="shared" si="16"/>
        <v>1.6009021720694023E-4</v>
      </c>
      <c r="W95">
        <f t="shared" si="16"/>
        <v>4.4610075254961789E-5</v>
      </c>
    </row>
    <row r="96" spans="1:23">
      <c r="A96" s="22" t="s">
        <v>10</v>
      </c>
      <c r="B96">
        <v>8</v>
      </c>
      <c r="C96">
        <v>3</v>
      </c>
      <c r="D96">
        <f t="shared" si="17"/>
        <v>8.7406296979031604E-3</v>
      </c>
      <c r="E96">
        <f t="shared" si="16"/>
        <v>1.7996988837729353E-2</v>
      </c>
      <c r="F96">
        <f t="shared" si="16"/>
        <v>3.3159046264249557E-2</v>
      </c>
      <c r="G96">
        <f t="shared" si="16"/>
        <v>5.4670024891997876E-2</v>
      </c>
      <c r="H96">
        <f t="shared" si="16"/>
        <v>8.0656908173047798E-2</v>
      </c>
      <c r="I96">
        <f t="shared" si="16"/>
        <v>0.10648266850745074</v>
      </c>
      <c r="J96">
        <f t="shared" si="16"/>
        <v>0.12579440923099772</v>
      </c>
      <c r="K96">
        <f t="shared" si="16"/>
        <v>0.13298076013381088</v>
      </c>
      <c r="L96">
        <f t="shared" si="16"/>
        <v>0.12579440923099772</v>
      </c>
      <c r="M96">
        <f t="shared" si="16"/>
        <v>0.10648266850745074</v>
      </c>
      <c r="N96">
        <f t="shared" si="16"/>
        <v>8.0656908173047798E-2</v>
      </c>
      <c r="O96">
        <f t="shared" si="16"/>
        <v>5.4670024891997876E-2</v>
      </c>
      <c r="P96">
        <f t="shared" si="16"/>
        <v>3.3159046264249557E-2</v>
      </c>
      <c r="Q96">
        <f t="shared" si="16"/>
        <v>1.7996988837729353E-2</v>
      </c>
      <c r="R96">
        <f t="shared" si="16"/>
        <v>8.7406296979031604E-3</v>
      </c>
      <c r="S96">
        <f t="shared" si="16"/>
        <v>3.798662007932481E-3</v>
      </c>
      <c r="T96">
        <f t="shared" si="16"/>
        <v>1.4772828039793357E-3</v>
      </c>
      <c r="U96">
        <f t="shared" si="16"/>
        <v>5.140929987637018E-4</v>
      </c>
      <c r="V96">
        <f t="shared" si="16"/>
        <v>1.6009021720694023E-4</v>
      </c>
      <c r="W96">
        <f t="shared" si="16"/>
        <v>4.4610075254961789E-5</v>
      </c>
    </row>
    <row r="97" spans="1:23">
      <c r="A97" s="22" t="s">
        <v>11</v>
      </c>
      <c r="B97">
        <v>7</v>
      </c>
      <c r="C97">
        <v>3</v>
      </c>
      <c r="D97">
        <f t="shared" si="17"/>
        <v>1.7996988837729353E-2</v>
      </c>
      <c r="E97">
        <f t="shared" si="16"/>
        <v>3.3159046264249557E-2</v>
      </c>
      <c r="F97">
        <f t="shared" si="16"/>
        <v>5.4670024891997876E-2</v>
      </c>
      <c r="G97">
        <f t="shared" si="16"/>
        <v>8.0656908173047798E-2</v>
      </c>
      <c r="H97">
        <f t="shared" si="16"/>
        <v>0.10648266850745074</v>
      </c>
      <c r="I97">
        <f t="shared" si="16"/>
        <v>0.12579440923099772</v>
      </c>
      <c r="J97">
        <f t="shared" si="16"/>
        <v>0.13298076013381088</v>
      </c>
      <c r="K97">
        <f t="shared" si="16"/>
        <v>0.12579440923099772</v>
      </c>
      <c r="L97">
        <f t="shared" si="16"/>
        <v>0.10648266850745074</v>
      </c>
      <c r="M97">
        <f t="shared" si="16"/>
        <v>8.0656908173047798E-2</v>
      </c>
      <c r="N97">
        <f t="shared" si="16"/>
        <v>5.4670024891997876E-2</v>
      </c>
      <c r="O97">
        <f t="shared" si="16"/>
        <v>3.3159046264249557E-2</v>
      </c>
      <c r="P97">
        <f t="shared" si="16"/>
        <v>1.7996988837729353E-2</v>
      </c>
      <c r="Q97">
        <f t="shared" si="16"/>
        <v>8.7406296979031604E-3</v>
      </c>
      <c r="R97">
        <f t="shared" si="16"/>
        <v>3.798662007932481E-3</v>
      </c>
      <c r="S97">
        <f t="shared" si="16"/>
        <v>1.4772828039793357E-3</v>
      </c>
      <c r="T97">
        <f t="shared" si="16"/>
        <v>5.140929987637018E-4</v>
      </c>
      <c r="U97">
        <f t="shared" si="16"/>
        <v>1.6009021720694023E-4</v>
      </c>
      <c r="V97">
        <f t="shared" si="16"/>
        <v>4.4610075254961789E-5</v>
      </c>
      <c r="W97">
        <f t="shared" si="16"/>
        <v>1.1123620798546141E-5</v>
      </c>
    </row>
    <row r="98" spans="1:23">
      <c r="A98" s="22" t="s">
        <v>12</v>
      </c>
      <c r="B98">
        <v>7</v>
      </c>
      <c r="C98">
        <v>3</v>
      </c>
      <c r="D98">
        <f t="shared" si="17"/>
        <v>1.7996988837729353E-2</v>
      </c>
      <c r="E98">
        <f t="shared" si="16"/>
        <v>3.3159046264249557E-2</v>
      </c>
      <c r="F98">
        <f t="shared" si="16"/>
        <v>5.4670024891997876E-2</v>
      </c>
      <c r="G98">
        <f t="shared" si="16"/>
        <v>8.0656908173047798E-2</v>
      </c>
      <c r="H98">
        <f t="shared" si="16"/>
        <v>0.10648266850745074</v>
      </c>
      <c r="I98">
        <f t="shared" si="16"/>
        <v>0.12579440923099772</v>
      </c>
      <c r="J98">
        <f t="shared" si="16"/>
        <v>0.13298076013381088</v>
      </c>
      <c r="K98">
        <f t="shared" si="16"/>
        <v>0.12579440923099772</v>
      </c>
      <c r="L98">
        <f t="shared" si="16"/>
        <v>0.10648266850745074</v>
      </c>
      <c r="M98">
        <f t="shared" si="16"/>
        <v>8.0656908173047798E-2</v>
      </c>
      <c r="N98">
        <f t="shared" si="16"/>
        <v>5.4670024891997876E-2</v>
      </c>
      <c r="O98">
        <f t="shared" si="16"/>
        <v>3.3159046264249557E-2</v>
      </c>
      <c r="P98">
        <f t="shared" si="16"/>
        <v>1.7996988837729353E-2</v>
      </c>
      <c r="Q98">
        <f t="shared" si="16"/>
        <v>8.7406296979031604E-3</v>
      </c>
      <c r="R98">
        <f t="shared" si="16"/>
        <v>3.798662007932481E-3</v>
      </c>
      <c r="S98">
        <f t="shared" si="16"/>
        <v>1.4772828039793357E-3</v>
      </c>
      <c r="T98">
        <f t="shared" si="16"/>
        <v>5.140929987637018E-4</v>
      </c>
      <c r="U98">
        <f t="shared" si="16"/>
        <v>1.6009021720694023E-4</v>
      </c>
      <c r="V98">
        <f t="shared" si="16"/>
        <v>4.4610075254961789E-5</v>
      </c>
      <c r="W98">
        <f t="shared" si="16"/>
        <v>1.1123620798546141E-5</v>
      </c>
    </row>
    <row r="99" spans="1:23">
      <c r="A99" s="22" t="s">
        <v>13</v>
      </c>
      <c r="B99">
        <v>6</v>
      </c>
      <c r="C99">
        <v>2</v>
      </c>
      <c r="D99">
        <f t="shared" si="17"/>
        <v>8.7641502467842702E-3</v>
      </c>
      <c r="E99">
        <f t="shared" si="16"/>
        <v>2.6995483256594031E-2</v>
      </c>
      <c r="F99">
        <f t="shared" si="16"/>
        <v>6.4758797832945872E-2</v>
      </c>
      <c r="G99">
        <f t="shared" si="16"/>
        <v>0.12098536225957168</v>
      </c>
      <c r="H99">
        <f t="shared" si="16"/>
        <v>0.17603266338214976</v>
      </c>
      <c r="I99">
        <f t="shared" si="16"/>
        <v>0.19947114020071635</v>
      </c>
      <c r="J99">
        <f t="shared" si="16"/>
        <v>0.17603266338214976</v>
      </c>
      <c r="K99">
        <f t="shared" si="16"/>
        <v>0.12098536225957168</v>
      </c>
      <c r="L99">
        <f t="shared" si="16"/>
        <v>6.4758797832945872E-2</v>
      </c>
      <c r="M99">
        <f t="shared" si="16"/>
        <v>2.6995483256594031E-2</v>
      </c>
      <c r="N99">
        <f t="shared" si="16"/>
        <v>8.7641502467842702E-3</v>
      </c>
      <c r="O99">
        <f t="shared" si="16"/>
        <v>2.2159242059690038E-3</v>
      </c>
      <c r="P99">
        <f t="shared" si="16"/>
        <v>4.3634134752288008E-4</v>
      </c>
      <c r="Q99">
        <f t="shared" si="16"/>
        <v>6.6915112882442684E-5</v>
      </c>
      <c r="R99">
        <f t="shared" si="16"/>
        <v>7.9918705534527373E-6</v>
      </c>
      <c r="S99">
        <f t="shared" si="16"/>
        <v>7.4335975736714884E-7</v>
      </c>
      <c r="T99">
        <f t="shared" si="16"/>
        <v>5.384880021271638E-8</v>
      </c>
      <c r="U99">
        <f t="shared" si="16"/>
        <v>3.037941424911643E-9</v>
      </c>
      <c r="V99">
        <f t="shared" si="16"/>
        <v>1.334778307381426E-10</v>
      </c>
      <c r="W99">
        <f t="shared" si="16"/>
        <v>4.5673602041822968E-12</v>
      </c>
    </row>
    <row r="100" spans="1:23">
      <c r="A100" s="22" t="s">
        <v>14</v>
      </c>
      <c r="B100">
        <v>6</v>
      </c>
      <c r="C100">
        <v>2</v>
      </c>
      <c r="D100">
        <f t="shared" si="17"/>
        <v>8.7641502467842702E-3</v>
      </c>
      <c r="E100">
        <f t="shared" si="16"/>
        <v>2.6995483256594031E-2</v>
      </c>
      <c r="F100">
        <f t="shared" si="16"/>
        <v>6.4758797832945872E-2</v>
      </c>
      <c r="G100">
        <f t="shared" si="16"/>
        <v>0.12098536225957168</v>
      </c>
      <c r="H100">
        <f t="shared" si="16"/>
        <v>0.17603266338214976</v>
      </c>
      <c r="I100">
        <f t="shared" si="16"/>
        <v>0.19947114020071635</v>
      </c>
      <c r="J100">
        <f t="shared" si="16"/>
        <v>0.17603266338214976</v>
      </c>
      <c r="K100">
        <f t="shared" si="16"/>
        <v>0.12098536225957168</v>
      </c>
      <c r="L100">
        <f t="shared" si="16"/>
        <v>6.4758797832945872E-2</v>
      </c>
      <c r="M100">
        <f t="shared" si="16"/>
        <v>2.6995483256594031E-2</v>
      </c>
      <c r="N100">
        <f t="shared" si="16"/>
        <v>8.7641502467842702E-3</v>
      </c>
      <c r="O100">
        <f t="shared" si="16"/>
        <v>2.2159242059690038E-3</v>
      </c>
      <c r="P100">
        <f t="shared" si="16"/>
        <v>4.3634134752288008E-4</v>
      </c>
      <c r="Q100">
        <f t="shared" si="16"/>
        <v>6.6915112882442684E-5</v>
      </c>
      <c r="R100">
        <f t="shared" si="16"/>
        <v>7.9918705534527373E-6</v>
      </c>
      <c r="S100">
        <f t="shared" si="16"/>
        <v>7.4335975736714884E-7</v>
      </c>
      <c r="T100">
        <f t="shared" si="16"/>
        <v>5.384880021271638E-8</v>
      </c>
      <c r="U100">
        <f t="shared" si="16"/>
        <v>3.037941424911643E-9</v>
      </c>
      <c r="V100">
        <f t="shared" si="16"/>
        <v>1.334778307381426E-10</v>
      </c>
      <c r="W100">
        <f t="shared" si="16"/>
        <v>4.5673602041822968E-12</v>
      </c>
    </row>
    <row r="101" spans="1:23">
      <c r="A101" s="22" t="s">
        <v>15</v>
      </c>
      <c r="B101">
        <v>5</v>
      </c>
      <c r="C101">
        <v>2</v>
      </c>
      <c r="D101">
        <f t="shared" si="17"/>
        <v>2.6995483256594031E-2</v>
      </c>
      <c r="E101">
        <f t="shared" si="16"/>
        <v>6.4758797832945872E-2</v>
      </c>
      <c r="F101">
        <f t="shared" si="16"/>
        <v>0.12098536225957168</v>
      </c>
      <c r="G101">
        <f t="shared" si="16"/>
        <v>0.17603266338214976</v>
      </c>
      <c r="H101">
        <f t="shared" si="16"/>
        <v>0.19947114020071635</v>
      </c>
      <c r="I101">
        <f t="shared" si="16"/>
        <v>0.17603266338214976</v>
      </c>
      <c r="J101">
        <f t="shared" si="16"/>
        <v>0.12098536225957168</v>
      </c>
      <c r="K101">
        <f t="shared" si="16"/>
        <v>6.4758797832945872E-2</v>
      </c>
      <c r="L101">
        <f t="shared" si="16"/>
        <v>2.6995483256594031E-2</v>
      </c>
      <c r="M101">
        <f t="shared" si="16"/>
        <v>8.7641502467842702E-3</v>
      </c>
      <c r="N101">
        <f t="shared" si="16"/>
        <v>2.2159242059690038E-3</v>
      </c>
      <c r="O101">
        <f t="shared" si="16"/>
        <v>4.3634134752288008E-4</v>
      </c>
      <c r="P101">
        <f t="shared" si="16"/>
        <v>6.6915112882442684E-5</v>
      </c>
      <c r="Q101">
        <f t="shared" si="16"/>
        <v>7.9918705534527373E-6</v>
      </c>
      <c r="R101">
        <f t="shared" si="16"/>
        <v>7.4335975736714884E-7</v>
      </c>
      <c r="S101">
        <f t="shared" si="16"/>
        <v>5.384880021271638E-8</v>
      </c>
      <c r="T101">
        <f t="shared" si="16"/>
        <v>3.037941424911643E-9</v>
      </c>
      <c r="U101">
        <f t="shared" si="16"/>
        <v>1.334778307381426E-10</v>
      </c>
      <c r="V101">
        <f t="shared" si="16"/>
        <v>4.5673602041822968E-12</v>
      </c>
      <c r="W101">
        <f t="shared" si="16"/>
        <v>1.2171602665145048E-13</v>
      </c>
    </row>
    <row r="102" spans="1:23">
      <c r="A102" s="22"/>
    </row>
    <row r="103" spans="1:23">
      <c r="A103" s="30" t="s">
        <v>136</v>
      </c>
    </row>
    <row r="104" spans="1:23">
      <c r="A104" s="30"/>
    </row>
    <row r="105" spans="1:23">
      <c r="A105" s="22" t="s">
        <v>73</v>
      </c>
    </row>
    <row r="106" spans="1:23">
      <c r="A106" s="22" t="s">
        <v>41</v>
      </c>
      <c r="D106" s="3">
        <v>1</v>
      </c>
      <c r="E106" s="3">
        <v>2</v>
      </c>
      <c r="F106" s="3">
        <v>3</v>
      </c>
      <c r="G106" s="3">
        <v>4</v>
      </c>
      <c r="H106" s="3">
        <v>5</v>
      </c>
      <c r="I106" s="3">
        <v>6</v>
      </c>
      <c r="J106" s="3">
        <v>7</v>
      </c>
      <c r="K106" s="3">
        <v>8</v>
      </c>
      <c r="L106" s="3">
        <v>9</v>
      </c>
      <c r="M106" s="3">
        <v>10</v>
      </c>
      <c r="N106" s="3">
        <v>11</v>
      </c>
      <c r="O106" s="3">
        <v>12</v>
      </c>
      <c r="P106" s="3">
        <v>13</v>
      </c>
      <c r="Q106" s="3">
        <v>14</v>
      </c>
      <c r="R106" s="3">
        <v>15</v>
      </c>
      <c r="S106" s="3">
        <v>16</v>
      </c>
      <c r="T106" s="3">
        <v>17</v>
      </c>
      <c r="U106" s="3">
        <v>18</v>
      </c>
      <c r="V106" s="3">
        <v>19</v>
      </c>
      <c r="W106" s="3">
        <v>20</v>
      </c>
    </row>
    <row r="107" spans="1:23">
      <c r="A107" s="22" t="s">
        <v>5</v>
      </c>
      <c r="D107">
        <f>IF(D52&lt;=4,D52,0)</f>
        <v>0</v>
      </c>
      <c r="E107">
        <f t="shared" ref="E107:W117" si="18">IF(E52&lt;=4,E52,0)</f>
        <v>0</v>
      </c>
      <c r="F107">
        <f t="shared" si="18"/>
        <v>0</v>
      </c>
      <c r="G107">
        <f t="shared" si="18"/>
        <v>0</v>
      </c>
      <c r="H107">
        <f t="shared" si="18"/>
        <v>0</v>
      </c>
      <c r="I107">
        <f t="shared" si="18"/>
        <v>0</v>
      </c>
      <c r="J107">
        <f t="shared" si="18"/>
        <v>0</v>
      </c>
      <c r="K107">
        <f t="shared" si="18"/>
        <v>0</v>
      </c>
      <c r="L107">
        <f t="shared" si="18"/>
        <v>0</v>
      </c>
      <c r="M107">
        <f t="shared" si="18"/>
        <v>0</v>
      </c>
      <c r="N107">
        <f t="shared" si="18"/>
        <v>0</v>
      </c>
      <c r="O107">
        <f t="shared" si="18"/>
        <v>0</v>
      </c>
      <c r="P107">
        <f t="shared" si="18"/>
        <v>0</v>
      </c>
      <c r="Q107">
        <f t="shared" si="18"/>
        <v>0</v>
      </c>
      <c r="R107">
        <f t="shared" si="18"/>
        <v>0</v>
      </c>
      <c r="S107">
        <f t="shared" si="18"/>
        <v>0</v>
      </c>
      <c r="T107">
        <f t="shared" si="18"/>
        <v>0</v>
      </c>
      <c r="U107">
        <f t="shared" si="18"/>
        <v>0</v>
      </c>
      <c r="V107">
        <f t="shared" si="18"/>
        <v>0</v>
      </c>
      <c r="W107">
        <f t="shared" si="18"/>
        <v>0</v>
      </c>
    </row>
    <row r="108" spans="1:23">
      <c r="A108" s="22" t="s">
        <v>6</v>
      </c>
      <c r="D108">
        <f t="shared" ref="D108:S117" si="19">IF(D53&lt;=4,D53,0)</f>
        <v>0</v>
      </c>
      <c r="E108">
        <f t="shared" si="19"/>
        <v>0</v>
      </c>
      <c r="F108">
        <f t="shared" si="19"/>
        <v>0</v>
      </c>
      <c r="G108">
        <f t="shared" si="19"/>
        <v>0</v>
      </c>
      <c r="H108">
        <f t="shared" si="19"/>
        <v>0</v>
      </c>
      <c r="I108">
        <f t="shared" si="19"/>
        <v>0</v>
      </c>
      <c r="J108">
        <f t="shared" si="19"/>
        <v>0</v>
      </c>
      <c r="K108">
        <f t="shared" si="19"/>
        <v>0</v>
      </c>
      <c r="L108">
        <f t="shared" si="19"/>
        <v>0</v>
      </c>
      <c r="M108">
        <f t="shared" si="19"/>
        <v>0</v>
      </c>
      <c r="N108">
        <f t="shared" si="19"/>
        <v>0</v>
      </c>
      <c r="O108">
        <f t="shared" si="19"/>
        <v>0</v>
      </c>
      <c r="P108">
        <f t="shared" si="19"/>
        <v>0</v>
      </c>
      <c r="Q108">
        <f t="shared" si="19"/>
        <v>0</v>
      </c>
      <c r="R108">
        <f t="shared" si="19"/>
        <v>0</v>
      </c>
      <c r="S108">
        <f t="shared" si="19"/>
        <v>0</v>
      </c>
      <c r="T108">
        <f t="shared" si="18"/>
        <v>0</v>
      </c>
      <c r="U108">
        <f t="shared" si="18"/>
        <v>0</v>
      </c>
      <c r="V108">
        <f t="shared" si="18"/>
        <v>0</v>
      </c>
      <c r="W108">
        <f t="shared" si="18"/>
        <v>0</v>
      </c>
    </row>
    <row r="109" spans="1:23">
      <c r="A109" s="22" t="s">
        <v>7</v>
      </c>
      <c r="D109">
        <f t="shared" si="19"/>
        <v>0</v>
      </c>
      <c r="E109">
        <f t="shared" si="18"/>
        <v>0</v>
      </c>
      <c r="F109">
        <f t="shared" si="18"/>
        <v>0</v>
      </c>
      <c r="G109">
        <f t="shared" si="18"/>
        <v>0</v>
      </c>
      <c r="H109">
        <f t="shared" si="18"/>
        <v>0</v>
      </c>
      <c r="I109">
        <f t="shared" si="18"/>
        <v>0</v>
      </c>
      <c r="J109">
        <f t="shared" si="18"/>
        <v>0</v>
      </c>
      <c r="K109">
        <f t="shared" si="18"/>
        <v>0</v>
      </c>
      <c r="L109">
        <f t="shared" si="18"/>
        <v>0</v>
      </c>
      <c r="M109">
        <f t="shared" si="18"/>
        <v>0</v>
      </c>
      <c r="N109">
        <f t="shared" si="18"/>
        <v>0</v>
      </c>
      <c r="O109">
        <f t="shared" si="18"/>
        <v>0</v>
      </c>
      <c r="P109">
        <f t="shared" si="18"/>
        <v>0</v>
      </c>
      <c r="Q109">
        <f t="shared" si="18"/>
        <v>0</v>
      </c>
      <c r="R109">
        <f t="shared" si="18"/>
        <v>0</v>
      </c>
      <c r="S109">
        <f t="shared" si="18"/>
        <v>0</v>
      </c>
      <c r="T109">
        <f t="shared" si="18"/>
        <v>1</v>
      </c>
      <c r="U109">
        <f t="shared" si="18"/>
        <v>1</v>
      </c>
      <c r="V109">
        <f t="shared" si="18"/>
        <v>1</v>
      </c>
      <c r="W109">
        <f t="shared" si="18"/>
        <v>1</v>
      </c>
    </row>
    <row r="110" spans="1:23">
      <c r="A110" s="22" t="s">
        <v>8</v>
      </c>
      <c r="D110">
        <f t="shared" si="19"/>
        <v>0</v>
      </c>
      <c r="E110">
        <f t="shared" si="18"/>
        <v>0</v>
      </c>
      <c r="F110">
        <f t="shared" si="18"/>
        <v>0</v>
      </c>
      <c r="G110">
        <f t="shared" si="18"/>
        <v>0</v>
      </c>
      <c r="H110">
        <f t="shared" si="18"/>
        <v>0</v>
      </c>
      <c r="I110">
        <f t="shared" si="18"/>
        <v>0</v>
      </c>
      <c r="J110">
        <f t="shared" si="18"/>
        <v>0</v>
      </c>
      <c r="K110">
        <f t="shared" si="18"/>
        <v>0</v>
      </c>
      <c r="L110">
        <f t="shared" si="18"/>
        <v>0</v>
      </c>
      <c r="M110">
        <f t="shared" si="18"/>
        <v>0</v>
      </c>
      <c r="N110">
        <f t="shared" si="18"/>
        <v>0</v>
      </c>
      <c r="O110">
        <f t="shared" si="18"/>
        <v>1</v>
      </c>
      <c r="P110">
        <f t="shared" si="18"/>
        <v>1</v>
      </c>
      <c r="Q110">
        <f t="shared" si="18"/>
        <v>1</v>
      </c>
      <c r="R110">
        <f t="shared" si="18"/>
        <v>1</v>
      </c>
      <c r="S110">
        <f t="shared" si="18"/>
        <v>1</v>
      </c>
      <c r="T110">
        <f t="shared" si="18"/>
        <v>1</v>
      </c>
      <c r="U110">
        <f t="shared" si="18"/>
        <v>1</v>
      </c>
      <c r="V110">
        <f t="shared" si="18"/>
        <v>1</v>
      </c>
      <c r="W110">
        <f t="shared" si="18"/>
        <v>1</v>
      </c>
    </row>
    <row r="111" spans="1:23">
      <c r="A111" s="22" t="s">
        <v>9</v>
      </c>
      <c r="D111">
        <f t="shared" si="19"/>
        <v>0</v>
      </c>
      <c r="E111">
        <f t="shared" si="18"/>
        <v>0</v>
      </c>
      <c r="F111">
        <f t="shared" si="18"/>
        <v>0</v>
      </c>
      <c r="G111">
        <f t="shared" si="18"/>
        <v>0</v>
      </c>
      <c r="H111">
        <f t="shared" si="18"/>
        <v>0</v>
      </c>
      <c r="I111">
        <f t="shared" si="18"/>
        <v>0</v>
      </c>
      <c r="J111">
        <f t="shared" si="18"/>
        <v>0</v>
      </c>
      <c r="K111">
        <f t="shared" si="18"/>
        <v>1</v>
      </c>
      <c r="L111">
        <f t="shared" si="18"/>
        <v>1</v>
      </c>
      <c r="M111">
        <f t="shared" si="18"/>
        <v>1</v>
      </c>
      <c r="N111">
        <f t="shared" si="18"/>
        <v>1</v>
      </c>
      <c r="O111">
        <f t="shared" si="18"/>
        <v>1</v>
      </c>
      <c r="P111">
        <f t="shared" si="18"/>
        <v>1</v>
      </c>
      <c r="Q111">
        <f t="shared" si="18"/>
        <v>1</v>
      </c>
      <c r="R111">
        <f t="shared" si="18"/>
        <v>1</v>
      </c>
      <c r="S111">
        <f t="shared" si="18"/>
        <v>1</v>
      </c>
      <c r="T111">
        <f t="shared" si="18"/>
        <v>1</v>
      </c>
      <c r="U111">
        <f t="shared" si="18"/>
        <v>2</v>
      </c>
      <c r="V111">
        <f t="shared" si="18"/>
        <v>2</v>
      </c>
      <c r="W111">
        <f t="shared" si="18"/>
        <v>2</v>
      </c>
    </row>
    <row r="112" spans="1:23">
      <c r="A112" s="22" t="s">
        <v>10</v>
      </c>
      <c r="D112">
        <f t="shared" si="19"/>
        <v>0</v>
      </c>
      <c r="E112">
        <f t="shared" si="18"/>
        <v>0</v>
      </c>
      <c r="F112">
        <f t="shared" si="18"/>
        <v>0</v>
      </c>
      <c r="G112">
        <f t="shared" si="18"/>
        <v>0</v>
      </c>
      <c r="H112">
        <f t="shared" si="18"/>
        <v>0</v>
      </c>
      <c r="I112">
        <f t="shared" si="18"/>
        <v>1</v>
      </c>
      <c r="J112">
        <f t="shared" si="18"/>
        <v>1</v>
      </c>
      <c r="K112">
        <f t="shared" si="18"/>
        <v>1</v>
      </c>
      <c r="L112">
        <f t="shared" si="18"/>
        <v>1</v>
      </c>
      <c r="M112">
        <f t="shared" si="18"/>
        <v>1</v>
      </c>
      <c r="N112">
        <f t="shared" si="18"/>
        <v>2</v>
      </c>
      <c r="O112">
        <f t="shared" si="18"/>
        <v>2</v>
      </c>
      <c r="P112">
        <f t="shared" si="18"/>
        <v>2</v>
      </c>
      <c r="Q112">
        <f t="shared" si="18"/>
        <v>2</v>
      </c>
      <c r="R112">
        <f t="shared" si="18"/>
        <v>2</v>
      </c>
      <c r="S112">
        <f t="shared" si="18"/>
        <v>3</v>
      </c>
      <c r="T112">
        <f t="shared" si="18"/>
        <v>3</v>
      </c>
      <c r="U112">
        <f t="shared" si="18"/>
        <v>3</v>
      </c>
      <c r="V112">
        <f t="shared" si="18"/>
        <v>3</v>
      </c>
      <c r="W112">
        <f t="shared" si="18"/>
        <v>3</v>
      </c>
    </row>
    <row r="113" spans="1:23">
      <c r="A113" s="22" t="s">
        <v>11</v>
      </c>
      <c r="D113">
        <f t="shared" si="19"/>
        <v>0</v>
      </c>
      <c r="E113">
        <f t="shared" si="18"/>
        <v>0</v>
      </c>
      <c r="F113">
        <f t="shared" si="18"/>
        <v>0</v>
      </c>
      <c r="G113">
        <f t="shared" si="18"/>
        <v>0</v>
      </c>
      <c r="H113">
        <f t="shared" si="18"/>
        <v>1</v>
      </c>
      <c r="I113">
        <f t="shared" si="18"/>
        <v>1</v>
      </c>
      <c r="J113">
        <f t="shared" si="18"/>
        <v>1</v>
      </c>
      <c r="K113">
        <f t="shared" si="18"/>
        <v>2</v>
      </c>
      <c r="L113">
        <f t="shared" si="18"/>
        <v>2</v>
      </c>
      <c r="M113">
        <f t="shared" si="18"/>
        <v>2</v>
      </c>
      <c r="N113">
        <f t="shared" si="18"/>
        <v>2</v>
      </c>
      <c r="O113">
        <f t="shared" si="18"/>
        <v>3</v>
      </c>
      <c r="P113">
        <f t="shared" si="18"/>
        <v>3</v>
      </c>
      <c r="Q113">
        <f t="shared" si="18"/>
        <v>3</v>
      </c>
      <c r="R113">
        <f t="shared" si="18"/>
        <v>4</v>
      </c>
      <c r="S113">
        <f t="shared" si="18"/>
        <v>4</v>
      </c>
      <c r="T113">
        <f t="shared" si="18"/>
        <v>4</v>
      </c>
      <c r="U113">
        <f t="shared" si="18"/>
        <v>4</v>
      </c>
      <c r="V113">
        <f t="shared" si="18"/>
        <v>0</v>
      </c>
      <c r="W113">
        <f t="shared" si="18"/>
        <v>0</v>
      </c>
    </row>
    <row r="114" spans="1:23">
      <c r="A114" s="22" t="s">
        <v>12</v>
      </c>
      <c r="D114">
        <f t="shared" si="19"/>
        <v>0</v>
      </c>
      <c r="E114">
        <f t="shared" si="18"/>
        <v>0</v>
      </c>
      <c r="F114">
        <f t="shared" si="18"/>
        <v>0</v>
      </c>
      <c r="G114">
        <f t="shared" si="18"/>
        <v>0</v>
      </c>
      <c r="H114">
        <f t="shared" si="18"/>
        <v>1</v>
      </c>
      <c r="I114">
        <f t="shared" si="18"/>
        <v>1</v>
      </c>
      <c r="J114">
        <f t="shared" si="18"/>
        <v>1</v>
      </c>
      <c r="K114">
        <f t="shared" si="18"/>
        <v>2</v>
      </c>
      <c r="L114">
        <f t="shared" si="18"/>
        <v>2</v>
      </c>
      <c r="M114">
        <f t="shared" si="18"/>
        <v>3</v>
      </c>
      <c r="N114">
        <f t="shared" si="18"/>
        <v>3</v>
      </c>
      <c r="O114">
        <f t="shared" si="18"/>
        <v>3</v>
      </c>
      <c r="P114">
        <f t="shared" si="18"/>
        <v>4</v>
      </c>
      <c r="Q114">
        <f t="shared" si="18"/>
        <v>4</v>
      </c>
      <c r="R114">
        <f t="shared" si="18"/>
        <v>4</v>
      </c>
      <c r="S114">
        <f t="shared" si="18"/>
        <v>0</v>
      </c>
      <c r="T114">
        <f t="shared" si="18"/>
        <v>0</v>
      </c>
      <c r="U114">
        <f t="shared" si="18"/>
        <v>0</v>
      </c>
      <c r="V114">
        <f t="shared" si="18"/>
        <v>0</v>
      </c>
      <c r="W114">
        <f t="shared" si="18"/>
        <v>0</v>
      </c>
    </row>
    <row r="115" spans="1:23">
      <c r="A115" s="22" t="s">
        <v>13</v>
      </c>
      <c r="D115">
        <f t="shared" si="19"/>
        <v>0</v>
      </c>
      <c r="E115">
        <f t="shared" si="18"/>
        <v>0</v>
      </c>
      <c r="F115">
        <f t="shared" si="18"/>
        <v>0</v>
      </c>
      <c r="G115">
        <f t="shared" si="18"/>
        <v>0</v>
      </c>
      <c r="H115">
        <f t="shared" si="18"/>
        <v>1</v>
      </c>
      <c r="I115">
        <f t="shared" si="18"/>
        <v>1</v>
      </c>
      <c r="J115">
        <f t="shared" si="18"/>
        <v>1</v>
      </c>
      <c r="K115">
        <f t="shared" si="18"/>
        <v>2</v>
      </c>
      <c r="L115">
        <f t="shared" si="18"/>
        <v>2</v>
      </c>
      <c r="M115">
        <f t="shared" si="18"/>
        <v>2</v>
      </c>
      <c r="N115">
        <f t="shared" si="18"/>
        <v>3</v>
      </c>
      <c r="O115">
        <f t="shared" si="18"/>
        <v>3</v>
      </c>
      <c r="P115">
        <f t="shared" si="18"/>
        <v>3</v>
      </c>
      <c r="Q115">
        <f t="shared" si="18"/>
        <v>3</v>
      </c>
      <c r="R115">
        <f t="shared" si="18"/>
        <v>4</v>
      </c>
      <c r="S115">
        <f t="shared" si="18"/>
        <v>4</v>
      </c>
      <c r="T115">
        <f t="shared" si="18"/>
        <v>4</v>
      </c>
      <c r="U115">
        <f t="shared" si="18"/>
        <v>0</v>
      </c>
      <c r="V115">
        <f t="shared" si="18"/>
        <v>0</v>
      </c>
      <c r="W115">
        <f t="shared" si="18"/>
        <v>0</v>
      </c>
    </row>
    <row r="116" spans="1:23">
      <c r="A116" s="22" t="s">
        <v>14</v>
      </c>
      <c r="D116">
        <f t="shared" si="19"/>
        <v>0</v>
      </c>
      <c r="E116">
        <f t="shared" si="18"/>
        <v>0</v>
      </c>
      <c r="F116">
        <f t="shared" si="18"/>
        <v>0</v>
      </c>
      <c r="G116">
        <f t="shared" si="18"/>
        <v>0</v>
      </c>
      <c r="H116">
        <f t="shared" si="18"/>
        <v>1</v>
      </c>
      <c r="I116">
        <f t="shared" si="18"/>
        <v>1</v>
      </c>
      <c r="J116">
        <f t="shared" si="18"/>
        <v>1</v>
      </c>
      <c r="K116">
        <f t="shared" si="18"/>
        <v>2</v>
      </c>
      <c r="L116">
        <f t="shared" si="18"/>
        <v>2</v>
      </c>
      <c r="M116">
        <f t="shared" si="18"/>
        <v>2</v>
      </c>
      <c r="N116">
        <f t="shared" si="18"/>
        <v>3</v>
      </c>
      <c r="O116">
        <f t="shared" si="18"/>
        <v>3</v>
      </c>
      <c r="P116">
        <f t="shared" si="18"/>
        <v>3</v>
      </c>
      <c r="Q116">
        <f t="shared" si="18"/>
        <v>4</v>
      </c>
      <c r="R116">
        <f t="shared" si="18"/>
        <v>4</v>
      </c>
      <c r="S116">
        <f t="shared" si="18"/>
        <v>4</v>
      </c>
      <c r="T116">
        <f t="shared" si="18"/>
        <v>0</v>
      </c>
      <c r="U116">
        <f t="shared" si="18"/>
        <v>0</v>
      </c>
      <c r="V116">
        <f t="shared" si="18"/>
        <v>0</v>
      </c>
      <c r="W116">
        <f t="shared" si="18"/>
        <v>0</v>
      </c>
    </row>
    <row r="117" spans="1:23">
      <c r="A117" s="22" t="s">
        <v>15</v>
      </c>
      <c r="D117">
        <f t="shared" si="19"/>
        <v>0</v>
      </c>
      <c r="E117">
        <f t="shared" si="18"/>
        <v>0</v>
      </c>
      <c r="F117">
        <f t="shared" si="18"/>
        <v>0</v>
      </c>
      <c r="G117">
        <f t="shared" si="18"/>
        <v>0</v>
      </c>
      <c r="H117">
        <f t="shared" si="18"/>
        <v>0</v>
      </c>
      <c r="I117">
        <f t="shared" si="18"/>
        <v>0</v>
      </c>
      <c r="J117">
        <f t="shared" si="18"/>
        <v>0</v>
      </c>
      <c r="K117">
        <f t="shared" si="18"/>
        <v>0</v>
      </c>
      <c r="L117">
        <f t="shared" si="18"/>
        <v>0</v>
      </c>
      <c r="M117">
        <f t="shared" si="18"/>
        <v>1</v>
      </c>
      <c r="N117">
        <f t="shared" si="18"/>
        <v>1</v>
      </c>
      <c r="O117">
        <f t="shared" si="18"/>
        <v>1</v>
      </c>
      <c r="P117">
        <f t="shared" si="18"/>
        <v>1</v>
      </c>
      <c r="Q117">
        <f t="shared" si="18"/>
        <v>1</v>
      </c>
      <c r="R117">
        <f t="shared" si="18"/>
        <v>1</v>
      </c>
      <c r="S117">
        <f t="shared" si="18"/>
        <v>1</v>
      </c>
      <c r="T117">
        <f t="shared" si="18"/>
        <v>1</v>
      </c>
      <c r="U117">
        <f t="shared" si="18"/>
        <v>1</v>
      </c>
      <c r="V117">
        <f t="shared" si="18"/>
        <v>1</v>
      </c>
      <c r="W117">
        <f t="shared" si="18"/>
        <v>1</v>
      </c>
    </row>
    <row r="119" spans="1:23">
      <c r="A119" s="22" t="s">
        <v>76</v>
      </c>
      <c r="B119" t="s">
        <v>86</v>
      </c>
      <c r="C119" t="s">
        <v>72</v>
      </c>
      <c r="D119" s="3">
        <v>1</v>
      </c>
      <c r="E119" s="3">
        <v>2</v>
      </c>
      <c r="F119" s="3">
        <v>3</v>
      </c>
      <c r="G119" s="3">
        <v>4</v>
      </c>
      <c r="H119" s="3">
        <v>5</v>
      </c>
      <c r="I119" s="3">
        <v>6</v>
      </c>
      <c r="J119" s="3">
        <v>7</v>
      </c>
      <c r="K119" s="3">
        <v>8</v>
      </c>
      <c r="L119" s="3">
        <v>9</v>
      </c>
      <c r="M119" s="3">
        <v>10</v>
      </c>
      <c r="N119" s="3">
        <v>11</v>
      </c>
      <c r="O119" s="3">
        <v>12</v>
      </c>
      <c r="P119" s="3">
        <v>13</v>
      </c>
      <c r="Q119" s="3">
        <v>14</v>
      </c>
      <c r="R119" s="3">
        <v>15</v>
      </c>
      <c r="S119" s="3">
        <v>16</v>
      </c>
      <c r="T119" s="3">
        <v>17</v>
      </c>
      <c r="U119" s="3">
        <v>18</v>
      </c>
      <c r="V119" s="3">
        <v>19</v>
      </c>
      <c r="W119" s="3">
        <v>20</v>
      </c>
    </row>
    <row r="120" spans="1:23">
      <c r="A120" s="22" t="s">
        <v>5</v>
      </c>
      <c r="B120">
        <v>10</v>
      </c>
      <c r="C120">
        <v>3</v>
      </c>
      <c r="D120">
        <f t="shared" ref="D120:M120" ca="1" si="20">IF($B120&lt;D119,OFFSET(D120,-13,-$B120),0)</f>
        <v>0</v>
      </c>
      <c r="E120">
        <f t="shared" ca="1" si="20"/>
        <v>0</v>
      </c>
      <c r="F120">
        <f t="shared" ca="1" si="20"/>
        <v>0</v>
      </c>
      <c r="G120">
        <f t="shared" ca="1" si="20"/>
        <v>0</v>
      </c>
      <c r="H120">
        <f t="shared" ca="1" si="20"/>
        <v>0</v>
      </c>
      <c r="I120">
        <f t="shared" ca="1" si="20"/>
        <v>0</v>
      </c>
      <c r="J120">
        <f t="shared" ca="1" si="20"/>
        <v>0</v>
      </c>
      <c r="K120">
        <f t="shared" ca="1" si="20"/>
        <v>0</v>
      </c>
      <c r="L120">
        <f t="shared" ca="1" si="20"/>
        <v>0</v>
      </c>
      <c r="M120">
        <f t="shared" ca="1" si="20"/>
        <v>0</v>
      </c>
      <c r="N120">
        <f ca="1">IF($B120&lt;N119,OFFSET(N120,-13,-$B120),0)</f>
        <v>0</v>
      </c>
      <c r="O120">
        <f t="shared" ref="O120:W120" ca="1" si="21">IF($B120&lt;O119,OFFSET(O120,-13,-$B120),0)</f>
        <v>0</v>
      </c>
      <c r="P120">
        <f t="shared" ca="1" si="21"/>
        <v>0</v>
      </c>
      <c r="Q120">
        <f t="shared" ca="1" si="21"/>
        <v>0</v>
      </c>
      <c r="R120">
        <f t="shared" ca="1" si="21"/>
        <v>0</v>
      </c>
      <c r="S120">
        <f t="shared" ca="1" si="21"/>
        <v>0</v>
      </c>
      <c r="T120">
        <f t="shared" ca="1" si="21"/>
        <v>0</v>
      </c>
      <c r="U120">
        <f t="shared" ca="1" si="21"/>
        <v>0</v>
      </c>
      <c r="V120">
        <f t="shared" ca="1" si="21"/>
        <v>0</v>
      </c>
      <c r="W120">
        <f t="shared" ca="1" si="21"/>
        <v>0</v>
      </c>
    </row>
    <row r="121" spans="1:23">
      <c r="A121" s="22" t="s">
        <v>6</v>
      </c>
      <c r="B121">
        <v>10</v>
      </c>
      <c r="C121">
        <v>3</v>
      </c>
      <c r="D121">
        <f t="shared" ref="D121:M121" ca="1" si="22">IF($B121&lt;D119,OFFSET(D121,-13,-$B121),0)</f>
        <v>0</v>
      </c>
      <c r="E121">
        <f t="shared" ca="1" si="22"/>
        <v>0</v>
      </c>
      <c r="F121">
        <f t="shared" ca="1" si="22"/>
        <v>0</v>
      </c>
      <c r="G121">
        <f t="shared" ca="1" si="22"/>
        <v>0</v>
      </c>
      <c r="H121">
        <f t="shared" ca="1" si="22"/>
        <v>0</v>
      </c>
      <c r="I121">
        <f t="shared" ca="1" si="22"/>
        <v>0</v>
      </c>
      <c r="J121">
        <f t="shared" ca="1" si="22"/>
        <v>0</v>
      </c>
      <c r="K121">
        <f t="shared" ca="1" si="22"/>
        <v>0</v>
      </c>
      <c r="L121">
        <f t="shared" ca="1" si="22"/>
        <v>0</v>
      </c>
      <c r="M121">
        <f t="shared" ca="1" si="22"/>
        <v>0</v>
      </c>
      <c r="N121">
        <f ca="1">IF($B121&lt;N119,OFFSET(N121,-13,-$B121),0)</f>
        <v>0</v>
      </c>
      <c r="O121">
        <f t="shared" ref="O121:W121" ca="1" si="23">IF($B121&lt;O119,OFFSET(O121,-13,-$B121),0)</f>
        <v>0</v>
      </c>
      <c r="P121">
        <f t="shared" ca="1" si="23"/>
        <v>0</v>
      </c>
      <c r="Q121">
        <f t="shared" ca="1" si="23"/>
        <v>0</v>
      </c>
      <c r="R121">
        <f t="shared" ca="1" si="23"/>
        <v>0</v>
      </c>
      <c r="S121">
        <f t="shared" ca="1" si="23"/>
        <v>0</v>
      </c>
      <c r="T121">
        <f t="shared" ca="1" si="23"/>
        <v>0</v>
      </c>
      <c r="U121">
        <f t="shared" ca="1" si="23"/>
        <v>0</v>
      </c>
      <c r="V121">
        <f t="shared" ca="1" si="23"/>
        <v>0</v>
      </c>
      <c r="W121">
        <f t="shared" ca="1" si="23"/>
        <v>0</v>
      </c>
    </row>
    <row r="122" spans="1:23">
      <c r="A122" s="22" t="s">
        <v>7</v>
      </c>
      <c r="B122">
        <v>9</v>
      </c>
      <c r="C122">
        <v>3</v>
      </c>
      <c r="D122">
        <f t="shared" ref="D122:M122" ca="1" si="24">IF($B122&lt;D119,OFFSET(D122,-13,-$B122),0)</f>
        <v>0</v>
      </c>
      <c r="E122">
        <f t="shared" ca="1" si="24"/>
        <v>0</v>
      </c>
      <c r="F122">
        <f t="shared" ca="1" si="24"/>
        <v>0</v>
      </c>
      <c r="G122">
        <f t="shared" ca="1" si="24"/>
        <v>0</v>
      </c>
      <c r="H122">
        <f t="shared" ca="1" si="24"/>
        <v>0</v>
      </c>
      <c r="I122">
        <f t="shared" ca="1" si="24"/>
        <v>0</v>
      </c>
      <c r="J122">
        <f t="shared" ca="1" si="24"/>
        <v>0</v>
      </c>
      <c r="K122">
        <f t="shared" ca="1" si="24"/>
        <v>0</v>
      </c>
      <c r="L122">
        <f t="shared" ca="1" si="24"/>
        <v>0</v>
      </c>
      <c r="M122">
        <f t="shared" ca="1" si="24"/>
        <v>0</v>
      </c>
      <c r="N122">
        <f ca="1">IF($B122&lt;N119,OFFSET(N122,-13,-$B122),0)</f>
        <v>0</v>
      </c>
      <c r="O122">
        <f t="shared" ref="O122:W122" ca="1" si="25">IF($B122&lt;O119,OFFSET(O122,-13,-$B122),0)</f>
        <v>0</v>
      </c>
      <c r="P122">
        <f t="shared" ca="1" si="25"/>
        <v>0</v>
      </c>
      <c r="Q122">
        <f t="shared" ca="1" si="25"/>
        <v>0</v>
      </c>
      <c r="R122">
        <f t="shared" ca="1" si="25"/>
        <v>0</v>
      </c>
      <c r="S122">
        <f t="shared" ca="1" si="25"/>
        <v>0</v>
      </c>
      <c r="T122">
        <f t="shared" ca="1" si="25"/>
        <v>0</v>
      </c>
      <c r="U122">
        <f t="shared" ca="1" si="25"/>
        <v>0</v>
      </c>
      <c r="V122">
        <f t="shared" ca="1" si="25"/>
        <v>0</v>
      </c>
      <c r="W122">
        <f t="shared" ca="1" si="25"/>
        <v>0</v>
      </c>
    </row>
    <row r="123" spans="1:23">
      <c r="A123" s="22" t="s">
        <v>8</v>
      </c>
      <c r="B123">
        <v>9</v>
      </c>
      <c r="C123">
        <v>3</v>
      </c>
      <c r="D123">
        <f t="shared" ref="D123:M123" ca="1" si="26">IF($B123&lt;D119,OFFSET(D123,-13,-$B123),0)</f>
        <v>0</v>
      </c>
      <c r="E123">
        <f t="shared" ca="1" si="26"/>
        <v>0</v>
      </c>
      <c r="F123">
        <f t="shared" ca="1" si="26"/>
        <v>0</v>
      </c>
      <c r="G123">
        <f t="shared" ca="1" si="26"/>
        <v>0</v>
      </c>
      <c r="H123">
        <f t="shared" ca="1" si="26"/>
        <v>0</v>
      </c>
      <c r="I123">
        <f t="shared" ca="1" si="26"/>
        <v>0</v>
      </c>
      <c r="J123">
        <f t="shared" ca="1" si="26"/>
        <v>0</v>
      </c>
      <c r="K123">
        <f t="shared" ca="1" si="26"/>
        <v>0</v>
      </c>
      <c r="L123">
        <f t="shared" ca="1" si="26"/>
        <v>0</v>
      </c>
      <c r="M123">
        <f t="shared" ca="1" si="26"/>
        <v>0</v>
      </c>
      <c r="N123">
        <f ca="1">IF($B123&lt;N119,OFFSET(N123,-13,-$B123),0)</f>
        <v>0</v>
      </c>
      <c r="O123">
        <f t="shared" ref="O123:W123" ca="1" si="27">IF($B123&lt;O119,OFFSET(O123,-13,-$B123),0)</f>
        <v>0</v>
      </c>
      <c r="P123">
        <f t="shared" ca="1" si="27"/>
        <v>0</v>
      </c>
      <c r="Q123">
        <f t="shared" ca="1" si="27"/>
        <v>0</v>
      </c>
      <c r="R123">
        <f t="shared" ca="1" si="27"/>
        <v>0</v>
      </c>
      <c r="S123">
        <f t="shared" ca="1" si="27"/>
        <v>0</v>
      </c>
      <c r="T123">
        <f t="shared" ca="1" si="27"/>
        <v>0</v>
      </c>
      <c r="U123">
        <f t="shared" ca="1" si="27"/>
        <v>0</v>
      </c>
      <c r="V123">
        <f t="shared" ca="1" si="27"/>
        <v>0</v>
      </c>
      <c r="W123">
        <f t="shared" ca="1" si="27"/>
        <v>0</v>
      </c>
    </row>
    <row r="124" spans="1:23">
      <c r="A124" s="22" t="s">
        <v>9</v>
      </c>
      <c r="B124">
        <v>8</v>
      </c>
      <c r="C124">
        <v>3</v>
      </c>
      <c r="D124">
        <f t="shared" ref="D124:W124" ca="1" si="28">IF($B124&lt;D119,OFFSET(D124,-13,-$B124),0)</f>
        <v>0</v>
      </c>
      <c r="E124">
        <f t="shared" ca="1" si="28"/>
        <v>0</v>
      </c>
      <c r="F124">
        <f t="shared" ca="1" si="28"/>
        <v>0</v>
      </c>
      <c r="G124">
        <f t="shared" ca="1" si="28"/>
        <v>0</v>
      </c>
      <c r="H124">
        <f t="shared" ca="1" si="28"/>
        <v>0</v>
      </c>
      <c r="I124">
        <f t="shared" ca="1" si="28"/>
        <v>0</v>
      </c>
      <c r="J124">
        <f t="shared" ca="1" si="28"/>
        <v>0</v>
      </c>
      <c r="K124">
        <f t="shared" ca="1" si="28"/>
        <v>0</v>
      </c>
      <c r="L124">
        <f t="shared" ca="1" si="28"/>
        <v>0</v>
      </c>
      <c r="M124">
        <f t="shared" ca="1" si="28"/>
        <v>0</v>
      </c>
      <c r="N124">
        <f t="shared" ca="1" si="28"/>
        <v>0</v>
      </c>
      <c r="O124">
        <f t="shared" ca="1" si="28"/>
        <v>0</v>
      </c>
      <c r="P124">
        <f t="shared" ca="1" si="28"/>
        <v>0</v>
      </c>
      <c r="Q124">
        <f t="shared" ca="1" si="28"/>
        <v>0</v>
      </c>
      <c r="R124">
        <f t="shared" ca="1" si="28"/>
        <v>0</v>
      </c>
      <c r="S124">
        <f t="shared" ca="1" si="28"/>
        <v>1</v>
      </c>
      <c r="T124">
        <f t="shared" ca="1" si="28"/>
        <v>1</v>
      </c>
      <c r="U124">
        <f t="shared" ca="1" si="28"/>
        <v>1</v>
      </c>
      <c r="V124">
        <f t="shared" ca="1" si="28"/>
        <v>1</v>
      </c>
      <c r="W124">
        <f t="shared" ca="1" si="28"/>
        <v>1</v>
      </c>
    </row>
    <row r="125" spans="1:23">
      <c r="A125" s="22" t="s">
        <v>10</v>
      </c>
      <c r="B125">
        <v>8</v>
      </c>
      <c r="C125">
        <v>3</v>
      </c>
      <c r="D125">
        <f t="shared" ref="D125:W125" ca="1" si="29">IF($B125&lt;D119,OFFSET(D125,-13,-$B125),0)</f>
        <v>0</v>
      </c>
      <c r="E125">
        <f t="shared" ca="1" si="29"/>
        <v>0</v>
      </c>
      <c r="F125">
        <f t="shared" ca="1" si="29"/>
        <v>0</v>
      </c>
      <c r="G125">
        <f t="shared" ca="1" si="29"/>
        <v>0</v>
      </c>
      <c r="H125">
        <f t="shared" ca="1" si="29"/>
        <v>0</v>
      </c>
      <c r="I125">
        <f t="shared" ca="1" si="29"/>
        <v>0</v>
      </c>
      <c r="J125">
        <f t="shared" ca="1" si="29"/>
        <v>0</v>
      </c>
      <c r="K125">
        <f t="shared" ca="1" si="29"/>
        <v>0</v>
      </c>
      <c r="L125">
        <f t="shared" ca="1" si="29"/>
        <v>0</v>
      </c>
      <c r="M125">
        <f t="shared" ca="1" si="29"/>
        <v>0</v>
      </c>
      <c r="N125">
        <f t="shared" ca="1" si="29"/>
        <v>0</v>
      </c>
      <c r="O125">
        <f t="shared" ca="1" si="29"/>
        <v>0</v>
      </c>
      <c r="P125">
        <f t="shared" ca="1" si="29"/>
        <v>0</v>
      </c>
      <c r="Q125">
        <f t="shared" ca="1" si="29"/>
        <v>1</v>
      </c>
      <c r="R125">
        <f t="shared" ca="1" si="29"/>
        <v>1</v>
      </c>
      <c r="S125">
        <f t="shared" ca="1" si="29"/>
        <v>1</v>
      </c>
      <c r="T125">
        <f t="shared" ca="1" si="29"/>
        <v>1</v>
      </c>
      <c r="U125">
        <f t="shared" ca="1" si="29"/>
        <v>1</v>
      </c>
      <c r="V125">
        <f t="shared" ca="1" si="29"/>
        <v>2</v>
      </c>
      <c r="W125">
        <f t="shared" ca="1" si="29"/>
        <v>2</v>
      </c>
    </row>
    <row r="126" spans="1:23">
      <c r="A126" s="22" t="s">
        <v>11</v>
      </c>
      <c r="B126">
        <v>7</v>
      </c>
      <c r="C126">
        <v>3</v>
      </c>
      <c r="D126">
        <f t="shared" ref="D126:W126" ca="1" si="30">IF($B126&lt;D119,OFFSET(D126,-13,-$B126),0)</f>
        <v>0</v>
      </c>
      <c r="E126">
        <f t="shared" ca="1" si="30"/>
        <v>0</v>
      </c>
      <c r="F126">
        <f t="shared" ca="1" si="30"/>
        <v>0</v>
      </c>
      <c r="G126">
        <f t="shared" ca="1" si="30"/>
        <v>0</v>
      </c>
      <c r="H126">
        <f t="shared" ca="1" si="30"/>
        <v>0</v>
      </c>
      <c r="I126">
        <f t="shared" ca="1" si="30"/>
        <v>0</v>
      </c>
      <c r="J126">
        <f t="shared" ca="1" si="30"/>
        <v>0</v>
      </c>
      <c r="K126">
        <f t="shared" ca="1" si="30"/>
        <v>0</v>
      </c>
      <c r="L126">
        <f t="shared" ca="1" si="30"/>
        <v>0</v>
      </c>
      <c r="M126">
        <f t="shared" ca="1" si="30"/>
        <v>0</v>
      </c>
      <c r="N126">
        <f t="shared" ca="1" si="30"/>
        <v>0</v>
      </c>
      <c r="O126">
        <f t="shared" ca="1" si="30"/>
        <v>1</v>
      </c>
      <c r="P126">
        <f t="shared" ca="1" si="30"/>
        <v>1</v>
      </c>
      <c r="Q126">
        <f t="shared" ca="1" si="30"/>
        <v>1</v>
      </c>
      <c r="R126">
        <f t="shared" ca="1" si="30"/>
        <v>2</v>
      </c>
      <c r="S126">
        <f t="shared" ca="1" si="30"/>
        <v>2</v>
      </c>
      <c r="T126">
        <f t="shared" ca="1" si="30"/>
        <v>2</v>
      </c>
      <c r="U126">
        <f t="shared" ca="1" si="30"/>
        <v>2</v>
      </c>
      <c r="V126">
        <f t="shared" ca="1" si="30"/>
        <v>3</v>
      </c>
      <c r="W126">
        <f t="shared" ca="1" si="30"/>
        <v>3</v>
      </c>
    </row>
    <row r="127" spans="1:23">
      <c r="A127" s="22" t="s">
        <v>12</v>
      </c>
      <c r="B127">
        <v>7</v>
      </c>
      <c r="C127">
        <v>3</v>
      </c>
      <c r="D127">
        <f t="shared" ref="D127:W127" ca="1" si="31">IF($B127&lt;D119,OFFSET(D127,-13,-$B127),0)</f>
        <v>0</v>
      </c>
      <c r="E127">
        <f t="shared" ca="1" si="31"/>
        <v>0</v>
      </c>
      <c r="F127">
        <f t="shared" ca="1" si="31"/>
        <v>0</v>
      </c>
      <c r="G127">
        <f t="shared" ca="1" si="31"/>
        <v>0</v>
      </c>
      <c r="H127">
        <f t="shared" ca="1" si="31"/>
        <v>0</v>
      </c>
      <c r="I127">
        <f t="shared" ca="1" si="31"/>
        <v>0</v>
      </c>
      <c r="J127">
        <f t="shared" ca="1" si="31"/>
        <v>0</v>
      </c>
      <c r="K127">
        <f t="shared" ca="1" si="31"/>
        <v>0</v>
      </c>
      <c r="L127">
        <f t="shared" ca="1" si="31"/>
        <v>0</v>
      </c>
      <c r="M127">
        <f t="shared" ca="1" si="31"/>
        <v>0</v>
      </c>
      <c r="N127">
        <f t="shared" ca="1" si="31"/>
        <v>0</v>
      </c>
      <c r="O127">
        <f t="shared" ca="1" si="31"/>
        <v>1</v>
      </c>
      <c r="P127">
        <f t="shared" ca="1" si="31"/>
        <v>1</v>
      </c>
      <c r="Q127">
        <f t="shared" ca="1" si="31"/>
        <v>1</v>
      </c>
      <c r="R127">
        <f t="shared" ca="1" si="31"/>
        <v>2</v>
      </c>
      <c r="S127">
        <f t="shared" ca="1" si="31"/>
        <v>2</v>
      </c>
      <c r="T127">
        <f t="shared" ca="1" si="31"/>
        <v>3</v>
      </c>
      <c r="U127">
        <f t="shared" ca="1" si="31"/>
        <v>3</v>
      </c>
      <c r="V127">
        <f t="shared" ca="1" si="31"/>
        <v>3</v>
      </c>
      <c r="W127">
        <f t="shared" ca="1" si="31"/>
        <v>4</v>
      </c>
    </row>
    <row r="128" spans="1:23">
      <c r="A128" s="22" t="s">
        <v>13</v>
      </c>
      <c r="B128">
        <v>6</v>
      </c>
      <c r="C128">
        <v>2</v>
      </c>
      <c r="D128">
        <f t="shared" ref="D128:W128" ca="1" si="32">IF($B128&lt;D119,OFFSET(D128,-13,-$B128),0)</f>
        <v>0</v>
      </c>
      <c r="E128">
        <f t="shared" ca="1" si="32"/>
        <v>0</v>
      </c>
      <c r="F128">
        <f t="shared" ca="1" si="32"/>
        <v>0</v>
      </c>
      <c r="G128">
        <f t="shared" ca="1" si="32"/>
        <v>0</v>
      </c>
      <c r="H128">
        <f t="shared" ca="1" si="32"/>
        <v>0</v>
      </c>
      <c r="I128">
        <f t="shared" ca="1" si="32"/>
        <v>0</v>
      </c>
      <c r="J128">
        <f t="shared" ca="1" si="32"/>
        <v>0</v>
      </c>
      <c r="K128">
        <f t="shared" ca="1" si="32"/>
        <v>0</v>
      </c>
      <c r="L128">
        <f t="shared" ca="1" si="32"/>
        <v>0</v>
      </c>
      <c r="M128">
        <f t="shared" ca="1" si="32"/>
        <v>0</v>
      </c>
      <c r="N128">
        <f t="shared" ca="1" si="32"/>
        <v>1</v>
      </c>
      <c r="O128">
        <f t="shared" ca="1" si="32"/>
        <v>1</v>
      </c>
      <c r="P128">
        <f t="shared" ca="1" si="32"/>
        <v>1</v>
      </c>
      <c r="Q128">
        <f t="shared" ca="1" si="32"/>
        <v>2</v>
      </c>
      <c r="R128">
        <f t="shared" ca="1" si="32"/>
        <v>2</v>
      </c>
      <c r="S128">
        <f t="shared" ca="1" si="32"/>
        <v>2</v>
      </c>
      <c r="T128">
        <f t="shared" ca="1" si="32"/>
        <v>3</v>
      </c>
      <c r="U128">
        <f t="shared" ca="1" si="32"/>
        <v>3</v>
      </c>
      <c r="V128">
        <f t="shared" ca="1" si="32"/>
        <v>3</v>
      </c>
      <c r="W128">
        <f t="shared" ca="1" si="32"/>
        <v>3</v>
      </c>
    </row>
    <row r="129" spans="1:23">
      <c r="A129" s="22" t="s">
        <v>14</v>
      </c>
      <c r="B129">
        <v>6</v>
      </c>
      <c r="C129">
        <v>2</v>
      </c>
      <c r="D129">
        <f t="shared" ref="D129:W129" ca="1" si="33">IF($B129&lt;D119,OFFSET(D129,-13,-$B129),0)</f>
        <v>0</v>
      </c>
      <c r="E129">
        <f t="shared" ca="1" si="33"/>
        <v>0</v>
      </c>
      <c r="F129">
        <f t="shared" ca="1" si="33"/>
        <v>0</v>
      </c>
      <c r="G129">
        <f t="shared" ca="1" si="33"/>
        <v>0</v>
      </c>
      <c r="H129">
        <f t="shared" ca="1" si="33"/>
        <v>0</v>
      </c>
      <c r="I129">
        <f t="shared" ca="1" si="33"/>
        <v>0</v>
      </c>
      <c r="J129">
        <f t="shared" ca="1" si="33"/>
        <v>0</v>
      </c>
      <c r="K129">
        <f t="shared" ca="1" si="33"/>
        <v>0</v>
      </c>
      <c r="L129">
        <f t="shared" ca="1" si="33"/>
        <v>0</v>
      </c>
      <c r="M129">
        <f t="shared" ca="1" si="33"/>
        <v>0</v>
      </c>
      <c r="N129">
        <f t="shared" ca="1" si="33"/>
        <v>1</v>
      </c>
      <c r="O129">
        <f t="shared" ca="1" si="33"/>
        <v>1</v>
      </c>
      <c r="P129">
        <f t="shared" ca="1" si="33"/>
        <v>1</v>
      </c>
      <c r="Q129">
        <f t="shared" ca="1" si="33"/>
        <v>2</v>
      </c>
      <c r="R129">
        <f t="shared" ca="1" si="33"/>
        <v>2</v>
      </c>
      <c r="S129">
        <f t="shared" ca="1" si="33"/>
        <v>2</v>
      </c>
      <c r="T129">
        <f t="shared" ca="1" si="33"/>
        <v>3</v>
      </c>
      <c r="U129">
        <f t="shared" ca="1" si="33"/>
        <v>3</v>
      </c>
      <c r="V129">
        <f t="shared" ca="1" si="33"/>
        <v>3</v>
      </c>
      <c r="W129">
        <f t="shared" ca="1" si="33"/>
        <v>4</v>
      </c>
    </row>
    <row r="130" spans="1:23">
      <c r="A130" s="22" t="s">
        <v>15</v>
      </c>
      <c r="B130">
        <v>5</v>
      </c>
      <c r="C130">
        <v>2</v>
      </c>
      <c r="D130">
        <f t="shared" ref="D130:W130" ca="1" si="34">IF($B130&lt;D119,OFFSET(D130,-13,-$B130),0)</f>
        <v>0</v>
      </c>
      <c r="E130">
        <f t="shared" ca="1" si="34"/>
        <v>0</v>
      </c>
      <c r="F130">
        <f t="shared" ca="1" si="34"/>
        <v>0</v>
      </c>
      <c r="G130">
        <f t="shared" ca="1" si="34"/>
        <v>0</v>
      </c>
      <c r="H130">
        <f t="shared" ca="1" si="34"/>
        <v>0</v>
      </c>
      <c r="I130">
        <f t="shared" ca="1" si="34"/>
        <v>0</v>
      </c>
      <c r="J130">
        <f t="shared" ca="1" si="34"/>
        <v>0</v>
      </c>
      <c r="K130">
        <f t="shared" ca="1" si="34"/>
        <v>0</v>
      </c>
      <c r="L130">
        <f t="shared" ca="1" si="34"/>
        <v>0</v>
      </c>
      <c r="M130">
        <f t="shared" ca="1" si="34"/>
        <v>0</v>
      </c>
      <c r="N130">
        <f t="shared" ca="1" si="34"/>
        <v>0</v>
      </c>
      <c r="O130">
        <f t="shared" ca="1" si="34"/>
        <v>0</v>
      </c>
      <c r="P130">
        <f t="shared" ca="1" si="34"/>
        <v>0</v>
      </c>
      <c r="Q130">
        <f t="shared" ca="1" si="34"/>
        <v>0</v>
      </c>
      <c r="R130">
        <f t="shared" ca="1" si="34"/>
        <v>1</v>
      </c>
      <c r="S130">
        <f t="shared" ca="1" si="34"/>
        <v>1</v>
      </c>
      <c r="T130">
        <f t="shared" ca="1" si="34"/>
        <v>1</v>
      </c>
      <c r="U130">
        <f t="shared" ca="1" si="34"/>
        <v>1</v>
      </c>
      <c r="V130">
        <f t="shared" ca="1" si="34"/>
        <v>1</v>
      </c>
      <c r="W130">
        <f t="shared" ca="1" si="34"/>
        <v>1</v>
      </c>
    </row>
    <row r="132" spans="1:23">
      <c r="A132" s="22" t="s">
        <v>74</v>
      </c>
    </row>
    <row r="133" spans="1:23">
      <c r="A133" s="22" t="s">
        <v>41</v>
      </c>
      <c r="D133" s="3">
        <v>1</v>
      </c>
      <c r="E133" s="3">
        <v>2</v>
      </c>
      <c r="F133" s="3">
        <v>3</v>
      </c>
      <c r="G133" s="3">
        <v>4</v>
      </c>
      <c r="H133" s="3">
        <v>5</v>
      </c>
      <c r="I133" s="3">
        <v>6</v>
      </c>
      <c r="J133" s="3">
        <v>7</v>
      </c>
      <c r="K133" s="3">
        <v>8</v>
      </c>
      <c r="L133" s="3">
        <v>9</v>
      </c>
      <c r="M133" s="3">
        <v>10</v>
      </c>
      <c r="N133" s="3">
        <v>11</v>
      </c>
      <c r="O133" s="3">
        <v>12</v>
      </c>
      <c r="P133" s="3">
        <v>13</v>
      </c>
      <c r="Q133" s="3">
        <v>14</v>
      </c>
      <c r="R133" s="3">
        <v>15</v>
      </c>
      <c r="S133" s="3">
        <v>16</v>
      </c>
      <c r="T133" s="3">
        <v>17</v>
      </c>
      <c r="U133" s="3">
        <v>18</v>
      </c>
      <c r="V133" s="3">
        <v>19</v>
      </c>
      <c r="W133" s="3">
        <v>20</v>
      </c>
    </row>
    <row r="134" spans="1:23">
      <c r="A134" s="22" t="s">
        <v>5</v>
      </c>
      <c r="C134">
        <f>SUM(D134:W134)</f>
        <v>0</v>
      </c>
      <c r="D134">
        <f>IF(D52&gt;4,D52,0)</f>
        <v>0</v>
      </c>
      <c r="E134">
        <f t="shared" ref="E134:W144" si="35">IF(E52&gt;4,E52,0)</f>
        <v>0</v>
      </c>
      <c r="F134">
        <f t="shared" si="35"/>
        <v>0</v>
      </c>
      <c r="G134">
        <f t="shared" si="35"/>
        <v>0</v>
      </c>
      <c r="H134">
        <f t="shared" si="35"/>
        <v>0</v>
      </c>
      <c r="I134">
        <f t="shared" si="35"/>
        <v>0</v>
      </c>
      <c r="J134">
        <f t="shared" si="35"/>
        <v>0</v>
      </c>
      <c r="K134">
        <f t="shared" si="35"/>
        <v>0</v>
      </c>
      <c r="L134">
        <f t="shared" si="35"/>
        <v>0</v>
      </c>
      <c r="M134">
        <f t="shared" si="35"/>
        <v>0</v>
      </c>
      <c r="N134">
        <f t="shared" si="35"/>
        <v>0</v>
      </c>
      <c r="O134">
        <f t="shared" si="35"/>
        <v>0</v>
      </c>
      <c r="P134">
        <f t="shared" si="35"/>
        <v>0</v>
      </c>
      <c r="Q134">
        <f t="shared" si="35"/>
        <v>0</v>
      </c>
      <c r="R134">
        <f t="shared" si="35"/>
        <v>0</v>
      </c>
      <c r="S134">
        <f t="shared" si="35"/>
        <v>0</v>
      </c>
      <c r="T134">
        <f t="shared" si="35"/>
        <v>0</v>
      </c>
      <c r="U134">
        <f t="shared" si="35"/>
        <v>0</v>
      </c>
      <c r="V134">
        <f t="shared" si="35"/>
        <v>0</v>
      </c>
      <c r="W134">
        <f t="shared" si="35"/>
        <v>0</v>
      </c>
    </row>
    <row r="135" spans="1:23">
      <c r="A135" s="22" t="s">
        <v>6</v>
      </c>
      <c r="C135">
        <f>SUM(D135:W135)</f>
        <v>0</v>
      </c>
      <c r="D135">
        <f t="shared" ref="D135:S144" si="36">IF(D53&gt;4,D53,0)</f>
        <v>0</v>
      </c>
      <c r="E135">
        <f t="shared" si="36"/>
        <v>0</v>
      </c>
      <c r="F135">
        <f t="shared" si="36"/>
        <v>0</v>
      </c>
      <c r="G135">
        <f t="shared" si="36"/>
        <v>0</v>
      </c>
      <c r="H135">
        <f t="shared" si="36"/>
        <v>0</v>
      </c>
      <c r="I135">
        <f t="shared" si="36"/>
        <v>0</v>
      </c>
      <c r="J135">
        <f t="shared" si="36"/>
        <v>0</v>
      </c>
      <c r="K135">
        <f t="shared" si="36"/>
        <v>0</v>
      </c>
      <c r="L135">
        <f t="shared" si="36"/>
        <v>0</v>
      </c>
      <c r="M135">
        <f t="shared" si="36"/>
        <v>0</v>
      </c>
      <c r="N135">
        <f t="shared" si="36"/>
        <v>0</v>
      </c>
      <c r="O135">
        <f t="shared" si="36"/>
        <v>0</v>
      </c>
      <c r="P135">
        <f t="shared" si="36"/>
        <v>0</v>
      </c>
      <c r="Q135">
        <f t="shared" si="36"/>
        <v>0</v>
      </c>
      <c r="R135">
        <f t="shared" si="36"/>
        <v>0</v>
      </c>
      <c r="S135">
        <f t="shared" si="36"/>
        <v>0</v>
      </c>
      <c r="T135">
        <f t="shared" si="35"/>
        <v>0</v>
      </c>
      <c r="U135">
        <f t="shared" si="35"/>
        <v>0</v>
      </c>
      <c r="V135">
        <f t="shared" si="35"/>
        <v>0</v>
      </c>
      <c r="W135">
        <f t="shared" si="35"/>
        <v>0</v>
      </c>
    </row>
    <row r="136" spans="1:23">
      <c r="A136" s="22" t="s">
        <v>7</v>
      </c>
      <c r="C136">
        <f t="shared" ref="C136:C144" si="37">SUM(D136:W136)</f>
        <v>0</v>
      </c>
      <c r="D136">
        <f t="shared" si="36"/>
        <v>0</v>
      </c>
      <c r="E136">
        <f t="shared" si="35"/>
        <v>0</v>
      </c>
      <c r="F136">
        <f t="shared" si="35"/>
        <v>0</v>
      </c>
      <c r="G136">
        <f t="shared" si="35"/>
        <v>0</v>
      </c>
      <c r="H136">
        <f t="shared" si="35"/>
        <v>0</v>
      </c>
      <c r="I136">
        <f t="shared" si="35"/>
        <v>0</v>
      </c>
      <c r="J136">
        <f t="shared" si="35"/>
        <v>0</v>
      </c>
      <c r="K136">
        <f t="shared" si="35"/>
        <v>0</v>
      </c>
      <c r="L136">
        <f t="shared" si="35"/>
        <v>0</v>
      </c>
      <c r="M136">
        <f t="shared" si="35"/>
        <v>0</v>
      </c>
      <c r="N136">
        <f t="shared" si="35"/>
        <v>0</v>
      </c>
      <c r="O136">
        <f t="shared" si="35"/>
        <v>0</v>
      </c>
      <c r="P136">
        <f t="shared" si="35"/>
        <v>0</v>
      </c>
      <c r="Q136">
        <f t="shared" si="35"/>
        <v>0</v>
      </c>
      <c r="R136">
        <f t="shared" si="35"/>
        <v>0</v>
      </c>
      <c r="S136">
        <f t="shared" si="35"/>
        <v>0</v>
      </c>
      <c r="T136">
        <f t="shared" si="35"/>
        <v>0</v>
      </c>
      <c r="U136">
        <f t="shared" si="35"/>
        <v>0</v>
      </c>
      <c r="V136">
        <f t="shared" si="35"/>
        <v>0</v>
      </c>
      <c r="W136">
        <f t="shared" si="35"/>
        <v>0</v>
      </c>
    </row>
    <row r="137" spans="1:23">
      <c r="A137" s="22" t="s">
        <v>8</v>
      </c>
      <c r="C137">
        <f t="shared" si="37"/>
        <v>0</v>
      </c>
      <c r="D137">
        <f t="shared" si="36"/>
        <v>0</v>
      </c>
      <c r="E137">
        <f t="shared" si="35"/>
        <v>0</v>
      </c>
      <c r="F137">
        <f t="shared" si="35"/>
        <v>0</v>
      </c>
      <c r="G137">
        <f t="shared" si="35"/>
        <v>0</v>
      </c>
      <c r="H137">
        <f t="shared" si="35"/>
        <v>0</v>
      </c>
      <c r="I137">
        <f t="shared" si="35"/>
        <v>0</v>
      </c>
      <c r="J137">
        <f t="shared" si="35"/>
        <v>0</v>
      </c>
      <c r="K137">
        <f t="shared" si="35"/>
        <v>0</v>
      </c>
      <c r="L137">
        <f t="shared" si="35"/>
        <v>0</v>
      </c>
      <c r="M137">
        <f t="shared" si="35"/>
        <v>0</v>
      </c>
      <c r="N137">
        <f t="shared" si="35"/>
        <v>0</v>
      </c>
      <c r="O137">
        <f t="shared" si="35"/>
        <v>0</v>
      </c>
      <c r="P137">
        <f t="shared" si="35"/>
        <v>0</v>
      </c>
      <c r="Q137">
        <f t="shared" si="35"/>
        <v>0</v>
      </c>
      <c r="R137">
        <f t="shared" si="35"/>
        <v>0</v>
      </c>
      <c r="S137">
        <f t="shared" si="35"/>
        <v>0</v>
      </c>
      <c r="T137">
        <f t="shared" si="35"/>
        <v>0</v>
      </c>
      <c r="U137">
        <f t="shared" si="35"/>
        <v>0</v>
      </c>
      <c r="V137">
        <f t="shared" si="35"/>
        <v>0</v>
      </c>
      <c r="W137">
        <f t="shared" si="35"/>
        <v>0</v>
      </c>
    </row>
    <row r="138" spans="1:23">
      <c r="A138" s="22" t="s">
        <v>9</v>
      </c>
      <c r="C138">
        <f t="shared" si="37"/>
        <v>0</v>
      </c>
      <c r="D138">
        <f t="shared" si="36"/>
        <v>0</v>
      </c>
      <c r="E138">
        <f t="shared" si="35"/>
        <v>0</v>
      </c>
      <c r="F138">
        <f t="shared" si="35"/>
        <v>0</v>
      </c>
      <c r="G138">
        <f t="shared" si="35"/>
        <v>0</v>
      </c>
      <c r="H138">
        <f t="shared" si="35"/>
        <v>0</v>
      </c>
      <c r="I138">
        <f t="shared" si="35"/>
        <v>0</v>
      </c>
      <c r="J138">
        <f t="shared" si="35"/>
        <v>0</v>
      </c>
      <c r="K138">
        <f t="shared" si="35"/>
        <v>0</v>
      </c>
      <c r="L138">
        <f t="shared" si="35"/>
        <v>0</v>
      </c>
      <c r="M138">
        <f t="shared" si="35"/>
        <v>0</v>
      </c>
      <c r="N138">
        <f t="shared" si="35"/>
        <v>0</v>
      </c>
      <c r="O138">
        <f t="shared" si="35"/>
        <v>0</v>
      </c>
      <c r="P138">
        <f t="shared" si="35"/>
        <v>0</v>
      </c>
      <c r="Q138">
        <f t="shared" si="35"/>
        <v>0</v>
      </c>
      <c r="R138">
        <f t="shared" si="35"/>
        <v>0</v>
      </c>
      <c r="S138">
        <f t="shared" si="35"/>
        <v>0</v>
      </c>
      <c r="T138">
        <f t="shared" si="35"/>
        <v>0</v>
      </c>
      <c r="U138">
        <f t="shared" si="35"/>
        <v>0</v>
      </c>
      <c r="V138">
        <f t="shared" si="35"/>
        <v>0</v>
      </c>
      <c r="W138">
        <f t="shared" si="35"/>
        <v>0</v>
      </c>
    </row>
    <row r="139" spans="1:23">
      <c r="A139" s="22" t="s">
        <v>10</v>
      </c>
      <c r="C139">
        <f t="shared" si="37"/>
        <v>0</v>
      </c>
      <c r="D139">
        <f t="shared" si="36"/>
        <v>0</v>
      </c>
      <c r="E139">
        <f t="shared" si="35"/>
        <v>0</v>
      </c>
      <c r="F139">
        <f t="shared" si="35"/>
        <v>0</v>
      </c>
      <c r="G139">
        <f t="shared" si="35"/>
        <v>0</v>
      </c>
      <c r="H139">
        <f t="shared" si="35"/>
        <v>0</v>
      </c>
      <c r="I139">
        <f t="shared" si="35"/>
        <v>0</v>
      </c>
      <c r="J139">
        <f t="shared" si="35"/>
        <v>0</v>
      </c>
      <c r="K139">
        <f t="shared" si="35"/>
        <v>0</v>
      </c>
      <c r="L139">
        <f t="shared" si="35"/>
        <v>0</v>
      </c>
      <c r="M139">
        <f t="shared" si="35"/>
        <v>0</v>
      </c>
      <c r="N139">
        <f t="shared" si="35"/>
        <v>0</v>
      </c>
      <c r="O139">
        <f t="shared" si="35"/>
        <v>0</v>
      </c>
      <c r="P139">
        <f t="shared" si="35"/>
        <v>0</v>
      </c>
      <c r="Q139">
        <f t="shared" si="35"/>
        <v>0</v>
      </c>
      <c r="R139">
        <f t="shared" si="35"/>
        <v>0</v>
      </c>
      <c r="S139">
        <f t="shared" si="35"/>
        <v>0</v>
      </c>
      <c r="T139">
        <f t="shared" si="35"/>
        <v>0</v>
      </c>
      <c r="U139">
        <f t="shared" si="35"/>
        <v>0</v>
      </c>
      <c r="V139">
        <f t="shared" si="35"/>
        <v>0</v>
      </c>
      <c r="W139">
        <f t="shared" si="35"/>
        <v>0</v>
      </c>
    </row>
    <row r="140" spans="1:23">
      <c r="A140" s="22" t="s">
        <v>11</v>
      </c>
      <c r="C140">
        <f t="shared" si="37"/>
        <v>10</v>
      </c>
      <c r="D140">
        <f t="shared" si="36"/>
        <v>0</v>
      </c>
      <c r="E140">
        <f t="shared" si="35"/>
        <v>0</v>
      </c>
      <c r="F140">
        <f t="shared" si="35"/>
        <v>0</v>
      </c>
      <c r="G140">
        <f t="shared" si="35"/>
        <v>0</v>
      </c>
      <c r="H140">
        <f t="shared" si="35"/>
        <v>0</v>
      </c>
      <c r="I140">
        <f t="shared" si="35"/>
        <v>0</v>
      </c>
      <c r="J140">
        <f t="shared" si="35"/>
        <v>0</v>
      </c>
      <c r="K140">
        <f t="shared" si="35"/>
        <v>0</v>
      </c>
      <c r="L140">
        <f t="shared" si="35"/>
        <v>0</v>
      </c>
      <c r="M140">
        <f t="shared" si="35"/>
        <v>0</v>
      </c>
      <c r="N140">
        <f t="shared" si="35"/>
        <v>0</v>
      </c>
      <c r="O140">
        <f t="shared" si="35"/>
        <v>0</v>
      </c>
      <c r="P140">
        <f t="shared" si="35"/>
        <v>0</v>
      </c>
      <c r="Q140">
        <f t="shared" si="35"/>
        <v>0</v>
      </c>
      <c r="R140">
        <f t="shared" si="35"/>
        <v>0</v>
      </c>
      <c r="S140">
        <f t="shared" si="35"/>
        <v>0</v>
      </c>
      <c r="T140">
        <f t="shared" si="35"/>
        <v>0</v>
      </c>
      <c r="U140">
        <f t="shared" si="35"/>
        <v>0</v>
      </c>
      <c r="V140">
        <f t="shared" si="35"/>
        <v>5</v>
      </c>
      <c r="W140">
        <f t="shared" si="35"/>
        <v>5</v>
      </c>
    </row>
    <row r="141" spans="1:23">
      <c r="A141" s="22" t="s">
        <v>12</v>
      </c>
      <c r="C141">
        <f t="shared" si="37"/>
        <v>27</v>
      </c>
      <c r="D141">
        <f t="shared" si="36"/>
        <v>0</v>
      </c>
      <c r="E141">
        <f t="shared" si="35"/>
        <v>0</v>
      </c>
      <c r="F141">
        <f t="shared" si="35"/>
        <v>0</v>
      </c>
      <c r="G141">
        <f t="shared" si="35"/>
        <v>0</v>
      </c>
      <c r="H141">
        <f t="shared" si="35"/>
        <v>0</v>
      </c>
      <c r="I141">
        <f t="shared" si="35"/>
        <v>0</v>
      </c>
      <c r="J141">
        <f t="shared" si="35"/>
        <v>0</v>
      </c>
      <c r="K141">
        <f t="shared" si="35"/>
        <v>0</v>
      </c>
      <c r="L141">
        <f t="shared" si="35"/>
        <v>0</v>
      </c>
      <c r="M141">
        <f t="shared" si="35"/>
        <v>0</v>
      </c>
      <c r="N141">
        <f t="shared" si="35"/>
        <v>0</v>
      </c>
      <c r="O141">
        <f t="shared" si="35"/>
        <v>0</v>
      </c>
      <c r="P141">
        <f t="shared" si="35"/>
        <v>0</v>
      </c>
      <c r="Q141">
        <f t="shared" si="35"/>
        <v>0</v>
      </c>
      <c r="R141">
        <f t="shared" si="35"/>
        <v>0</v>
      </c>
      <c r="S141">
        <f t="shared" si="35"/>
        <v>5</v>
      </c>
      <c r="T141">
        <f t="shared" si="35"/>
        <v>5</v>
      </c>
      <c r="U141">
        <f t="shared" si="35"/>
        <v>5</v>
      </c>
      <c r="V141">
        <f t="shared" si="35"/>
        <v>6</v>
      </c>
      <c r="W141">
        <f t="shared" si="35"/>
        <v>6</v>
      </c>
    </row>
    <row r="142" spans="1:23">
      <c r="A142" s="22" t="s">
        <v>13</v>
      </c>
      <c r="C142">
        <f t="shared" si="37"/>
        <v>15</v>
      </c>
      <c r="D142">
        <f t="shared" si="36"/>
        <v>0</v>
      </c>
      <c r="E142">
        <f t="shared" si="35"/>
        <v>0</v>
      </c>
      <c r="F142">
        <f t="shared" si="35"/>
        <v>0</v>
      </c>
      <c r="G142">
        <f t="shared" si="35"/>
        <v>0</v>
      </c>
      <c r="H142">
        <f t="shared" si="35"/>
        <v>0</v>
      </c>
      <c r="I142">
        <f t="shared" si="35"/>
        <v>0</v>
      </c>
      <c r="J142">
        <f t="shared" si="35"/>
        <v>0</v>
      </c>
      <c r="K142">
        <f t="shared" si="35"/>
        <v>0</v>
      </c>
      <c r="L142">
        <f t="shared" si="35"/>
        <v>0</v>
      </c>
      <c r="M142">
        <f t="shared" si="35"/>
        <v>0</v>
      </c>
      <c r="N142">
        <f t="shared" si="35"/>
        <v>0</v>
      </c>
      <c r="O142">
        <f t="shared" si="35"/>
        <v>0</v>
      </c>
      <c r="P142">
        <f t="shared" si="35"/>
        <v>0</v>
      </c>
      <c r="Q142">
        <f t="shared" si="35"/>
        <v>0</v>
      </c>
      <c r="R142">
        <f t="shared" si="35"/>
        <v>0</v>
      </c>
      <c r="S142">
        <f t="shared" si="35"/>
        <v>0</v>
      </c>
      <c r="T142">
        <f t="shared" si="35"/>
        <v>0</v>
      </c>
      <c r="U142">
        <f t="shared" si="35"/>
        <v>5</v>
      </c>
      <c r="V142">
        <f t="shared" si="35"/>
        <v>5</v>
      </c>
      <c r="W142">
        <f t="shared" si="35"/>
        <v>5</v>
      </c>
    </row>
    <row r="143" spans="1:23">
      <c r="A143" s="22" t="s">
        <v>14</v>
      </c>
      <c r="C143">
        <f t="shared" si="37"/>
        <v>21</v>
      </c>
      <c r="D143">
        <f t="shared" si="36"/>
        <v>0</v>
      </c>
      <c r="E143">
        <f t="shared" si="35"/>
        <v>0</v>
      </c>
      <c r="F143">
        <f t="shared" si="35"/>
        <v>0</v>
      </c>
      <c r="G143">
        <f t="shared" si="35"/>
        <v>0</v>
      </c>
      <c r="H143">
        <f t="shared" si="35"/>
        <v>0</v>
      </c>
      <c r="I143">
        <f t="shared" si="35"/>
        <v>0</v>
      </c>
      <c r="J143">
        <f t="shared" si="35"/>
        <v>0</v>
      </c>
      <c r="K143">
        <f t="shared" si="35"/>
        <v>0</v>
      </c>
      <c r="L143">
        <f t="shared" si="35"/>
        <v>0</v>
      </c>
      <c r="M143">
        <f t="shared" si="35"/>
        <v>0</v>
      </c>
      <c r="N143">
        <f t="shared" si="35"/>
        <v>0</v>
      </c>
      <c r="O143">
        <f t="shared" si="35"/>
        <v>0</v>
      </c>
      <c r="P143">
        <f t="shared" si="35"/>
        <v>0</v>
      </c>
      <c r="Q143">
        <f t="shared" si="35"/>
        <v>0</v>
      </c>
      <c r="R143">
        <f t="shared" si="35"/>
        <v>0</v>
      </c>
      <c r="S143">
        <f t="shared" si="35"/>
        <v>0</v>
      </c>
      <c r="T143">
        <f t="shared" si="35"/>
        <v>5</v>
      </c>
      <c r="U143">
        <f t="shared" si="35"/>
        <v>5</v>
      </c>
      <c r="V143">
        <f t="shared" si="35"/>
        <v>5</v>
      </c>
      <c r="W143">
        <f t="shared" si="35"/>
        <v>6</v>
      </c>
    </row>
    <row r="144" spans="1:23">
      <c r="A144" s="22" t="s">
        <v>15</v>
      </c>
      <c r="C144">
        <f t="shared" si="37"/>
        <v>0</v>
      </c>
      <c r="D144">
        <f t="shared" si="36"/>
        <v>0</v>
      </c>
      <c r="E144">
        <f t="shared" si="35"/>
        <v>0</v>
      </c>
      <c r="F144">
        <f t="shared" si="35"/>
        <v>0</v>
      </c>
      <c r="G144">
        <f t="shared" si="35"/>
        <v>0</v>
      </c>
      <c r="H144">
        <f t="shared" si="35"/>
        <v>0</v>
      </c>
      <c r="I144">
        <f t="shared" si="35"/>
        <v>0</v>
      </c>
      <c r="J144">
        <f t="shared" si="35"/>
        <v>0</v>
      </c>
      <c r="K144">
        <f t="shared" si="35"/>
        <v>0</v>
      </c>
      <c r="L144">
        <f t="shared" si="35"/>
        <v>0</v>
      </c>
      <c r="M144">
        <f t="shared" si="35"/>
        <v>0</v>
      </c>
      <c r="N144">
        <f t="shared" si="35"/>
        <v>0</v>
      </c>
      <c r="O144">
        <f t="shared" si="35"/>
        <v>0</v>
      </c>
      <c r="P144">
        <f t="shared" si="35"/>
        <v>0</v>
      </c>
      <c r="Q144">
        <f t="shared" si="35"/>
        <v>0</v>
      </c>
      <c r="R144">
        <f t="shared" si="35"/>
        <v>0</v>
      </c>
      <c r="S144">
        <f t="shared" si="35"/>
        <v>0</v>
      </c>
      <c r="T144">
        <f t="shared" si="35"/>
        <v>0</v>
      </c>
      <c r="U144">
        <f t="shared" si="35"/>
        <v>0</v>
      </c>
      <c r="V144">
        <f t="shared" si="35"/>
        <v>0</v>
      </c>
      <c r="W144">
        <f t="shared" si="35"/>
        <v>0</v>
      </c>
    </row>
    <row r="146" spans="1:23">
      <c r="A146" s="22" t="s">
        <v>75</v>
      </c>
    </row>
    <row r="147" spans="1:23">
      <c r="A147" s="22" t="s">
        <v>5</v>
      </c>
      <c r="C147">
        <f>SUM(D147:W147)</f>
        <v>0</v>
      </c>
      <c r="D147">
        <f t="shared" ref="D147:D157" si="38">ROUND($D134*D91,0)</f>
        <v>0</v>
      </c>
      <c r="E147">
        <f t="shared" ref="E147:E157" si="39">ROUND($D134*E91,0)+ROUND($E134*D91,0)</f>
        <v>0</v>
      </c>
      <c r="F147">
        <f t="shared" ref="F147:F157" si="40">ROUND($D134*F91,0)+ROUND($E134*E91,0)+ROUND($F134*D91,0)</f>
        <v>0</v>
      </c>
      <c r="G147">
        <f t="shared" ref="G147:G157" si="41">ROUND($D134*G91,0)+ROUND($E134*F91,0)+ROUND($F134*E91,0)+ROUND($G134*D91,0)</f>
        <v>0</v>
      </c>
      <c r="H147">
        <f t="shared" ref="H147:H157" si="42">ROUND($D134*H91,0)+ROUND($E134*G91,0)+ROUND($F134*F91,0)+ROUND($G134*E91,0)+ROUND($H134*D91,0)</f>
        <v>0</v>
      </c>
      <c r="I147">
        <f t="shared" ref="I147:I157" si="43">ROUND($D134*I91,0)+ROUND($E134*H91,0)+ROUND($F134*G91,0)+ROUND($G134*F91,0)+ROUND($H134*E91,0)+ROUND($I134*D91,0)</f>
        <v>0</v>
      </c>
      <c r="J147">
        <f t="shared" ref="J147:J157" si="44">ROUND($D134*J91,0)+ROUND($E134*I91,0)+ROUND($F134*H91,0)+ROUND($G134*G91,0)+ROUND($H134*F91,0)+ROUND($I134*E91,0)+ROUND($J134*D91,0)</f>
        <v>0</v>
      </c>
      <c r="K147">
        <f t="shared" ref="K147:K157" si="45">ROUND($D134*K91,0)+ROUND($E134*J91,0)+ROUND($F134*I91,0)+ROUND($G134*H91,0)+ROUND($H134*G91,0)+ROUND($I134*F91,0)+ROUND($J134*E91,0)+ROUND($K134*D91,0)</f>
        <v>0</v>
      </c>
      <c r="L147">
        <f t="shared" ref="L147:L157" si="46">ROUND($D134*L91,0)+ROUND($E134*K91,0)+ROUND($F134*J91,0)+ROUND($G134*I91,0)+ROUND($H134*H91,0)+ROUND($I134*G91,0)+ROUND($J134*F91,0)+ROUND($K134*E91,0)+ROUND($L134*D91,0)</f>
        <v>0</v>
      </c>
      <c r="M147">
        <f t="shared" ref="M147:M157" si="47">ROUND($D134*M91,0)+ROUND($E134*L91,0)+ROUND($F134*K91,0)+ROUND($G134*J91,0)+ROUND($H134*I91,0)+ROUND($I134*H91,0)+ROUND($J134*G91,0)+ROUND($K134*F91,0)+ROUND($L134*E91,0)+ROUND($M134*D91,0)</f>
        <v>0</v>
      </c>
      <c r="N147">
        <f t="shared" ref="N147:N157" si="48">ROUND($D134*N91,0)+ROUND($E134*M91,0)+ROUND($F134*L91,0)+ROUND($G134*K91,0)+ROUND($H134*J91,0)+ROUND($I134*I91,0)+ROUND($J134*H91,0)+ROUND($K134*G91,0)+ROUND($L134*F91,0)+ROUND($M134*E91,0)+ROUND($N134*D91,0)</f>
        <v>0</v>
      </c>
      <c r="O147">
        <f t="shared" ref="O147:O157" si="49">ROUND($D134*O91,0)+ROUND($E134*N91,0)+ROUND($F134*M91,0)+ROUND($G134*L91,0)+ROUND($H134*K91,0)+ROUND($I134*J91,0)+ROUND($J134*I91,0)+ROUND($K134*H91,0)+ROUND($L134*G91,0)+ROUND($M134*F91,0)+ROUND($N134*E91,0)+ROUND($O134*D91,0)</f>
        <v>0</v>
      </c>
      <c r="P147">
        <f t="shared" ref="P147:P157" si="50">ROUND($D134*P91,0)+ROUND($E134*O91,0)+ROUND($F134*N91,0)+ROUND($G134*M91,0)+ROUND($H134*L91,0)+ROUND($I134*K91,0)+ROUND($J134*J91,0)+ROUND($K134*I91,0)+ROUND($L134*H91,0)+ROUND($M134*G91,0)+ROUND($N134*F91,0)+ROUND($O134*E91,0)+ROUND($P134*D91,0)</f>
        <v>0</v>
      </c>
      <c r="Q147">
        <f t="shared" ref="Q147:Q157" si="51">ROUND($D134*Q91,0)+ROUND($E134*P91,0)+ROUND($F134*O91,0)+ROUND($G134*N91,0)+ROUND($H134*M91,0)+ROUND($I134*L91,0)+ROUND($J134*K91,0)+ROUND($K134*J91,0)+ROUND($L134*I91,0)+ROUND($M134*H91,0)+ROUND($N134*G91,0)+ROUND($O134*F91,0)+ROUND($P134*E91,0)+ROUND($Q134*D91,0)</f>
        <v>0</v>
      </c>
      <c r="R147">
        <f t="shared" ref="R147:R157" si="52">ROUND($D134*R91,0)+ROUND($E134*Q91,0)+ROUND($F134*P91,0)+ROUND($G134*O91,0)+ROUND($H134*N91,0)+ROUND($I134*M91,0)+ROUND($J134*L91,0)+ROUND($K134*K91,0)+ROUND($L134*J91,0)+ROUND($M134*I91,0)+ROUND($N134*H91,0)+ROUND($O134*G91,0)+ROUND($P134*F91,0)+ROUND($Q134*E91,0)+ROUND($R134*D91,0)</f>
        <v>0</v>
      </c>
      <c r="S147">
        <f t="shared" ref="S147:S157" si="53">ROUND($D134*S91,0)+ROUND($E134*R91,0)+ROUND($F134*Q91,0)+ROUND($G134*P91,0)+ROUND($H134*O91,0)+ROUND($I134*N91,0)+ROUND($J134*M91,0)+ROUND($K134*L91,0)+ROUND($L134*K91,0)+ROUND($M134*J91,0)+ROUND($N134*I91,0)+ROUND($O134*H91,0)+ROUND($P134*G91,0)+ROUND($Q134*F91,0)+ROUND($R134*E91,0)+ROUND($S134*D91,0)</f>
        <v>0</v>
      </c>
      <c r="T147">
        <f t="shared" ref="T147:T157" si="54">ROUND($D134*T91,0)+ROUND($E134*S91,0)+ROUND($F134*R91,0)+ROUND($G134*Q91,0)+ROUND($H134*P91,0)+ROUND($I134*O91,0)+ROUND($J134*N91,0)+ROUND($K134*M91,0)+ROUND($L134*L91,0)+ROUND($M134*K91,0)+ROUND($N134*J91,0)+ROUND($O134*I91,0)+ROUND($P134*H91,0)+ROUND($Q134*G91,0)+ROUND($R134*F91,0)+ROUND($S134*E91,0)+ROUND($T134*D91,0)</f>
        <v>0</v>
      </c>
      <c r="U147">
        <f t="shared" ref="U147:U157" si="55">ROUND($D134*U91,0)+ROUND($E134*T91,0)+ROUND($F134*S91,0)+ROUND($G134*R91,0)+ROUND($H134*Q91,0)+ROUND($I134*P91,0)+ROUND($J134*O91,0)+ROUND($K134*N91,0)+ROUND($L134*M91,0)+ROUND($M134*L91,0)+ROUND($N134*K91,0)+ROUND($O134*J91,0)+ROUND($P134*I91,0)+ROUND($Q134*H91,0)+ROUND($R134*G91,0)+ROUND($S134*F91,0)+ROUND($T134*E91,0)+ROUND($U134*D91,0)</f>
        <v>0</v>
      </c>
      <c r="V147">
        <f t="shared" ref="V147:V157" si="56">ROUND($D134*V91,0)+ROUND($E134*U91,0)+ROUND($F134*T91,0)+ROUND($G134*S91,0)+ROUND($H134*R91,0)+ROUND($I134*Q91,0)+ROUND($J134*P91,0)+ROUND($K134*O91,0)+ROUND($L134*N91,0)+ROUND($M134*M91,0)+ROUND($N134*L91,0)+ROUND($O134*K91,0)+ROUND($P134*J91,0)+ROUND($Q134*I91,0)+ROUND($R134*H91,0)+ROUND($S134*G91,0)+ROUND($T134*F91,0)+ROUND($U134*E91,0)+ROUND($V134*D91,0)</f>
        <v>0</v>
      </c>
      <c r="W147">
        <f t="shared" ref="W147:W157" si="57">ROUND($D134*W91,0)+ROUND($E134*V91,0)+ROUND($F134*U91,0)+ROUND($G134*T91,0)+ROUND($H134*S91,0)+ROUND($I134*R91,0)+ROUND($J134*Q91,0)+ROUND($K134*P91,0)+ROUND($L134*O91,0)+ROUND($M134*N91,0)+ROUND($N134*M91,0)+ROUND($O134*L91,0)+ROUND($P134*K91,0)+ROUND($Q134*J91,0)+ROUND($R134*I91,0)+ROUND($S134*H91,0)+ROUND($T134*G91,0)+ROUND($U134*F91,0)+ROUND($V134*E91,0)+ROUND($W134*D91,0)</f>
        <v>0</v>
      </c>
    </row>
    <row r="148" spans="1:23">
      <c r="A148" s="22" t="s">
        <v>6</v>
      </c>
      <c r="C148">
        <f>SUM(D148:W148)</f>
        <v>0</v>
      </c>
      <c r="D148">
        <f t="shared" si="38"/>
        <v>0</v>
      </c>
      <c r="E148">
        <f t="shared" si="39"/>
        <v>0</v>
      </c>
      <c r="F148">
        <f t="shared" si="40"/>
        <v>0</v>
      </c>
      <c r="G148">
        <f t="shared" si="41"/>
        <v>0</v>
      </c>
      <c r="H148">
        <f t="shared" si="42"/>
        <v>0</v>
      </c>
      <c r="I148">
        <f t="shared" si="43"/>
        <v>0</v>
      </c>
      <c r="J148">
        <f t="shared" si="44"/>
        <v>0</v>
      </c>
      <c r="K148">
        <f t="shared" si="45"/>
        <v>0</v>
      </c>
      <c r="L148">
        <f t="shared" si="46"/>
        <v>0</v>
      </c>
      <c r="M148">
        <f t="shared" si="47"/>
        <v>0</v>
      </c>
      <c r="N148">
        <f t="shared" si="48"/>
        <v>0</v>
      </c>
      <c r="O148">
        <f t="shared" si="49"/>
        <v>0</v>
      </c>
      <c r="P148">
        <f t="shared" si="50"/>
        <v>0</v>
      </c>
      <c r="Q148">
        <f t="shared" si="51"/>
        <v>0</v>
      </c>
      <c r="R148">
        <f t="shared" si="52"/>
        <v>0</v>
      </c>
      <c r="S148">
        <f t="shared" si="53"/>
        <v>0</v>
      </c>
      <c r="T148">
        <f t="shared" si="54"/>
        <v>0</v>
      </c>
      <c r="U148">
        <f t="shared" si="55"/>
        <v>0</v>
      </c>
      <c r="V148">
        <f t="shared" si="56"/>
        <v>0</v>
      </c>
      <c r="W148">
        <f t="shared" si="57"/>
        <v>0</v>
      </c>
    </row>
    <row r="149" spans="1:23">
      <c r="A149" s="22" t="s">
        <v>7</v>
      </c>
      <c r="C149">
        <f t="shared" ref="C149:C157" si="58">SUM(D149:W149)</f>
        <v>0</v>
      </c>
      <c r="D149">
        <f t="shared" si="38"/>
        <v>0</v>
      </c>
      <c r="E149">
        <f t="shared" si="39"/>
        <v>0</v>
      </c>
      <c r="F149">
        <f t="shared" si="40"/>
        <v>0</v>
      </c>
      <c r="G149">
        <f t="shared" si="41"/>
        <v>0</v>
      </c>
      <c r="H149">
        <f t="shared" si="42"/>
        <v>0</v>
      </c>
      <c r="I149">
        <f t="shared" si="43"/>
        <v>0</v>
      </c>
      <c r="J149">
        <f t="shared" si="44"/>
        <v>0</v>
      </c>
      <c r="K149">
        <f t="shared" si="45"/>
        <v>0</v>
      </c>
      <c r="L149">
        <f t="shared" si="46"/>
        <v>0</v>
      </c>
      <c r="M149">
        <f t="shared" si="47"/>
        <v>0</v>
      </c>
      <c r="N149">
        <f t="shared" si="48"/>
        <v>0</v>
      </c>
      <c r="O149">
        <f t="shared" si="49"/>
        <v>0</v>
      </c>
      <c r="P149">
        <f t="shared" si="50"/>
        <v>0</v>
      </c>
      <c r="Q149">
        <f t="shared" si="51"/>
        <v>0</v>
      </c>
      <c r="R149">
        <f t="shared" si="52"/>
        <v>0</v>
      </c>
      <c r="S149">
        <f t="shared" si="53"/>
        <v>0</v>
      </c>
      <c r="T149">
        <f t="shared" si="54"/>
        <v>0</v>
      </c>
      <c r="U149">
        <f t="shared" si="55"/>
        <v>0</v>
      </c>
      <c r="V149">
        <f t="shared" si="56"/>
        <v>0</v>
      </c>
      <c r="W149">
        <f t="shared" si="57"/>
        <v>0</v>
      </c>
    </row>
    <row r="150" spans="1:23">
      <c r="A150" s="22" t="s">
        <v>8</v>
      </c>
      <c r="C150">
        <f t="shared" si="58"/>
        <v>0</v>
      </c>
      <c r="D150">
        <f t="shared" si="38"/>
        <v>0</v>
      </c>
      <c r="E150">
        <f t="shared" si="39"/>
        <v>0</v>
      </c>
      <c r="F150">
        <f t="shared" si="40"/>
        <v>0</v>
      </c>
      <c r="G150">
        <f t="shared" si="41"/>
        <v>0</v>
      </c>
      <c r="H150">
        <f t="shared" si="42"/>
        <v>0</v>
      </c>
      <c r="I150">
        <f t="shared" si="43"/>
        <v>0</v>
      </c>
      <c r="J150">
        <f t="shared" si="44"/>
        <v>0</v>
      </c>
      <c r="K150">
        <f t="shared" si="45"/>
        <v>0</v>
      </c>
      <c r="L150">
        <f t="shared" si="46"/>
        <v>0</v>
      </c>
      <c r="M150">
        <f t="shared" si="47"/>
        <v>0</v>
      </c>
      <c r="N150">
        <f t="shared" si="48"/>
        <v>0</v>
      </c>
      <c r="O150">
        <f t="shared" si="49"/>
        <v>0</v>
      </c>
      <c r="P150">
        <f t="shared" si="50"/>
        <v>0</v>
      </c>
      <c r="Q150">
        <f t="shared" si="51"/>
        <v>0</v>
      </c>
      <c r="R150">
        <f t="shared" si="52"/>
        <v>0</v>
      </c>
      <c r="S150">
        <f t="shared" si="53"/>
        <v>0</v>
      </c>
      <c r="T150">
        <f t="shared" si="54"/>
        <v>0</v>
      </c>
      <c r="U150">
        <f t="shared" si="55"/>
        <v>0</v>
      </c>
      <c r="V150">
        <f t="shared" si="56"/>
        <v>0</v>
      </c>
      <c r="W150">
        <f t="shared" si="57"/>
        <v>0</v>
      </c>
    </row>
    <row r="151" spans="1:23">
      <c r="A151" s="22" t="s">
        <v>9</v>
      </c>
      <c r="C151">
        <f t="shared" si="58"/>
        <v>0</v>
      </c>
      <c r="D151">
        <f t="shared" si="38"/>
        <v>0</v>
      </c>
      <c r="E151">
        <f t="shared" si="39"/>
        <v>0</v>
      </c>
      <c r="F151">
        <f t="shared" si="40"/>
        <v>0</v>
      </c>
      <c r="G151">
        <f t="shared" si="41"/>
        <v>0</v>
      </c>
      <c r="H151">
        <f t="shared" si="42"/>
        <v>0</v>
      </c>
      <c r="I151">
        <f t="shared" si="43"/>
        <v>0</v>
      </c>
      <c r="J151">
        <f t="shared" si="44"/>
        <v>0</v>
      </c>
      <c r="K151">
        <f t="shared" si="45"/>
        <v>0</v>
      </c>
      <c r="L151">
        <f t="shared" si="46"/>
        <v>0</v>
      </c>
      <c r="M151">
        <f t="shared" si="47"/>
        <v>0</v>
      </c>
      <c r="N151">
        <f t="shared" si="48"/>
        <v>0</v>
      </c>
      <c r="O151">
        <f t="shared" si="49"/>
        <v>0</v>
      </c>
      <c r="P151">
        <f t="shared" si="50"/>
        <v>0</v>
      </c>
      <c r="Q151">
        <f t="shared" si="51"/>
        <v>0</v>
      </c>
      <c r="R151">
        <f t="shared" si="52"/>
        <v>0</v>
      </c>
      <c r="S151">
        <f t="shared" si="53"/>
        <v>0</v>
      </c>
      <c r="T151">
        <f t="shared" si="54"/>
        <v>0</v>
      </c>
      <c r="U151">
        <f t="shared" si="55"/>
        <v>0</v>
      </c>
      <c r="V151">
        <f t="shared" si="56"/>
        <v>0</v>
      </c>
      <c r="W151">
        <f t="shared" si="57"/>
        <v>0</v>
      </c>
    </row>
    <row r="152" spans="1:23">
      <c r="A152" s="22" t="s">
        <v>10</v>
      </c>
      <c r="C152">
        <f t="shared" si="58"/>
        <v>0</v>
      </c>
      <c r="D152">
        <f t="shared" si="38"/>
        <v>0</v>
      </c>
      <c r="E152">
        <f t="shared" si="39"/>
        <v>0</v>
      </c>
      <c r="F152">
        <f t="shared" si="40"/>
        <v>0</v>
      </c>
      <c r="G152">
        <f t="shared" si="41"/>
        <v>0</v>
      </c>
      <c r="H152">
        <f t="shared" si="42"/>
        <v>0</v>
      </c>
      <c r="I152">
        <f t="shared" si="43"/>
        <v>0</v>
      </c>
      <c r="J152">
        <f t="shared" si="44"/>
        <v>0</v>
      </c>
      <c r="K152">
        <f t="shared" si="45"/>
        <v>0</v>
      </c>
      <c r="L152">
        <f t="shared" si="46"/>
        <v>0</v>
      </c>
      <c r="M152">
        <f t="shared" si="47"/>
        <v>0</v>
      </c>
      <c r="N152">
        <f t="shared" si="48"/>
        <v>0</v>
      </c>
      <c r="O152">
        <f t="shared" si="49"/>
        <v>0</v>
      </c>
      <c r="P152">
        <f t="shared" si="50"/>
        <v>0</v>
      </c>
      <c r="Q152">
        <f t="shared" si="51"/>
        <v>0</v>
      </c>
      <c r="R152">
        <f t="shared" si="52"/>
        <v>0</v>
      </c>
      <c r="S152">
        <f t="shared" si="53"/>
        <v>0</v>
      </c>
      <c r="T152">
        <f t="shared" si="54"/>
        <v>0</v>
      </c>
      <c r="U152">
        <f t="shared" si="55"/>
        <v>0</v>
      </c>
      <c r="V152">
        <f t="shared" si="56"/>
        <v>0</v>
      </c>
      <c r="W152">
        <f t="shared" si="57"/>
        <v>0</v>
      </c>
    </row>
    <row r="153" spans="1:23">
      <c r="A153" s="22" t="s">
        <v>11</v>
      </c>
      <c r="C153">
        <f t="shared" si="58"/>
        <v>0</v>
      </c>
      <c r="D153">
        <f t="shared" si="38"/>
        <v>0</v>
      </c>
      <c r="E153">
        <f t="shared" si="39"/>
        <v>0</v>
      </c>
      <c r="F153">
        <f t="shared" si="40"/>
        <v>0</v>
      </c>
      <c r="G153">
        <f t="shared" si="41"/>
        <v>0</v>
      </c>
      <c r="H153">
        <f t="shared" si="42"/>
        <v>0</v>
      </c>
      <c r="I153">
        <f t="shared" si="43"/>
        <v>0</v>
      </c>
      <c r="J153">
        <f t="shared" si="44"/>
        <v>0</v>
      </c>
      <c r="K153">
        <f t="shared" si="45"/>
        <v>0</v>
      </c>
      <c r="L153">
        <f t="shared" si="46"/>
        <v>0</v>
      </c>
      <c r="M153">
        <f t="shared" si="47"/>
        <v>0</v>
      </c>
      <c r="N153">
        <f t="shared" si="48"/>
        <v>0</v>
      </c>
      <c r="O153">
        <f t="shared" si="49"/>
        <v>0</v>
      </c>
      <c r="P153">
        <f t="shared" si="50"/>
        <v>0</v>
      </c>
      <c r="Q153">
        <f t="shared" si="51"/>
        <v>0</v>
      </c>
      <c r="R153">
        <f t="shared" si="52"/>
        <v>0</v>
      </c>
      <c r="S153">
        <f t="shared" si="53"/>
        <v>0</v>
      </c>
      <c r="T153">
        <f t="shared" si="54"/>
        <v>0</v>
      </c>
      <c r="U153">
        <f t="shared" si="55"/>
        <v>0</v>
      </c>
      <c r="V153">
        <f t="shared" si="56"/>
        <v>0</v>
      </c>
      <c r="W153">
        <f t="shared" si="57"/>
        <v>0</v>
      </c>
    </row>
    <row r="154" spans="1:23">
      <c r="A154" s="22" t="s">
        <v>12</v>
      </c>
      <c r="C154">
        <f t="shared" si="58"/>
        <v>1</v>
      </c>
      <c r="D154">
        <f t="shared" si="38"/>
        <v>0</v>
      </c>
      <c r="E154">
        <f t="shared" si="39"/>
        <v>0</v>
      </c>
      <c r="F154">
        <f t="shared" si="40"/>
        <v>0</v>
      </c>
      <c r="G154">
        <f t="shared" si="41"/>
        <v>0</v>
      </c>
      <c r="H154">
        <f t="shared" si="42"/>
        <v>0</v>
      </c>
      <c r="I154">
        <f t="shared" si="43"/>
        <v>0</v>
      </c>
      <c r="J154">
        <f t="shared" si="44"/>
        <v>0</v>
      </c>
      <c r="K154">
        <f t="shared" si="45"/>
        <v>0</v>
      </c>
      <c r="L154">
        <f t="shared" si="46"/>
        <v>0</v>
      </c>
      <c r="M154">
        <f t="shared" si="47"/>
        <v>0</v>
      </c>
      <c r="N154">
        <f t="shared" si="48"/>
        <v>0</v>
      </c>
      <c r="O154">
        <f t="shared" si="49"/>
        <v>0</v>
      </c>
      <c r="P154">
        <f t="shared" si="50"/>
        <v>0</v>
      </c>
      <c r="Q154">
        <f t="shared" si="51"/>
        <v>0</v>
      </c>
      <c r="R154">
        <f t="shared" si="52"/>
        <v>0</v>
      </c>
      <c r="S154">
        <f t="shared" si="53"/>
        <v>0</v>
      </c>
      <c r="T154">
        <f t="shared" si="54"/>
        <v>0</v>
      </c>
      <c r="U154">
        <f t="shared" si="55"/>
        <v>0</v>
      </c>
      <c r="V154">
        <f t="shared" si="56"/>
        <v>0</v>
      </c>
      <c r="W154">
        <f t="shared" si="57"/>
        <v>1</v>
      </c>
    </row>
    <row r="155" spans="1:23">
      <c r="A155" s="22" t="s">
        <v>13</v>
      </c>
      <c r="C155">
        <f t="shared" si="58"/>
        <v>0</v>
      </c>
      <c r="D155">
        <f t="shared" si="38"/>
        <v>0</v>
      </c>
      <c r="E155">
        <f t="shared" si="39"/>
        <v>0</v>
      </c>
      <c r="F155">
        <f t="shared" si="40"/>
        <v>0</v>
      </c>
      <c r="G155">
        <f t="shared" si="41"/>
        <v>0</v>
      </c>
      <c r="H155">
        <f t="shared" si="42"/>
        <v>0</v>
      </c>
      <c r="I155">
        <f t="shared" si="43"/>
        <v>0</v>
      </c>
      <c r="J155">
        <f t="shared" si="44"/>
        <v>0</v>
      </c>
      <c r="K155">
        <f t="shared" si="45"/>
        <v>0</v>
      </c>
      <c r="L155">
        <f t="shared" si="46"/>
        <v>0</v>
      </c>
      <c r="M155">
        <f t="shared" si="47"/>
        <v>0</v>
      </c>
      <c r="N155">
        <f t="shared" si="48"/>
        <v>0</v>
      </c>
      <c r="O155">
        <f t="shared" si="49"/>
        <v>0</v>
      </c>
      <c r="P155">
        <f t="shared" si="50"/>
        <v>0</v>
      </c>
      <c r="Q155">
        <f t="shared" si="51"/>
        <v>0</v>
      </c>
      <c r="R155">
        <f t="shared" si="52"/>
        <v>0</v>
      </c>
      <c r="S155">
        <f t="shared" si="53"/>
        <v>0</v>
      </c>
      <c r="T155">
        <f t="shared" si="54"/>
        <v>0</v>
      </c>
      <c r="U155">
        <f t="shared" si="55"/>
        <v>0</v>
      </c>
      <c r="V155">
        <f t="shared" si="56"/>
        <v>0</v>
      </c>
      <c r="W155">
        <f t="shared" si="57"/>
        <v>0</v>
      </c>
    </row>
    <row r="156" spans="1:23">
      <c r="A156" s="22" t="s">
        <v>14</v>
      </c>
      <c r="C156">
        <f t="shared" si="58"/>
        <v>1</v>
      </c>
      <c r="D156">
        <f t="shared" si="38"/>
        <v>0</v>
      </c>
      <c r="E156">
        <f t="shared" si="39"/>
        <v>0</v>
      </c>
      <c r="F156">
        <f t="shared" si="40"/>
        <v>0</v>
      </c>
      <c r="G156">
        <f t="shared" si="41"/>
        <v>0</v>
      </c>
      <c r="H156">
        <f t="shared" si="42"/>
        <v>0</v>
      </c>
      <c r="I156">
        <f t="shared" si="43"/>
        <v>0</v>
      </c>
      <c r="J156">
        <f t="shared" si="44"/>
        <v>0</v>
      </c>
      <c r="K156">
        <f t="shared" si="45"/>
        <v>0</v>
      </c>
      <c r="L156">
        <f t="shared" si="46"/>
        <v>0</v>
      </c>
      <c r="M156">
        <f t="shared" si="47"/>
        <v>0</v>
      </c>
      <c r="N156">
        <f t="shared" si="48"/>
        <v>0</v>
      </c>
      <c r="O156">
        <f t="shared" si="49"/>
        <v>0</v>
      </c>
      <c r="P156">
        <f t="shared" si="50"/>
        <v>0</v>
      </c>
      <c r="Q156">
        <f t="shared" si="51"/>
        <v>0</v>
      </c>
      <c r="R156">
        <f t="shared" si="52"/>
        <v>0</v>
      </c>
      <c r="S156">
        <f t="shared" si="53"/>
        <v>0</v>
      </c>
      <c r="T156">
        <f t="shared" si="54"/>
        <v>0</v>
      </c>
      <c r="U156">
        <f t="shared" si="55"/>
        <v>0</v>
      </c>
      <c r="V156">
        <f t="shared" si="56"/>
        <v>0</v>
      </c>
      <c r="W156">
        <f t="shared" si="57"/>
        <v>1</v>
      </c>
    </row>
    <row r="157" spans="1:23">
      <c r="A157" s="22" t="s">
        <v>15</v>
      </c>
      <c r="C157">
        <f t="shared" si="58"/>
        <v>0</v>
      </c>
      <c r="D157">
        <f t="shared" si="38"/>
        <v>0</v>
      </c>
      <c r="E157">
        <f t="shared" si="39"/>
        <v>0</v>
      </c>
      <c r="F157">
        <f t="shared" si="40"/>
        <v>0</v>
      </c>
      <c r="G157">
        <f t="shared" si="41"/>
        <v>0</v>
      </c>
      <c r="H157">
        <f t="shared" si="42"/>
        <v>0</v>
      </c>
      <c r="I157">
        <f t="shared" si="43"/>
        <v>0</v>
      </c>
      <c r="J157">
        <f t="shared" si="44"/>
        <v>0</v>
      </c>
      <c r="K157">
        <f t="shared" si="45"/>
        <v>0</v>
      </c>
      <c r="L157">
        <f t="shared" si="46"/>
        <v>0</v>
      </c>
      <c r="M157">
        <f t="shared" si="47"/>
        <v>0</v>
      </c>
      <c r="N157">
        <f t="shared" si="48"/>
        <v>0</v>
      </c>
      <c r="O157">
        <f t="shared" si="49"/>
        <v>0</v>
      </c>
      <c r="P157">
        <f t="shared" si="50"/>
        <v>0</v>
      </c>
      <c r="Q157">
        <f t="shared" si="51"/>
        <v>0</v>
      </c>
      <c r="R157">
        <f t="shared" si="52"/>
        <v>0</v>
      </c>
      <c r="S157">
        <f t="shared" si="53"/>
        <v>0</v>
      </c>
      <c r="T157">
        <f t="shared" si="54"/>
        <v>0</v>
      </c>
      <c r="U157">
        <f t="shared" si="55"/>
        <v>0</v>
      </c>
      <c r="V157">
        <f t="shared" si="56"/>
        <v>0</v>
      </c>
      <c r="W157">
        <f t="shared" si="57"/>
        <v>0</v>
      </c>
    </row>
    <row r="159" spans="1:23">
      <c r="A159" s="22" t="s">
        <v>77</v>
      </c>
    </row>
    <row r="160" spans="1:23">
      <c r="A160" s="22" t="s">
        <v>5</v>
      </c>
      <c r="C160">
        <f ca="1">SUM(D160:W160)</f>
        <v>0</v>
      </c>
      <c r="D160">
        <f ca="1">D120+D147</f>
        <v>0</v>
      </c>
      <c r="E160">
        <f t="shared" ref="E160:W170" ca="1" si="59">E120+E147</f>
        <v>0</v>
      </c>
      <c r="F160">
        <f t="shared" ca="1" si="59"/>
        <v>0</v>
      </c>
      <c r="G160">
        <f t="shared" ca="1" si="59"/>
        <v>0</v>
      </c>
      <c r="H160">
        <f t="shared" ca="1" si="59"/>
        <v>0</v>
      </c>
      <c r="I160">
        <f t="shared" ca="1" si="59"/>
        <v>0</v>
      </c>
      <c r="J160">
        <f t="shared" ca="1" si="59"/>
        <v>0</v>
      </c>
      <c r="K160">
        <f t="shared" ca="1" si="59"/>
        <v>0</v>
      </c>
      <c r="L160">
        <f t="shared" ca="1" si="59"/>
        <v>0</v>
      </c>
      <c r="M160">
        <f t="shared" ca="1" si="59"/>
        <v>0</v>
      </c>
      <c r="N160">
        <f t="shared" ca="1" si="59"/>
        <v>0</v>
      </c>
      <c r="O160">
        <f t="shared" ca="1" si="59"/>
        <v>0</v>
      </c>
      <c r="P160">
        <f t="shared" ca="1" si="59"/>
        <v>0</v>
      </c>
      <c r="Q160">
        <f t="shared" ca="1" si="59"/>
        <v>0</v>
      </c>
      <c r="R160">
        <f t="shared" ca="1" si="59"/>
        <v>0</v>
      </c>
      <c r="S160">
        <f t="shared" ca="1" si="59"/>
        <v>0</v>
      </c>
      <c r="T160">
        <f t="shared" ca="1" si="59"/>
        <v>0</v>
      </c>
      <c r="U160">
        <f t="shared" ca="1" si="59"/>
        <v>0</v>
      </c>
      <c r="V160">
        <f t="shared" ca="1" si="59"/>
        <v>0</v>
      </c>
      <c r="W160">
        <f t="shared" ca="1" si="59"/>
        <v>0</v>
      </c>
    </row>
    <row r="161" spans="1:23">
      <c r="A161" s="22" t="s">
        <v>6</v>
      </c>
      <c r="C161">
        <f ca="1">SUM(D161:W161)</f>
        <v>0</v>
      </c>
      <c r="D161">
        <f t="shared" ref="D161:S170" ca="1" si="60">D121+D148</f>
        <v>0</v>
      </c>
      <c r="E161">
        <f t="shared" ca="1" si="60"/>
        <v>0</v>
      </c>
      <c r="F161">
        <f t="shared" ca="1" si="60"/>
        <v>0</v>
      </c>
      <c r="G161">
        <f t="shared" ca="1" si="60"/>
        <v>0</v>
      </c>
      <c r="H161">
        <f t="shared" ca="1" si="60"/>
        <v>0</v>
      </c>
      <c r="I161">
        <f t="shared" ca="1" si="60"/>
        <v>0</v>
      </c>
      <c r="J161">
        <f t="shared" ca="1" si="60"/>
        <v>0</v>
      </c>
      <c r="K161">
        <f t="shared" ca="1" si="60"/>
        <v>0</v>
      </c>
      <c r="L161">
        <f t="shared" ca="1" si="60"/>
        <v>0</v>
      </c>
      <c r="M161">
        <f t="shared" ca="1" si="60"/>
        <v>0</v>
      </c>
      <c r="N161">
        <f t="shared" ca="1" si="60"/>
        <v>0</v>
      </c>
      <c r="O161">
        <f t="shared" ca="1" si="60"/>
        <v>0</v>
      </c>
      <c r="P161">
        <f t="shared" ca="1" si="60"/>
        <v>0</v>
      </c>
      <c r="Q161">
        <f t="shared" ca="1" si="60"/>
        <v>0</v>
      </c>
      <c r="R161">
        <f t="shared" ca="1" si="60"/>
        <v>0</v>
      </c>
      <c r="S161">
        <f t="shared" ca="1" si="60"/>
        <v>0</v>
      </c>
      <c r="T161">
        <f t="shared" ca="1" si="59"/>
        <v>0</v>
      </c>
      <c r="U161">
        <f t="shared" ca="1" si="59"/>
        <v>0</v>
      </c>
      <c r="V161">
        <f t="shared" ca="1" si="59"/>
        <v>0</v>
      </c>
      <c r="W161">
        <f t="shared" ca="1" si="59"/>
        <v>0</v>
      </c>
    </row>
    <row r="162" spans="1:23">
      <c r="A162" s="22" t="s">
        <v>7</v>
      </c>
      <c r="C162">
        <f t="shared" ref="C162:C170" ca="1" si="61">SUM(D162:W162)</f>
        <v>0</v>
      </c>
      <c r="D162">
        <f t="shared" ca="1" si="60"/>
        <v>0</v>
      </c>
      <c r="E162">
        <f t="shared" ca="1" si="59"/>
        <v>0</v>
      </c>
      <c r="F162">
        <f t="shared" ca="1" si="59"/>
        <v>0</v>
      </c>
      <c r="G162">
        <f t="shared" ca="1" si="59"/>
        <v>0</v>
      </c>
      <c r="H162">
        <f t="shared" ca="1" si="59"/>
        <v>0</v>
      </c>
      <c r="I162">
        <f t="shared" ca="1" si="59"/>
        <v>0</v>
      </c>
      <c r="J162">
        <f t="shared" ca="1" si="59"/>
        <v>0</v>
      </c>
      <c r="K162">
        <f t="shared" ca="1" si="59"/>
        <v>0</v>
      </c>
      <c r="L162">
        <f t="shared" ca="1" si="59"/>
        <v>0</v>
      </c>
      <c r="M162">
        <f t="shared" ca="1" si="59"/>
        <v>0</v>
      </c>
      <c r="N162">
        <f t="shared" ca="1" si="59"/>
        <v>0</v>
      </c>
      <c r="O162">
        <f t="shared" ca="1" si="59"/>
        <v>0</v>
      </c>
      <c r="P162">
        <f t="shared" ca="1" si="59"/>
        <v>0</v>
      </c>
      <c r="Q162">
        <f t="shared" ca="1" si="59"/>
        <v>0</v>
      </c>
      <c r="R162">
        <f t="shared" ca="1" si="59"/>
        <v>0</v>
      </c>
      <c r="S162">
        <f t="shared" ca="1" si="59"/>
        <v>0</v>
      </c>
      <c r="T162">
        <f t="shared" ca="1" si="59"/>
        <v>0</v>
      </c>
      <c r="U162">
        <f t="shared" ca="1" si="59"/>
        <v>0</v>
      </c>
      <c r="V162">
        <f t="shared" ca="1" si="59"/>
        <v>0</v>
      </c>
      <c r="W162">
        <f t="shared" ca="1" si="59"/>
        <v>0</v>
      </c>
    </row>
    <row r="163" spans="1:23">
      <c r="A163" s="22" t="s">
        <v>8</v>
      </c>
      <c r="C163">
        <f t="shared" ca="1" si="61"/>
        <v>0</v>
      </c>
      <c r="D163">
        <f t="shared" ca="1" si="60"/>
        <v>0</v>
      </c>
      <c r="E163">
        <f t="shared" ca="1" si="59"/>
        <v>0</v>
      </c>
      <c r="F163">
        <f t="shared" ca="1" si="59"/>
        <v>0</v>
      </c>
      <c r="G163">
        <f t="shared" ca="1" si="59"/>
        <v>0</v>
      </c>
      <c r="H163">
        <f t="shared" ca="1" si="59"/>
        <v>0</v>
      </c>
      <c r="I163">
        <f t="shared" ca="1" si="59"/>
        <v>0</v>
      </c>
      <c r="J163">
        <f t="shared" ca="1" si="59"/>
        <v>0</v>
      </c>
      <c r="K163">
        <f t="shared" ca="1" si="59"/>
        <v>0</v>
      </c>
      <c r="L163">
        <f t="shared" ca="1" si="59"/>
        <v>0</v>
      </c>
      <c r="M163">
        <f t="shared" ca="1" si="59"/>
        <v>0</v>
      </c>
      <c r="N163">
        <f t="shared" ca="1" si="59"/>
        <v>0</v>
      </c>
      <c r="O163">
        <f t="shared" ca="1" si="59"/>
        <v>0</v>
      </c>
      <c r="P163">
        <f t="shared" ca="1" si="59"/>
        <v>0</v>
      </c>
      <c r="Q163">
        <f t="shared" ca="1" si="59"/>
        <v>0</v>
      </c>
      <c r="R163">
        <f t="shared" ca="1" si="59"/>
        <v>0</v>
      </c>
      <c r="S163">
        <f t="shared" ca="1" si="59"/>
        <v>0</v>
      </c>
      <c r="T163">
        <f t="shared" ca="1" si="59"/>
        <v>0</v>
      </c>
      <c r="U163">
        <f t="shared" ca="1" si="59"/>
        <v>0</v>
      </c>
      <c r="V163">
        <f t="shared" ca="1" si="59"/>
        <v>0</v>
      </c>
      <c r="W163">
        <f t="shared" ca="1" si="59"/>
        <v>0</v>
      </c>
    </row>
    <row r="164" spans="1:23">
      <c r="A164" s="22" t="s">
        <v>9</v>
      </c>
      <c r="C164">
        <f t="shared" ca="1" si="61"/>
        <v>5</v>
      </c>
      <c r="D164">
        <f t="shared" ca="1" si="60"/>
        <v>0</v>
      </c>
      <c r="E164">
        <f t="shared" ca="1" si="59"/>
        <v>0</v>
      </c>
      <c r="F164">
        <f t="shared" ca="1" si="59"/>
        <v>0</v>
      </c>
      <c r="G164">
        <f t="shared" ca="1" si="59"/>
        <v>0</v>
      </c>
      <c r="H164">
        <f t="shared" ca="1" si="59"/>
        <v>0</v>
      </c>
      <c r="I164">
        <f t="shared" ca="1" si="59"/>
        <v>0</v>
      </c>
      <c r="J164">
        <f t="shared" ca="1" si="59"/>
        <v>0</v>
      </c>
      <c r="K164">
        <f t="shared" ca="1" si="59"/>
        <v>0</v>
      </c>
      <c r="L164">
        <f t="shared" ca="1" si="59"/>
        <v>0</v>
      </c>
      <c r="M164">
        <f t="shared" ca="1" si="59"/>
        <v>0</v>
      </c>
      <c r="N164">
        <f t="shared" ca="1" si="59"/>
        <v>0</v>
      </c>
      <c r="O164">
        <f t="shared" ca="1" si="59"/>
        <v>0</v>
      </c>
      <c r="P164">
        <f t="shared" ca="1" si="59"/>
        <v>0</v>
      </c>
      <c r="Q164">
        <f t="shared" ca="1" si="59"/>
        <v>0</v>
      </c>
      <c r="R164">
        <f t="shared" ca="1" si="59"/>
        <v>0</v>
      </c>
      <c r="S164">
        <f t="shared" ca="1" si="59"/>
        <v>1</v>
      </c>
      <c r="T164">
        <f t="shared" ca="1" si="59"/>
        <v>1</v>
      </c>
      <c r="U164">
        <f t="shared" ca="1" si="59"/>
        <v>1</v>
      </c>
      <c r="V164">
        <f t="shared" ca="1" si="59"/>
        <v>1</v>
      </c>
      <c r="W164">
        <f t="shared" ca="1" si="59"/>
        <v>1</v>
      </c>
    </row>
    <row r="165" spans="1:23">
      <c r="A165" s="22" t="s">
        <v>10</v>
      </c>
      <c r="C165">
        <f t="shared" ca="1" si="61"/>
        <v>9</v>
      </c>
      <c r="D165">
        <f t="shared" ca="1" si="60"/>
        <v>0</v>
      </c>
      <c r="E165">
        <f t="shared" ca="1" si="59"/>
        <v>0</v>
      </c>
      <c r="F165">
        <f t="shared" ca="1" si="59"/>
        <v>0</v>
      </c>
      <c r="G165">
        <f t="shared" ca="1" si="59"/>
        <v>0</v>
      </c>
      <c r="H165">
        <f t="shared" ca="1" si="59"/>
        <v>0</v>
      </c>
      <c r="I165">
        <f t="shared" ca="1" si="59"/>
        <v>0</v>
      </c>
      <c r="J165">
        <f t="shared" ca="1" si="59"/>
        <v>0</v>
      </c>
      <c r="K165">
        <f t="shared" ca="1" si="59"/>
        <v>0</v>
      </c>
      <c r="L165">
        <f t="shared" ca="1" si="59"/>
        <v>0</v>
      </c>
      <c r="M165">
        <f t="shared" ca="1" si="59"/>
        <v>0</v>
      </c>
      <c r="N165">
        <f t="shared" ca="1" si="59"/>
        <v>0</v>
      </c>
      <c r="O165">
        <f t="shared" ca="1" si="59"/>
        <v>0</v>
      </c>
      <c r="P165">
        <f t="shared" ca="1" si="59"/>
        <v>0</v>
      </c>
      <c r="Q165">
        <f t="shared" ca="1" si="59"/>
        <v>1</v>
      </c>
      <c r="R165">
        <f t="shared" ca="1" si="59"/>
        <v>1</v>
      </c>
      <c r="S165">
        <f t="shared" ca="1" si="59"/>
        <v>1</v>
      </c>
      <c r="T165">
        <f t="shared" ca="1" si="59"/>
        <v>1</v>
      </c>
      <c r="U165">
        <f t="shared" ca="1" si="59"/>
        <v>1</v>
      </c>
      <c r="V165">
        <f t="shared" ca="1" si="59"/>
        <v>2</v>
      </c>
      <c r="W165">
        <f t="shared" ca="1" si="59"/>
        <v>2</v>
      </c>
    </row>
    <row r="166" spans="1:23">
      <c r="A166" s="22" t="s">
        <v>11</v>
      </c>
      <c r="C166">
        <f t="shared" ca="1" si="61"/>
        <v>17</v>
      </c>
      <c r="D166">
        <f t="shared" ca="1" si="60"/>
        <v>0</v>
      </c>
      <c r="E166">
        <f t="shared" ca="1" si="59"/>
        <v>0</v>
      </c>
      <c r="F166">
        <f t="shared" ca="1" si="59"/>
        <v>0</v>
      </c>
      <c r="G166">
        <f t="shared" ca="1" si="59"/>
        <v>0</v>
      </c>
      <c r="H166">
        <f t="shared" ca="1" si="59"/>
        <v>0</v>
      </c>
      <c r="I166">
        <f t="shared" ca="1" si="59"/>
        <v>0</v>
      </c>
      <c r="J166">
        <f t="shared" ca="1" si="59"/>
        <v>0</v>
      </c>
      <c r="K166">
        <f t="shared" ca="1" si="59"/>
        <v>0</v>
      </c>
      <c r="L166">
        <f t="shared" ca="1" si="59"/>
        <v>0</v>
      </c>
      <c r="M166">
        <f t="shared" ca="1" si="59"/>
        <v>0</v>
      </c>
      <c r="N166">
        <f t="shared" ca="1" si="59"/>
        <v>0</v>
      </c>
      <c r="O166">
        <f t="shared" ca="1" si="59"/>
        <v>1</v>
      </c>
      <c r="P166">
        <f t="shared" ca="1" si="59"/>
        <v>1</v>
      </c>
      <c r="Q166">
        <f t="shared" ca="1" si="59"/>
        <v>1</v>
      </c>
      <c r="R166">
        <f t="shared" ca="1" si="59"/>
        <v>2</v>
      </c>
      <c r="S166">
        <f t="shared" ca="1" si="59"/>
        <v>2</v>
      </c>
      <c r="T166">
        <f t="shared" ca="1" si="59"/>
        <v>2</v>
      </c>
      <c r="U166">
        <f t="shared" ca="1" si="59"/>
        <v>2</v>
      </c>
      <c r="V166">
        <f t="shared" ca="1" si="59"/>
        <v>3</v>
      </c>
      <c r="W166">
        <f t="shared" ca="1" si="59"/>
        <v>3</v>
      </c>
    </row>
    <row r="167" spans="1:23">
      <c r="A167" s="22" t="s">
        <v>12</v>
      </c>
      <c r="C167">
        <f t="shared" ca="1" si="61"/>
        <v>21</v>
      </c>
      <c r="D167">
        <f t="shared" ca="1" si="60"/>
        <v>0</v>
      </c>
      <c r="E167">
        <f t="shared" ca="1" si="59"/>
        <v>0</v>
      </c>
      <c r="F167">
        <f t="shared" ca="1" si="59"/>
        <v>0</v>
      </c>
      <c r="G167">
        <f t="shared" ca="1" si="59"/>
        <v>0</v>
      </c>
      <c r="H167">
        <f t="shared" ca="1" si="59"/>
        <v>0</v>
      </c>
      <c r="I167">
        <f t="shared" ca="1" si="59"/>
        <v>0</v>
      </c>
      <c r="J167">
        <f t="shared" ca="1" si="59"/>
        <v>0</v>
      </c>
      <c r="K167">
        <f t="shared" ca="1" si="59"/>
        <v>0</v>
      </c>
      <c r="L167">
        <f t="shared" ca="1" si="59"/>
        <v>0</v>
      </c>
      <c r="M167">
        <f t="shared" ca="1" si="59"/>
        <v>0</v>
      </c>
      <c r="N167">
        <f t="shared" ca="1" si="59"/>
        <v>0</v>
      </c>
      <c r="O167">
        <f t="shared" ca="1" si="59"/>
        <v>1</v>
      </c>
      <c r="P167">
        <f t="shared" ca="1" si="59"/>
        <v>1</v>
      </c>
      <c r="Q167">
        <f t="shared" ca="1" si="59"/>
        <v>1</v>
      </c>
      <c r="R167">
        <f t="shared" ca="1" si="59"/>
        <v>2</v>
      </c>
      <c r="S167">
        <f t="shared" ca="1" si="59"/>
        <v>2</v>
      </c>
      <c r="T167">
        <f t="shared" ca="1" si="59"/>
        <v>3</v>
      </c>
      <c r="U167">
        <f t="shared" ca="1" si="59"/>
        <v>3</v>
      </c>
      <c r="V167">
        <f t="shared" ca="1" si="59"/>
        <v>3</v>
      </c>
      <c r="W167">
        <f t="shared" ca="1" si="59"/>
        <v>5</v>
      </c>
    </row>
    <row r="168" spans="1:23">
      <c r="A168" s="22" t="s">
        <v>13</v>
      </c>
      <c r="C168">
        <f t="shared" ca="1" si="61"/>
        <v>21</v>
      </c>
      <c r="D168">
        <f t="shared" ca="1" si="60"/>
        <v>0</v>
      </c>
      <c r="E168">
        <f t="shared" ca="1" si="59"/>
        <v>0</v>
      </c>
      <c r="F168">
        <f t="shared" ca="1" si="59"/>
        <v>0</v>
      </c>
      <c r="G168">
        <f t="shared" ca="1" si="59"/>
        <v>0</v>
      </c>
      <c r="H168">
        <f t="shared" ca="1" si="59"/>
        <v>0</v>
      </c>
      <c r="I168">
        <f t="shared" ca="1" si="59"/>
        <v>0</v>
      </c>
      <c r="J168">
        <f t="shared" ca="1" si="59"/>
        <v>0</v>
      </c>
      <c r="K168">
        <f t="shared" ca="1" si="59"/>
        <v>0</v>
      </c>
      <c r="L168">
        <f t="shared" ca="1" si="59"/>
        <v>0</v>
      </c>
      <c r="M168">
        <f t="shared" ca="1" si="59"/>
        <v>0</v>
      </c>
      <c r="N168">
        <f t="shared" ca="1" si="59"/>
        <v>1</v>
      </c>
      <c r="O168">
        <f t="shared" ca="1" si="59"/>
        <v>1</v>
      </c>
      <c r="P168">
        <f t="shared" ca="1" si="59"/>
        <v>1</v>
      </c>
      <c r="Q168">
        <f t="shared" ca="1" si="59"/>
        <v>2</v>
      </c>
      <c r="R168">
        <f t="shared" ca="1" si="59"/>
        <v>2</v>
      </c>
      <c r="S168">
        <f t="shared" ca="1" si="59"/>
        <v>2</v>
      </c>
      <c r="T168">
        <f t="shared" ca="1" si="59"/>
        <v>3</v>
      </c>
      <c r="U168">
        <f t="shared" ca="1" si="59"/>
        <v>3</v>
      </c>
      <c r="V168">
        <f t="shared" ca="1" si="59"/>
        <v>3</v>
      </c>
      <c r="W168">
        <f t="shared" ca="1" si="59"/>
        <v>3</v>
      </c>
    </row>
    <row r="169" spans="1:23">
      <c r="A169" s="22" t="s">
        <v>14</v>
      </c>
      <c r="C169">
        <f t="shared" ca="1" si="61"/>
        <v>23</v>
      </c>
      <c r="D169">
        <f t="shared" ca="1" si="60"/>
        <v>0</v>
      </c>
      <c r="E169">
        <f t="shared" ca="1" si="59"/>
        <v>0</v>
      </c>
      <c r="F169">
        <f t="shared" ca="1" si="59"/>
        <v>0</v>
      </c>
      <c r="G169">
        <f t="shared" ca="1" si="59"/>
        <v>0</v>
      </c>
      <c r="H169">
        <f t="shared" ca="1" si="59"/>
        <v>0</v>
      </c>
      <c r="I169">
        <f t="shared" ca="1" si="59"/>
        <v>0</v>
      </c>
      <c r="J169">
        <f t="shared" ca="1" si="59"/>
        <v>0</v>
      </c>
      <c r="K169">
        <f t="shared" ca="1" si="59"/>
        <v>0</v>
      </c>
      <c r="L169">
        <f t="shared" ca="1" si="59"/>
        <v>0</v>
      </c>
      <c r="M169">
        <f t="shared" ca="1" si="59"/>
        <v>0</v>
      </c>
      <c r="N169">
        <f t="shared" ca="1" si="59"/>
        <v>1</v>
      </c>
      <c r="O169">
        <f t="shared" ca="1" si="59"/>
        <v>1</v>
      </c>
      <c r="P169">
        <f t="shared" ca="1" si="59"/>
        <v>1</v>
      </c>
      <c r="Q169">
        <f t="shared" ca="1" si="59"/>
        <v>2</v>
      </c>
      <c r="R169">
        <f t="shared" ca="1" si="59"/>
        <v>2</v>
      </c>
      <c r="S169">
        <f t="shared" ca="1" si="59"/>
        <v>2</v>
      </c>
      <c r="T169">
        <f t="shared" ca="1" si="59"/>
        <v>3</v>
      </c>
      <c r="U169">
        <f t="shared" ca="1" si="59"/>
        <v>3</v>
      </c>
      <c r="V169">
        <f t="shared" ca="1" si="59"/>
        <v>3</v>
      </c>
      <c r="W169">
        <f t="shared" ca="1" si="59"/>
        <v>5</v>
      </c>
    </row>
    <row r="170" spans="1:23">
      <c r="A170" s="22" t="s">
        <v>15</v>
      </c>
      <c r="C170">
        <f t="shared" ca="1" si="61"/>
        <v>6</v>
      </c>
      <c r="D170">
        <f t="shared" ca="1" si="60"/>
        <v>0</v>
      </c>
      <c r="E170">
        <f t="shared" ca="1" si="59"/>
        <v>0</v>
      </c>
      <c r="F170">
        <f t="shared" ca="1" si="59"/>
        <v>0</v>
      </c>
      <c r="G170">
        <f t="shared" ca="1" si="59"/>
        <v>0</v>
      </c>
      <c r="H170">
        <f t="shared" ca="1" si="59"/>
        <v>0</v>
      </c>
      <c r="I170">
        <f t="shared" ca="1" si="59"/>
        <v>0</v>
      </c>
      <c r="J170">
        <f t="shared" ca="1" si="59"/>
        <v>0</v>
      </c>
      <c r="K170">
        <f t="shared" ca="1" si="59"/>
        <v>0</v>
      </c>
      <c r="L170">
        <f t="shared" ca="1" si="59"/>
        <v>0</v>
      </c>
      <c r="M170">
        <f t="shared" ca="1" si="59"/>
        <v>0</v>
      </c>
      <c r="N170">
        <f t="shared" ca="1" si="59"/>
        <v>0</v>
      </c>
      <c r="O170">
        <f t="shared" ca="1" si="59"/>
        <v>0</v>
      </c>
      <c r="P170">
        <f t="shared" ca="1" si="59"/>
        <v>0</v>
      </c>
      <c r="Q170">
        <f t="shared" ca="1" si="59"/>
        <v>0</v>
      </c>
      <c r="R170">
        <f t="shared" ca="1" si="59"/>
        <v>1</v>
      </c>
      <c r="S170">
        <f t="shared" ca="1" si="59"/>
        <v>1</v>
      </c>
      <c r="T170">
        <f t="shared" ca="1" si="59"/>
        <v>1</v>
      </c>
      <c r="U170">
        <f t="shared" ca="1" si="59"/>
        <v>1</v>
      </c>
      <c r="V170">
        <f t="shared" ca="1" si="59"/>
        <v>1</v>
      </c>
      <c r="W170">
        <f t="shared" ca="1" si="59"/>
        <v>1</v>
      </c>
    </row>
    <row r="172" spans="1:23">
      <c r="A172" s="30" t="s">
        <v>79</v>
      </c>
    </row>
    <row r="173" spans="1:23">
      <c r="A173" s="22" t="s">
        <v>5</v>
      </c>
      <c r="D173" s="23">
        <f ca="1">-$D160*D$13</f>
        <v>0</v>
      </c>
      <c r="E173" s="23">
        <f ca="1">-(SUM($E160:E160))*E$13</f>
        <v>0</v>
      </c>
      <c r="F173" s="23">
        <f ca="1">-(SUM($E160:F160))*F$13</f>
        <v>0</v>
      </c>
      <c r="G173" s="23">
        <f ca="1">-(SUM($E160:G160))*G$13</f>
        <v>0</v>
      </c>
      <c r="H173" s="23">
        <f ca="1">-(SUM($E160:H160))*H$13</f>
        <v>0</v>
      </c>
      <c r="I173" s="23">
        <f ca="1">-(SUM($E160:I160))*I$13</f>
        <v>0</v>
      </c>
      <c r="J173" s="23">
        <f ca="1">-(SUM($E160:J160))*J$13</f>
        <v>0</v>
      </c>
      <c r="K173" s="23">
        <f ca="1">-(SUM($E160:K160))*K$13</f>
        <v>0</v>
      </c>
      <c r="L173" s="23">
        <f ca="1">-(SUM($E160:L160))*L$13</f>
        <v>0</v>
      </c>
      <c r="M173" s="23">
        <f ca="1">-(SUM($E160:M160))*M$13</f>
        <v>0</v>
      </c>
      <c r="N173" s="23">
        <f ca="1">-(SUM($E160:N160))*N$13</f>
        <v>0</v>
      </c>
      <c r="O173" s="23">
        <f ca="1">-(SUM($E160:O160))*O$13</f>
        <v>0</v>
      </c>
      <c r="P173" s="23">
        <f ca="1">-(SUM($E160:P160))*P$13</f>
        <v>0</v>
      </c>
      <c r="Q173" s="23">
        <f ca="1">-(SUM($E160:Q160))*Q$13</f>
        <v>0</v>
      </c>
      <c r="R173" s="23">
        <f ca="1">-(SUM($E160:R160))*R$13</f>
        <v>0</v>
      </c>
      <c r="S173" s="23">
        <f ca="1">-(SUM($E160:S160))*S$13</f>
        <v>0</v>
      </c>
      <c r="T173" s="23">
        <f ca="1">-(SUM($E160:T160))*T$13</f>
        <v>0</v>
      </c>
      <c r="U173" s="23">
        <f ca="1">-(SUM($E160:U160))*U$13</f>
        <v>0</v>
      </c>
      <c r="V173" s="23">
        <f ca="1">-(SUM($E160:V160))*V$13</f>
        <v>0</v>
      </c>
      <c r="W173" s="23">
        <f ca="1">-(SUM($E160:W160))*W$13</f>
        <v>0</v>
      </c>
    </row>
    <row r="174" spans="1:23">
      <c r="A174" s="22" t="s">
        <v>6</v>
      </c>
      <c r="D174" s="23">
        <f t="shared" ref="D174:D183" ca="1" si="62">-$D161*D$13</f>
        <v>0</v>
      </c>
      <c r="E174" s="23">
        <f ca="1">-(SUM($E161:E161))*E$13</f>
        <v>0</v>
      </c>
      <c r="F174" s="23">
        <f ca="1">-(SUM($E161:F161))*F$13</f>
        <v>0</v>
      </c>
      <c r="G174" s="23">
        <f ca="1">-(SUM($E161:G161))*G$13</f>
        <v>0</v>
      </c>
      <c r="H174" s="23">
        <f ca="1">-(SUM($E161:H161))*H$13</f>
        <v>0</v>
      </c>
      <c r="I174" s="23">
        <f ca="1">-(SUM($E161:I161))*I$13</f>
        <v>0</v>
      </c>
      <c r="J174" s="23">
        <f ca="1">-(SUM($E161:J161))*J$13</f>
        <v>0</v>
      </c>
      <c r="K174" s="23">
        <f ca="1">-(SUM($E161:K161))*K$13</f>
        <v>0</v>
      </c>
      <c r="L174" s="23">
        <f ca="1">-(SUM($E161:L161))*L$13</f>
        <v>0</v>
      </c>
      <c r="M174" s="23">
        <f ca="1">-(SUM($E161:M161))*M$13</f>
        <v>0</v>
      </c>
      <c r="N174" s="23">
        <f ca="1">-(SUM($E161:N161))*N$13</f>
        <v>0</v>
      </c>
      <c r="O174" s="23">
        <f ca="1">-(SUM($E161:O161))*O$13</f>
        <v>0</v>
      </c>
      <c r="P174" s="23">
        <f ca="1">-(SUM($E161:P161))*P$13</f>
        <v>0</v>
      </c>
      <c r="Q174" s="23">
        <f ca="1">-(SUM($E161:Q161))*Q$13</f>
        <v>0</v>
      </c>
      <c r="R174" s="23">
        <f ca="1">-(SUM($E161:R161))*R$13</f>
        <v>0</v>
      </c>
      <c r="S174" s="23">
        <f ca="1">-(SUM($E161:S161))*S$13</f>
        <v>0</v>
      </c>
      <c r="T174" s="23">
        <f ca="1">-(SUM($E161:T161))*T$13</f>
        <v>0</v>
      </c>
      <c r="U174" s="23">
        <f ca="1">-(SUM($E161:U161))*U$13</f>
        <v>0</v>
      </c>
      <c r="V174" s="23">
        <f ca="1">-(SUM($E161:V161))*V$13</f>
        <v>0</v>
      </c>
      <c r="W174" s="23">
        <f ca="1">-(SUM($E161:W161))*W$13</f>
        <v>0</v>
      </c>
    </row>
    <row r="175" spans="1:23">
      <c r="A175" s="22" t="s">
        <v>7</v>
      </c>
      <c r="D175" s="23">
        <f t="shared" ca="1" si="62"/>
        <v>0</v>
      </c>
      <c r="E175" s="23">
        <f ca="1">-(SUM($E162:E162))*E$13</f>
        <v>0</v>
      </c>
      <c r="F175" s="23">
        <f ca="1">-(SUM($E162:F162))*F$13</f>
        <v>0</v>
      </c>
      <c r="G175" s="23">
        <f ca="1">-(SUM($E162:G162))*G$13</f>
        <v>0</v>
      </c>
      <c r="H175" s="23">
        <f ca="1">-(SUM($E162:H162))*H$13</f>
        <v>0</v>
      </c>
      <c r="I175" s="23">
        <f ca="1">-(SUM($E162:I162))*I$13</f>
        <v>0</v>
      </c>
      <c r="J175" s="23">
        <f ca="1">-(SUM($E162:J162))*J$13</f>
        <v>0</v>
      </c>
      <c r="K175" s="23">
        <f ca="1">-(SUM($E162:K162))*K$13</f>
        <v>0</v>
      </c>
      <c r="L175" s="23">
        <f ca="1">-(SUM($E162:L162))*L$13</f>
        <v>0</v>
      </c>
      <c r="M175" s="23">
        <f ca="1">-(SUM($E162:M162))*M$13</f>
        <v>0</v>
      </c>
      <c r="N175" s="23">
        <f ca="1">-(SUM($E162:N162))*N$13</f>
        <v>0</v>
      </c>
      <c r="O175" s="23">
        <f ca="1">-(SUM($E162:O162))*O$13</f>
        <v>0</v>
      </c>
      <c r="P175" s="23">
        <f ca="1">-(SUM($E162:P162))*P$13</f>
        <v>0</v>
      </c>
      <c r="Q175" s="23">
        <f ca="1">-(SUM($E162:Q162))*Q$13</f>
        <v>0</v>
      </c>
      <c r="R175" s="23">
        <f ca="1">-(SUM($E162:R162))*R$13</f>
        <v>0</v>
      </c>
      <c r="S175" s="23">
        <f ca="1">-(SUM($E162:S162))*S$13</f>
        <v>0</v>
      </c>
      <c r="T175" s="23">
        <f ca="1">-(SUM($E162:T162))*T$13</f>
        <v>0</v>
      </c>
      <c r="U175" s="23">
        <f ca="1">-(SUM($E162:U162))*U$13</f>
        <v>0</v>
      </c>
      <c r="V175" s="23">
        <f ca="1">-(SUM($E162:V162))*V$13</f>
        <v>0</v>
      </c>
      <c r="W175" s="23">
        <f ca="1">-(SUM($E162:W162))*W$13</f>
        <v>0</v>
      </c>
    </row>
    <row r="176" spans="1:23">
      <c r="A176" s="22" t="s">
        <v>8</v>
      </c>
      <c r="D176" s="23">
        <f t="shared" ca="1" si="62"/>
        <v>0</v>
      </c>
      <c r="E176" s="23">
        <f ca="1">-(SUM($E163:E163))*E$13</f>
        <v>0</v>
      </c>
      <c r="F176" s="23">
        <f ca="1">-(SUM($E163:F163))*F$13</f>
        <v>0</v>
      </c>
      <c r="G176" s="23">
        <f ca="1">-(SUM($E163:G163))*G$13</f>
        <v>0</v>
      </c>
      <c r="H176" s="23">
        <f ca="1">-(SUM($E163:H163))*H$13</f>
        <v>0</v>
      </c>
      <c r="I176" s="23">
        <f ca="1">-(SUM($E163:I163))*I$13</f>
        <v>0</v>
      </c>
      <c r="J176" s="23">
        <f ca="1">-(SUM($E163:J163))*J$13</f>
        <v>0</v>
      </c>
      <c r="K176" s="23">
        <f ca="1">-(SUM($E163:K163))*K$13</f>
        <v>0</v>
      </c>
      <c r="L176" s="23">
        <f ca="1">-(SUM($E163:L163))*L$13</f>
        <v>0</v>
      </c>
      <c r="M176" s="23">
        <f ca="1">-(SUM($E163:M163))*M$13</f>
        <v>0</v>
      </c>
      <c r="N176" s="23">
        <f ca="1">-(SUM($E163:N163))*N$13</f>
        <v>0</v>
      </c>
      <c r="O176" s="23">
        <f ca="1">-(SUM($E163:O163))*O$13</f>
        <v>0</v>
      </c>
      <c r="P176" s="23">
        <f ca="1">-(SUM($E163:P163))*P$13</f>
        <v>0</v>
      </c>
      <c r="Q176" s="23">
        <f ca="1">-(SUM($E163:Q163))*Q$13</f>
        <v>0</v>
      </c>
      <c r="R176" s="23">
        <f ca="1">-(SUM($E163:R163))*R$13</f>
        <v>0</v>
      </c>
      <c r="S176" s="23">
        <f ca="1">-(SUM($E163:S163))*S$13</f>
        <v>0</v>
      </c>
      <c r="T176" s="23">
        <f ca="1">-(SUM($E163:T163))*T$13</f>
        <v>0</v>
      </c>
      <c r="U176" s="23">
        <f ca="1">-(SUM($E163:U163))*U$13</f>
        <v>0</v>
      </c>
      <c r="V176" s="23">
        <f ca="1">-(SUM($E163:V163))*V$13</f>
        <v>0</v>
      </c>
      <c r="W176" s="23">
        <f ca="1">-(SUM($E163:W163))*W$13</f>
        <v>0</v>
      </c>
    </row>
    <row r="177" spans="1:23">
      <c r="A177" s="22" t="s">
        <v>9</v>
      </c>
      <c r="D177" s="23">
        <f t="shared" ca="1" si="62"/>
        <v>0</v>
      </c>
      <c r="E177" s="23">
        <f ca="1">-(SUM($E164:E164))*E$13</f>
        <v>0</v>
      </c>
      <c r="F177" s="23">
        <f ca="1">-(SUM($E164:F164))*F$13</f>
        <v>0</v>
      </c>
      <c r="G177" s="23">
        <f ca="1">-(SUM($E164:G164))*G$13</f>
        <v>0</v>
      </c>
      <c r="H177" s="23">
        <f ca="1">-(SUM($E164:H164))*H$13</f>
        <v>0</v>
      </c>
      <c r="I177" s="23">
        <f ca="1">-(SUM($E164:I164))*I$13</f>
        <v>0</v>
      </c>
      <c r="J177" s="23">
        <f ca="1">-(SUM($E164:J164))*J$13</f>
        <v>0</v>
      </c>
      <c r="K177" s="23">
        <f ca="1">-(SUM($E164:K164))*K$13</f>
        <v>0</v>
      </c>
      <c r="L177" s="23">
        <f ca="1">-(SUM($E164:L164))*L$13</f>
        <v>0</v>
      </c>
      <c r="M177" s="23">
        <f ca="1">-(SUM($E164:M164))*M$13</f>
        <v>0</v>
      </c>
      <c r="N177" s="23">
        <f ca="1">-(SUM($E164:N164))*N$13</f>
        <v>0</v>
      </c>
      <c r="O177" s="23">
        <f ca="1">-(SUM($E164:O164))*O$13</f>
        <v>0</v>
      </c>
      <c r="P177" s="23">
        <f ca="1">-(SUM($E164:P164))*P$13</f>
        <v>0</v>
      </c>
      <c r="Q177" s="23">
        <f ca="1">-(SUM($E164:Q164))*Q$13</f>
        <v>0</v>
      </c>
      <c r="R177" s="23">
        <f ca="1">-(SUM($E164:R164))*R$13</f>
        <v>0</v>
      </c>
      <c r="S177" s="23">
        <f ca="1">-(SUM($E164:S164))*S$13</f>
        <v>-4878802.1587709123</v>
      </c>
      <c r="T177" s="23">
        <f ca="1">-(SUM($E164:T164))*T$13</f>
        <v>-10147908.490243498</v>
      </c>
      <c r="U177" s="23">
        <f ca="1">-(SUM($E164:U164))*U$13</f>
        <v>-15830737.244779859</v>
      </c>
      <c r="V177" s="23">
        <f ca="1">-(SUM($E164:V164))*V$13</f>
        <v>-21951955.646094736</v>
      </c>
      <c r="W177" s="23">
        <f ca="1">-(SUM($E164:W164))*W$13</f>
        <v>-28537542.339923158</v>
      </c>
    </row>
    <row r="178" spans="1:23">
      <c r="A178" s="22" t="s">
        <v>10</v>
      </c>
      <c r="D178" s="23">
        <f t="shared" ca="1" si="62"/>
        <v>0</v>
      </c>
      <c r="E178" s="23">
        <f ca="1">-(SUM($E165:E165))*E$13</f>
        <v>0</v>
      </c>
      <c r="F178" s="23">
        <f ca="1">-(SUM($E165:F165))*F$13</f>
        <v>0</v>
      </c>
      <c r="G178" s="23">
        <f ca="1">-(SUM($E165:G165))*G$13</f>
        <v>0</v>
      </c>
      <c r="H178" s="23">
        <f ca="1">-(SUM($E165:H165))*H$13</f>
        <v>0</v>
      </c>
      <c r="I178" s="23">
        <f ca="1">-(SUM($E165:I165))*I$13</f>
        <v>0</v>
      </c>
      <c r="J178" s="23">
        <f ca="1">-(SUM($E165:J165))*J$13</f>
        <v>0</v>
      </c>
      <c r="K178" s="23">
        <f ca="1">-(SUM($E165:K165))*K$13</f>
        <v>0</v>
      </c>
      <c r="L178" s="23">
        <f ca="1">-(SUM($E165:L165))*L$13</f>
        <v>0</v>
      </c>
      <c r="M178" s="23">
        <f ca="1">-(SUM($E165:M165))*M$13</f>
        <v>0</v>
      </c>
      <c r="N178" s="23">
        <f ca="1">-(SUM($E165:N165))*N$13</f>
        <v>0</v>
      </c>
      <c r="O178" s="23">
        <f ca="1">-(SUM($E165:O165))*O$13</f>
        <v>0</v>
      </c>
      <c r="P178" s="23">
        <f ca="1">-(SUM($E165:P165))*P$13</f>
        <v>0</v>
      </c>
      <c r="Q178" s="23">
        <f ca="1">-(SUM($E165:Q165))*Q$13</f>
        <v>-4510726.8479760652</v>
      </c>
      <c r="R178" s="23">
        <f ca="1">-(SUM($E165:R165))*R$13</f>
        <v>-9382311.8437902164</v>
      </c>
      <c r="S178" s="23">
        <f ca="1">-(SUM($E165:S165))*S$13</f>
        <v>-14636406.476312738</v>
      </c>
      <c r="T178" s="23">
        <f ca="1">-(SUM($E165:T165))*T$13</f>
        <v>-20295816.980486996</v>
      </c>
      <c r="U178" s="23">
        <f ca="1">-(SUM($E165:U165))*U$13</f>
        <v>-26384562.074633095</v>
      </c>
      <c r="V178" s="23">
        <f ca="1">-(SUM($E165:V165))*V$13</f>
        <v>-38415922.380665787</v>
      </c>
      <c r="W178" s="23">
        <f ca="1">-(SUM($E165:W165))*W$13</f>
        <v>-51367576.211861685</v>
      </c>
    </row>
    <row r="179" spans="1:23">
      <c r="A179" s="22" t="s">
        <v>11</v>
      </c>
      <c r="D179" s="23">
        <f t="shared" ca="1" si="62"/>
        <v>0</v>
      </c>
      <c r="E179" s="23">
        <f ca="1">-(SUM($E166:E166))*E$13</f>
        <v>0</v>
      </c>
      <c r="F179" s="23">
        <f ca="1">-(SUM($E166:F166))*F$13</f>
        <v>0</v>
      </c>
      <c r="G179" s="23">
        <f ca="1">-(SUM($E166:G166))*G$13</f>
        <v>0</v>
      </c>
      <c r="H179" s="23">
        <f ca="1">-(SUM($E166:H166))*H$13</f>
        <v>0</v>
      </c>
      <c r="I179" s="23">
        <f ca="1">-(SUM($E166:I166))*I$13</f>
        <v>0</v>
      </c>
      <c r="J179" s="23">
        <f ca="1">-(SUM($E166:J166))*J$13</f>
        <v>0</v>
      </c>
      <c r="K179" s="23">
        <f ca="1">-(SUM($E166:K166))*K$13</f>
        <v>0</v>
      </c>
      <c r="L179" s="23">
        <f ca="1">-(SUM($E166:L166))*L$13</f>
        <v>0</v>
      </c>
      <c r="M179" s="23">
        <f ca="1">-(SUM($E166:M166))*M$13</f>
        <v>0</v>
      </c>
      <c r="N179" s="23">
        <f ca="1">-(SUM($E166:N166))*N$13</f>
        <v>0</v>
      </c>
      <c r="O179" s="23">
        <f ca="1">-(SUM($E166:O166))*O$13</f>
        <v>-4170420.532522249</v>
      </c>
      <c r="P179" s="23">
        <f ca="1">-(SUM($E166:P166))*P$13</f>
        <v>-8674474.7076462787</v>
      </c>
      <c r="Q179" s="23">
        <f ca="1">-(SUM($E166:Q166))*Q$13</f>
        <v>-13532180.543928195</v>
      </c>
      <c r="R179" s="23">
        <f ca="1">-(SUM($E166:R166))*R$13</f>
        <v>-23455779.609475542</v>
      </c>
      <c r="S179" s="23">
        <f ca="1">-(SUM($E166:S166))*S$13</f>
        <v>-34151615.111396387</v>
      </c>
      <c r="T179" s="23">
        <f ca="1">-(SUM($E166:T166))*T$13</f>
        <v>-45665588.20609574</v>
      </c>
      <c r="U179" s="23">
        <f ca="1">-(SUM($E166:U166))*U$13</f>
        <v>-58046036.564192809</v>
      </c>
      <c r="V179" s="23">
        <f ca="1">-(SUM($E166:V166))*V$13</f>
        <v>-76831844.761331573</v>
      </c>
      <c r="W179" s="23">
        <f ca="1">-(SUM($E166:W166))*W$13</f>
        <v>-97027643.955738738</v>
      </c>
    </row>
    <row r="180" spans="1:23">
      <c r="A180" s="22" t="s">
        <v>12</v>
      </c>
      <c r="D180" s="23">
        <f t="shared" ca="1" si="62"/>
        <v>0</v>
      </c>
      <c r="E180" s="23">
        <f ca="1">-(SUM($E167:E167))*E$13</f>
        <v>0</v>
      </c>
      <c r="F180" s="23">
        <f ca="1">-(SUM($E167:F167))*F$13</f>
        <v>0</v>
      </c>
      <c r="G180" s="23">
        <f ca="1">-(SUM($E167:G167))*G$13</f>
        <v>0</v>
      </c>
      <c r="H180" s="23">
        <f ca="1">-(SUM($E167:H167))*H$13</f>
        <v>0</v>
      </c>
      <c r="I180" s="23">
        <f ca="1">-(SUM($E167:I167))*I$13</f>
        <v>0</v>
      </c>
      <c r="J180" s="23">
        <f ca="1">-(SUM($E167:J167))*J$13</f>
        <v>0</v>
      </c>
      <c r="K180" s="23">
        <f ca="1">-(SUM($E167:K167))*K$13</f>
        <v>0</v>
      </c>
      <c r="L180" s="23">
        <f ca="1">-(SUM($E167:L167))*L$13</f>
        <v>0</v>
      </c>
      <c r="M180" s="23">
        <f ca="1">-(SUM($E167:M167))*M$13</f>
        <v>0</v>
      </c>
      <c r="N180" s="23">
        <f ca="1">-(SUM($E167:N167))*N$13</f>
        <v>0</v>
      </c>
      <c r="O180" s="23">
        <f ca="1">-(SUM($E167:O167))*O$13</f>
        <v>-4170420.532522249</v>
      </c>
      <c r="P180" s="23">
        <f ca="1">-(SUM($E167:P167))*P$13</f>
        <v>-8674474.7076462787</v>
      </c>
      <c r="Q180" s="23">
        <f ca="1">-(SUM($E167:Q167))*Q$13</f>
        <v>-13532180.543928195</v>
      </c>
      <c r="R180" s="23">
        <f ca="1">-(SUM($E167:R167))*R$13</f>
        <v>-23455779.609475542</v>
      </c>
      <c r="S180" s="23">
        <f ca="1">-(SUM($E167:S167))*S$13</f>
        <v>-34151615.111396387</v>
      </c>
      <c r="T180" s="23">
        <f ca="1">-(SUM($E167:T167))*T$13</f>
        <v>-50739542.451217487</v>
      </c>
      <c r="U180" s="23">
        <f ca="1">-(SUM($E167:U167))*U$13</f>
        <v>-68599861.394046053</v>
      </c>
      <c r="V180" s="23">
        <f ca="1">-(SUM($E167:V167))*V$13</f>
        <v>-87807822.584378943</v>
      </c>
      <c r="W180" s="23">
        <f ca="1">-(SUM($E167:W167))*W$13</f>
        <v>-119857677.82767726</v>
      </c>
    </row>
    <row r="181" spans="1:23">
      <c r="A181" s="22" t="s">
        <v>13</v>
      </c>
      <c r="D181" s="23">
        <f t="shared" ca="1" si="62"/>
        <v>0</v>
      </c>
      <c r="E181" s="23">
        <f ca="1">-(SUM($E168:E168))*E$13</f>
        <v>0</v>
      </c>
      <c r="F181" s="23">
        <f ca="1">-(SUM($E168:F168))*F$13</f>
        <v>0</v>
      </c>
      <c r="G181" s="23">
        <f ca="1">-(SUM($E168:G168))*G$13</f>
        <v>0</v>
      </c>
      <c r="H181" s="23">
        <f ca="1">-(SUM($E168:H168))*H$13</f>
        <v>0</v>
      </c>
      <c r="I181" s="23">
        <f ca="1">-(SUM($E168:I168))*I$13</f>
        <v>0</v>
      </c>
      <c r="J181" s="23">
        <f ca="1">-(SUM($E168:J168))*J$13</f>
        <v>0</v>
      </c>
      <c r="K181" s="23">
        <f ca="1">-(SUM($E168:K168))*K$13</f>
        <v>0</v>
      </c>
      <c r="L181" s="23">
        <f ca="1">-(SUM($E168:L168))*L$13</f>
        <v>0</v>
      </c>
      <c r="M181" s="23">
        <f ca="1">-(SUM($E168:M168))*M$13</f>
        <v>0</v>
      </c>
      <c r="N181" s="23">
        <f ca="1">-(SUM($E168:N168))*N$13</f>
        <v>-4010019.7428098549</v>
      </c>
      <c r="O181" s="23">
        <f ca="1">-(SUM($E168:O168))*O$13</f>
        <v>-8340841.0650444981</v>
      </c>
      <c r="P181" s="23">
        <f ca="1">-(SUM($E168:P168))*P$13</f>
        <v>-13011712.061469417</v>
      </c>
      <c r="Q181" s="23">
        <f ca="1">-(SUM($E168:Q168))*Q$13</f>
        <v>-22553634.239880327</v>
      </c>
      <c r="R181" s="23">
        <f ca="1">-(SUM($E168:R168))*R$13</f>
        <v>-32838091.453265756</v>
      </c>
      <c r="S181" s="23">
        <f ca="1">-(SUM($E168:S168))*S$13</f>
        <v>-43909219.42893821</v>
      </c>
      <c r="T181" s="23">
        <f ca="1">-(SUM($E168:T168))*T$13</f>
        <v>-60887450.941460989</v>
      </c>
      <c r="U181" s="23">
        <f ca="1">-(SUM($E168:U168))*U$13</f>
        <v>-79153686.22389929</v>
      </c>
      <c r="V181" s="23">
        <f ca="1">-(SUM($E168:V168))*V$13</f>
        <v>-98783800.407426313</v>
      </c>
      <c r="W181" s="23">
        <f ca="1">-(SUM($E168:W168))*W$13</f>
        <v>-119857677.82767726</v>
      </c>
    </row>
    <row r="182" spans="1:23">
      <c r="A182" s="22" t="s">
        <v>14</v>
      </c>
      <c r="D182" s="23">
        <f t="shared" ca="1" si="62"/>
        <v>0</v>
      </c>
      <c r="E182" s="23">
        <f ca="1">-(SUM($E169:E169))*E$13</f>
        <v>0</v>
      </c>
      <c r="F182" s="23">
        <f ca="1">-(SUM($E169:F169))*F$13</f>
        <v>0</v>
      </c>
      <c r="G182" s="23">
        <f ca="1">-(SUM(E169:G169))*G$13</f>
        <v>0</v>
      </c>
      <c r="H182" s="23">
        <f t="shared" ref="H182:W182" ca="1" si="63">-(SUM(F169:H169))*H$13</f>
        <v>0</v>
      </c>
      <c r="I182" s="23">
        <f t="shared" ca="1" si="63"/>
        <v>0</v>
      </c>
      <c r="J182" s="23">
        <f t="shared" ca="1" si="63"/>
        <v>0</v>
      </c>
      <c r="K182" s="23">
        <f t="shared" ca="1" si="63"/>
        <v>0</v>
      </c>
      <c r="L182" s="23">
        <f t="shared" ca="1" si="63"/>
        <v>0</v>
      </c>
      <c r="M182" s="23">
        <f t="shared" ca="1" si="63"/>
        <v>0</v>
      </c>
      <c r="N182" s="23">
        <f t="shared" ca="1" si="63"/>
        <v>-4010019.7428098549</v>
      </c>
      <c r="O182" s="23">
        <f t="shared" ca="1" si="63"/>
        <v>-8340841.0650444981</v>
      </c>
      <c r="P182" s="23">
        <f t="shared" ca="1" si="63"/>
        <v>-13011712.061469417</v>
      </c>
      <c r="Q182" s="23">
        <f t="shared" ca="1" si="63"/>
        <v>-18042907.391904261</v>
      </c>
      <c r="R182" s="23">
        <f t="shared" ca="1" si="63"/>
        <v>-23455779.609475542</v>
      </c>
      <c r="S182" s="23">
        <f t="shared" ca="1" si="63"/>
        <v>-29272812.952625476</v>
      </c>
      <c r="T182" s="23">
        <f t="shared" ca="1" si="63"/>
        <v>-35517679.715852246</v>
      </c>
      <c r="U182" s="23">
        <f t="shared" ca="1" si="63"/>
        <v>-42215299.319412954</v>
      </c>
      <c r="V182" s="23">
        <f t="shared" ca="1" si="63"/>
        <v>-49391900.203713156</v>
      </c>
      <c r="W182" s="23">
        <f t="shared" ca="1" si="63"/>
        <v>-62782593.147830948</v>
      </c>
    </row>
    <row r="183" spans="1:23">
      <c r="A183" s="22" t="s">
        <v>15</v>
      </c>
      <c r="D183" s="26">
        <f t="shared" ca="1" si="62"/>
        <v>0</v>
      </c>
      <c r="E183" s="26">
        <f ca="1">-(SUM($E170:E170))*E$13</f>
        <v>0</v>
      </c>
      <c r="F183" s="26">
        <f ca="1">-(SUM($E170:F170))*F$13</f>
        <v>0</v>
      </c>
      <c r="G183" s="26">
        <f ca="1">-(SUM($E170:G170))*G$13</f>
        <v>0</v>
      </c>
      <c r="H183" s="26">
        <f ca="1">-(SUM($E170:H170))*H$13</f>
        <v>0</v>
      </c>
      <c r="I183" s="26">
        <f ca="1">-(SUM($E170:I170))*I$13</f>
        <v>0</v>
      </c>
      <c r="J183" s="26">
        <f ca="1">-(SUM($E170:J170))*J$13</f>
        <v>0</v>
      </c>
      <c r="K183" s="26">
        <f ca="1">-(SUM($E170:K170))*K$13</f>
        <v>0</v>
      </c>
      <c r="L183" s="26">
        <f ca="1">-(SUM($E170:L170))*L$13</f>
        <v>0</v>
      </c>
      <c r="M183" s="26">
        <f ca="1">-(SUM($E170:M170))*M$13</f>
        <v>0</v>
      </c>
      <c r="N183" s="26">
        <f ca="1">-(SUM($E170:N170))*N$13</f>
        <v>0</v>
      </c>
      <c r="O183" s="26">
        <f ca="1">-(SUM($E170:O170))*O$13</f>
        <v>0</v>
      </c>
      <c r="P183" s="26">
        <f ca="1">-(SUM($E170:P170))*P$13</f>
        <v>0</v>
      </c>
      <c r="Q183" s="26">
        <f ca="1">-(SUM($E170:Q170))*Q$13</f>
        <v>0</v>
      </c>
      <c r="R183" s="26">
        <f ca="1">-(SUM($E170:R170))*R$13</f>
        <v>-4691155.9218951082</v>
      </c>
      <c r="S183" s="26">
        <f ca="1">-(SUM($E170:S170))*S$13</f>
        <v>-9757604.3175418247</v>
      </c>
      <c r="T183" s="26">
        <f ca="1">-(SUM($E170:T170))*T$13</f>
        <v>-15221862.735365247</v>
      </c>
      <c r="U183" s="26">
        <f ca="1">-(SUM($E170:U170))*U$13</f>
        <v>-21107649.659706477</v>
      </c>
      <c r="V183" s="26">
        <f ca="1">-(SUM($E170:V170))*V$13</f>
        <v>-27439944.557618421</v>
      </c>
      <c r="W183" s="26">
        <f ca="1">-(SUM($E170:W170))*W$13</f>
        <v>-34245050.80790779</v>
      </c>
    </row>
    <row r="184" spans="1:23">
      <c r="A184" s="22" t="s">
        <v>43</v>
      </c>
      <c r="D184" s="23">
        <f ca="1">SUM(D173:D183)</f>
        <v>0</v>
      </c>
      <c r="E184" s="23">
        <f t="shared" ref="E184:W184" ca="1" si="64">SUM(E173:E183)</f>
        <v>0</v>
      </c>
      <c r="F184" s="23">
        <f t="shared" ca="1" si="64"/>
        <v>0</v>
      </c>
      <c r="G184" s="23">
        <f t="shared" ca="1" si="64"/>
        <v>0</v>
      </c>
      <c r="H184" s="23">
        <f t="shared" ca="1" si="64"/>
        <v>0</v>
      </c>
      <c r="I184" s="23">
        <f t="shared" ca="1" si="64"/>
        <v>0</v>
      </c>
      <c r="J184" s="23">
        <f t="shared" ca="1" si="64"/>
        <v>0</v>
      </c>
      <c r="K184" s="23">
        <f t="shared" ca="1" si="64"/>
        <v>0</v>
      </c>
      <c r="L184" s="23">
        <f t="shared" ca="1" si="64"/>
        <v>0</v>
      </c>
      <c r="M184" s="23">
        <f t="shared" ca="1" si="64"/>
        <v>0</v>
      </c>
      <c r="N184" s="23">
        <f t="shared" ca="1" si="64"/>
        <v>-8020039.4856197098</v>
      </c>
      <c r="O184" s="23">
        <f t="shared" ca="1" si="64"/>
        <v>-25022523.195133492</v>
      </c>
      <c r="P184" s="23">
        <f t="shared" ca="1" si="64"/>
        <v>-43372373.538231388</v>
      </c>
      <c r="Q184" s="23">
        <f t="shared" ca="1" si="64"/>
        <v>-72171629.567617044</v>
      </c>
      <c r="R184" s="23">
        <f t="shared" ca="1" si="64"/>
        <v>-117278898.04737769</v>
      </c>
      <c r="S184" s="23">
        <f t="shared" ca="1" si="64"/>
        <v>-170758075.55698195</v>
      </c>
      <c r="T184" s="23">
        <f t="shared" ca="1" si="64"/>
        <v>-238475849.52072218</v>
      </c>
      <c r="U184" s="23">
        <f t="shared" ca="1" si="64"/>
        <v>-311337832.48067051</v>
      </c>
      <c r="V184" s="23">
        <f t="shared" ca="1" si="64"/>
        <v>-400623190.54122895</v>
      </c>
      <c r="W184" s="23">
        <f t="shared" ca="1" si="64"/>
        <v>-513675762.11861682</v>
      </c>
    </row>
    <row r="185" spans="1:23">
      <c r="A185" s="22"/>
    </row>
    <row r="186" spans="1:23">
      <c r="A186" s="22" t="s">
        <v>78</v>
      </c>
    </row>
    <row r="187" spans="1:23">
      <c r="A187" s="22" t="s">
        <v>5</v>
      </c>
      <c r="D187" s="23">
        <f t="shared" ref="D187:W197" ca="1" si="65">D70+D173</f>
        <v>0</v>
      </c>
      <c r="E187" s="23">
        <f t="shared" ca="1" si="65"/>
        <v>0</v>
      </c>
      <c r="F187" s="23">
        <f t="shared" ca="1" si="65"/>
        <v>0</v>
      </c>
      <c r="G187" s="23">
        <f t="shared" ca="1" si="65"/>
        <v>0</v>
      </c>
      <c r="H187" s="23">
        <f t="shared" ca="1" si="65"/>
        <v>0</v>
      </c>
      <c r="I187" s="23">
        <f t="shared" ca="1" si="65"/>
        <v>0</v>
      </c>
      <c r="J187" s="23">
        <f t="shared" ca="1" si="65"/>
        <v>0</v>
      </c>
      <c r="K187" s="23">
        <f t="shared" ca="1" si="65"/>
        <v>0</v>
      </c>
      <c r="L187" s="23">
        <f t="shared" ca="1" si="65"/>
        <v>0</v>
      </c>
      <c r="M187" s="23">
        <f t="shared" ca="1" si="65"/>
        <v>0</v>
      </c>
      <c r="N187" s="23">
        <f t="shared" ca="1" si="65"/>
        <v>0</v>
      </c>
      <c r="O187" s="23">
        <f t="shared" ca="1" si="65"/>
        <v>0</v>
      </c>
      <c r="P187" s="23">
        <f t="shared" ca="1" si="65"/>
        <v>0</v>
      </c>
      <c r="Q187" s="23">
        <f t="shared" ca="1" si="65"/>
        <v>0</v>
      </c>
      <c r="R187" s="23">
        <f t="shared" ca="1" si="65"/>
        <v>0</v>
      </c>
      <c r="S187" s="23">
        <f t="shared" ca="1" si="65"/>
        <v>0</v>
      </c>
      <c r="T187" s="23">
        <f t="shared" ca="1" si="65"/>
        <v>0</v>
      </c>
      <c r="U187" s="23">
        <f t="shared" ca="1" si="65"/>
        <v>0</v>
      </c>
      <c r="V187" s="23">
        <f t="shared" ca="1" si="65"/>
        <v>0</v>
      </c>
      <c r="W187" s="23">
        <f t="shared" ca="1" si="65"/>
        <v>0</v>
      </c>
    </row>
    <row r="188" spans="1:23">
      <c r="A188" s="22" t="s">
        <v>6</v>
      </c>
      <c r="D188" s="23">
        <f t="shared" ca="1" si="65"/>
        <v>0</v>
      </c>
      <c r="E188" s="23">
        <f t="shared" ca="1" si="65"/>
        <v>0</v>
      </c>
      <c r="F188" s="23">
        <f t="shared" ca="1" si="65"/>
        <v>0</v>
      </c>
      <c r="G188" s="23">
        <f t="shared" ca="1" si="65"/>
        <v>0</v>
      </c>
      <c r="H188" s="23">
        <f t="shared" ca="1" si="65"/>
        <v>0</v>
      </c>
      <c r="I188" s="23">
        <f t="shared" ca="1" si="65"/>
        <v>0</v>
      </c>
      <c r="J188" s="23">
        <f t="shared" ca="1" si="65"/>
        <v>0</v>
      </c>
      <c r="K188" s="23">
        <f t="shared" ca="1" si="65"/>
        <v>0</v>
      </c>
      <c r="L188" s="23">
        <f t="shared" ca="1" si="65"/>
        <v>0</v>
      </c>
      <c r="M188" s="23">
        <f t="shared" ca="1" si="65"/>
        <v>0</v>
      </c>
      <c r="N188" s="23">
        <f t="shared" ca="1" si="65"/>
        <v>0</v>
      </c>
      <c r="O188" s="23">
        <f t="shared" ca="1" si="65"/>
        <v>0</v>
      </c>
      <c r="P188" s="23">
        <f t="shared" ca="1" si="65"/>
        <v>0</v>
      </c>
      <c r="Q188" s="23">
        <f t="shared" ca="1" si="65"/>
        <v>0</v>
      </c>
      <c r="R188" s="23">
        <f t="shared" ca="1" si="65"/>
        <v>0</v>
      </c>
      <c r="S188" s="23">
        <f t="shared" ca="1" si="65"/>
        <v>0</v>
      </c>
      <c r="T188" s="23">
        <f t="shared" ca="1" si="65"/>
        <v>0</v>
      </c>
      <c r="U188" s="23">
        <f t="shared" ca="1" si="65"/>
        <v>0</v>
      </c>
      <c r="V188" s="23">
        <f t="shared" ca="1" si="65"/>
        <v>0</v>
      </c>
      <c r="W188" s="23">
        <f t="shared" ca="1" si="65"/>
        <v>0</v>
      </c>
    </row>
    <row r="189" spans="1:23">
      <c r="A189" s="22" t="s">
        <v>7</v>
      </c>
      <c r="D189" s="23">
        <f t="shared" ca="1" si="65"/>
        <v>0</v>
      </c>
      <c r="E189" s="23">
        <f t="shared" ca="1" si="65"/>
        <v>0</v>
      </c>
      <c r="F189" s="23">
        <f t="shared" ca="1" si="65"/>
        <v>0</v>
      </c>
      <c r="G189" s="23">
        <f t="shared" ca="1" si="65"/>
        <v>0</v>
      </c>
      <c r="H189" s="23">
        <f t="shared" ca="1" si="65"/>
        <v>0</v>
      </c>
      <c r="I189" s="23">
        <f t="shared" ca="1" si="65"/>
        <v>0</v>
      </c>
      <c r="J189" s="23">
        <f t="shared" ca="1" si="65"/>
        <v>0</v>
      </c>
      <c r="K189" s="23">
        <f t="shared" ca="1" si="65"/>
        <v>0</v>
      </c>
      <c r="L189" s="23">
        <f t="shared" ca="1" si="65"/>
        <v>0</v>
      </c>
      <c r="M189" s="23">
        <f t="shared" ca="1" si="65"/>
        <v>0</v>
      </c>
      <c r="N189" s="23">
        <f t="shared" ca="1" si="65"/>
        <v>0</v>
      </c>
      <c r="O189" s="23">
        <f t="shared" ca="1" si="65"/>
        <v>0</v>
      </c>
      <c r="P189" s="23">
        <f t="shared" ca="1" si="65"/>
        <v>0</v>
      </c>
      <c r="Q189" s="23">
        <f t="shared" ca="1" si="65"/>
        <v>0</v>
      </c>
      <c r="R189" s="23">
        <f t="shared" ca="1" si="65"/>
        <v>0</v>
      </c>
      <c r="S189" s="23">
        <f t="shared" ca="1" si="65"/>
        <v>0</v>
      </c>
      <c r="T189" s="23">
        <f t="shared" ca="1" si="65"/>
        <v>5073954.2451217491</v>
      </c>
      <c r="U189" s="23">
        <f t="shared" ca="1" si="65"/>
        <v>10553824.829853239</v>
      </c>
      <c r="V189" s="23">
        <f t="shared" ca="1" si="65"/>
        <v>16463966.734571051</v>
      </c>
      <c r="W189" s="23">
        <f t="shared" ca="1" si="65"/>
        <v>22830033.871938527</v>
      </c>
    </row>
    <row r="190" spans="1:23">
      <c r="A190" s="22" t="s">
        <v>8</v>
      </c>
      <c r="D190" s="23">
        <f t="shared" ca="1" si="65"/>
        <v>0</v>
      </c>
      <c r="E190" s="23">
        <f t="shared" ca="1" si="65"/>
        <v>0</v>
      </c>
      <c r="F190" s="23">
        <f t="shared" ca="1" si="65"/>
        <v>0</v>
      </c>
      <c r="G190" s="23">
        <f t="shared" ca="1" si="65"/>
        <v>0</v>
      </c>
      <c r="H190" s="23">
        <f t="shared" ca="1" si="65"/>
        <v>0</v>
      </c>
      <c r="I190" s="23">
        <f t="shared" ca="1" si="65"/>
        <v>0</v>
      </c>
      <c r="J190" s="23">
        <f t="shared" ca="1" si="65"/>
        <v>0</v>
      </c>
      <c r="K190" s="23">
        <f t="shared" ca="1" si="65"/>
        <v>0</v>
      </c>
      <c r="L190" s="23">
        <f t="shared" ca="1" si="65"/>
        <v>0</v>
      </c>
      <c r="M190" s="23">
        <f t="shared" ca="1" si="65"/>
        <v>0</v>
      </c>
      <c r="N190" s="23">
        <f t="shared" ca="1" si="65"/>
        <v>0</v>
      </c>
      <c r="O190" s="23">
        <f t="shared" ca="1" si="65"/>
        <v>4170420.532522249</v>
      </c>
      <c r="P190" s="23">
        <f t="shared" ca="1" si="65"/>
        <v>8674474.7076462787</v>
      </c>
      <c r="Q190" s="23">
        <f t="shared" ca="1" si="65"/>
        <v>13532180.543928195</v>
      </c>
      <c r="R190" s="23">
        <f t="shared" ca="1" si="65"/>
        <v>18764623.687580433</v>
      </c>
      <c r="S190" s="23">
        <f t="shared" ca="1" si="65"/>
        <v>24394010.793854561</v>
      </c>
      <c r="T190" s="23">
        <f t="shared" ca="1" si="65"/>
        <v>30443725.470730495</v>
      </c>
      <c r="U190" s="23">
        <f t="shared" ca="1" si="65"/>
        <v>36938386.904486336</v>
      </c>
      <c r="V190" s="23">
        <f t="shared" ca="1" si="65"/>
        <v>43903911.292189471</v>
      </c>
      <c r="W190" s="23">
        <f t="shared" ca="1" si="65"/>
        <v>51367576.211861685</v>
      </c>
    </row>
    <row r="191" spans="1:23">
      <c r="A191" s="22" t="s">
        <v>9</v>
      </c>
      <c r="D191" s="23">
        <f t="shared" ca="1" si="65"/>
        <v>0</v>
      </c>
      <c r="E191" s="23">
        <f t="shared" ca="1" si="65"/>
        <v>0</v>
      </c>
      <c r="F191" s="23">
        <f t="shared" ca="1" si="65"/>
        <v>0</v>
      </c>
      <c r="G191" s="23">
        <f t="shared" ca="1" si="65"/>
        <v>0</v>
      </c>
      <c r="H191" s="23">
        <f t="shared" ca="1" si="65"/>
        <v>0</v>
      </c>
      <c r="I191" s="23">
        <f t="shared" ca="1" si="65"/>
        <v>0</v>
      </c>
      <c r="J191" s="23">
        <f t="shared" ca="1" si="65"/>
        <v>0</v>
      </c>
      <c r="K191" s="23">
        <f t="shared" ca="1" si="65"/>
        <v>3564892.9495564392</v>
      </c>
      <c r="L191" s="23">
        <f t="shared" ca="1" si="65"/>
        <v>7414977.3350773938</v>
      </c>
      <c r="M191" s="23">
        <f t="shared" ca="1" si="65"/>
        <v>11567364.642720735</v>
      </c>
      <c r="N191" s="23">
        <f t="shared" ca="1" si="65"/>
        <v>16040078.97123942</v>
      </c>
      <c r="O191" s="23">
        <f t="shared" ca="1" si="65"/>
        <v>20852102.662611246</v>
      </c>
      <c r="P191" s="23">
        <f t="shared" ca="1" si="65"/>
        <v>26023424.122938834</v>
      </c>
      <c r="Q191" s="23">
        <f t="shared" ca="1" si="65"/>
        <v>31575087.935832456</v>
      </c>
      <c r="R191" s="23">
        <f t="shared" ca="1" si="65"/>
        <v>37529247.375160865</v>
      </c>
      <c r="S191" s="23">
        <f t="shared" ca="1" si="65"/>
        <v>39030417.270167299</v>
      </c>
      <c r="T191" s="23">
        <f t="shared" ca="1" si="65"/>
        <v>40591633.960973993</v>
      </c>
      <c r="U191" s="23">
        <f t="shared" ca="1" si="65"/>
        <v>47492211.73433958</v>
      </c>
      <c r="V191" s="23">
        <f t="shared" ca="1" si="65"/>
        <v>54879889.115236834</v>
      </c>
      <c r="W191" s="23">
        <f t="shared" ca="1" si="65"/>
        <v>62782593.147830948</v>
      </c>
    </row>
    <row r="192" spans="1:23">
      <c r="A192" s="22" t="s">
        <v>10</v>
      </c>
      <c r="D192" s="23">
        <f t="shared" ca="1" si="65"/>
        <v>0</v>
      </c>
      <c r="E192" s="23">
        <f t="shared" ca="1" si="65"/>
        <v>0</v>
      </c>
      <c r="F192" s="23">
        <f t="shared" ca="1" si="65"/>
        <v>0</v>
      </c>
      <c r="G192" s="23">
        <f t="shared" ca="1" si="65"/>
        <v>0</v>
      </c>
      <c r="H192" s="23">
        <f t="shared" ca="1" si="65"/>
        <v>0</v>
      </c>
      <c r="I192" s="23">
        <f t="shared" ca="1" si="65"/>
        <v>3295943.9252555836</v>
      </c>
      <c r="J192" s="23">
        <f t="shared" ca="1" si="65"/>
        <v>6855563.3645316139</v>
      </c>
      <c r="K192" s="23">
        <f t="shared" ca="1" si="65"/>
        <v>10694678.848669317</v>
      </c>
      <c r="L192" s="23">
        <f t="shared" ca="1" si="65"/>
        <v>14829954.670154788</v>
      </c>
      <c r="M192" s="23">
        <f t="shared" ca="1" si="65"/>
        <v>19278941.071201224</v>
      </c>
      <c r="N192" s="23">
        <f t="shared" ca="1" si="65"/>
        <v>28070138.199668985</v>
      </c>
      <c r="O192" s="23">
        <f t="shared" ca="1" si="65"/>
        <v>37533784.792700239</v>
      </c>
      <c r="P192" s="23">
        <f t="shared" ca="1" si="65"/>
        <v>47709610.892054535</v>
      </c>
      <c r="Q192" s="23">
        <f t="shared" ca="1" si="65"/>
        <v>54128722.175712779</v>
      </c>
      <c r="R192" s="23">
        <f t="shared" ca="1" si="65"/>
        <v>60985026.984636411</v>
      </c>
      <c r="S192" s="23">
        <f t="shared" ca="1" si="65"/>
        <v>73182032.381563678</v>
      </c>
      <c r="T192" s="23">
        <f t="shared" ca="1" si="65"/>
        <v>86257222.167069733</v>
      </c>
      <c r="U192" s="23">
        <f t="shared" ca="1" si="65"/>
        <v>100261335.88360578</v>
      </c>
      <c r="V192" s="23">
        <f t="shared" ca="1" si="65"/>
        <v>109759778.2304737</v>
      </c>
      <c r="W192" s="23">
        <f t="shared" ca="1" si="65"/>
        <v>119857677.82767726</v>
      </c>
    </row>
    <row r="193" spans="1:23">
      <c r="A193" s="22" t="s">
        <v>11</v>
      </c>
      <c r="D193" s="23">
        <f t="shared" ca="1" si="65"/>
        <v>0</v>
      </c>
      <c r="E193" s="23">
        <f t="shared" ca="1" si="65"/>
        <v>0</v>
      </c>
      <c r="F193" s="23">
        <f t="shared" ca="1" si="65"/>
        <v>0</v>
      </c>
      <c r="G193" s="23">
        <f t="shared" ca="1" si="65"/>
        <v>0</v>
      </c>
      <c r="H193" s="23">
        <f t="shared" ca="1" si="65"/>
        <v>3155609.5166183044</v>
      </c>
      <c r="I193" s="23">
        <f t="shared" ca="1" si="65"/>
        <v>6591887.8505111672</v>
      </c>
      <c r="J193" s="23">
        <f t="shared" ca="1" si="65"/>
        <v>10283345.046797421</v>
      </c>
      <c r="K193" s="23">
        <f t="shared" ca="1" si="65"/>
        <v>17824464.747782197</v>
      </c>
      <c r="L193" s="23">
        <f t="shared" ca="1" si="65"/>
        <v>25952420.67277088</v>
      </c>
      <c r="M193" s="23">
        <f t="shared" ca="1" si="65"/>
        <v>34702093.928162202</v>
      </c>
      <c r="N193" s="23">
        <f t="shared" ca="1" si="65"/>
        <v>44110217.170908406</v>
      </c>
      <c r="O193" s="23">
        <f t="shared" ca="1" si="65"/>
        <v>54215466.922789238</v>
      </c>
      <c r="P193" s="23">
        <f t="shared" ca="1" si="65"/>
        <v>65058560.307347089</v>
      </c>
      <c r="Q193" s="23">
        <f t="shared" ca="1" si="65"/>
        <v>76682356.415593117</v>
      </c>
      <c r="R193" s="23">
        <f t="shared" ca="1" si="65"/>
        <v>89131962.516007051</v>
      </c>
      <c r="S193" s="23">
        <f t="shared" ca="1" si="65"/>
        <v>102454845.33418916</v>
      </c>
      <c r="T193" s="23">
        <f t="shared" ca="1" si="65"/>
        <v>116700947.63780023</v>
      </c>
      <c r="U193" s="23">
        <f t="shared" ca="1" si="65"/>
        <v>131922810.37316549</v>
      </c>
      <c r="V193" s="23">
        <f t="shared" ca="1" si="65"/>
        <v>148175700.61113948</v>
      </c>
      <c r="W193" s="23">
        <f t="shared" ca="1" si="65"/>
        <v>165517745.5715543</v>
      </c>
    </row>
    <row r="194" spans="1:23">
      <c r="A194" s="22" t="s">
        <v>12</v>
      </c>
      <c r="D194" s="23">
        <f t="shared" ca="1" si="65"/>
        <v>0</v>
      </c>
      <c r="E194" s="23">
        <f t="shared" ca="1" si="65"/>
        <v>0</v>
      </c>
      <c r="F194" s="23">
        <f t="shared" ca="1" si="65"/>
        <v>0</v>
      </c>
      <c r="G194" s="23">
        <f t="shared" ca="1" si="65"/>
        <v>0</v>
      </c>
      <c r="H194" s="23">
        <f t="shared" ca="1" si="65"/>
        <v>3155609.5166183044</v>
      </c>
      <c r="I194" s="23">
        <f t="shared" ca="1" si="65"/>
        <v>6591887.8505111672</v>
      </c>
      <c r="J194" s="23">
        <f t="shared" ca="1" si="65"/>
        <v>10283345.046797421</v>
      </c>
      <c r="K194" s="23">
        <f t="shared" ca="1" si="65"/>
        <v>17824464.747782197</v>
      </c>
      <c r="L194" s="23">
        <f t="shared" ca="1" si="65"/>
        <v>25952420.67277088</v>
      </c>
      <c r="M194" s="23">
        <f t="shared" ca="1" si="65"/>
        <v>38557882.142402448</v>
      </c>
      <c r="N194" s="23">
        <f t="shared" ca="1" si="65"/>
        <v>52130256.656528115</v>
      </c>
      <c r="O194" s="23">
        <f t="shared" ca="1" si="65"/>
        <v>62556307.987833738</v>
      </c>
      <c r="P194" s="23">
        <f t="shared" ca="1" si="65"/>
        <v>78070272.36881651</v>
      </c>
      <c r="Q194" s="23">
        <f t="shared" ca="1" si="65"/>
        <v>94725263.807497367</v>
      </c>
      <c r="R194" s="23">
        <f t="shared" ca="1" si="65"/>
        <v>107896586.20358749</v>
      </c>
      <c r="S194" s="23">
        <f t="shared" ca="1" si="65"/>
        <v>126848856.12804373</v>
      </c>
      <c r="T194" s="23">
        <f t="shared" ca="1" si="65"/>
        <v>142070718.86340898</v>
      </c>
      <c r="U194" s="23">
        <f t="shared" ca="1" si="65"/>
        <v>153030460.03287196</v>
      </c>
      <c r="V194" s="23">
        <f t="shared" ca="1" si="65"/>
        <v>170127656.25723422</v>
      </c>
      <c r="W194" s="23">
        <f t="shared" ca="1" si="65"/>
        <v>176932762.5075236</v>
      </c>
    </row>
    <row r="195" spans="1:23">
      <c r="A195" s="22" t="s">
        <v>13</v>
      </c>
      <c r="D195" s="23">
        <f t="shared" ca="1" si="65"/>
        <v>0</v>
      </c>
      <c r="E195" s="23">
        <f t="shared" ca="1" si="65"/>
        <v>0</v>
      </c>
      <c r="F195" s="23">
        <f t="shared" ca="1" si="65"/>
        <v>0</v>
      </c>
      <c r="G195" s="23">
        <f t="shared" ca="1" si="65"/>
        <v>0</v>
      </c>
      <c r="H195" s="23">
        <f t="shared" ca="1" si="65"/>
        <v>3155609.5166183044</v>
      </c>
      <c r="I195" s="23">
        <f t="shared" ca="1" si="65"/>
        <v>6591887.8505111672</v>
      </c>
      <c r="J195" s="23">
        <f t="shared" ca="1" si="65"/>
        <v>10283345.046797421</v>
      </c>
      <c r="K195" s="23">
        <f t="shared" ca="1" si="65"/>
        <v>17824464.747782197</v>
      </c>
      <c r="L195" s="23">
        <f t="shared" ca="1" si="65"/>
        <v>25952420.67277088</v>
      </c>
      <c r="M195" s="23">
        <f t="shared" ca="1" si="65"/>
        <v>34702093.928162202</v>
      </c>
      <c r="N195" s="23">
        <f t="shared" ca="1" si="65"/>
        <v>44110217.170908406</v>
      </c>
      <c r="O195" s="23">
        <f t="shared" ca="1" si="65"/>
        <v>54215466.922789238</v>
      </c>
      <c r="P195" s="23">
        <f t="shared" ca="1" si="65"/>
        <v>60721322.953523949</v>
      </c>
      <c r="Q195" s="23">
        <f t="shared" ca="1" si="65"/>
        <v>63150175.871664912</v>
      </c>
      <c r="R195" s="23">
        <f t="shared" ca="1" si="65"/>
        <v>70367338.828426629</v>
      </c>
      <c r="S195" s="23">
        <f t="shared" ca="1" si="65"/>
        <v>73182032.381563693</v>
      </c>
      <c r="T195" s="23">
        <f t="shared" ca="1" si="65"/>
        <v>71035359.431704491</v>
      </c>
      <c r="U195" s="23">
        <f t="shared" ca="1" si="65"/>
        <v>73876773.808972672</v>
      </c>
      <c r="V195" s="23">
        <f t="shared" ca="1" si="65"/>
        <v>71343855.849807903</v>
      </c>
      <c r="W195" s="23">
        <f t="shared" ca="1" si="65"/>
        <v>68490101.615815565</v>
      </c>
    </row>
    <row r="196" spans="1:23">
      <c r="A196" s="22" t="s">
        <v>14</v>
      </c>
      <c r="D196" s="23">
        <f t="shared" ca="1" si="65"/>
        <v>0</v>
      </c>
      <c r="E196" s="23">
        <f t="shared" ca="1" si="65"/>
        <v>0</v>
      </c>
      <c r="F196" s="23">
        <f t="shared" ca="1" si="65"/>
        <v>0</v>
      </c>
      <c r="G196" s="23">
        <f t="shared" ca="1" si="65"/>
        <v>0</v>
      </c>
      <c r="H196" s="23">
        <f t="shared" ca="1" si="65"/>
        <v>3155609.5166183044</v>
      </c>
      <c r="I196" s="23">
        <f t="shared" ca="1" si="65"/>
        <v>6591887.8505111672</v>
      </c>
      <c r="J196" s="23">
        <f t="shared" ca="1" si="65"/>
        <v>10283345.046797421</v>
      </c>
      <c r="K196" s="23">
        <f t="shared" ca="1" si="65"/>
        <v>14259571.798225757</v>
      </c>
      <c r="L196" s="23">
        <f t="shared" ca="1" si="65"/>
        <v>18537443.337693483</v>
      </c>
      <c r="M196" s="23">
        <f t="shared" ca="1" si="65"/>
        <v>23134729.285441469</v>
      </c>
      <c r="N196" s="23">
        <f t="shared" ca="1" si="65"/>
        <v>24060118.45685913</v>
      </c>
      <c r="O196" s="23">
        <f t="shared" ca="1" si="65"/>
        <v>25022523.195133492</v>
      </c>
      <c r="P196" s="23">
        <f t="shared" ca="1" si="65"/>
        <v>26023424.122938838</v>
      </c>
      <c r="Q196" s="23">
        <f t="shared" ca="1" si="65"/>
        <v>27064361.087856393</v>
      </c>
      <c r="R196" s="23">
        <f t="shared" ca="1" si="65"/>
        <v>28146935.531370651</v>
      </c>
      <c r="S196" s="23">
        <f t="shared" ca="1" si="65"/>
        <v>29272812.952625476</v>
      </c>
      <c r="T196" s="23">
        <f t="shared" ca="1" si="65"/>
        <v>30443725.470730491</v>
      </c>
      <c r="U196" s="23">
        <f t="shared" ca="1" si="65"/>
        <v>31661474.489559717</v>
      </c>
      <c r="V196" s="23">
        <f t="shared" ca="1" si="65"/>
        <v>32927933.469142102</v>
      </c>
      <c r="W196" s="23">
        <f t="shared" ca="1" si="65"/>
        <v>28537542.339923158</v>
      </c>
    </row>
    <row r="197" spans="1:23">
      <c r="A197" s="22" t="s">
        <v>15</v>
      </c>
      <c r="D197" s="26">
        <f t="shared" ca="1" si="65"/>
        <v>0</v>
      </c>
      <c r="E197" s="26">
        <f t="shared" ca="1" si="65"/>
        <v>0</v>
      </c>
      <c r="F197" s="26">
        <f t="shared" ca="1" si="65"/>
        <v>0</v>
      </c>
      <c r="G197" s="26">
        <f t="shared" ca="1" si="65"/>
        <v>0</v>
      </c>
      <c r="H197" s="26">
        <f t="shared" ca="1" si="65"/>
        <v>0</v>
      </c>
      <c r="I197" s="26">
        <f t="shared" ca="1" si="65"/>
        <v>0</v>
      </c>
      <c r="J197" s="26">
        <f t="shared" ca="1" si="65"/>
        <v>0</v>
      </c>
      <c r="K197" s="26">
        <f t="shared" ca="1" si="65"/>
        <v>0</v>
      </c>
      <c r="L197" s="26">
        <f t="shared" ca="1" si="65"/>
        <v>0</v>
      </c>
      <c r="M197" s="26">
        <f t="shared" ca="1" si="65"/>
        <v>3855788.2142402451</v>
      </c>
      <c r="N197" s="26">
        <f t="shared" ca="1" si="65"/>
        <v>8020039.4856197098</v>
      </c>
      <c r="O197" s="26">
        <f t="shared" ca="1" si="65"/>
        <v>12511261.597566746</v>
      </c>
      <c r="P197" s="26">
        <f t="shared" ca="1" si="65"/>
        <v>17348949.415292557</v>
      </c>
      <c r="Q197" s="26">
        <f t="shared" ca="1" si="65"/>
        <v>22553634.239880327</v>
      </c>
      <c r="R197" s="26">
        <f t="shared" ca="1" si="65"/>
        <v>23455779.609475538</v>
      </c>
      <c r="S197" s="26">
        <f t="shared" ca="1" si="65"/>
        <v>24394010.793854564</v>
      </c>
      <c r="T197" s="26">
        <f t="shared" ca="1" si="65"/>
        <v>25369771.225608744</v>
      </c>
      <c r="U197" s="26">
        <f t="shared" ca="1" si="65"/>
        <v>26384562.074633095</v>
      </c>
      <c r="V197" s="26">
        <f t="shared" ca="1" si="65"/>
        <v>27439944.557618421</v>
      </c>
      <c r="W197" s="26">
        <f t="shared" ca="1" si="65"/>
        <v>28537542.339923158</v>
      </c>
    </row>
    <row r="198" spans="1:23">
      <c r="A198" s="22" t="s">
        <v>43</v>
      </c>
      <c r="D198" s="23">
        <f ca="1">SUM(D187:D197)</f>
        <v>0</v>
      </c>
      <c r="E198" s="23">
        <f t="shared" ref="E198:W198" ca="1" si="66">SUM(E187:E197)</f>
        <v>0</v>
      </c>
      <c r="F198" s="23">
        <f t="shared" ca="1" si="66"/>
        <v>0</v>
      </c>
      <c r="G198" s="23">
        <f t="shared" ca="1" si="66"/>
        <v>0</v>
      </c>
      <c r="H198" s="23">
        <f t="shared" ca="1" si="66"/>
        <v>12622438.066473218</v>
      </c>
      <c r="I198" s="23">
        <f t="shared" ca="1" si="66"/>
        <v>29663495.327300254</v>
      </c>
      <c r="J198" s="23">
        <f t="shared" ca="1" si="66"/>
        <v>47988943.551721305</v>
      </c>
      <c r="K198" s="23">
        <f t="shared" ca="1" si="66"/>
        <v>81992537.839798108</v>
      </c>
      <c r="L198" s="23">
        <f t="shared" ca="1" si="66"/>
        <v>118639637.3612383</v>
      </c>
      <c r="M198" s="23">
        <f t="shared" ca="1" si="66"/>
        <v>165798893.21233052</v>
      </c>
      <c r="N198" s="23">
        <f t="shared" ca="1" si="66"/>
        <v>216541066.11173221</v>
      </c>
      <c r="O198" s="23">
        <f t="shared" ca="1" si="66"/>
        <v>271077334.6139462</v>
      </c>
      <c r="P198" s="23">
        <f t="shared" ca="1" si="66"/>
        <v>329630038.89055854</v>
      </c>
      <c r="Q198" s="23">
        <f t="shared" ca="1" si="66"/>
        <v>383411782.07796562</v>
      </c>
      <c r="R198" s="23">
        <f t="shared" ca="1" si="66"/>
        <v>436277500.7362451</v>
      </c>
      <c r="S198" s="23">
        <f t="shared" ca="1" si="66"/>
        <v>492759018.03586209</v>
      </c>
      <c r="T198" s="23">
        <f t="shared" ca="1" si="66"/>
        <v>547987058.47314894</v>
      </c>
      <c r="U198" s="23">
        <f t="shared" ca="1" si="66"/>
        <v>612121840.13148797</v>
      </c>
      <c r="V198" s="23">
        <f t="shared" ca="1" si="66"/>
        <v>675022636.11741304</v>
      </c>
      <c r="W198" s="23">
        <f t="shared" ca="1" si="66"/>
        <v>724853575.43404806</v>
      </c>
    </row>
    <row r="199" spans="1:23">
      <c r="A199" s="22"/>
      <c r="D199" s="23"/>
      <c r="E199" s="23"/>
      <c r="F199" s="23"/>
      <c r="G199" s="23"/>
      <c r="H199" s="23"/>
      <c r="I199" s="23"/>
      <c r="J199" s="23"/>
      <c r="K199" s="23"/>
      <c r="L199" s="23"/>
      <c r="M199" s="23"/>
      <c r="N199" s="23"/>
      <c r="O199" s="23"/>
      <c r="P199" s="23"/>
      <c r="Q199" s="23"/>
      <c r="R199" s="23"/>
      <c r="S199" s="23"/>
      <c r="T199" s="23"/>
      <c r="U199" s="23"/>
      <c r="V199" s="23"/>
      <c r="W199" s="23"/>
    </row>
    <row r="200" spans="1:23" hidden="1">
      <c r="A200" s="22"/>
      <c r="D200" s="23"/>
      <c r="E200" s="23"/>
      <c r="F200" s="23"/>
      <c r="G200" s="23"/>
      <c r="H200" s="23"/>
      <c r="I200" s="23"/>
      <c r="J200" s="23"/>
      <c r="K200" s="23"/>
      <c r="L200" s="23"/>
      <c r="M200" s="23"/>
      <c r="N200" s="23"/>
      <c r="O200" s="23"/>
      <c r="P200" s="23"/>
      <c r="Q200" s="23"/>
      <c r="R200" s="23"/>
      <c r="S200" s="23"/>
      <c r="T200" s="23"/>
      <c r="U200" s="23"/>
      <c r="V200" s="23"/>
      <c r="W200" s="23"/>
    </row>
    <row r="201" spans="1:23" hidden="1">
      <c r="A201" s="30" t="s">
        <v>85</v>
      </c>
      <c r="D201" s="32">
        <v>16000000</v>
      </c>
      <c r="E201" s="23"/>
      <c r="F201" s="23"/>
      <c r="G201" s="23"/>
      <c r="H201" s="23"/>
      <c r="I201" s="23"/>
      <c r="J201" s="23"/>
      <c r="K201" s="23"/>
      <c r="L201" s="23"/>
      <c r="M201" s="23"/>
      <c r="N201" s="23"/>
      <c r="O201" s="23"/>
      <c r="P201" s="23"/>
      <c r="Q201" s="23"/>
      <c r="R201" s="23"/>
      <c r="S201" s="23"/>
      <c r="T201" s="23"/>
      <c r="U201" s="23"/>
      <c r="V201" s="23"/>
      <c r="W201" s="23"/>
    </row>
    <row r="202" spans="1:23" hidden="1">
      <c r="A202" s="30" t="s">
        <v>87</v>
      </c>
      <c r="D202" s="13">
        <v>0.66</v>
      </c>
      <c r="E202" s="23"/>
      <c r="F202" s="23"/>
      <c r="G202" s="23"/>
      <c r="H202" s="23"/>
      <c r="I202" s="23"/>
      <c r="J202" s="23"/>
      <c r="K202" s="23"/>
      <c r="L202" s="23"/>
      <c r="M202" s="23"/>
      <c r="N202" s="23"/>
      <c r="O202" s="23"/>
      <c r="P202" s="23"/>
      <c r="Q202" s="23"/>
      <c r="R202" s="23"/>
      <c r="S202" s="23"/>
      <c r="T202" s="23"/>
      <c r="U202" s="23"/>
      <c r="V202" s="23"/>
      <c r="W202" s="23"/>
    </row>
    <row r="203" spans="1:23" hidden="1">
      <c r="A203" s="30" t="s">
        <v>88</v>
      </c>
      <c r="D203" s="33">
        <f>D201*D202</f>
        <v>10560000</v>
      </c>
      <c r="E203" s="23"/>
      <c r="F203" s="23"/>
      <c r="G203" s="23"/>
      <c r="H203" s="23"/>
      <c r="I203" s="23"/>
      <c r="J203" s="23"/>
      <c r="K203" s="23"/>
      <c r="L203" s="23"/>
      <c r="M203" s="23"/>
      <c r="N203" s="23"/>
      <c r="O203" s="23"/>
      <c r="P203" s="23"/>
      <c r="Q203" s="23"/>
      <c r="R203" s="23"/>
      <c r="S203" s="23"/>
      <c r="T203" s="23"/>
      <c r="U203" s="23"/>
      <c r="V203" s="23"/>
      <c r="W203" s="23"/>
    </row>
    <row r="204" spans="1:23" hidden="1">
      <c r="A204" s="30" t="s">
        <v>89</v>
      </c>
      <c r="D204" s="32">
        <f>10000000+7000000</f>
        <v>17000000</v>
      </c>
      <c r="E204" s="23"/>
      <c r="F204" s="23"/>
      <c r="G204" s="23"/>
      <c r="H204" s="23"/>
      <c r="I204" s="23"/>
      <c r="J204" s="23"/>
      <c r="K204" s="23"/>
      <c r="L204" s="23"/>
      <c r="M204" s="23"/>
      <c r="N204" s="23"/>
      <c r="O204" s="23"/>
      <c r="P204" s="23"/>
      <c r="Q204" s="23"/>
      <c r="R204" s="23"/>
      <c r="S204" s="23"/>
      <c r="T204" s="23"/>
      <c r="U204" s="23"/>
      <c r="V204" s="23"/>
      <c r="W204" s="23"/>
    </row>
    <row r="205" spans="1:23" hidden="1">
      <c r="A205" s="30" t="s">
        <v>90</v>
      </c>
      <c r="D205" s="32">
        <v>10000000</v>
      </c>
      <c r="E205" s="23"/>
      <c r="F205" s="23"/>
      <c r="G205" s="23"/>
      <c r="H205" s="23"/>
      <c r="I205" s="23"/>
      <c r="J205" s="23"/>
      <c r="K205" s="23"/>
      <c r="L205" s="23"/>
      <c r="M205" s="23"/>
      <c r="N205" s="23"/>
      <c r="O205" s="23"/>
      <c r="P205" s="23"/>
      <c r="Q205" s="23"/>
      <c r="R205" s="23"/>
      <c r="S205" s="23"/>
      <c r="T205" s="23"/>
      <c r="U205" s="23"/>
      <c r="V205" s="23"/>
      <c r="W205" s="23"/>
    </row>
    <row r="206" spans="1:23" hidden="1">
      <c r="A206" s="30" t="s">
        <v>87</v>
      </c>
      <c r="D206" s="13">
        <v>0.66</v>
      </c>
      <c r="E206" s="23"/>
      <c r="F206" s="23"/>
      <c r="G206" s="23"/>
      <c r="H206" s="23"/>
      <c r="I206" s="23"/>
      <c r="J206" s="23"/>
      <c r="K206" s="23"/>
      <c r="L206" s="23"/>
      <c r="M206" s="23"/>
      <c r="N206" s="23"/>
      <c r="O206" s="23"/>
      <c r="P206" s="23"/>
      <c r="Q206" s="23"/>
      <c r="R206" s="23"/>
      <c r="S206" s="23"/>
      <c r="T206" s="23"/>
      <c r="U206" s="23"/>
      <c r="V206" s="23"/>
      <c r="W206" s="23"/>
    </row>
    <row r="207" spans="1:23" hidden="1">
      <c r="A207" s="30" t="s">
        <v>91</v>
      </c>
      <c r="D207" s="33">
        <f>D205*D206</f>
        <v>6600000</v>
      </c>
      <c r="E207" s="23"/>
      <c r="F207" s="23"/>
      <c r="G207" s="23"/>
      <c r="H207" s="23"/>
      <c r="I207" s="23"/>
      <c r="J207" s="23"/>
      <c r="K207" s="23"/>
      <c r="L207" s="23"/>
      <c r="M207" s="23"/>
      <c r="N207" s="23"/>
      <c r="O207" s="23"/>
      <c r="P207" s="23"/>
      <c r="Q207" s="23"/>
      <c r="R207" s="23"/>
      <c r="S207" s="23"/>
      <c r="T207" s="23"/>
      <c r="U207" s="23"/>
      <c r="V207" s="23"/>
      <c r="W207" s="23"/>
    </row>
    <row r="208" spans="1:23" hidden="1">
      <c r="A208" s="30" t="s">
        <v>92</v>
      </c>
      <c r="D208" s="28">
        <f>0.45*3/12</f>
        <v>0.1125</v>
      </c>
      <c r="E208" s="28">
        <f>45%-D208</f>
        <v>0.33750000000000002</v>
      </c>
      <c r="F208" s="28">
        <v>0.28999999999999998</v>
      </c>
      <c r="G208" s="28">
        <v>0.18</v>
      </c>
      <c r="H208" s="28">
        <v>0.08</v>
      </c>
      <c r="I208" s="23"/>
      <c r="J208" s="23"/>
      <c r="K208" s="23"/>
      <c r="L208" s="23"/>
      <c r="M208" s="23"/>
      <c r="N208" s="23"/>
      <c r="O208" s="23"/>
      <c r="P208" s="23"/>
      <c r="Q208" s="23"/>
      <c r="R208" s="23"/>
      <c r="S208" s="23"/>
      <c r="T208" s="23"/>
      <c r="U208" s="23"/>
      <c r="V208" s="23"/>
      <c r="W208" s="23"/>
    </row>
    <row r="209" spans="1:24" hidden="1">
      <c r="A209" s="30" t="s">
        <v>93</v>
      </c>
      <c r="D209" s="33">
        <f>7000000</f>
        <v>7000000</v>
      </c>
      <c r="E209" s="28"/>
      <c r="F209" s="28"/>
      <c r="G209" s="28"/>
      <c r="H209" s="28"/>
      <c r="I209" s="23"/>
      <c r="J209" s="23"/>
      <c r="K209" s="23"/>
      <c r="L209" s="23"/>
      <c r="M209" s="23"/>
      <c r="N209" s="23"/>
      <c r="O209" s="23"/>
      <c r="P209" s="23"/>
      <c r="Q209" s="23"/>
      <c r="R209" s="23"/>
      <c r="S209" s="23"/>
      <c r="T209" s="23"/>
      <c r="U209" s="23"/>
      <c r="V209" s="23"/>
      <c r="W209" s="23"/>
    </row>
    <row r="210" spans="1:24" hidden="1">
      <c r="A210" s="30"/>
      <c r="D210" s="28">
        <f>0.05*3/12</f>
        <v>1.2500000000000002E-2</v>
      </c>
      <c r="E210" s="28">
        <f>5%-D210</f>
        <v>3.7499999999999999E-2</v>
      </c>
      <c r="F210" s="28">
        <v>0.54</v>
      </c>
      <c r="G210" s="28">
        <v>0.35</v>
      </c>
      <c r="H210" s="28">
        <v>0.06</v>
      </c>
      <c r="I210" s="23"/>
      <c r="J210" s="23"/>
      <c r="K210" s="23"/>
      <c r="L210" s="23"/>
      <c r="M210" s="23"/>
      <c r="N210" s="23"/>
      <c r="O210" s="23"/>
      <c r="P210" s="23"/>
      <c r="Q210" s="23"/>
      <c r="R210" s="23"/>
      <c r="S210" s="23"/>
      <c r="T210" s="23"/>
      <c r="U210" s="23"/>
      <c r="V210" s="23"/>
      <c r="W210" s="23"/>
    </row>
    <row r="211" spans="1:24" hidden="1">
      <c r="A211" s="30"/>
      <c r="D211" s="21">
        <v>1</v>
      </c>
      <c r="E211" s="34">
        <v>2</v>
      </c>
      <c r="F211" s="21">
        <v>3</v>
      </c>
      <c r="G211" s="34">
        <v>4</v>
      </c>
      <c r="H211" s="21">
        <v>5</v>
      </c>
      <c r="I211" s="34">
        <v>6</v>
      </c>
      <c r="J211" s="21">
        <v>7</v>
      </c>
      <c r="K211" s="34">
        <v>8</v>
      </c>
      <c r="L211" s="21">
        <v>9</v>
      </c>
      <c r="M211" s="34">
        <v>10</v>
      </c>
      <c r="N211" s="21">
        <v>11</v>
      </c>
      <c r="O211" s="34">
        <v>12</v>
      </c>
      <c r="P211" s="21">
        <v>13</v>
      </c>
      <c r="Q211" s="34">
        <v>14</v>
      </c>
      <c r="R211" s="21">
        <v>15</v>
      </c>
      <c r="S211" s="34">
        <v>16</v>
      </c>
      <c r="T211" s="21">
        <v>17</v>
      </c>
      <c r="U211" s="34">
        <v>18</v>
      </c>
      <c r="V211" s="21">
        <v>19</v>
      </c>
      <c r="W211" s="34">
        <v>20</v>
      </c>
    </row>
    <row r="212" spans="1:24" hidden="1">
      <c r="D212">
        <v>2009</v>
      </c>
      <c r="E212">
        <v>2010</v>
      </c>
      <c r="F212">
        <v>2011</v>
      </c>
      <c r="G212">
        <v>2012</v>
      </c>
      <c r="H212">
        <v>2013</v>
      </c>
      <c r="I212">
        <v>2014</v>
      </c>
      <c r="J212">
        <v>2015</v>
      </c>
      <c r="K212">
        <v>2016</v>
      </c>
      <c r="L212">
        <v>2017</v>
      </c>
      <c r="M212">
        <v>2018</v>
      </c>
      <c r="N212">
        <v>2019</v>
      </c>
      <c r="O212">
        <v>2020</v>
      </c>
      <c r="P212">
        <v>2021</v>
      </c>
      <c r="Q212">
        <v>2022</v>
      </c>
      <c r="R212">
        <v>2023</v>
      </c>
      <c r="S212">
        <v>2024</v>
      </c>
      <c r="T212">
        <v>2025</v>
      </c>
      <c r="U212">
        <v>2026</v>
      </c>
      <c r="V212">
        <v>2027</v>
      </c>
      <c r="W212">
        <v>2028</v>
      </c>
    </row>
    <row r="213" spans="1:24" hidden="1">
      <c r="A213" s="22" t="s">
        <v>84</v>
      </c>
      <c r="D213" s="23">
        <f ca="1">D198</f>
        <v>0</v>
      </c>
      <c r="E213" s="23">
        <f t="shared" ref="E213:W213" ca="1" si="67">E198</f>
        <v>0</v>
      </c>
      <c r="F213" s="23">
        <f t="shared" ca="1" si="67"/>
        <v>0</v>
      </c>
      <c r="G213" s="23">
        <f t="shared" ca="1" si="67"/>
        <v>0</v>
      </c>
      <c r="H213" s="23">
        <f t="shared" ca="1" si="67"/>
        <v>12622438.066473218</v>
      </c>
      <c r="I213" s="23">
        <f t="shared" ca="1" si="67"/>
        <v>29663495.327300254</v>
      </c>
      <c r="J213" s="23">
        <f t="shared" ca="1" si="67"/>
        <v>47988943.551721305</v>
      </c>
      <c r="K213" s="23">
        <f t="shared" ca="1" si="67"/>
        <v>81992537.839798108</v>
      </c>
      <c r="L213" s="23">
        <f t="shared" ca="1" si="67"/>
        <v>118639637.3612383</v>
      </c>
      <c r="M213" s="23">
        <f t="shared" ca="1" si="67"/>
        <v>165798893.21233052</v>
      </c>
      <c r="N213" s="23">
        <f t="shared" ca="1" si="67"/>
        <v>216541066.11173221</v>
      </c>
      <c r="O213" s="23">
        <f t="shared" ca="1" si="67"/>
        <v>271077334.6139462</v>
      </c>
      <c r="P213" s="23">
        <f t="shared" ca="1" si="67"/>
        <v>329630038.89055854</v>
      </c>
      <c r="Q213" s="23">
        <f t="shared" ca="1" si="67"/>
        <v>383411782.07796562</v>
      </c>
      <c r="R213" s="23">
        <f t="shared" ca="1" si="67"/>
        <v>436277500.7362451</v>
      </c>
      <c r="S213" s="23">
        <f t="shared" ca="1" si="67"/>
        <v>492759018.03586209</v>
      </c>
      <c r="T213" s="23">
        <f t="shared" ca="1" si="67"/>
        <v>547987058.47314894</v>
      </c>
      <c r="U213" s="23">
        <f t="shared" ca="1" si="67"/>
        <v>612121840.13148797</v>
      </c>
      <c r="V213" s="23">
        <f t="shared" ca="1" si="67"/>
        <v>675022636.11741304</v>
      </c>
      <c r="W213" s="23">
        <f t="shared" ca="1" si="67"/>
        <v>724853575.43404806</v>
      </c>
    </row>
    <row r="214" spans="1:24" hidden="1">
      <c r="A214" s="22" t="s">
        <v>80</v>
      </c>
      <c r="D214" s="23">
        <f>($D203/5+$D207*D208+$D209*D210)*exrate</f>
        <v>4589520000</v>
      </c>
      <c r="E214" s="23">
        <f>($D203/5+$D207*E208+$D209*E210)*exrate</f>
        <v>7179120000</v>
      </c>
      <c r="F214" s="23">
        <f>($D203/5+$D207*F208+$D209*F210)*exrate</f>
        <v>12177360000</v>
      </c>
      <c r="G214" s="23">
        <f>($D203/5+$D207*G208+$D209*G210)*exrate</f>
        <v>8970000000</v>
      </c>
      <c r="H214" s="23">
        <f>($D203/5+$D207*H208+$D209*H210)*exrate</f>
        <v>4773600000</v>
      </c>
      <c r="I214" s="23"/>
      <c r="J214" s="23"/>
      <c r="K214" s="23"/>
      <c r="L214" s="23"/>
      <c r="M214" s="23"/>
      <c r="N214" s="23"/>
      <c r="O214" s="23"/>
      <c r="P214" s="23"/>
      <c r="Q214" s="23"/>
      <c r="R214" s="23"/>
      <c r="S214" s="23"/>
      <c r="T214" s="23"/>
      <c r="U214" s="23"/>
      <c r="V214" s="23"/>
      <c r="W214" s="23"/>
    </row>
    <row r="215" spans="1:24" hidden="1">
      <c r="A215" s="22" t="s">
        <v>96</v>
      </c>
      <c r="D215" s="26"/>
      <c r="E215" s="26"/>
      <c r="F215" s="26"/>
      <c r="G215" s="26"/>
      <c r="H215" s="26"/>
      <c r="I215" s="26">
        <f t="shared" ref="I215:W215" si="68">1000000*exrate</f>
        <v>1560000000</v>
      </c>
      <c r="J215" s="26">
        <f t="shared" si="68"/>
        <v>1560000000</v>
      </c>
      <c r="K215" s="26">
        <f t="shared" si="68"/>
        <v>1560000000</v>
      </c>
      <c r="L215" s="26">
        <f t="shared" si="68"/>
        <v>1560000000</v>
      </c>
      <c r="M215" s="26">
        <f t="shared" si="68"/>
        <v>1560000000</v>
      </c>
      <c r="N215" s="26">
        <f t="shared" si="68"/>
        <v>1560000000</v>
      </c>
      <c r="O215" s="26">
        <f t="shared" si="68"/>
        <v>1560000000</v>
      </c>
      <c r="P215" s="26">
        <f t="shared" si="68"/>
        <v>1560000000</v>
      </c>
      <c r="Q215" s="26">
        <f t="shared" si="68"/>
        <v>1560000000</v>
      </c>
      <c r="R215" s="26">
        <f t="shared" si="68"/>
        <v>1560000000</v>
      </c>
      <c r="S215" s="26">
        <f t="shared" si="68"/>
        <v>1560000000</v>
      </c>
      <c r="T215" s="26">
        <f t="shared" si="68"/>
        <v>1560000000</v>
      </c>
      <c r="U215" s="26">
        <f t="shared" si="68"/>
        <v>1560000000</v>
      </c>
      <c r="V215" s="26">
        <f t="shared" si="68"/>
        <v>1560000000</v>
      </c>
      <c r="W215" s="26">
        <f t="shared" si="68"/>
        <v>1560000000</v>
      </c>
    </row>
    <row r="216" spans="1:24" hidden="1">
      <c r="A216" s="22" t="s">
        <v>81</v>
      </c>
      <c r="D216" s="23">
        <f ca="1">D213-D214-D215</f>
        <v>-4589520000</v>
      </c>
      <c r="E216" s="23">
        <f t="shared" ref="E216:W216" ca="1" si="69">E213-E214-E215</f>
        <v>-7179120000</v>
      </c>
      <c r="F216" s="23">
        <f t="shared" ca="1" si="69"/>
        <v>-12177360000</v>
      </c>
      <c r="G216" s="23">
        <f t="shared" ca="1" si="69"/>
        <v>-8970000000</v>
      </c>
      <c r="H216" s="23">
        <f t="shared" ca="1" si="69"/>
        <v>-4760977561.933527</v>
      </c>
      <c r="I216" s="23">
        <f t="shared" ca="1" si="69"/>
        <v>-1530336504.6726997</v>
      </c>
      <c r="J216" s="23">
        <f t="shared" ca="1" si="69"/>
        <v>-1512011056.4482787</v>
      </c>
      <c r="K216" s="23">
        <f t="shared" ca="1" si="69"/>
        <v>-1478007462.1602018</v>
      </c>
      <c r="L216" s="23">
        <f t="shared" ca="1" si="69"/>
        <v>-1441360362.6387618</v>
      </c>
      <c r="M216" s="23">
        <f t="shared" ca="1" si="69"/>
        <v>-1394201106.7876694</v>
      </c>
      <c r="N216" s="23">
        <f t="shared" ca="1" si="69"/>
        <v>-1343458933.8882678</v>
      </c>
      <c r="O216" s="23">
        <f t="shared" ca="1" si="69"/>
        <v>-1288922665.3860538</v>
      </c>
      <c r="P216" s="23">
        <f t="shared" ca="1" si="69"/>
        <v>-1230369961.1094415</v>
      </c>
      <c r="Q216" s="23">
        <f t="shared" ca="1" si="69"/>
        <v>-1176588217.9220343</v>
      </c>
      <c r="R216" s="23">
        <f t="shared" ca="1" si="69"/>
        <v>-1123722499.2637548</v>
      </c>
      <c r="S216" s="23">
        <f t="shared" ca="1" si="69"/>
        <v>-1067240981.9641379</v>
      </c>
      <c r="T216" s="23">
        <f t="shared" ca="1" si="69"/>
        <v>-1012012941.5268511</v>
      </c>
      <c r="U216" s="23">
        <f t="shared" ca="1" si="69"/>
        <v>-947878159.86851203</v>
      </c>
      <c r="V216" s="23">
        <f t="shared" ca="1" si="69"/>
        <v>-884977363.88258696</v>
      </c>
      <c r="W216" s="23">
        <f t="shared" ca="1" si="69"/>
        <v>-835146424.56595194</v>
      </c>
      <c r="X216" s="23"/>
    </row>
    <row r="217" spans="1:24" hidden="1">
      <c r="B217" s="21" t="s">
        <v>82</v>
      </c>
      <c r="C217" s="56" t="e">
        <f ca="1">IRR(D216:W216,0.1)</f>
        <v>#NUM!</v>
      </c>
      <c r="D217" s="21"/>
      <c r="E217" s="21"/>
    </row>
    <row r="218" spans="1:24" hidden="1">
      <c r="A218" s="22" t="s">
        <v>143</v>
      </c>
      <c r="B218" t="s">
        <v>120</v>
      </c>
      <c r="C218" s="32">
        <f ca="1">NPV(0.1,D213:W213)-NPV(0.1,D215:W215)</f>
        <v>-10656764083.032278</v>
      </c>
      <c r="I218" s="23"/>
    </row>
    <row r="219" spans="1:24" hidden="1">
      <c r="A219" s="22" t="s">
        <v>118</v>
      </c>
      <c r="B219" t="s">
        <v>121</v>
      </c>
      <c r="C219" s="32">
        <f ca="1">C218/B15</f>
        <v>-14152409.140813118</v>
      </c>
    </row>
    <row r="220" spans="1:24" hidden="1">
      <c r="A220" s="22" t="s">
        <v>94</v>
      </c>
      <c r="C220" s="33">
        <f>SUM(D220:H220)</f>
        <v>24160000</v>
      </c>
      <c r="D220" s="33">
        <f>D214/exrate</f>
        <v>2942000</v>
      </c>
      <c r="E220" s="33">
        <f>E214/exrate</f>
        <v>4602000</v>
      </c>
      <c r="F220" s="33">
        <f>F214/exrate</f>
        <v>7806000</v>
      </c>
      <c r="G220" s="33">
        <f>G214/exrate</f>
        <v>5750000</v>
      </c>
      <c r="H220" s="33">
        <f>H214/exrate</f>
        <v>3060000</v>
      </c>
    </row>
    <row r="221" spans="1:24" hidden="1">
      <c r="A221" s="22" t="s">
        <v>124</v>
      </c>
      <c r="C221" s="32">
        <f>NPV(0.1,D214:H214)/exrate</f>
        <v>18169961.192417305</v>
      </c>
      <c r="D221" s="13">
        <f ca="1">C219/C221</f>
        <v>-0.77889044401037066</v>
      </c>
      <c r="E221" s="32"/>
      <c r="F221" s="32"/>
      <c r="G221" s="32"/>
    </row>
    <row r="222" spans="1:24" hidden="1">
      <c r="A222" t="s">
        <v>95</v>
      </c>
    </row>
    <row r="223" spans="1:24" hidden="1">
      <c r="A223" s="22" t="s">
        <v>125</v>
      </c>
      <c r="C223" s="21">
        <f ca="1">C219/B41</f>
        <v>-22393.05243799544</v>
      </c>
    </row>
    <row r="224" spans="1:24" hidden="1">
      <c r="A224" s="22"/>
      <c r="C224" s="21"/>
    </row>
    <row r="225" spans="1:24" hidden="1">
      <c r="A225" s="38" t="s">
        <v>137</v>
      </c>
      <c r="B225" s="39"/>
      <c r="C225" s="40"/>
      <c r="D225" s="39"/>
      <c r="E225" s="39"/>
      <c r="F225" s="39"/>
      <c r="G225" s="39"/>
      <c r="H225" s="39"/>
      <c r="I225" s="39"/>
      <c r="J225" s="39"/>
      <c r="K225" s="39"/>
      <c r="L225" s="39"/>
      <c r="M225" s="39"/>
      <c r="N225" s="39"/>
      <c r="O225" s="39"/>
      <c r="P225" s="39"/>
      <c r="Q225" s="39"/>
      <c r="R225" s="39"/>
      <c r="S225" s="39"/>
      <c r="T225" s="39"/>
      <c r="U225" s="39"/>
      <c r="V225" s="39"/>
      <c r="W225" s="41"/>
    </row>
    <row r="226" spans="1:24" hidden="1">
      <c r="A226" s="42" t="s">
        <v>101</v>
      </c>
      <c r="B226" s="43"/>
      <c r="C226" s="43"/>
      <c r="D226" s="43"/>
      <c r="E226" s="43"/>
      <c r="F226" s="43"/>
      <c r="G226" s="43"/>
      <c r="H226" s="43"/>
      <c r="I226" s="43"/>
      <c r="J226" s="43"/>
      <c r="K226" s="43"/>
      <c r="L226" s="43"/>
      <c r="M226" s="43"/>
      <c r="N226" s="43"/>
      <c r="O226" s="43"/>
      <c r="P226" s="43"/>
      <c r="Q226" s="43"/>
      <c r="R226" s="43"/>
      <c r="S226" s="43"/>
      <c r="T226" s="43"/>
      <c r="U226" s="43"/>
      <c r="V226" s="43"/>
      <c r="W226" s="44"/>
    </row>
    <row r="227" spans="1:24" hidden="1">
      <c r="A227" s="42" t="s">
        <v>123</v>
      </c>
      <c r="B227" s="45">
        <v>1.2E-2</v>
      </c>
      <c r="C227" s="43"/>
      <c r="D227" s="43"/>
      <c r="E227" s="43"/>
      <c r="F227" s="43"/>
      <c r="G227" s="43"/>
      <c r="H227" s="43"/>
      <c r="I227" s="43"/>
      <c r="J227" s="43"/>
      <c r="K227" s="43"/>
      <c r="L227" s="43"/>
      <c r="M227" s="43"/>
      <c r="N227" s="43"/>
      <c r="O227" s="43"/>
      <c r="P227" s="43"/>
      <c r="Q227" s="43"/>
      <c r="R227" s="43"/>
      <c r="S227" s="43"/>
      <c r="T227" s="43"/>
      <c r="U227" s="43"/>
      <c r="V227" s="43"/>
      <c r="W227" s="44"/>
    </row>
    <row r="228" spans="1:24" hidden="1">
      <c r="A228" s="42" t="s">
        <v>122</v>
      </c>
      <c r="B228" s="46">
        <f>B8*B227</f>
        <v>73560000000</v>
      </c>
      <c r="C228" s="43"/>
      <c r="D228" s="43"/>
      <c r="E228" s="43"/>
      <c r="F228" s="43"/>
      <c r="G228" s="43"/>
      <c r="H228" s="43"/>
      <c r="I228" s="43"/>
      <c r="J228" s="43"/>
      <c r="K228" s="43"/>
      <c r="L228" s="43"/>
      <c r="M228" s="43"/>
      <c r="N228" s="43"/>
      <c r="O228" s="43"/>
      <c r="P228" s="43"/>
      <c r="Q228" s="43"/>
      <c r="R228" s="43"/>
      <c r="S228" s="43"/>
      <c r="T228" s="43"/>
      <c r="U228" s="43"/>
      <c r="V228" s="43"/>
      <c r="W228" s="44"/>
    </row>
    <row r="229" spans="1:24" hidden="1">
      <c r="A229" s="42" t="s">
        <v>97</v>
      </c>
      <c r="B229" s="47">
        <v>4700000000</v>
      </c>
      <c r="C229" s="43"/>
      <c r="D229" s="48">
        <v>0</v>
      </c>
      <c r="E229" s="48">
        <f>B229</f>
        <v>4700000000</v>
      </c>
      <c r="F229" s="48">
        <f t="shared" ref="F229:W229" si="70">E229*(1+popgrowth)</f>
        <v>4770500000</v>
      </c>
      <c r="G229" s="48">
        <f t="shared" si="70"/>
        <v>4842057500</v>
      </c>
      <c r="H229" s="48">
        <f t="shared" si="70"/>
        <v>4914688362.5</v>
      </c>
      <c r="I229" s="48">
        <f t="shared" si="70"/>
        <v>4988408687.937499</v>
      </c>
      <c r="J229" s="48">
        <f t="shared" si="70"/>
        <v>5063234818.2565613</v>
      </c>
      <c r="K229" s="48">
        <f t="shared" si="70"/>
        <v>5139183340.5304089</v>
      </c>
      <c r="L229" s="48">
        <f t="shared" si="70"/>
        <v>5216271090.6383648</v>
      </c>
      <c r="M229" s="48">
        <f t="shared" si="70"/>
        <v>5294515156.9979401</v>
      </c>
      <c r="N229" s="48">
        <f t="shared" si="70"/>
        <v>5373932884.3529091</v>
      </c>
      <c r="O229" s="48">
        <f t="shared" si="70"/>
        <v>5454541877.6182022</v>
      </c>
      <c r="P229" s="48">
        <f t="shared" si="70"/>
        <v>5536360005.7824745</v>
      </c>
      <c r="Q229" s="48">
        <f t="shared" si="70"/>
        <v>5619405405.8692112</v>
      </c>
      <c r="R229" s="48">
        <f t="shared" si="70"/>
        <v>5703696486.9572487</v>
      </c>
      <c r="S229" s="48">
        <f t="shared" si="70"/>
        <v>5789251934.2616072</v>
      </c>
      <c r="T229" s="48">
        <f t="shared" si="70"/>
        <v>5876090713.2755308</v>
      </c>
      <c r="U229" s="48">
        <f t="shared" si="70"/>
        <v>5964232073.9746628</v>
      </c>
      <c r="V229" s="48">
        <f t="shared" si="70"/>
        <v>6053695555.0842819</v>
      </c>
      <c r="W229" s="49">
        <f t="shared" si="70"/>
        <v>6144500988.4105453</v>
      </c>
    </row>
    <row r="230" spans="1:24" hidden="1">
      <c r="A230" s="42" t="s">
        <v>99</v>
      </c>
      <c r="B230" s="43">
        <v>0.03</v>
      </c>
      <c r="C230" s="43"/>
      <c r="D230" s="48"/>
      <c r="E230" s="48"/>
      <c r="F230" s="48"/>
      <c r="G230" s="48"/>
      <c r="H230" s="48"/>
      <c r="I230" s="48"/>
      <c r="J230" s="48"/>
      <c r="K230" s="48"/>
      <c r="L230" s="48"/>
      <c r="M230" s="48"/>
      <c r="N230" s="48"/>
      <c r="O230" s="48"/>
      <c r="P230" s="48"/>
      <c r="Q230" s="48"/>
      <c r="R230" s="48"/>
      <c r="S230" s="48"/>
      <c r="T230" s="48"/>
      <c r="U230" s="48"/>
      <c r="V230" s="48"/>
      <c r="W230" s="49"/>
    </row>
    <row r="231" spans="1:24" hidden="1">
      <c r="A231" s="42" t="s">
        <v>100</v>
      </c>
      <c r="B231" s="46">
        <f>NPV(B230,D229:W229)</f>
        <v>74000977265.117142</v>
      </c>
      <c r="C231" s="43"/>
      <c r="D231" s="48"/>
      <c r="E231" s="48"/>
      <c r="F231" s="48"/>
      <c r="G231" s="48"/>
      <c r="H231" s="48"/>
      <c r="I231" s="48"/>
      <c r="J231" s="48"/>
      <c r="K231" s="48"/>
      <c r="L231" s="48"/>
      <c r="M231" s="48"/>
      <c r="N231" s="48"/>
      <c r="O231" s="48"/>
      <c r="P231" s="48"/>
      <c r="Q231" s="48"/>
      <c r="R231" s="48"/>
      <c r="S231" s="48"/>
      <c r="T231" s="48"/>
      <c r="U231" s="48"/>
      <c r="V231" s="48"/>
      <c r="W231" s="49"/>
    </row>
    <row r="232" spans="1:24" hidden="1">
      <c r="A232" s="42"/>
      <c r="B232" s="43"/>
      <c r="C232" s="43"/>
      <c r="D232" s="48">
        <f>D229-D214-D215</f>
        <v>-4589520000</v>
      </c>
      <c r="E232" s="48">
        <f t="shared" ref="E232:W232" si="71">E229-E214-E215</f>
        <v>-2479120000</v>
      </c>
      <c r="F232" s="48">
        <f t="shared" si="71"/>
        <v>-7406860000</v>
      </c>
      <c r="G232" s="48">
        <f t="shared" si="71"/>
        <v>-4127942500</v>
      </c>
      <c r="H232" s="48">
        <f t="shared" si="71"/>
        <v>141088362.5</v>
      </c>
      <c r="I232" s="48">
        <f t="shared" si="71"/>
        <v>3428408687.937499</v>
      </c>
      <c r="J232" s="48">
        <f t="shared" si="71"/>
        <v>3503234818.2565613</v>
      </c>
      <c r="K232" s="48">
        <f t="shared" si="71"/>
        <v>3579183340.5304089</v>
      </c>
      <c r="L232" s="48">
        <f t="shared" si="71"/>
        <v>3656271090.6383648</v>
      </c>
      <c r="M232" s="48">
        <f t="shared" si="71"/>
        <v>3734515156.9979401</v>
      </c>
      <c r="N232" s="48">
        <f t="shared" si="71"/>
        <v>3813932884.3529091</v>
      </c>
      <c r="O232" s="48">
        <f t="shared" si="71"/>
        <v>3894541877.6182022</v>
      </c>
      <c r="P232" s="48">
        <f t="shared" si="71"/>
        <v>3976360005.7824745</v>
      </c>
      <c r="Q232" s="48">
        <f t="shared" si="71"/>
        <v>4059405405.8692112</v>
      </c>
      <c r="R232" s="48">
        <f t="shared" si="71"/>
        <v>4143696486.9572487</v>
      </c>
      <c r="S232" s="48">
        <f t="shared" si="71"/>
        <v>4229251934.2616072</v>
      </c>
      <c r="T232" s="48">
        <f t="shared" si="71"/>
        <v>4316090713.2755308</v>
      </c>
      <c r="U232" s="48">
        <f t="shared" si="71"/>
        <v>4404232073.9746628</v>
      </c>
      <c r="V232" s="48">
        <f t="shared" si="71"/>
        <v>4493695555.0842819</v>
      </c>
      <c r="W232" s="49">
        <f t="shared" si="71"/>
        <v>4584500988.4105453</v>
      </c>
    </row>
    <row r="233" spans="1:24" hidden="1">
      <c r="A233" s="50"/>
      <c r="B233" s="51" t="s">
        <v>82</v>
      </c>
      <c r="C233" s="52">
        <f>IRR(D232:W232,0.1)</f>
        <v>0.12783769852397864</v>
      </c>
      <c r="D233" s="3"/>
      <c r="E233" s="3"/>
      <c r="F233" s="3"/>
      <c r="G233" s="3"/>
      <c r="H233" s="3"/>
      <c r="I233" s="3"/>
      <c r="J233" s="3"/>
      <c r="K233" s="3"/>
      <c r="L233" s="3"/>
      <c r="M233" s="3"/>
      <c r="N233" s="3"/>
      <c r="O233" s="3"/>
      <c r="P233" s="3"/>
      <c r="Q233" s="3"/>
      <c r="R233" s="3"/>
      <c r="S233" s="3"/>
      <c r="T233" s="3"/>
      <c r="U233" s="3"/>
      <c r="V233" s="3"/>
      <c r="W233" s="53"/>
    </row>
    <row r="234" spans="1:24" hidden="1"/>
    <row r="235" spans="1:24" hidden="1"/>
    <row r="236" spans="1:24" hidden="1">
      <c r="A236" t="s">
        <v>108</v>
      </c>
    </row>
    <row r="237" spans="1:24" hidden="1">
      <c r="A237" t="s">
        <v>109</v>
      </c>
    </row>
    <row r="238" spans="1:24" hidden="1">
      <c r="D238">
        <v>2009</v>
      </c>
      <c r="E238">
        <v>2010</v>
      </c>
      <c r="F238">
        <v>2011</v>
      </c>
      <c r="G238">
        <v>2012</v>
      </c>
      <c r="H238">
        <v>2013</v>
      </c>
      <c r="I238">
        <v>2014</v>
      </c>
      <c r="J238">
        <v>2015</v>
      </c>
      <c r="K238">
        <v>2016</v>
      </c>
      <c r="L238">
        <v>2017</v>
      </c>
      <c r="M238">
        <v>2018</v>
      </c>
      <c r="N238">
        <v>2019</v>
      </c>
      <c r="O238">
        <v>2020</v>
      </c>
      <c r="P238">
        <v>2021</v>
      </c>
      <c r="Q238">
        <v>2022</v>
      </c>
      <c r="R238">
        <v>2023</v>
      </c>
      <c r="S238">
        <v>2024</v>
      </c>
      <c r="T238">
        <v>2025</v>
      </c>
      <c r="U238">
        <v>2026</v>
      </c>
      <c r="V238">
        <v>2027</v>
      </c>
      <c r="W238">
        <v>2028</v>
      </c>
    </row>
    <row r="239" spans="1:24" hidden="1">
      <c r="A239" t="s">
        <v>84</v>
      </c>
      <c r="D239" s="23">
        <f ca="1">D213/0.75</f>
        <v>0</v>
      </c>
      <c r="E239" s="23">
        <f t="shared" ref="E239:W239" ca="1" si="72">E213/0.75</f>
        <v>0</v>
      </c>
      <c r="F239" s="23">
        <f t="shared" ca="1" si="72"/>
        <v>0</v>
      </c>
      <c r="G239" s="23">
        <f t="shared" ca="1" si="72"/>
        <v>0</v>
      </c>
      <c r="H239" s="23">
        <f t="shared" ca="1" si="72"/>
        <v>16829917.421964291</v>
      </c>
      <c r="I239" s="23">
        <f t="shared" ca="1" si="72"/>
        <v>39551327.103067003</v>
      </c>
      <c r="J239" s="23">
        <f t="shared" ca="1" si="72"/>
        <v>63985258.06896174</v>
      </c>
      <c r="K239" s="23">
        <f t="shared" ca="1" si="72"/>
        <v>109323383.78639747</v>
      </c>
      <c r="L239" s="23">
        <f t="shared" ca="1" si="72"/>
        <v>158186183.14831772</v>
      </c>
      <c r="M239" s="23">
        <f t="shared" ca="1" si="72"/>
        <v>221065190.94977403</v>
      </c>
      <c r="N239" s="23">
        <f t="shared" ca="1" si="72"/>
        <v>288721421.48230964</v>
      </c>
      <c r="O239" s="23">
        <f t="shared" ca="1" si="72"/>
        <v>361436446.15192825</v>
      </c>
      <c r="P239" s="23">
        <f t="shared" ca="1" si="72"/>
        <v>439506718.52074474</v>
      </c>
      <c r="Q239" s="23">
        <f t="shared" ca="1" si="72"/>
        <v>511215709.43728751</v>
      </c>
      <c r="R239" s="23">
        <f t="shared" ca="1" si="72"/>
        <v>581703334.3149935</v>
      </c>
      <c r="S239" s="23">
        <f t="shared" ca="1" si="72"/>
        <v>657012024.04781616</v>
      </c>
      <c r="T239" s="23">
        <f t="shared" ca="1" si="72"/>
        <v>730649411.29753196</v>
      </c>
      <c r="U239" s="23">
        <f t="shared" ca="1" si="72"/>
        <v>816162453.50865066</v>
      </c>
      <c r="V239" s="23">
        <f t="shared" ca="1" si="72"/>
        <v>900030181.48988402</v>
      </c>
      <c r="W239" s="23">
        <f t="shared" ca="1" si="72"/>
        <v>966471433.91206408</v>
      </c>
      <c r="X239" s="23"/>
    </row>
    <row r="240" spans="1:24" hidden="1">
      <c r="A240" t="s">
        <v>110</v>
      </c>
      <c r="D240" s="23">
        <f>($D201/5+$D205*D208+$D209*D210)*exrate</f>
        <v>6883500000</v>
      </c>
      <c r="E240" s="23">
        <f>($D201/5+$D205*E208+$D209*E210)*exrate</f>
        <v>10666500000</v>
      </c>
      <c r="F240" s="23">
        <f>($D201/5+$D205*F208+$D209*F210)*exrate</f>
        <v>15412800000</v>
      </c>
      <c r="G240" s="23">
        <f>($D201/5+$D205*G208+$D209*G210)*exrate</f>
        <v>11622000000</v>
      </c>
      <c r="H240" s="23">
        <f>($D201/5+$D205*H208+$D209*H210)*exrate</f>
        <v>6895200000</v>
      </c>
      <c r="I240" s="23">
        <f>$D205*I208+$D209*I210+I215</f>
        <v>1560000000</v>
      </c>
      <c r="J240" s="23">
        <f t="shared" ref="J240:W240" si="73">$D205*J208+$D209*J210+J215</f>
        <v>1560000000</v>
      </c>
      <c r="K240" s="23">
        <f t="shared" si="73"/>
        <v>1560000000</v>
      </c>
      <c r="L240" s="23">
        <f t="shared" si="73"/>
        <v>1560000000</v>
      </c>
      <c r="M240" s="23">
        <f t="shared" si="73"/>
        <v>1560000000</v>
      </c>
      <c r="N240" s="23">
        <f t="shared" si="73"/>
        <v>1560000000</v>
      </c>
      <c r="O240" s="23">
        <f t="shared" si="73"/>
        <v>1560000000</v>
      </c>
      <c r="P240" s="23">
        <f t="shared" si="73"/>
        <v>1560000000</v>
      </c>
      <c r="Q240" s="23">
        <f t="shared" si="73"/>
        <v>1560000000</v>
      </c>
      <c r="R240" s="23">
        <f t="shared" si="73"/>
        <v>1560000000</v>
      </c>
      <c r="S240" s="23">
        <f t="shared" si="73"/>
        <v>1560000000</v>
      </c>
      <c r="T240" s="23">
        <f t="shared" si="73"/>
        <v>1560000000</v>
      </c>
      <c r="U240" s="23">
        <f t="shared" si="73"/>
        <v>1560000000</v>
      </c>
      <c r="V240" s="23">
        <f t="shared" si="73"/>
        <v>1560000000</v>
      </c>
      <c r="W240" s="23">
        <f t="shared" si="73"/>
        <v>1560000000</v>
      </c>
      <c r="X240" s="23"/>
    </row>
    <row r="241" spans="1:23" hidden="1">
      <c r="D241" s="23">
        <f ca="1">D239-D240</f>
        <v>-6883500000</v>
      </c>
      <c r="E241" s="23">
        <f t="shared" ref="E241:W241" ca="1" si="74">E239-E240</f>
        <v>-10666500000</v>
      </c>
      <c r="F241" s="23">
        <f t="shared" ca="1" si="74"/>
        <v>-15412800000</v>
      </c>
      <c r="G241" s="23">
        <f t="shared" ca="1" si="74"/>
        <v>-11622000000</v>
      </c>
      <c r="H241" s="23">
        <f t="shared" ca="1" si="74"/>
        <v>-6878370082.5780354</v>
      </c>
      <c r="I241" s="23">
        <f t="shared" ca="1" si="74"/>
        <v>-1520448672.8969331</v>
      </c>
      <c r="J241" s="23">
        <f t="shared" ca="1" si="74"/>
        <v>-1496014741.9310384</v>
      </c>
      <c r="K241" s="23">
        <f t="shared" ca="1" si="74"/>
        <v>-1450676616.2136025</v>
      </c>
      <c r="L241" s="23">
        <f t="shared" ca="1" si="74"/>
        <v>-1401813816.8516822</v>
      </c>
      <c r="M241" s="23">
        <f t="shared" ca="1" si="74"/>
        <v>-1338934809.050226</v>
      </c>
      <c r="N241" s="23">
        <f t="shared" ca="1" si="74"/>
        <v>-1271278578.5176904</v>
      </c>
      <c r="O241" s="23">
        <f t="shared" ca="1" si="74"/>
        <v>-1198563553.8480718</v>
      </c>
      <c r="P241" s="23">
        <f t="shared" ca="1" si="74"/>
        <v>-1120493281.4792552</v>
      </c>
      <c r="Q241" s="23">
        <f t="shared" ca="1" si="74"/>
        <v>-1048784290.5627124</v>
      </c>
      <c r="R241" s="23">
        <f t="shared" ca="1" si="74"/>
        <v>-978296665.6850065</v>
      </c>
      <c r="S241" s="23">
        <f t="shared" ca="1" si="74"/>
        <v>-902987975.95218384</v>
      </c>
      <c r="T241" s="23">
        <f t="shared" ca="1" si="74"/>
        <v>-829350588.70246804</v>
      </c>
      <c r="U241" s="23">
        <f t="shared" ca="1" si="74"/>
        <v>-743837546.49134934</v>
      </c>
      <c r="V241" s="23">
        <f t="shared" ca="1" si="74"/>
        <v>-659969818.51011598</v>
      </c>
      <c r="W241" s="23">
        <f t="shared" ca="1" si="74"/>
        <v>-593528566.08793592</v>
      </c>
    </row>
    <row r="242" spans="1:23" hidden="1">
      <c r="B242" s="21" t="s">
        <v>82</v>
      </c>
      <c r="C242" s="4" t="e">
        <f ca="1">IRR(D241:W241,0.1)</f>
        <v>#NUM!</v>
      </c>
    </row>
    <row r="243" spans="1:23" hidden="1"/>
    <row r="244" spans="1:23" hidden="1">
      <c r="A244" t="s">
        <v>113</v>
      </c>
      <c r="B244" s="3">
        <v>2009</v>
      </c>
      <c r="C244" s="3">
        <v>2029</v>
      </c>
    </row>
    <row r="245" spans="1:23" hidden="1">
      <c r="A245" t="s">
        <v>112</v>
      </c>
      <c r="B245">
        <f>pop*0.68*0.4</f>
        <v>729912.00000000012</v>
      </c>
      <c r="C245" s="21">
        <f>W44*0.68*0.4</f>
        <v>968557.27245415049</v>
      </c>
    </row>
    <row r="246" spans="1:23" hidden="1">
      <c r="A246" t="s">
        <v>114</v>
      </c>
      <c r="B246">
        <v>0.55000000000000004</v>
      </c>
      <c r="C246">
        <v>0.55000000000000004</v>
      </c>
    </row>
    <row r="247" spans="1:23" hidden="1">
      <c r="A247" t="s">
        <v>115</v>
      </c>
      <c r="B247">
        <v>0.42</v>
      </c>
      <c r="C247">
        <v>0.42</v>
      </c>
    </row>
    <row r="248" spans="1:23" hidden="1">
      <c r="A248" t="s">
        <v>117</v>
      </c>
      <c r="B248">
        <v>4120</v>
      </c>
      <c r="D248" t="s">
        <v>116</v>
      </c>
    </row>
    <row r="249" spans="1:23" hidden="1"/>
    <row r="250" spans="1:23" hidden="1"/>
    <row r="251" spans="1:23" hidden="1">
      <c r="B251" s="21">
        <f>29000/0.7</f>
        <v>41428.571428571435</v>
      </c>
    </row>
    <row r="252" spans="1:23" hidden="1">
      <c r="B252" s="21">
        <f>B251-29000</f>
        <v>12428.571428571435</v>
      </c>
    </row>
    <row r="253" spans="1:23" hidden="1">
      <c r="B253" s="21">
        <f>B252-B248</f>
        <v>8308.5714285714348</v>
      </c>
    </row>
    <row r="254" spans="1:23" hidden="1"/>
    <row r="255" spans="1:23" hidden="1"/>
  </sheetData>
  <mergeCells count="16">
    <mergeCell ref="P17:P18"/>
    <mergeCell ref="Q17:Q18"/>
    <mergeCell ref="R17:R18"/>
    <mergeCell ref="S17:W17"/>
    <mergeCell ref="J17:J18"/>
    <mergeCell ref="K17:K18"/>
    <mergeCell ref="L17:L18"/>
    <mergeCell ref="M17:M18"/>
    <mergeCell ref="N17:N18"/>
    <mergeCell ref="O17:O18"/>
    <mergeCell ref="I17:I18"/>
    <mergeCell ref="D17:D18"/>
    <mergeCell ref="E17:E18"/>
    <mergeCell ref="F17:F18"/>
    <mergeCell ref="G17:G18"/>
    <mergeCell ref="H17:H18"/>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2" sqref="A2"/>
    </sheetView>
  </sheetViews>
  <sheetFormatPr defaultRowHeight="15"/>
  <cols>
    <col min="1" max="1" width="30.7109375" customWidth="1"/>
  </cols>
  <sheetData>
    <row r="1" spans="1:3">
      <c r="A1" s="37" t="s">
        <v>200</v>
      </c>
    </row>
    <row r="2" spans="1:3">
      <c r="A2" t="s">
        <v>201</v>
      </c>
    </row>
    <row r="3" spans="1:3">
      <c r="A3" t="s">
        <v>202</v>
      </c>
    </row>
    <row r="4" spans="1:3">
      <c r="A4" t="s">
        <v>203</v>
      </c>
      <c r="B4" s="61">
        <v>0.25</v>
      </c>
      <c r="C4" t="s">
        <v>206</v>
      </c>
    </row>
    <row r="5" spans="1:3">
      <c r="B5" s="61">
        <v>0.14000000000000001</v>
      </c>
      <c r="C5" t="s">
        <v>205</v>
      </c>
    </row>
    <row r="6" spans="1:3">
      <c r="B6" s="62">
        <v>4.4999999999999998E-2</v>
      </c>
      <c r="C6" t="s">
        <v>204</v>
      </c>
    </row>
    <row r="7" spans="1:3">
      <c r="B7" s="61">
        <v>0.1</v>
      </c>
      <c r="C7" t="s">
        <v>208</v>
      </c>
    </row>
    <row r="8" spans="1:3">
      <c r="A8" t="s">
        <v>207</v>
      </c>
      <c r="B8" s="61">
        <f>AVERAGE(B4:B7)</f>
        <v>0.13375000000000001</v>
      </c>
    </row>
    <row r="10" spans="1:3">
      <c r="A10" t="s">
        <v>209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2:V61"/>
  <sheetViews>
    <sheetView zoomScale="85" zoomScaleNormal="85" workbookViewId="0">
      <pane xSplit="3" ySplit="6" topLeftCell="K7" activePane="bottomRight" state="frozen"/>
      <selection pane="topRight" activeCell="D1" sqref="D1"/>
      <selection pane="bottomLeft" activeCell="A7" sqref="A7"/>
      <selection pane="bottomRight" activeCell="M3" sqref="M3"/>
    </sheetView>
  </sheetViews>
  <sheetFormatPr defaultColWidth="8.85546875" defaultRowHeight="12" outlineLevelRow="1"/>
  <cols>
    <col min="1" max="1" width="9" style="178" bestFit="1" customWidth="1"/>
    <col min="2" max="2" width="34.28515625" style="178" customWidth="1"/>
    <col min="3" max="3" width="16.7109375" style="178" bestFit="1" customWidth="1"/>
    <col min="4" max="4" width="13.7109375" style="178" bestFit="1" customWidth="1"/>
    <col min="5" max="5" width="15.28515625" style="178" bestFit="1" customWidth="1"/>
    <col min="6" max="7" width="15.5703125" style="178" bestFit="1" customWidth="1"/>
    <col min="8" max="8" width="16.140625" style="178" bestFit="1" customWidth="1"/>
    <col min="9" max="12" width="8.85546875" style="179"/>
    <col min="13" max="13" width="13.5703125" style="179" bestFit="1" customWidth="1"/>
    <col min="14" max="14" width="15" style="179" bestFit="1" customWidth="1"/>
    <col min="15" max="15" width="14.5703125" style="179" bestFit="1" customWidth="1"/>
    <col min="16" max="16" width="13.42578125" style="179" bestFit="1" customWidth="1"/>
    <col min="17" max="19" width="8.85546875" style="179"/>
    <col min="20" max="20" width="16.42578125" style="179" bestFit="1" customWidth="1"/>
    <col min="21" max="21" width="17" style="179" bestFit="1" customWidth="1"/>
    <col min="22" max="22" width="18.140625" style="179" bestFit="1" customWidth="1"/>
    <col min="23" max="16384" width="8.85546875" style="179"/>
  </cols>
  <sheetData>
    <row r="2" spans="1:22" s="160" customFormat="1" ht="12.75" customHeight="1">
      <c r="A2" s="406" t="s">
        <v>369</v>
      </c>
      <c r="B2" s="406" t="s">
        <v>370</v>
      </c>
      <c r="C2" s="407" t="s">
        <v>18</v>
      </c>
      <c r="D2" s="405">
        <v>2009</v>
      </c>
      <c r="E2" s="405">
        <v>2010</v>
      </c>
      <c r="F2" s="405">
        <v>2011</v>
      </c>
      <c r="G2" s="405">
        <v>2012</v>
      </c>
      <c r="H2" s="405">
        <v>2013</v>
      </c>
    </row>
    <row r="3" spans="1:22" s="160" customFormat="1" ht="12.75" customHeight="1">
      <c r="A3" s="406"/>
      <c r="B3" s="406"/>
      <c r="C3" s="407"/>
      <c r="D3" s="405"/>
      <c r="E3" s="405"/>
      <c r="F3" s="405"/>
      <c r="G3" s="405"/>
      <c r="H3" s="405"/>
      <c r="M3" s="210"/>
      <c r="N3" s="402" t="s">
        <v>506</v>
      </c>
      <c r="O3" s="403"/>
      <c r="P3" s="403"/>
      <c r="Q3" s="403"/>
      <c r="R3" s="403"/>
      <c r="S3" s="403"/>
      <c r="T3" s="403"/>
      <c r="U3" s="404"/>
      <c r="V3" s="206"/>
    </row>
    <row r="4" spans="1:22" s="161" customFormat="1" ht="15" customHeight="1">
      <c r="A4" s="406"/>
      <c r="B4" s="406"/>
      <c r="C4" s="407"/>
      <c r="D4" s="405"/>
      <c r="E4" s="405"/>
      <c r="F4" s="405"/>
      <c r="G4" s="405"/>
      <c r="H4" s="405"/>
      <c r="M4" s="211" t="s">
        <v>507</v>
      </c>
      <c r="N4" s="191" t="s">
        <v>503</v>
      </c>
      <c r="O4" s="192" t="s">
        <v>496</v>
      </c>
      <c r="P4" s="192" t="s">
        <v>497</v>
      </c>
      <c r="Q4" s="192" t="s">
        <v>498</v>
      </c>
      <c r="R4" s="192" t="s">
        <v>499</v>
      </c>
      <c r="S4" s="192" t="s">
        <v>500</v>
      </c>
      <c r="T4" s="192" t="s">
        <v>501</v>
      </c>
      <c r="U4" s="193" t="s">
        <v>502</v>
      </c>
      <c r="V4" s="211" t="s">
        <v>18</v>
      </c>
    </row>
    <row r="5" spans="1:22" s="162" customFormat="1" ht="27" customHeight="1">
      <c r="A5" s="406"/>
      <c r="B5" s="406"/>
      <c r="C5" s="407"/>
      <c r="D5" s="405" t="s">
        <v>371</v>
      </c>
      <c r="E5" s="405">
        <v>2010</v>
      </c>
      <c r="F5" s="405">
        <v>2011</v>
      </c>
      <c r="G5" s="405">
        <v>2012</v>
      </c>
      <c r="H5" s="405">
        <v>2013</v>
      </c>
      <c r="M5" s="212" t="s">
        <v>508</v>
      </c>
      <c r="N5" s="194"/>
      <c r="O5" s="195"/>
      <c r="P5" s="195"/>
      <c r="Q5" s="195"/>
      <c r="R5" s="195"/>
      <c r="S5" s="195"/>
      <c r="T5" s="195"/>
      <c r="U5" s="196"/>
      <c r="V5" s="207"/>
    </row>
    <row r="6" spans="1:22" s="162" customFormat="1" ht="12.75" customHeight="1">
      <c r="A6" s="163" t="s">
        <v>372</v>
      </c>
      <c r="B6" s="164" t="s">
        <v>373</v>
      </c>
      <c r="C6" s="164">
        <f t="shared" ref="C6" si="0">+C7+C8+C9+C22+C28+C31</f>
        <v>15603450.140000001</v>
      </c>
      <c r="D6" s="164">
        <v>280062.82</v>
      </c>
      <c r="E6" s="164">
        <v>2988845.65</v>
      </c>
      <c r="F6" s="164">
        <v>4031357.58</v>
      </c>
      <c r="G6" s="164">
        <v>6150735.3200000003</v>
      </c>
      <c r="H6" s="164">
        <v>2152448.7699999996</v>
      </c>
      <c r="M6" s="212"/>
      <c r="N6" s="194"/>
      <c r="O6" s="195"/>
      <c r="P6" s="195"/>
      <c r="Q6" s="195"/>
      <c r="R6" s="195"/>
      <c r="S6" s="195"/>
      <c r="T6" s="195"/>
      <c r="U6" s="196"/>
      <c r="V6" s="207"/>
    </row>
    <row r="7" spans="1:22" s="162" customFormat="1" ht="12.75" customHeight="1">
      <c r="A7" s="165" t="s">
        <v>374</v>
      </c>
      <c r="B7" s="166" t="s">
        <v>375</v>
      </c>
      <c r="C7" s="167">
        <f>5655227.8-150000</f>
        <v>5505227.7999999998</v>
      </c>
      <c r="D7" s="167">
        <v>280062.82</v>
      </c>
      <c r="E7" s="167">
        <v>2292005.65</v>
      </c>
      <c r="F7" s="167">
        <v>1245951.94</v>
      </c>
      <c r="G7" s="167">
        <v>789411.32000000007</v>
      </c>
      <c r="H7" s="167">
        <v>897796.0700000003</v>
      </c>
      <c r="I7" s="162" t="s">
        <v>376</v>
      </c>
      <c r="M7" s="207"/>
      <c r="N7" s="194"/>
      <c r="O7" s="195"/>
      <c r="P7" s="195"/>
      <c r="Q7" s="195"/>
      <c r="R7" s="195"/>
      <c r="S7" s="195"/>
      <c r="T7" s="195"/>
      <c r="U7" s="196"/>
      <c r="V7" s="207"/>
    </row>
    <row r="8" spans="1:22" s="162" customFormat="1" ht="12.75" customHeight="1">
      <c r="A8" s="165" t="s">
        <v>377</v>
      </c>
      <c r="B8" s="166" t="s">
        <v>378</v>
      </c>
      <c r="C8" s="167">
        <v>1150000</v>
      </c>
      <c r="D8" s="167">
        <v>0</v>
      </c>
      <c r="E8" s="167">
        <v>210000</v>
      </c>
      <c r="F8" s="167">
        <v>501062</v>
      </c>
      <c r="G8" s="167">
        <v>409438</v>
      </c>
      <c r="H8" s="167">
        <v>29500</v>
      </c>
      <c r="I8" s="162" t="s">
        <v>379</v>
      </c>
      <c r="M8" s="207"/>
      <c r="N8" s="194"/>
      <c r="O8" s="195"/>
      <c r="P8" s="195"/>
      <c r="Q8" s="195"/>
      <c r="R8" s="195"/>
      <c r="S8" s="195"/>
      <c r="T8" s="195"/>
      <c r="U8" s="196"/>
      <c r="V8" s="207"/>
    </row>
    <row r="9" spans="1:22" s="162" customFormat="1" ht="12.75" customHeight="1">
      <c r="A9" s="165" t="s">
        <v>380</v>
      </c>
      <c r="B9" s="166" t="s">
        <v>381</v>
      </c>
      <c r="C9" s="167">
        <v>7147096.3500000006</v>
      </c>
      <c r="D9" s="167">
        <v>0</v>
      </c>
      <c r="E9" s="167">
        <v>486840</v>
      </c>
      <c r="F9" s="167">
        <v>1543354.94</v>
      </c>
      <c r="G9" s="167">
        <v>4278821.24</v>
      </c>
      <c r="H9" s="167">
        <v>838080.17000000086</v>
      </c>
      <c r="M9" s="207"/>
      <c r="N9" s="194"/>
      <c r="O9" s="195"/>
      <c r="P9" s="195"/>
      <c r="Q9" s="195"/>
      <c r="R9" s="195"/>
      <c r="S9" s="195"/>
      <c r="T9" s="195"/>
      <c r="U9" s="196"/>
      <c r="V9" s="207"/>
    </row>
    <row r="10" spans="1:22" s="171" customFormat="1" ht="12.75" customHeight="1" outlineLevel="1">
      <c r="A10" s="168" t="s">
        <v>382</v>
      </c>
      <c r="B10" s="169" t="s">
        <v>383</v>
      </c>
      <c r="C10" s="170">
        <v>931639.29</v>
      </c>
      <c r="D10" s="170">
        <v>0</v>
      </c>
      <c r="E10" s="170">
        <v>467250</v>
      </c>
      <c r="F10" s="170">
        <v>464389.29</v>
      </c>
      <c r="G10" s="170">
        <v>0</v>
      </c>
      <c r="H10" s="170">
        <v>0</v>
      </c>
      <c r="I10" s="162" t="s">
        <v>384</v>
      </c>
      <c r="M10" s="208"/>
      <c r="N10" s="197"/>
      <c r="O10" s="198"/>
      <c r="P10" s="198"/>
      <c r="Q10" s="198"/>
      <c r="R10" s="198"/>
      <c r="S10" s="198"/>
      <c r="T10" s="198"/>
      <c r="U10" s="199"/>
      <c r="V10" s="208"/>
    </row>
    <row r="11" spans="1:22" s="171" customFormat="1" ht="12.75" customHeight="1" outlineLevel="1">
      <c r="A11" s="168" t="s">
        <v>385</v>
      </c>
      <c r="B11" s="169" t="s">
        <v>386</v>
      </c>
      <c r="C11" s="187">
        <v>526245</v>
      </c>
      <c r="D11" s="187">
        <v>0</v>
      </c>
      <c r="E11" s="187">
        <v>0</v>
      </c>
      <c r="F11" s="187">
        <v>272340</v>
      </c>
      <c r="G11" s="187">
        <v>253905</v>
      </c>
      <c r="H11" s="187">
        <v>0</v>
      </c>
      <c r="I11" s="162" t="s">
        <v>387</v>
      </c>
      <c r="M11" s="207" t="s">
        <v>495</v>
      </c>
      <c r="N11" s="200">
        <f>+F11</f>
        <v>272340</v>
      </c>
      <c r="O11" s="201">
        <f>+G11</f>
        <v>253905</v>
      </c>
      <c r="P11" s="198"/>
      <c r="Q11" s="198"/>
      <c r="R11" s="198"/>
      <c r="S11" s="198"/>
      <c r="T11" s="198"/>
      <c r="U11" s="199"/>
      <c r="V11" s="208">
        <f>SUM(N11:U11)</f>
        <v>526245</v>
      </c>
    </row>
    <row r="12" spans="1:22" s="171" customFormat="1" ht="12.75" customHeight="1" outlineLevel="1">
      <c r="A12" s="168" t="s">
        <v>388</v>
      </c>
      <c r="B12" s="169" t="s">
        <v>389</v>
      </c>
      <c r="C12" s="170">
        <v>234816.52</v>
      </c>
      <c r="D12" s="170">
        <v>0</v>
      </c>
      <c r="E12" s="170">
        <v>0</v>
      </c>
      <c r="F12" s="170">
        <v>234816.52</v>
      </c>
      <c r="G12" s="170">
        <v>0</v>
      </c>
      <c r="H12" s="170">
        <v>0</v>
      </c>
      <c r="I12" s="162" t="s">
        <v>390</v>
      </c>
      <c r="M12" s="208"/>
      <c r="N12" s="197"/>
      <c r="O12" s="198"/>
      <c r="P12" s="198"/>
      <c r="Q12" s="198"/>
      <c r="R12" s="198"/>
      <c r="S12" s="198"/>
      <c r="T12" s="198"/>
      <c r="U12" s="199"/>
      <c r="V12" s="208"/>
    </row>
    <row r="13" spans="1:22" s="171" customFormat="1" ht="12.75" customHeight="1" outlineLevel="1">
      <c r="A13" s="168" t="s">
        <v>391</v>
      </c>
      <c r="B13" s="169" t="s">
        <v>392</v>
      </c>
      <c r="C13" s="170">
        <f>268542+3000-441</f>
        <v>271101</v>
      </c>
      <c r="D13" s="170">
        <v>0</v>
      </c>
      <c r="E13" s="170">
        <v>0</v>
      </c>
      <c r="F13" s="170">
        <v>26854.2</v>
      </c>
      <c r="G13" s="170">
        <v>244246.8</v>
      </c>
      <c r="H13" s="170">
        <v>0</v>
      </c>
      <c r="I13" s="162" t="s">
        <v>393</v>
      </c>
      <c r="M13" s="208"/>
      <c r="N13" s="197"/>
      <c r="O13" s="198"/>
      <c r="P13" s="198"/>
      <c r="Q13" s="198"/>
      <c r="R13" s="198"/>
      <c r="S13" s="198"/>
      <c r="T13" s="198"/>
      <c r="U13" s="199"/>
      <c r="V13" s="208"/>
    </row>
    <row r="14" spans="1:22" s="171" customFormat="1" ht="12.75" customHeight="1" outlineLevel="1">
      <c r="A14" s="168" t="s">
        <v>394</v>
      </c>
      <c r="B14" s="169" t="s">
        <v>395</v>
      </c>
      <c r="C14" s="170">
        <v>543344.1</v>
      </c>
      <c r="D14" s="170">
        <v>0</v>
      </c>
      <c r="E14" s="170">
        <v>0</v>
      </c>
      <c r="F14" s="170">
        <v>409790</v>
      </c>
      <c r="G14" s="170">
        <v>0</v>
      </c>
      <c r="H14" s="170">
        <v>133554.09999999998</v>
      </c>
      <c r="I14" s="162" t="s">
        <v>393</v>
      </c>
      <c r="M14" s="208"/>
      <c r="N14" s="197"/>
      <c r="O14" s="198"/>
      <c r="P14" s="198"/>
      <c r="Q14" s="198"/>
      <c r="R14" s="198"/>
      <c r="S14" s="198"/>
      <c r="T14" s="198"/>
      <c r="U14" s="199"/>
      <c r="V14" s="208"/>
    </row>
    <row r="15" spans="1:22" s="171" customFormat="1" ht="12.75" customHeight="1" outlineLevel="1">
      <c r="A15" s="168" t="s">
        <v>396</v>
      </c>
      <c r="B15" s="169" t="s">
        <v>397</v>
      </c>
      <c r="C15" s="170">
        <v>713084.3</v>
      </c>
      <c r="D15" s="170">
        <v>0</v>
      </c>
      <c r="E15" s="170">
        <v>0</v>
      </c>
      <c r="F15" s="170">
        <v>69971.5</v>
      </c>
      <c r="G15" s="170">
        <v>643112.80000000005</v>
      </c>
      <c r="H15" s="170">
        <v>0</v>
      </c>
      <c r="I15" s="162" t="s">
        <v>398</v>
      </c>
      <c r="M15" s="208"/>
      <c r="N15" s="197"/>
      <c r="O15" s="198"/>
      <c r="P15" s="198"/>
      <c r="Q15" s="198"/>
      <c r="R15" s="198"/>
      <c r="S15" s="198"/>
      <c r="T15" s="198"/>
      <c r="U15" s="199"/>
      <c r="V15" s="208"/>
    </row>
    <row r="16" spans="1:22" s="171" customFormat="1" ht="12.75" customHeight="1" outlineLevel="1">
      <c r="A16" s="168" t="s">
        <v>399</v>
      </c>
      <c r="B16" s="169" t="s">
        <v>400</v>
      </c>
      <c r="C16" s="188">
        <f>1709731+98244</f>
        <v>1807975</v>
      </c>
      <c r="D16" s="188">
        <v>0</v>
      </c>
      <c r="E16" s="188">
        <v>0</v>
      </c>
      <c r="F16" s="188">
        <v>0</v>
      </c>
      <c r="G16" s="188">
        <v>1367784.8</v>
      </c>
      <c r="H16" s="188">
        <v>440190.19999999995</v>
      </c>
      <c r="I16" s="162" t="s">
        <v>401</v>
      </c>
      <c r="M16" s="207" t="s">
        <v>494</v>
      </c>
      <c r="N16" s="194"/>
      <c r="O16" s="198"/>
      <c r="P16" s="198"/>
      <c r="Q16" s="198"/>
      <c r="R16" s="198"/>
      <c r="S16" s="198"/>
      <c r="T16" s="201">
        <f>+G16</f>
        <v>1367784.8</v>
      </c>
      <c r="U16" s="202">
        <f>+H16</f>
        <v>440190.19999999995</v>
      </c>
      <c r="V16" s="213">
        <f>SUM(N16:U16)</f>
        <v>1807975</v>
      </c>
    </row>
    <row r="17" spans="1:22" s="171" customFormat="1" ht="12.75" customHeight="1" outlineLevel="1">
      <c r="A17" s="168" t="s">
        <v>402</v>
      </c>
      <c r="B17" s="169" t="s">
        <v>403</v>
      </c>
      <c r="C17" s="188">
        <f>1456328</f>
        <v>1456328</v>
      </c>
      <c r="D17" s="188">
        <v>0</v>
      </c>
      <c r="E17" s="188">
        <v>0</v>
      </c>
      <c r="F17" s="188">
        <v>0</v>
      </c>
      <c r="G17" s="188">
        <v>1265309.8</v>
      </c>
      <c r="H17" s="188">
        <v>191018.19999999995</v>
      </c>
      <c r="I17" s="162" t="s">
        <v>404</v>
      </c>
      <c r="M17" s="207" t="s">
        <v>494</v>
      </c>
      <c r="N17" s="197"/>
      <c r="O17" s="198"/>
      <c r="P17" s="198"/>
      <c r="Q17" s="198"/>
      <c r="R17" s="198"/>
      <c r="S17" s="198"/>
      <c r="T17" s="201">
        <f>+G17</f>
        <v>1265309.8</v>
      </c>
      <c r="U17" s="202">
        <f>+H17</f>
        <v>191018.19999999995</v>
      </c>
      <c r="V17" s="213">
        <f>SUM(N17:U17)</f>
        <v>1456328</v>
      </c>
    </row>
    <row r="18" spans="1:22" s="171" customFormat="1" ht="12.75" customHeight="1" outlineLevel="1">
      <c r="A18" s="168" t="s">
        <v>405</v>
      </c>
      <c r="B18" s="169" t="s">
        <v>406</v>
      </c>
      <c r="C18" s="170">
        <v>452736.15</v>
      </c>
      <c r="D18" s="170">
        <v>0</v>
      </c>
      <c r="E18" s="170">
        <v>0</v>
      </c>
      <c r="F18" s="170">
        <v>45430.64</v>
      </c>
      <c r="G18" s="170">
        <v>407305.51</v>
      </c>
      <c r="H18" s="170">
        <v>0</v>
      </c>
      <c r="I18" s="162" t="s">
        <v>407</v>
      </c>
      <c r="M18" s="208"/>
      <c r="N18" s="197"/>
      <c r="O18" s="198"/>
      <c r="P18" s="198"/>
      <c r="Q18" s="198"/>
      <c r="R18" s="198"/>
      <c r="S18" s="198"/>
      <c r="T18" s="198"/>
      <c r="U18" s="199"/>
      <c r="V18" s="208"/>
    </row>
    <row r="19" spans="1:22" s="171" customFormat="1" ht="12.75" customHeight="1" outlineLevel="1">
      <c r="A19" s="168" t="s">
        <v>408</v>
      </c>
      <c r="B19" s="169" t="s">
        <v>409</v>
      </c>
      <c r="C19" s="170">
        <f>97749.89-38</f>
        <v>97711.89</v>
      </c>
      <c r="D19" s="170">
        <v>0</v>
      </c>
      <c r="E19" s="170">
        <v>0</v>
      </c>
      <c r="F19" s="170">
        <v>9775</v>
      </c>
      <c r="G19" s="170">
        <v>87936.89</v>
      </c>
      <c r="H19" s="170">
        <v>0</v>
      </c>
      <c r="I19" s="162" t="s">
        <v>410</v>
      </c>
      <c r="M19" s="208"/>
      <c r="N19" s="197"/>
      <c r="O19" s="198"/>
      <c r="P19" s="198"/>
      <c r="Q19" s="198"/>
      <c r="R19" s="198"/>
      <c r="S19" s="198"/>
      <c r="T19" s="198"/>
      <c r="U19" s="199"/>
      <c r="V19" s="208"/>
    </row>
    <row r="20" spans="1:22" s="171" customFormat="1" ht="12.75" customHeight="1" outlineLevel="1">
      <c r="A20" s="168" t="s">
        <v>411</v>
      </c>
      <c r="B20" s="169" t="s">
        <v>412</v>
      </c>
      <c r="C20" s="170">
        <v>70000</v>
      </c>
      <c r="D20" s="170">
        <v>0</v>
      </c>
      <c r="E20" s="170">
        <v>0</v>
      </c>
      <c r="F20" s="170">
        <v>0</v>
      </c>
      <c r="G20" s="170">
        <v>0</v>
      </c>
      <c r="H20" s="170">
        <v>70000</v>
      </c>
      <c r="I20" s="162" t="s">
        <v>413</v>
      </c>
      <c r="M20" s="208"/>
      <c r="N20" s="197"/>
      <c r="O20" s="198"/>
      <c r="P20" s="198"/>
      <c r="Q20" s="198"/>
      <c r="R20" s="198"/>
      <c r="S20" s="198"/>
      <c r="T20" s="198"/>
      <c r="U20" s="199"/>
      <c r="V20" s="208"/>
    </row>
    <row r="21" spans="1:22" s="171" customFormat="1" ht="12.75" customHeight="1" outlineLevel="1">
      <c r="A21" s="168" t="s">
        <v>414</v>
      </c>
      <c r="B21" s="169" t="s">
        <v>415</v>
      </c>
      <c r="C21" s="170">
        <f>+C9-SUM(C10:C20)</f>
        <v>42115.100000000559</v>
      </c>
      <c r="D21" s="170">
        <v>0</v>
      </c>
      <c r="E21" s="170">
        <v>19590</v>
      </c>
      <c r="F21" s="170">
        <v>9987.7900000000009</v>
      </c>
      <c r="G21" s="170">
        <v>9219.64</v>
      </c>
      <c r="H21" s="170">
        <v>3317.6700000005585</v>
      </c>
      <c r="I21" s="162"/>
      <c r="M21" s="208"/>
      <c r="N21" s="197"/>
      <c r="O21" s="198"/>
      <c r="P21" s="198"/>
      <c r="Q21" s="198"/>
      <c r="R21" s="198"/>
      <c r="S21" s="198"/>
      <c r="T21" s="198"/>
      <c r="U21" s="199"/>
      <c r="V21" s="208"/>
    </row>
    <row r="22" spans="1:22" s="162" customFormat="1" ht="12.75" customHeight="1">
      <c r="A22" s="165" t="s">
        <v>416</v>
      </c>
      <c r="B22" s="166" t="s">
        <v>417</v>
      </c>
      <c r="C22" s="167">
        <f t="shared" ref="C22" si="1">+SUM(C23:C27)</f>
        <v>1265408.32</v>
      </c>
      <c r="D22" s="167">
        <v>0</v>
      </c>
      <c r="E22" s="167">
        <v>0</v>
      </c>
      <c r="F22" s="167">
        <v>382595.5</v>
      </c>
      <c r="G22" s="167">
        <v>608064.76</v>
      </c>
      <c r="H22" s="167">
        <v>274748.06000000006</v>
      </c>
      <c r="M22" s="207"/>
      <c r="N22" s="194"/>
      <c r="O22" s="195"/>
      <c r="P22" s="195"/>
      <c r="Q22" s="195"/>
      <c r="R22" s="195"/>
      <c r="S22" s="195"/>
      <c r="T22" s="195"/>
      <c r="U22" s="196"/>
      <c r="V22" s="207"/>
    </row>
    <row r="23" spans="1:22" s="171" customFormat="1" ht="12.75" customHeight="1" outlineLevel="1">
      <c r="A23" s="168" t="s">
        <v>418</v>
      </c>
      <c r="B23" s="169" t="s">
        <v>419</v>
      </c>
      <c r="C23" s="170">
        <v>546565</v>
      </c>
      <c r="D23" s="170">
        <v>0</v>
      </c>
      <c r="E23" s="170">
        <v>0</v>
      </c>
      <c r="F23" s="170">
        <v>382595.5</v>
      </c>
      <c r="G23" s="170">
        <v>163969.5</v>
      </c>
      <c r="H23" s="170">
        <v>0</v>
      </c>
      <c r="I23" s="171" t="s">
        <v>420</v>
      </c>
      <c r="M23" s="208"/>
      <c r="N23" s="197"/>
      <c r="O23" s="198"/>
      <c r="P23" s="198"/>
      <c r="Q23" s="198"/>
      <c r="R23" s="198"/>
      <c r="S23" s="198"/>
      <c r="T23" s="198"/>
      <c r="U23" s="199"/>
      <c r="V23" s="208"/>
    </row>
    <row r="24" spans="1:22" s="171" customFormat="1" ht="12.75" customHeight="1" outlineLevel="1">
      <c r="A24" s="168" t="s">
        <v>421</v>
      </c>
      <c r="B24" s="169" t="s">
        <v>422</v>
      </c>
      <c r="C24" s="188">
        <v>185000</v>
      </c>
      <c r="D24" s="188">
        <v>0</v>
      </c>
      <c r="E24" s="188">
        <v>0</v>
      </c>
      <c r="F24" s="188">
        <v>0</v>
      </c>
      <c r="G24" s="188">
        <v>185000</v>
      </c>
      <c r="H24" s="188">
        <v>0</v>
      </c>
      <c r="I24" s="171" t="s">
        <v>423</v>
      </c>
      <c r="M24" s="207" t="s">
        <v>494</v>
      </c>
      <c r="N24" s="194"/>
      <c r="O24" s="198"/>
      <c r="P24" s="198"/>
      <c r="Q24" s="198"/>
      <c r="R24" s="198"/>
      <c r="S24" s="198"/>
      <c r="T24" s="201">
        <f>+G24</f>
        <v>185000</v>
      </c>
      <c r="U24" s="199"/>
      <c r="V24" s="213">
        <f>SUM(N24:U24)</f>
        <v>185000</v>
      </c>
    </row>
    <row r="25" spans="1:22" s="171" customFormat="1" ht="12.75" customHeight="1" outlineLevel="1">
      <c r="A25" s="172" t="s">
        <v>424</v>
      </c>
      <c r="B25" s="169" t="s">
        <v>425</v>
      </c>
      <c r="C25" s="170">
        <v>149365</v>
      </c>
      <c r="D25" s="170">
        <v>0</v>
      </c>
      <c r="E25" s="170">
        <v>0</v>
      </c>
      <c r="F25" s="170">
        <v>0</v>
      </c>
      <c r="G25" s="170">
        <v>0</v>
      </c>
      <c r="H25" s="170">
        <v>149365</v>
      </c>
      <c r="I25" s="171" t="s">
        <v>426</v>
      </c>
      <c r="M25" s="208"/>
      <c r="N25" s="197"/>
      <c r="O25" s="198"/>
      <c r="P25" s="198"/>
      <c r="Q25" s="198"/>
      <c r="R25" s="198"/>
      <c r="S25" s="198"/>
      <c r="T25" s="198"/>
      <c r="U25" s="199"/>
      <c r="V25" s="208"/>
    </row>
    <row r="26" spans="1:22" s="171" customFormat="1" ht="12.75" customHeight="1" outlineLevel="1">
      <c r="A26" s="172" t="s">
        <v>427</v>
      </c>
      <c r="B26" s="169" t="s">
        <v>417</v>
      </c>
      <c r="C26" s="170">
        <f>1265408.32-C23-C24-C25-C27</f>
        <v>357511.08000000007</v>
      </c>
      <c r="D26" s="170">
        <v>0</v>
      </c>
      <c r="E26" s="170">
        <v>0</v>
      </c>
      <c r="F26" s="170">
        <v>0</v>
      </c>
      <c r="G26" s="170">
        <v>232128.02</v>
      </c>
      <c r="H26" s="170">
        <v>125383.06000000008</v>
      </c>
      <c r="I26" s="171" t="s">
        <v>428</v>
      </c>
      <c r="M26" s="208"/>
      <c r="N26" s="197"/>
      <c r="O26" s="198"/>
      <c r="P26" s="198"/>
      <c r="Q26" s="198"/>
      <c r="R26" s="198"/>
      <c r="S26" s="198"/>
      <c r="T26" s="198"/>
      <c r="U26" s="199"/>
      <c r="V26" s="208"/>
    </row>
    <row r="27" spans="1:22" s="171" customFormat="1" ht="12.75" customHeight="1" outlineLevel="1">
      <c r="A27" s="172" t="s">
        <v>429</v>
      </c>
      <c r="B27" s="169" t="s">
        <v>430</v>
      </c>
      <c r="C27" s="170">
        <v>26967.24</v>
      </c>
      <c r="D27" s="170">
        <v>0</v>
      </c>
      <c r="E27" s="170">
        <v>0</v>
      </c>
      <c r="F27" s="170">
        <v>0</v>
      </c>
      <c r="G27" s="170">
        <v>26967.24</v>
      </c>
      <c r="H27" s="170">
        <v>0</v>
      </c>
      <c r="I27" s="171" t="s">
        <v>431</v>
      </c>
      <c r="M27" s="208">
        <v>5</v>
      </c>
      <c r="N27" s="197"/>
      <c r="O27" s="198"/>
      <c r="P27" s="198"/>
      <c r="Q27" s="198"/>
      <c r="R27" s="198"/>
      <c r="S27" s="198"/>
      <c r="T27" s="198"/>
      <c r="U27" s="199"/>
      <c r="V27" s="208"/>
    </row>
    <row r="28" spans="1:22" s="162" customFormat="1" ht="12.75" customHeight="1">
      <c r="A28" s="165" t="s">
        <v>432</v>
      </c>
      <c r="B28" s="166" t="s">
        <v>433</v>
      </c>
      <c r="C28" s="167">
        <f>+C29+C30</f>
        <v>257324.47</v>
      </c>
      <c r="D28" s="167">
        <v>0</v>
      </c>
      <c r="E28" s="167">
        <v>0</v>
      </c>
      <c r="F28" s="167">
        <v>80000</v>
      </c>
      <c r="G28" s="167">
        <v>65000</v>
      </c>
      <c r="H28" s="167">
        <v>112324.47</v>
      </c>
      <c r="M28" s="207"/>
      <c r="N28" s="194"/>
      <c r="O28" s="195"/>
      <c r="P28" s="195"/>
      <c r="Q28" s="195"/>
      <c r="R28" s="195"/>
      <c r="S28" s="195"/>
      <c r="T28" s="195"/>
      <c r="U28" s="196"/>
      <c r="V28" s="207"/>
    </row>
    <row r="29" spans="1:22" s="171" customFormat="1" ht="12.75" customHeight="1" outlineLevel="1">
      <c r="A29" s="172" t="s">
        <v>434</v>
      </c>
      <c r="B29" s="169" t="s">
        <v>435</v>
      </c>
      <c r="C29" s="170">
        <f>15+127264.47+15</f>
        <v>127294.47</v>
      </c>
      <c r="D29" s="170">
        <v>0</v>
      </c>
      <c r="E29" s="170">
        <v>0</v>
      </c>
      <c r="F29" s="170">
        <v>80000</v>
      </c>
      <c r="G29" s="170">
        <v>65000</v>
      </c>
      <c r="H29" s="170">
        <v>-17705.53</v>
      </c>
      <c r="I29" s="171" t="s">
        <v>436</v>
      </c>
      <c r="M29" s="208"/>
      <c r="N29" s="197"/>
      <c r="O29" s="198"/>
      <c r="P29" s="198"/>
      <c r="Q29" s="198"/>
      <c r="R29" s="198"/>
      <c r="S29" s="198"/>
      <c r="T29" s="198"/>
      <c r="U29" s="199"/>
      <c r="V29" s="208"/>
    </row>
    <row r="30" spans="1:22" s="171" customFormat="1" ht="12.75" customHeight="1" outlineLevel="1">
      <c r="A30" s="172" t="s">
        <v>437</v>
      </c>
      <c r="B30" s="169" t="s">
        <v>438</v>
      </c>
      <c r="C30" s="170">
        <f>130000+30</f>
        <v>130030</v>
      </c>
      <c r="D30" s="170">
        <v>0</v>
      </c>
      <c r="E30" s="170">
        <v>0</v>
      </c>
      <c r="F30" s="170">
        <v>0</v>
      </c>
      <c r="G30" s="170">
        <v>0</v>
      </c>
      <c r="H30" s="170">
        <v>130030</v>
      </c>
      <c r="I30" s="171" t="s">
        <v>436</v>
      </c>
      <c r="M30" s="208"/>
      <c r="N30" s="197"/>
      <c r="O30" s="198"/>
      <c r="P30" s="198"/>
      <c r="Q30" s="198"/>
      <c r="R30" s="198"/>
      <c r="S30" s="198"/>
      <c r="T30" s="198"/>
      <c r="U30" s="199"/>
      <c r="V30" s="208"/>
    </row>
    <row r="31" spans="1:22" s="173" customFormat="1" ht="12.75" customHeight="1">
      <c r="A31" s="165" t="s">
        <v>439</v>
      </c>
      <c r="B31" s="166" t="s">
        <v>440</v>
      </c>
      <c r="C31" s="167">
        <v>278393.2</v>
      </c>
      <c r="D31" s="167">
        <v>0</v>
      </c>
      <c r="E31" s="167">
        <v>0</v>
      </c>
      <c r="F31" s="167">
        <v>278393.2</v>
      </c>
      <c r="G31" s="167">
        <v>0</v>
      </c>
      <c r="H31" s="167">
        <v>0</v>
      </c>
      <c r="I31" s="173" t="s">
        <v>441</v>
      </c>
      <c r="M31" s="209"/>
      <c r="N31" s="203"/>
      <c r="O31" s="204"/>
      <c r="P31" s="204"/>
      <c r="Q31" s="204"/>
      <c r="R31" s="204"/>
      <c r="S31" s="204"/>
      <c r="T31" s="204"/>
      <c r="U31" s="205"/>
      <c r="V31" s="209"/>
    </row>
    <row r="32" spans="1:22" s="162" customFormat="1" ht="12.75" customHeight="1">
      <c r="A32" s="163" t="s">
        <v>97</v>
      </c>
      <c r="B32" s="164" t="s">
        <v>442</v>
      </c>
      <c r="C32" s="164">
        <f t="shared" ref="C32" si="2">+C33+C36+C40+C41</f>
        <v>7282184.1399999997</v>
      </c>
      <c r="D32" s="164">
        <v>386331.69000000006</v>
      </c>
      <c r="E32" s="164">
        <v>1638144.6300000001</v>
      </c>
      <c r="F32" s="164">
        <v>1964961.87</v>
      </c>
      <c r="G32" s="164">
        <v>2161323.7399999998</v>
      </c>
      <c r="H32" s="164">
        <v>1131422.21</v>
      </c>
      <c r="M32" s="207"/>
      <c r="N32" s="194"/>
      <c r="O32" s="195"/>
      <c r="P32" s="195"/>
      <c r="Q32" s="195"/>
      <c r="R32" s="195"/>
      <c r="S32" s="195"/>
      <c r="T32" s="195"/>
      <c r="U32" s="196"/>
      <c r="V32" s="207"/>
    </row>
    <row r="33" spans="1:22" s="162" customFormat="1" ht="12.75" customHeight="1" collapsed="1">
      <c r="A33" s="165" t="s">
        <v>374</v>
      </c>
      <c r="B33" s="166" t="s">
        <v>443</v>
      </c>
      <c r="C33" s="167">
        <f>+C34+C35</f>
        <v>1646692.24</v>
      </c>
      <c r="D33" s="167">
        <v>385841.61</v>
      </c>
      <c r="E33" s="167">
        <v>710586.44</v>
      </c>
      <c r="F33" s="167">
        <v>271383</v>
      </c>
      <c r="G33" s="167">
        <v>38628.54</v>
      </c>
      <c r="H33" s="167">
        <v>240252.65000000014</v>
      </c>
      <c r="I33" s="162" t="s">
        <v>376</v>
      </c>
      <c r="M33" s="207"/>
      <c r="N33" s="194"/>
      <c r="O33" s="195"/>
      <c r="P33" s="195"/>
      <c r="Q33" s="195"/>
      <c r="R33" s="195"/>
      <c r="S33" s="195"/>
      <c r="T33" s="195"/>
      <c r="U33" s="196"/>
      <c r="V33" s="207"/>
    </row>
    <row r="34" spans="1:22" s="171" customFormat="1" ht="12.75" hidden="1" customHeight="1" outlineLevel="1">
      <c r="A34" s="168" t="s">
        <v>444</v>
      </c>
      <c r="B34" s="169" t="s">
        <v>445</v>
      </c>
      <c r="C34" s="170">
        <f>1646692.24-C35</f>
        <v>1609261.8</v>
      </c>
      <c r="D34" s="170">
        <v>349772.07</v>
      </c>
      <c r="E34" s="170">
        <v>709225.54</v>
      </c>
      <c r="F34" s="170">
        <v>271383</v>
      </c>
      <c r="G34" s="170">
        <v>38628.54</v>
      </c>
      <c r="H34" s="170">
        <v>240252.64999999991</v>
      </c>
      <c r="I34" s="162" t="s">
        <v>376</v>
      </c>
      <c r="M34" s="208"/>
      <c r="N34" s="197"/>
      <c r="O34" s="198"/>
      <c r="P34" s="198"/>
      <c r="Q34" s="198"/>
      <c r="R34" s="198"/>
      <c r="S34" s="198"/>
      <c r="T34" s="198"/>
      <c r="U34" s="199"/>
      <c r="V34" s="208"/>
    </row>
    <row r="35" spans="1:22" s="171" customFormat="1" ht="12.75" hidden="1" customHeight="1" outlineLevel="1">
      <c r="A35" s="168" t="s">
        <v>446</v>
      </c>
      <c r="B35" s="169" t="s">
        <v>447</v>
      </c>
      <c r="C35" s="170">
        <v>37430.44</v>
      </c>
      <c r="D35" s="170">
        <v>36069.54</v>
      </c>
      <c r="E35" s="170">
        <v>1360.9</v>
      </c>
      <c r="F35" s="170">
        <v>0</v>
      </c>
      <c r="G35" s="170">
        <v>0</v>
      </c>
      <c r="H35" s="170">
        <v>0</v>
      </c>
      <c r="M35" s="208"/>
      <c r="N35" s="197"/>
      <c r="O35" s="198"/>
      <c r="P35" s="198"/>
      <c r="Q35" s="198"/>
      <c r="R35" s="198"/>
      <c r="S35" s="198"/>
      <c r="T35" s="198"/>
      <c r="U35" s="199"/>
      <c r="V35" s="208"/>
    </row>
    <row r="36" spans="1:22" s="162" customFormat="1" ht="12.75" customHeight="1">
      <c r="A36" s="165" t="s">
        <v>377</v>
      </c>
      <c r="B36" s="166" t="s">
        <v>448</v>
      </c>
      <c r="C36" s="167">
        <f>+C37+C39+C38</f>
        <v>2829027.55</v>
      </c>
      <c r="D36" s="167">
        <v>490.08</v>
      </c>
      <c r="E36" s="167">
        <v>317463.53999999998</v>
      </c>
      <c r="F36" s="167">
        <v>882872.34000000008</v>
      </c>
      <c r="G36" s="167">
        <v>1070193.27</v>
      </c>
      <c r="H36" s="167">
        <v>558008.31999999983</v>
      </c>
      <c r="M36" s="207"/>
      <c r="N36" s="194"/>
      <c r="O36" s="195"/>
      <c r="P36" s="195"/>
      <c r="Q36" s="195"/>
      <c r="R36" s="195"/>
      <c r="S36" s="195"/>
      <c r="T36" s="195"/>
      <c r="U36" s="196"/>
      <c r="V36" s="207"/>
    </row>
    <row r="37" spans="1:22" s="171" customFormat="1" ht="12.75" customHeight="1" outlineLevel="1">
      <c r="A37" s="168" t="s">
        <v>449</v>
      </c>
      <c r="B37" s="169" t="s">
        <v>450</v>
      </c>
      <c r="C37" s="170">
        <v>2585433.3057142859</v>
      </c>
      <c r="D37" s="170">
        <v>0</v>
      </c>
      <c r="E37" s="170">
        <v>308744.25</v>
      </c>
      <c r="F37" s="170">
        <v>882872.34000000008</v>
      </c>
      <c r="G37" s="170">
        <v>1060008.1600000001</v>
      </c>
      <c r="H37" s="170">
        <v>333808.55571428593</v>
      </c>
      <c r="I37" s="171" t="s">
        <v>451</v>
      </c>
      <c r="M37" s="208"/>
      <c r="N37" s="197"/>
      <c r="O37" s="198"/>
      <c r="P37" s="198"/>
      <c r="Q37" s="198"/>
      <c r="R37" s="198"/>
      <c r="S37" s="198"/>
      <c r="T37" s="198"/>
      <c r="U37" s="199"/>
      <c r="V37" s="208"/>
    </row>
    <row r="38" spans="1:22" s="171" customFormat="1" ht="12.75" customHeight="1" outlineLevel="1">
      <c r="A38" s="168"/>
      <c r="B38" s="169" t="s">
        <v>452</v>
      </c>
      <c r="C38" s="170">
        <v>110000</v>
      </c>
      <c r="D38" s="170">
        <v>0</v>
      </c>
      <c r="E38" s="170">
        <v>0</v>
      </c>
      <c r="F38" s="170">
        <v>0</v>
      </c>
      <c r="G38" s="170">
        <v>0</v>
      </c>
      <c r="H38" s="170">
        <v>110000</v>
      </c>
      <c r="I38" s="162" t="s">
        <v>393</v>
      </c>
      <c r="M38" s="208"/>
      <c r="N38" s="197"/>
      <c r="O38" s="198"/>
      <c r="P38" s="198"/>
      <c r="Q38" s="198"/>
      <c r="R38" s="198"/>
      <c r="S38" s="198"/>
      <c r="T38" s="198"/>
      <c r="U38" s="199"/>
      <c r="V38" s="208"/>
    </row>
    <row r="39" spans="1:22" s="171" customFormat="1" ht="12.75" customHeight="1" outlineLevel="1">
      <c r="A39" s="168" t="s">
        <v>453</v>
      </c>
      <c r="B39" s="169" t="s">
        <v>454</v>
      </c>
      <c r="C39" s="170">
        <f>2829027.55-C37-C38</f>
        <v>133594.24428571388</v>
      </c>
      <c r="D39" s="170">
        <v>490.08</v>
      </c>
      <c r="E39" s="170">
        <v>8719.2900000000009</v>
      </c>
      <c r="F39" s="170">
        <v>0</v>
      </c>
      <c r="G39" s="170">
        <v>10185.11</v>
      </c>
      <c r="H39" s="170">
        <v>114199.76428571387</v>
      </c>
      <c r="I39" s="171" t="s">
        <v>455</v>
      </c>
      <c r="M39" s="208"/>
      <c r="N39" s="197"/>
      <c r="O39" s="198"/>
      <c r="P39" s="198"/>
      <c r="Q39" s="198"/>
      <c r="R39" s="198"/>
      <c r="S39" s="198"/>
      <c r="T39" s="198"/>
      <c r="U39" s="199"/>
      <c r="V39" s="208"/>
    </row>
    <row r="40" spans="1:22" s="162" customFormat="1" ht="12.75" customHeight="1">
      <c r="A40" s="165" t="s">
        <v>380</v>
      </c>
      <c r="B40" s="166" t="s">
        <v>456</v>
      </c>
      <c r="C40" s="167">
        <v>2406464.3499999996</v>
      </c>
      <c r="D40" s="167">
        <v>0</v>
      </c>
      <c r="E40" s="167">
        <v>610094.65</v>
      </c>
      <c r="F40" s="167">
        <v>630706.53</v>
      </c>
      <c r="G40" s="167">
        <v>852501.92999999993</v>
      </c>
      <c r="H40" s="167">
        <v>313161.23999999953</v>
      </c>
      <c r="I40" s="162" t="s">
        <v>457</v>
      </c>
      <c r="M40" s="207"/>
      <c r="N40" s="194"/>
      <c r="O40" s="195"/>
      <c r="P40" s="195"/>
      <c r="Q40" s="195"/>
      <c r="R40" s="195"/>
      <c r="S40" s="195"/>
      <c r="T40" s="195"/>
      <c r="U40" s="196"/>
      <c r="V40" s="207"/>
    </row>
    <row r="41" spans="1:22" s="162" customFormat="1" ht="12.75" customHeight="1">
      <c r="A41" s="165" t="s">
        <v>416</v>
      </c>
      <c r="B41" s="167" t="s">
        <v>458</v>
      </c>
      <c r="C41" s="167">
        <v>400000</v>
      </c>
      <c r="D41" s="167">
        <v>0</v>
      </c>
      <c r="E41" s="167">
        <v>0</v>
      </c>
      <c r="F41" s="167">
        <v>180000</v>
      </c>
      <c r="G41" s="167">
        <v>200000</v>
      </c>
      <c r="H41" s="167">
        <v>20000</v>
      </c>
      <c r="I41" s="162" t="s">
        <v>459</v>
      </c>
      <c r="M41" s="207"/>
      <c r="N41" s="194"/>
      <c r="O41" s="195"/>
      <c r="P41" s="195"/>
      <c r="Q41" s="195"/>
      <c r="R41" s="195"/>
      <c r="S41" s="195"/>
      <c r="T41" s="195"/>
      <c r="U41" s="196"/>
      <c r="V41" s="207"/>
    </row>
    <row r="42" spans="1:22" s="162" customFormat="1" ht="12.75" customHeight="1">
      <c r="A42" s="163" t="s">
        <v>460</v>
      </c>
      <c r="B42" s="164" t="s">
        <v>461</v>
      </c>
      <c r="C42" s="164">
        <f>+C43+C44+C47</f>
        <v>5849512.29</v>
      </c>
      <c r="D42" s="164">
        <v>95500.4</v>
      </c>
      <c r="E42" s="164">
        <v>1327909.6600000001</v>
      </c>
      <c r="F42" s="164">
        <v>2761043.62</v>
      </c>
      <c r="G42" s="164">
        <v>789175.86</v>
      </c>
      <c r="H42" s="164">
        <v>875882.75</v>
      </c>
      <c r="M42" s="207"/>
      <c r="N42" s="194"/>
      <c r="O42" s="195"/>
      <c r="P42" s="195"/>
      <c r="Q42" s="195"/>
      <c r="R42" s="195"/>
      <c r="S42" s="195"/>
      <c r="T42" s="195"/>
      <c r="U42" s="196"/>
      <c r="V42" s="207"/>
    </row>
    <row r="43" spans="1:22" s="162" customFormat="1" ht="12.75" customHeight="1">
      <c r="A43" s="165" t="s">
        <v>374</v>
      </c>
      <c r="B43" s="166" t="s">
        <v>462</v>
      </c>
      <c r="C43" s="167">
        <v>2346020.2799999998</v>
      </c>
      <c r="D43" s="167">
        <v>95500.4</v>
      </c>
      <c r="E43" s="167">
        <v>843947.24</v>
      </c>
      <c r="F43" s="167">
        <v>548399</v>
      </c>
      <c r="G43" s="167">
        <v>138414.72</v>
      </c>
      <c r="H43" s="167">
        <v>719758.91999999969</v>
      </c>
      <c r="I43" s="162" t="s">
        <v>376</v>
      </c>
      <c r="M43" s="207"/>
      <c r="N43" s="194"/>
      <c r="O43" s="195"/>
      <c r="P43" s="195"/>
      <c r="Q43" s="195"/>
      <c r="R43" s="195"/>
      <c r="S43" s="195"/>
      <c r="T43" s="195"/>
      <c r="U43" s="196"/>
      <c r="V43" s="207"/>
    </row>
    <row r="44" spans="1:22" s="162" customFormat="1" ht="12.75" customHeight="1">
      <c r="A44" s="165" t="s">
        <v>377</v>
      </c>
      <c r="B44" s="167" t="s">
        <v>463</v>
      </c>
      <c r="C44" s="167">
        <f>+C45+C46</f>
        <v>3503492.0100000002</v>
      </c>
      <c r="D44" s="167">
        <v>0</v>
      </c>
      <c r="E44" s="167">
        <v>483962.42000000004</v>
      </c>
      <c r="F44" s="167">
        <v>2212644.62</v>
      </c>
      <c r="G44" s="167">
        <v>650761.14</v>
      </c>
      <c r="H44" s="167">
        <v>156123.83000000007</v>
      </c>
      <c r="M44" s="207"/>
      <c r="N44" s="194"/>
      <c r="O44" s="195"/>
      <c r="P44" s="195"/>
      <c r="Q44" s="195"/>
      <c r="R44" s="195"/>
      <c r="S44" s="195"/>
      <c r="T44" s="195"/>
      <c r="U44" s="196"/>
      <c r="V44" s="207"/>
    </row>
    <row r="45" spans="1:22" s="171" customFormat="1" ht="12.75" customHeight="1">
      <c r="A45" s="168" t="s">
        <v>449</v>
      </c>
      <c r="B45" s="169" t="s">
        <v>464</v>
      </c>
      <c r="C45" s="170">
        <v>3116818.0100000002</v>
      </c>
      <c r="D45" s="170">
        <v>0</v>
      </c>
      <c r="E45" s="170">
        <v>483962.42000000004</v>
      </c>
      <c r="F45" s="170">
        <v>1971055.02</v>
      </c>
      <c r="G45" s="170">
        <v>620562.43999999994</v>
      </c>
      <c r="H45" s="170">
        <v>41238.130000000354</v>
      </c>
      <c r="I45" s="171" t="s">
        <v>465</v>
      </c>
      <c r="M45" s="208"/>
      <c r="N45" s="197"/>
      <c r="O45" s="198"/>
      <c r="P45" s="198"/>
      <c r="Q45" s="198"/>
      <c r="R45" s="198"/>
      <c r="S45" s="198"/>
      <c r="T45" s="198"/>
      <c r="U45" s="199"/>
      <c r="V45" s="208"/>
    </row>
    <row r="46" spans="1:22" s="171" customFormat="1" ht="12.75" customHeight="1">
      <c r="A46" s="168" t="s">
        <v>453</v>
      </c>
      <c r="B46" s="169" t="s">
        <v>466</v>
      </c>
      <c r="C46" s="170">
        <v>386674</v>
      </c>
      <c r="D46" s="170">
        <v>0</v>
      </c>
      <c r="E46" s="170">
        <v>0</v>
      </c>
      <c r="F46" s="170">
        <v>241589.6</v>
      </c>
      <c r="G46" s="170">
        <v>30198.7</v>
      </c>
      <c r="H46" s="170">
        <v>114885.70000000001</v>
      </c>
      <c r="I46" s="171" t="s">
        <v>467</v>
      </c>
      <c r="M46" s="208"/>
      <c r="N46" s="197"/>
      <c r="O46" s="198"/>
      <c r="P46" s="198"/>
      <c r="Q46" s="198"/>
      <c r="R46" s="198"/>
      <c r="S46" s="198"/>
      <c r="T46" s="198"/>
      <c r="U46" s="199"/>
      <c r="V46" s="208"/>
    </row>
    <row r="47" spans="1:22" s="162" customFormat="1" ht="12.75" customHeight="1">
      <c r="A47" s="165" t="s">
        <v>380</v>
      </c>
      <c r="B47" s="167" t="s">
        <v>468</v>
      </c>
      <c r="C47" s="167"/>
      <c r="D47" s="167">
        <v>0</v>
      </c>
      <c r="E47" s="167">
        <v>0</v>
      </c>
      <c r="F47" s="167">
        <v>0</v>
      </c>
      <c r="G47" s="167">
        <v>0</v>
      </c>
      <c r="H47" s="167">
        <v>0</v>
      </c>
      <c r="M47" s="207"/>
      <c r="N47" s="194"/>
      <c r="O47" s="195"/>
      <c r="P47" s="195"/>
      <c r="Q47" s="195"/>
      <c r="R47" s="195"/>
      <c r="S47" s="195"/>
      <c r="T47" s="195"/>
      <c r="U47" s="196"/>
      <c r="V47" s="207"/>
    </row>
    <row r="48" spans="1:22" s="162" customFormat="1" ht="12.75" customHeight="1">
      <c r="A48" s="163" t="s">
        <v>469</v>
      </c>
      <c r="B48" s="164" t="s">
        <v>470</v>
      </c>
      <c r="C48" s="164">
        <f t="shared" ref="C48" si="3">+C49+C50+C59</f>
        <v>10317606.429999998</v>
      </c>
      <c r="D48" s="164">
        <v>184407.69</v>
      </c>
      <c r="E48" s="164">
        <v>408296.15</v>
      </c>
      <c r="F48" s="164">
        <v>119340.02</v>
      </c>
      <c r="G48" s="164">
        <v>658060.44999999995</v>
      </c>
      <c r="H48" s="164">
        <v>8947502.1199999973</v>
      </c>
      <c r="M48" s="207"/>
      <c r="N48" s="194"/>
      <c r="O48" s="195"/>
      <c r="P48" s="195"/>
      <c r="Q48" s="195"/>
      <c r="R48" s="195"/>
      <c r="S48" s="195"/>
      <c r="T48" s="195"/>
      <c r="U48" s="196"/>
      <c r="V48" s="207"/>
    </row>
    <row r="49" spans="1:22" s="162" customFormat="1" ht="12.75" customHeight="1">
      <c r="A49" s="165" t="s">
        <v>374</v>
      </c>
      <c r="B49" s="166" t="s">
        <v>471</v>
      </c>
      <c r="C49" s="167">
        <v>473093.12</v>
      </c>
      <c r="D49" s="167">
        <v>184407.69</v>
      </c>
      <c r="E49" s="167">
        <v>149570.74</v>
      </c>
      <c r="F49" s="167">
        <v>59053.54</v>
      </c>
      <c r="G49" s="167">
        <v>12908.95</v>
      </c>
      <c r="H49" s="167">
        <v>67152.200000000012</v>
      </c>
      <c r="I49" s="162" t="s">
        <v>376</v>
      </c>
      <c r="M49" s="207"/>
      <c r="N49" s="194"/>
      <c r="O49" s="195"/>
      <c r="P49" s="195"/>
      <c r="Q49" s="195"/>
      <c r="R49" s="195"/>
      <c r="S49" s="195"/>
      <c r="T49" s="195"/>
      <c r="U49" s="196"/>
      <c r="V49" s="207"/>
    </row>
    <row r="50" spans="1:22" s="162" customFormat="1" ht="12.75" customHeight="1" collapsed="1">
      <c r="A50" s="165" t="s">
        <v>377</v>
      </c>
      <c r="B50" s="167" t="s">
        <v>472</v>
      </c>
      <c r="C50" s="189">
        <f t="shared" ref="C50" si="4">+SUM(C51:C58)</f>
        <v>9399774.1199999992</v>
      </c>
      <c r="D50" s="189">
        <v>0</v>
      </c>
      <c r="E50" s="189">
        <v>0</v>
      </c>
      <c r="F50" s="189">
        <v>0</v>
      </c>
      <c r="G50" s="189">
        <v>645151.5</v>
      </c>
      <c r="H50" s="189">
        <v>8754622.6199999992</v>
      </c>
      <c r="I50" s="162" t="s">
        <v>473</v>
      </c>
      <c r="M50" s="207" t="s">
        <v>494</v>
      </c>
      <c r="N50" s="194"/>
      <c r="O50" s="195"/>
      <c r="P50" s="195"/>
      <c r="Q50" s="195"/>
      <c r="R50" s="195"/>
      <c r="S50" s="195"/>
      <c r="T50" s="201">
        <f t="shared" ref="T50:U50" si="5">+G50</f>
        <v>645151.5</v>
      </c>
      <c r="U50" s="202">
        <f t="shared" si="5"/>
        <v>8754622.6199999992</v>
      </c>
      <c r="V50" s="213">
        <f>SUM(N50:U50)</f>
        <v>9399774.1199999992</v>
      </c>
    </row>
    <row r="51" spans="1:22" s="171" customFormat="1" ht="12.75" hidden="1" customHeight="1" outlineLevel="1">
      <c r="A51" s="168" t="s">
        <v>449</v>
      </c>
      <c r="B51" s="169" t="s">
        <v>474</v>
      </c>
      <c r="C51" s="170">
        <v>4605283</v>
      </c>
      <c r="D51" s="170">
        <v>0</v>
      </c>
      <c r="E51" s="170">
        <v>0</v>
      </c>
      <c r="F51" s="170">
        <v>0</v>
      </c>
      <c r="G51" s="170">
        <v>460528.30000000005</v>
      </c>
      <c r="H51" s="170">
        <v>4144754.7</v>
      </c>
      <c r="M51" s="208"/>
      <c r="N51" s="197"/>
      <c r="O51" s="198"/>
      <c r="P51" s="198"/>
      <c r="Q51" s="198"/>
      <c r="R51" s="198"/>
      <c r="S51" s="198"/>
      <c r="T51" s="198"/>
      <c r="U51" s="199"/>
      <c r="V51" s="208"/>
    </row>
    <row r="52" spans="1:22" s="171" customFormat="1" ht="12.75" hidden="1" customHeight="1" outlineLevel="1">
      <c r="A52" s="168" t="s">
        <v>453</v>
      </c>
      <c r="B52" s="169" t="s">
        <v>475</v>
      </c>
      <c r="C52" s="170">
        <v>1693018</v>
      </c>
      <c r="D52" s="170">
        <v>0</v>
      </c>
      <c r="E52" s="170">
        <v>0</v>
      </c>
      <c r="F52" s="170">
        <v>0</v>
      </c>
      <c r="G52" s="170">
        <v>169301.8</v>
      </c>
      <c r="H52" s="170">
        <v>1523716.2</v>
      </c>
      <c r="M52" s="208"/>
      <c r="N52" s="197"/>
      <c r="O52" s="198"/>
      <c r="P52" s="198"/>
      <c r="Q52" s="198"/>
      <c r="R52" s="198"/>
      <c r="S52" s="198"/>
      <c r="T52" s="198"/>
      <c r="U52" s="199"/>
      <c r="V52" s="208"/>
    </row>
    <row r="53" spans="1:22" s="171" customFormat="1" ht="12.75" hidden="1" customHeight="1" outlineLevel="1">
      <c r="A53" s="168" t="s">
        <v>476</v>
      </c>
      <c r="B53" s="169" t="s">
        <v>477</v>
      </c>
      <c r="C53" s="170">
        <f>149940</f>
        <v>149940</v>
      </c>
      <c r="D53" s="170">
        <v>0</v>
      </c>
      <c r="E53" s="170">
        <v>0</v>
      </c>
      <c r="F53" s="170">
        <v>0</v>
      </c>
      <c r="G53" s="170">
        <v>14994</v>
      </c>
      <c r="H53" s="170">
        <v>134946</v>
      </c>
      <c r="M53" s="208"/>
      <c r="N53" s="197"/>
      <c r="O53" s="198"/>
      <c r="P53" s="198"/>
      <c r="Q53" s="198"/>
      <c r="R53" s="198"/>
      <c r="S53" s="198"/>
      <c r="T53" s="198"/>
      <c r="U53" s="199"/>
      <c r="V53" s="208"/>
    </row>
    <row r="54" spans="1:22" s="171" customFormat="1" ht="12.75" hidden="1" customHeight="1" outlineLevel="1">
      <c r="A54" s="168" t="s">
        <v>478</v>
      </c>
      <c r="B54" s="169" t="s">
        <v>479</v>
      </c>
      <c r="C54" s="170">
        <f>269993</f>
        <v>269993</v>
      </c>
      <c r="D54" s="170">
        <v>0</v>
      </c>
      <c r="E54" s="170">
        <v>0</v>
      </c>
      <c r="F54" s="170">
        <v>0</v>
      </c>
      <c r="G54" s="170">
        <v>0</v>
      </c>
      <c r="H54" s="170">
        <v>269993</v>
      </c>
      <c r="M54" s="208"/>
      <c r="N54" s="197"/>
      <c r="O54" s="198"/>
      <c r="P54" s="198"/>
      <c r="Q54" s="198"/>
      <c r="R54" s="198"/>
      <c r="S54" s="198"/>
      <c r="T54" s="198"/>
      <c r="U54" s="199"/>
      <c r="V54" s="208"/>
    </row>
    <row r="55" spans="1:22" s="171" customFormat="1" ht="12.75" hidden="1" customHeight="1" outlineLevel="1">
      <c r="A55" s="168" t="s">
        <v>480</v>
      </c>
      <c r="B55" s="169" t="s">
        <v>481</v>
      </c>
      <c r="C55" s="174">
        <f>9399774.12-C58-C57-C56-C51-C52-C53-C54</f>
        <v>52501.719999998808</v>
      </c>
      <c r="D55" s="174">
        <v>0</v>
      </c>
      <c r="E55" s="174">
        <v>0</v>
      </c>
      <c r="F55" s="174">
        <v>0</v>
      </c>
      <c r="G55" s="174">
        <v>0</v>
      </c>
      <c r="H55" s="174">
        <v>52501.719999998808</v>
      </c>
      <c r="M55" s="208"/>
      <c r="N55" s="197"/>
      <c r="O55" s="198"/>
      <c r="P55" s="198"/>
      <c r="Q55" s="198"/>
      <c r="R55" s="198"/>
      <c r="S55" s="198"/>
      <c r="T55" s="198"/>
      <c r="U55" s="199"/>
      <c r="V55" s="208"/>
    </row>
    <row r="56" spans="1:22" s="171" customFormat="1" ht="12.75" hidden="1" customHeight="1" outlineLevel="1">
      <c r="A56" s="168" t="s">
        <v>482</v>
      </c>
      <c r="B56" s="169" t="s">
        <v>483</v>
      </c>
      <c r="C56" s="170">
        <v>522.4</v>
      </c>
      <c r="D56" s="170">
        <v>0</v>
      </c>
      <c r="E56" s="170">
        <v>0</v>
      </c>
      <c r="F56" s="170">
        <v>0</v>
      </c>
      <c r="G56" s="170">
        <v>327.39999999996508</v>
      </c>
      <c r="H56" s="170">
        <v>195.0000000000349</v>
      </c>
      <c r="M56" s="208"/>
      <c r="N56" s="197"/>
      <c r="O56" s="198"/>
      <c r="P56" s="198"/>
      <c r="Q56" s="198"/>
      <c r="R56" s="198"/>
      <c r="S56" s="198"/>
      <c r="T56" s="198"/>
      <c r="U56" s="199"/>
      <c r="V56" s="208"/>
    </row>
    <row r="57" spans="1:22" s="171" customFormat="1" ht="12.75" hidden="1" customHeight="1" outlineLevel="1">
      <c r="A57" s="168" t="s">
        <v>484</v>
      </c>
      <c r="B57" s="169" t="s">
        <v>485</v>
      </c>
      <c r="C57" s="170">
        <v>1908952</v>
      </c>
      <c r="D57" s="170">
        <v>0</v>
      </c>
      <c r="E57" s="170">
        <v>0</v>
      </c>
      <c r="F57" s="170">
        <v>0</v>
      </c>
      <c r="G57" s="170">
        <v>0</v>
      </c>
      <c r="H57" s="170">
        <v>1908952</v>
      </c>
      <c r="M57" s="208"/>
      <c r="N57" s="197"/>
      <c r="O57" s="198"/>
      <c r="P57" s="198"/>
      <c r="Q57" s="198"/>
      <c r="R57" s="198"/>
      <c r="S57" s="198"/>
      <c r="T57" s="198"/>
      <c r="U57" s="199"/>
      <c r="V57" s="208"/>
    </row>
    <row r="58" spans="1:22" s="171" customFormat="1" ht="12.75" hidden="1" customHeight="1" outlineLevel="1">
      <c r="A58" s="168" t="s">
        <v>486</v>
      </c>
      <c r="B58" s="169" t="s">
        <v>487</v>
      </c>
      <c r="C58" s="174">
        <v>719564</v>
      </c>
      <c r="D58" s="174">
        <v>0</v>
      </c>
      <c r="E58" s="174">
        <v>0</v>
      </c>
      <c r="F58" s="174">
        <v>0</v>
      </c>
      <c r="G58" s="174">
        <v>0</v>
      </c>
      <c r="H58" s="174">
        <v>719564</v>
      </c>
      <c r="M58" s="208"/>
      <c r="N58" s="197"/>
      <c r="O58" s="198"/>
      <c r="P58" s="198"/>
      <c r="Q58" s="198"/>
      <c r="R58" s="198"/>
      <c r="S58" s="198"/>
      <c r="T58" s="198"/>
      <c r="U58" s="199"/>
      <c r="V58" s="208"/>
    </row>
    <row r="59" spans="1:22" s="162" customFormat="1" ht="12.75" customHeight="1">
      <c r="A59" s="165" t="s">
        <v>380</v>
      </c>
      <c r="B59" s="167" t="s">
        <v>488</v>
      </c>
      <c r="C59" s="175">
        <v>444739.19000000006</v>
      </c>
      <c r="D59" s="175">
        <v>0</v>
      </c>
      <c r="E59" s="175">
        <v>258725.41</v>
      </c>
      <c r="F59" s="175">
        <v>60286.48000000001</v>
      </c>
      <c r="G59" s="175">
        <v>0</v>
      </c>
      <c r="H59" s="175">
        <v>125727.30000000005</v>
      </c>
      <c r="I59" s="162" t="s">
        <v>489</v>
      </c>
      <c r="M59" s="207"/>
      <c r="N59" s="194"/>
      <c r="O59" s="195"/>
      <c r="P59" s="195"/>
      <c r="Q59" s="195"/>
      <c r="R59" s="195"/>
      <c r="S59" s="195"/>
      <c r="T59" s="195"/>
      <c r="U59" s="196"/>
      <c r="V59" s="207"/>
    </row>
    <row r="60" spans="1:22" s="162" customFormat="1" ht="12.75" customHeight="1">
      <c r="A60" s="163" t="s">
        <v>490</v>
      </c>
      <c r="B60" s="176"/>
      <c r="C60" s="177">
        <f t="shared" ref="C60" si="6">+C48+C42+C32+C6</f>
        <v>39052753</v>
      </c>
      <c r="D60" s="177">
        <v>946302.60000000009</v>
      </c>
      <c r="E60" s="177">
        <v>6363196.0899999999</v>
      </c>
      <c r="F60" s="177">
        <v>8876703.0899999999</v>
      </c>
      <c r="G60" s="177">
        <v>9759295.370000001</v>
      </c>
      <c r="H60" s="177">
        <v>13107255.850000001</v>
      </c>
      <c r="M60" s="209" t="s">
        <v>504</v>
      </c>
      <c r="N60" s="214">
        <f t="shared" ref="N60:T60" si="7">SUM(N7:N59)</f>
        <v>272340</v>
      </c>
      <c r="O60" s="215">
        <f t="shared" si="7"/>
        <v>253905</v>
      </c>
      <c r="P60" s="215">
        <f t="shared" si="7"/>
        <v>0</v>
      </c>
      <c r="Q60" s="215">
        <f t="shared" si="7"/>
        <v>0</v>
      </c>
      <c r="R60" s="215">
        <f t="shared" si="7"/>
        <v>0</v>
      </c>
      <c r="S60" s="215">
        <f t="shared" si="7"/>
        <v>0</v>
      </c>
      <c r="T60" s="215">
        <f t="shared" si="7"/>
        <v>3463246.1</v>
      </c>
      <c r="U60" s="216">
        <f>SUM(U7:U59)</f>
        <v>9385831.0199999996</v>
      </c>
      <c r="V60" s="216">
        <f>SUM(V7:V59)</f>
        <v>13375322.119999999</v>
      </c>
    </row>
    <row r="61" spans="1:22">
      <c r="M61" s="217" t="s">
        <v>505</v>
      </c>
      <c r="N61" s="218">
        <f>+N60*1560</f>
        <v>424850400</v>
      </c>
      <c r="O61" s="219">
        <f t="shared" ref="O61:V61" si="8">+O60*1560</f>
        <v>396091800</v>
      </c>
      <c r="P61" s="219">
        <f t="shared" si="8"/>
        <v>0</v>
      </c>
      <c r="Q61" s="219">
        <f t="shared" si="8"/>
        <v>0</v>
      </c>
      <c r="R61" s="219">
        <f t="shared" si="8"/>
        <v>0</v>
      </c>
      <c r="S61" s="219">
        <f t="shared" si="8"/>
        <v>0</v>
      </c>
      <c r="T61" s="219">
        <f t="shared" si="8"/>
        <v>5402663916</v>
      </c>
      <c r="U61" s="220">
        <f t="shared" si="8"/>
        <v>14641896391.199999</v>
      </c>
      <c r="V61" s="220">
        <f t="shared" si="8"/>
        <v>20865502507.199997</v>
      </c>
    </row>
  </sheetData>
  <mergeCells count="9">
    <mergeCell ref="N3:U3"/>
    <mergeCell ref="G2:G5"/>
    <mergeCell ref="H2:H5"/>
    <mergeCell ref="A2:A5"/>
    <mergeCell ref="B2:B5"/>
    <mergeCell ref="C2:C5"/>
    <mergeCell ref="D2:D5"/>
    <mergeCell ref="E2:E5"/>
    <mergeCell ref="F2:F5"/>
  </mergeCells>
  <dataValidations count="2">
    <dataValidation type="textLength" errorStyle="information" allowBlank="1" showInputMessage="1" showErrorMessage="1" error="XLBVal:5=209000000_x000d__x000a_" sqref="C9">
      <formula1>0</formula1>
      <formula2>300</formula2>
    </dataValidation>
    <dataValidation type="textLength" errorStyle="information" allowBlank="1" showInputMessage="1" showErrorMessage="1" error="XLBVal:6=30199795.24_x000d__x000a_" sqref="C34">
      <formula1>0</formula1>
      <formula2>300</formula2>
    </dataValidation>
  </dataValidations>
  <pageMargins left="0.17" right="0.17" top="0.18" bottom="0.25" header="0.3" footer="0.27"/>
  <pageSetup paperSize="9" scale="72"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2"/>
  <sheetViews>
    <sheetView topLeftCell="A45" zoomScale="145" zoomScaleNormal="145" workbookViewId="0">
      <selection activeCell="J63" sqref="J63"/>
    </sheetView>
  </sheetViews>
  <sheetFormatPr defaultRowHeight="15"/>
  <cols>
    <col min="1" max="1" width="19.42578125" customWidth="1"/>
    <col min="3" max="3" width="9.85546875" customWidth="1"/>
    <col min="4" max="4" width="10.5703125" bestFit="1" customWidth="1"/>
    <col min="5" max="5" width="10.7109375" customWidth="1"/>
    <col min="6" max="6" width="11" customWidth="1"/>
    <col min="7" max="7" width="11.28515625" customWidth="1"/>
    <col min="8" max="8" width="10.42578125" customWidth="1"/>
    <col min="9" max="9" width="11" customWidth="1"/>
    <col min="10" max="10" width="12.85546875" customWidth="1"/>
  </cols>
  <sheetData>
    <row r="1" spans="1:19">
      <c r="A1" t="s">
        <v>217</v>
      </c>
    </row>
    <row r="2" spans="1:19">
      <c r="A2" t="s">
        <v>274</v>
      </c>
    </row>
    <row r="3" spans="1:19">
      <c r="A3" t="s">
        <v>270</v>
      </c>
    </row>
    <row r="4" spans="1:19">
      <c r="A4" t="s">
        <v>271</v>
      </c>
    </row>
    <row r="5" spans="1:19">
      <c r="B5" t="s">
        <v>18</v>
      </c>
      <c r="C5" t="s">
        <v>272</v>
      </c>
      <c r="D5" t="s">
        <v>273</v>
      </c>
    </row>
    <row r="6" spans="1:19">
      <c r="A6" t="s">
        <v>276</v>
      </c>
      <c r="B6">
        <v>10.48</v>
      </c>
      <c r="C6">
        <v>10.95</v>
      </c>
      <c r="D6">
        <v>10.039999999999999</v>
      </c>
    </row>
    <row r="7" spans="1:19">
      <c r="A7" t="s">
        <v>275</v>
      </c>
      <c r="B7">
        <v>16.760000000000002</v>
      </c>
      <c r="C7">
        <v>17.440000000000001</v>
      </c>
      <c r="D7">
        <v>16.11</v>
      </c>
    </row>
    <row r="8" spans="1:19">
      <c r="A8" t="s">
        <v>277</v>
      </c>
      <c r="B8">
        <v>3.97</v>
      </c>
      <c r="C8">
        <v>3.45</v>
      </c>
      <c r="D8">
        <v>4.45</v>
      </c>
    </row>
    <row r="9" spans="1:19">
      <c r="A9" t="s">
        <v>278</v>
      </c>
      <c r="C9" s="85">
        <v>2251</v>
      </c>
    </row>
    <row r="10" spans="1:19">
      <c r="A10" t="s">
        <v>279</v>
      </c>
    </row>
    <row r="12" spans="1:19">
      <c r="A12" s="86" t="s">
        <v>222</v>
      </c>
      <c r="B12" s="39"/>
      <c r="C12" s="39"/>
      <c r="D12" s="39"/>
      <c r="E12" s="39"/>
      <c r="F12" s="39"/>
      <c r="G12" s="39"/>
      <c r="H12" s="39"/>
      <c r="I12" s="39"/>
      <c r="J12" s="39"/>
      <c r="K12" s="39"/>
      <c r="L12" s="39"/>
      <c r="M12" s="39"/>
      <c r="N12" s="39"/>
      <c r="O12" s="39"/>
      <c r="P12" s="39"/>
      <c r="Q12" s="39"/>
      <c r="R12" s="39"/>
      <c r="S12" s="39"/>
    </row>
    <row r="13" spans="1:19" ht="15.75">
      <c r="A13" s="64" t="s">
        <v>218</v>
      </c>
    </row>
    <row r="14" spans="1:19" ht="15.75">
      <c r="A14" s="64" t="s">
        <v>219</v>
      </c>
    </row>
    <row r="15" spans="1:19" ht="15.75">
      <c r="A15" s="64" t="s">
        <v>220</v>
      </c>
    </row>
    <row r="16" spans="1:19" ht="15.75">
      <c r="A16" s="64" t="s">
        <v>221</v>
      </c>
    </row>
    <row r="17" spans="1:19" ht="15.75">
      <c r="A17" s="64" t="s">
        <v>234</v>
      </c>
    </row>
    <row r="18" spans="1:19" ht="15.75">
      <c r="A18" s="64" t="s">
        <v>235</v>
      </c>
    </row>
    <row r="19" spans="1:19" ht="15.75">
      <c r="A19" s="64" t="s">
        <v>237</v>
      </c>
    </row>
    <row r="20" spans="1:19" ht="15.75">
      <c r="A20" s="64" t="s">
        <v>238</v>
      </c>
    </row>
    <row r="21" spans="1:19" ht="15.75">
      <c r="A21" s="64" t="s">
        <v>239</v>
      </c>
    </row>
    <row r="22" spans="1:19" ht="15.75">
      <c r="A22" s="64" t="s">
        <v>240</v>
      </c>
    </row>
    <row r="23" spans="1:19" ht="15.75">
      <c r="A23" s="64" t="s">
        <v>241</v>
      </c>
    </row>
    <row r="24" spans="1:19" ht="15.75">
      <c r="A24" s="64" t="s">
        <v>242</v>
      </c>
      <c r="K24" t="s">
        <v>236</v>
      </c>
    </row>
    <row r="25" spans="1:19" ht="15.75">
      <c r="A25" s="87" t="s">
        <v>243</v>
      </c>
      <c r="B25" s="43"/>
      <c r="C25" s="43"/>
      <c r="D25" s="43"/>
      <c r="E25" s="43"/>
      <c r="F25" s="43"/>
      <c r="G25" s="43"/>
      <c r="H25" s="43"/>
      <c r="I25" s="43"/>
      <c r="J25" s="43"/>
      <c r="K25" s="43"/>
      <c r="L25" s="43"/>
      <c r="M25" s="43"/>
      <c r="N25" s="43"/>
      <c r="O25" s="43"/>
      <c r="P25" s="43"/>
      <c r="Q25" s="43"/>
      <c r="R25" s="43"/>
      <c r="S25" s="43"/>
    </row>
    <row r="26" spans="1:19" ht="15.75">
      <c r="A26" s="88" t="s">
        <v>244</v>
      </c>
      <c r="B26" s="3"/>
      <c r="C26" s="3"/>
      <c r="D26" s="3"/>
      <c r="E26" s="3"/>
      <c r="F26" s="3"/>
      <c r="G26" s="3"/>
      <c r="H26" s="3"/>
      <c r="I26" s="3"/>
      <c r="J26" s="3"/>
      <c r="K26" s="3"/>
      <c r="L26" s="3"/>
      <c r="M26" s="3"/>
      <c r="N26" s="3"/>
      <c r="O26" s="3"/>
      <c r="P26" s="3"/>
      <c r="Q26" s="3"/>
      <c r="R26" s="3"/>
      <c r="S26" s="3"/>
    </row>
    <row r="27" spans="1:19" ht="15.75">
      <c r="A27" s="89" t="s">
        <v>281</v>
      </c>
    </row>
    <row r="28" spans="1:19" ht="15.75">
      <c r="A28" s="90" t="s">
        <v>280</v>
      </c>
      <c r="B28" s="39"/>
      <c r="C28" s="39"/>
      <c r="D28" s="39"/>
      <c r="E28" s="39"/>
      <c r="F28" s="39"/>
      <c r="G28" s="41"/>
    </row>
    <row r="29" spans="1:19">
      <c r="A29" s="42"/>
      <c r="B29" s="398" t="s">
        <v>247</v>
      </c>
      <c r="C29" s="398"/>
      <c r="D29" s="397" t="s">
        <v>250</v>
      </c>
      <c r="E29" s="398"/>
      <c r="F29" s="397" t="s">
        <v>251</v>
      </c>
      <c r="G29" s="414"/>
    </row>
    <row r="30" spans="1:19">
      <c r="A30" s="42"/>
      <c r="B30" s="66" t="s">
        <v>248</v>
      </c>
      <c r="C30" s="67" t="s">
        <v>249</v>
      </c>
      <c r="D30" s="65" t="s">
        <v>248</v>
      </c>
      <c r="E30" s="67" t="s">
        <v>249</v>
      </c>
      <c r="F30" s="65" t="s">
        <v>248</v>
      </c>
      <c r="G30" s="67" t="s">
        <v>249</v>
      </c>
    </row>
    <row r="31" spans="1:19">
      <c r="A31" s="42" t="s">
        <v>245</v>
      </c>
      <c r="B31" s="43">
        <v>736</v>
      </c>
      <c r="C31" s="68">
        <v>2.64</v>
      </c>
      <c r="D31" s="42">
        <v>140</v>
      </c>
      <c r="E31" s="68">
        <v>0.5</v>
      </c>
      <c r="F31" s="42">
        <v>44</v>
      </c>
      <c r="G31" s="68">
        <v>0.16</v>
      </c>
    </row>
    <row r="32" spans="1:19">
      <c r="A32" s="50" t="s">
        <v>246</v>
      </c>
      <c r="B32" s="3">
        <v>2370</v>
      </c>
      <c r="C32" s="91">
        <v>8.51</v>
      </c>
      <c r="D32" s="50">
        <v>394</v>
      </c>
      <c r="E32" s="91">
        <v>1.41</v>
      </c>
      <c r="F32" s="50">
        <v>120</v>
      </c>
      <c r="G32" s="91">
        <v>0.43</v>
      </c>
    </row>
    <row r="34" spans="1:10">
      <c r="A34" s="92" t="s">
        <v>266</v>
      </c>
      <c r="B34" s="39"/>
      <c r="C34" s="39"/>
      <c r="D34" s="39"/>
      <c r="E34" s="39"/>
      <c r="F34" s="70">
        <v>2006</v>
      </c>
      <c r="G34" s="70">
        <v>2009</v>
      </c>
      <c r="H34" s="39"/>
      <c r="I34" s="86" t="s">
        <v>256</v>
      </c>
      <c r="J34" s="41"/>
    </row>
    <row r="35" spans="1:10">
      <c r="A35" s="71" t="s">
        <v>267</v>
      </c>
      <c r="B35" s="3"/>
      <c r="C35" s="3"/>
      <c r="D35" s="3"/>
      <c r="E35" s="3"/>
      <c r="F35" s="3">
        <v>10.3</v>
      </c>
      <c r="G35" s="3">
        <v>9.4</v>
      </c>
      <c r="H35" s="3"/>
      <c r="I35" s="3">
        <v>10</v>
      </c>
      <c r="J35" s="53">
        <v>9.8000000000000007</v>
      </c>
    </row>
    <row r="37" spans="1:10">
      <c r="A37" s="92" t="s">
        <v>252</v>
      </c>
      <c r="B37" s="39"/>
      <c r="C37" s="39"/>
      <c r="D37" s="39"/>
      <c r="E37" s="39"/>
      <c r="F37" s="39"/>
      <c r="G37" s="39"/>
      <c r="H37" s="39"/>
      <c r="I37" s="86" t="s">
        <v>256</v>
      </c>
      <c r="J37" s="41"/>
    </row>
    <row r="38" spans="1:10">
      <c r="A38" s="42"/>
      <c r="B38" s="43"/>
      <c r="C38" s="43"/>
      <c r="D38" s="43"/>
      <c r="E38" s="93">
        <v>2008</v>
      </c>
      <c r="F38" s="93">
        <v>2009</v>
      </c>
      <c r="G38" s="93">
        <f>+F38+1</f>
        <v>2010</v>
      </c>
      <c r="H38" s="93">
        <f>+G38+1</f>
        <v>2011</v>
      </c>
      <c r="I38" s="93">
        <v>2009</v>
      </c>
      <c r="J38" s="94">
        <v>2013</v>
      </c>
    </row>
    <row r="39" spans="1:10">
      <c r="A39" s="42" t="s">
        <v>253</v>
      </c>
      <c r="B39" s="43"/>
      <c r="C39" s="43"/>
      <c r="D39" s="43"/>
      <c r="E39" s="43"/>
      <c r="F39" s="43"/>
      <c r="G39" s="43"/>
      <c r="H39" s="43"/>
      <c r="I39" s="43"/>
      <c r="J39" s="44"/>
    </row>
    <row r="40" spans="1:10">
      <c r="A40" s="42" t="s">
        <v>254</v>
      </c>
      <c r="B40" s="43"/>
      <c r="C40" s="43"/>
      <c r="D40" s="43"/>
      <c r="E40" s="43"/>
      <c r="F40" s="43">
        <v>36.4</v>
      </c>
      <c r="G40" s="43">
        <v>36.4</v>
      </c>
      <c r="H40" s="43">
        <v>36.200000000000003</v>
      </c>
      <c r="I40" s="43">
        <v>34</v>
      </c>
      <c r="J40" s="44">
        <v>35</v>
      </c>
    </row>
    <row r="41" spans="1:10">
      <c r="A41" s="42" t="s">
        <v>253</v>
      </c>
      <c r="B41" s="43"/>
      <c r="C41" s="43"/>
      <c r="D41" s="43"/>
      <c r="E41" s="43"/>
      <c r="F41" s="43"/>
      <c r="G41" s="43"/>
      <c r="H41" s="43"/>
      <c r="I41" s="43"/>
      <c r="J41" s="44"/>
    </row>
    <row r="42" spans="1:10">
      <c r="A42" s="50" t="s">
        <v>255</v>
      </c>
      <c r="B42" s="3"/>
      <c r="C42" s="3"/>
      <c r="D42" s="3"/>
      <c r="E42" s="3"/>
      <c r="F42" s="3">
        <v>37.799999999999997</v>
      </c>
      <c r="G42" s="3">
        <v>31.5</v>
      </c>
      <c r="H42" s="3">
        <v>37.200000000000003</v>
      </c>
      <c r="I42" s="3">
        <v>30</v>
      </c>
      <c r="J42" s="53">
        <v>31</v>
      </c>
    </row>
    <row r="44" spans="1:10">
      <c r="A44" s="92" t="s">
        <v>257</v>
      </c>
      <c r="B44" s="39"/>
      <c r="C44" s="39"/>
      <c r="D44" s="39"/>
      <c r="E44" s="39"/>
      <c r="F44" s="39"/>
      <c r="G44" s="39"/>
      <c r="H44" s="39"/>
      <c r="I44" s="39"/>
      <c r="J44" s="41"/>
    </row>
    <row r="45" spans="1:10">
      <c r="A45" s="42" t="s">
        <v>258</v>
      </c>
      <c r="B45" s="43"/>
      <c r="C45" s="43"/>
      <c r="D45" s="43"/>
      <c r="E45" s="43"/>
      <c r="F45" s="43">
        <v>8.6999999999999993</v>
      </c>
      <c r="G45" s="43">
        <v>9.8000000000000007</v>
      </c>
      <c r="H45" s="43">
        <v>9.4</v>
      </c>
      <c r="I45" s="43">
        <v>3.5</v>
      </c>
      <c r="J45" s="95" t="s">
        <v>261</v>
      </c>
    </row>
    <row r="46" spans="1:10">
      <c r="A46" s="42" t="s">
        <v>259</v>
      </c>
      <c r="B46" s="43"/>
      <c r="C46" s="43"/>
      <c r="D46" s="43"/>
      <c r="E46" s="43"/>
      <c r="F46" s="43">
        <v>8.1</v>
      </c>
      <c r="G46" s="43">
        <v>9.1999999999999993</v>
      </c>
      <c r="H46" s="43">
        <v>8.5</v>
      </c>
      <c r="I46" s="43">
        <v>15.1</v>
      </c>
      <c r="J46" s="95" t="s">
        <v>262</v>
      </c>
    </row>
    <row r="47" spans="1:10">
      <c r="A47" s="50" t="s">
        <v>260</v>
      </c>
      <c r="B47" s="3"/>
      <c r="C47" s="3"/>
      <c r="D47" s="3"/>
      <c r="E47" s="3"/>
      <c r="F47" s="3">
        <v>11.9</v>
      </c>
      <c r="G47" s="3">
        <v>13</v>
      </c>
      <c r="H47" s="3">
        <v>12.7</v>
      </c>
      <c r="I47" s="3">
        <v>11.8</v>
      </c>
      <c r="J47" s="96" t="s">
        <v>263</v>
      </c>
    </row>
    <row r="49" spans="1:10">
      <c r="A49" s="97"/>
      <c r="B49" s="39"/>
      <c r="C49" s="39"/>
      <c r="D49" s="39"/>
      <c r="E49" s="70">
        <v>2008</v>
      </c>
      <c r="F49" s="70">
        <v>2009</v>
      </c>
      <c r="G49" s="70">
        <f>+F49+1</f>
        <v>2010</v>
      </c>
      <c r="H49" s="70">
        <f>+G49+1</f>
        <v>2011</v>
      </c>
      <c r="I49" s="98" t="s">
        <v>282</v>
      </c>
    </row>
    <row r="50" spans="1:10">
      <c r="A50" s="99" t="s">
        <v>264</v>
      </c>
      <c r="B50" s="43"/>
      <c r="C50" s="43"/>
      <c r="D50" s="43"/>
      <c r="E50" s="43"/>
      <c r="F50" s="43"/>
      <c r="G50" s="43"/>
      <c r="H50" s="43"/>
      <c r="I50" s="44"/>
    </row>
    <row r="51" spans="1:10">
      <c r="A51" s="71" t="s">
        <v>265</v>
      </c>
      <c r="B51" s="3"/>
      <c r="C51" s="3"/>
      <c r="D51" s="3"/>
      <c r="E51" s="3">
        <v>18.7</v>
      </c>
      <c r="F51" s="3">
        <v>15.8</v>
      </c>
      <c r="G51" s="3">
        <v>17.8</v>
      </c>
      <c r="H51" s="3">
        <v>19.7</v>
      </c>
      <c r="I51" s="53">
        <v>16.5</v>
      </c>
    </row>
    <row r="53" spans="1:10">
      <c r="A53" s="69"/>
      <c r="B53" s="98"/>
      <c r="C53" s="415" t="s">
        <v>283</v>
      </c>
      <c r="D53" s="416"/>
      <c r="E53" s="417"/>
      <c r="F53" s="415" t="s">
        <v>284</v>
      </c>
      <c r="G53" s="416"/>
      <c r="H53" s="417"/>
    </row>
    <row r="54" spans="1:10">
      <c r="A54" s="71"/>
      <c r="B54" s="111"/>
      <c r="C54" s="112" t="s">
        <v>24</v>
      </c>
      <c r="D54" s="112" t="s">
        <v>272</v>
      </c>
      <c r="E54" s="112" t="s">
        <v>273</v>
      </c>
      <c r="F54" s="113" t="s">
        <v>24</v>
      </c>
      <c r="G54" s="112" t="s">
        <v>272</v>
      </c>
      <c r="H54" s="114" t="s">
        <v>273</v>
      </c>
    </row>
    <row r="55" spans="1:10">
      <c r="A55" s="115" t="s">
        <v>285</v>
      </c>
      <c r="B55" s="39"/>
      <c r="C55" s="103"/>
      <c r="D55" s="108"/>
      <c r="E55" s="105"/>
      <c r="F55" s="104"/>
      <c r="G55" s="108"/>
      <c r="H55" s="105"/>
    </row>
    <row r="56" spans="1:10">
      <c r="A56" s="100" t="s">
        <v>286</v>
      </c>
      <c r="B56" s="43"/>
      <c r="C56" s="106">
        <v>140</v>
      </c>
      <c r="D56" s="109">
        <v>1</v>
      </c>
      <c r="E56" s="79">
        <v>139</v>
      </c>
      <c r="F56" s="153">
        <v>44</v>
      </c>
      <c r="G56" s="109">
        <v>1</v>
      </c>
      <c r="H56" s="79">
        <v>43</v>
      </c>
    </row>
    <row r="57" spans="1:10">
      <c r="A57" s="102" t="s">
        <v>287</v>
      </c>
      <c r="B57" s="3"/>
      <c r="C57" s="107">
        <v>394</v>
      </c>
      <c r="D57" s="110"/>
      <c r="E57" s="82">
        <v>394</v>
      </c>
      <c r="F57" s="154">
        <v>120</v>
      </c>
      <c r="G57" s="110"/>
      <c r="H57" s="82">
        <v>120</v>
      </c>
      <c r="I57" s="156">
        <f>+F57+F56</f>
        <v>164</v>
      </c>
    </row>
    <row r="58" spans="1:10">
      <c r="A58" s="101" t="s">
        <v>288</v>
      </c>
      <c r="B58" s="43"/>
      <c r="C58" s="106"/>
      <c r="D58" s="109"/>
      <c r="E58" s="79"/>
      <c r="F58" s="78"/>
      <c r="G58" s="109"/>
      <c r="H58" s="79"/>
    </row>
    <row r="59" spans="1:10">
      <c r="A59" s="100" t="s">
        <v>289</v>
      </c>
      <c r="B59" s="43"/>
      <c r="C59" s="106">
        <v>1878</v>
      </c>
      <c r="D59" s="109">
        <v>949</v>
      </c>
      <c r="E59" s="79">
        <f>+C59-D59</f>
        <v>929</v>
      </c>
      <c r="F59" s="78">
        <v>1007</v>
      </c>
      <c r="G59" s="109">
        <v>688</v>
      </c>
      <c r="H59" s="79">
        <f>+F59-G59</f>
        <v>319</v>
      </c>
    </row>
    <row r="60" spans="1:10">
      <c r="A60" s="100" t="s">
        <v>290</v>
      </c>
      <c r="B60" s="43"/>
      <c r="C60" s="106">
        <v>15726</v>
      </c>
      <c r="D60" s="109">
        <v>6891</v>
      </c>
      <c r="E60" s="79">
        <f>+C60-D60</f>
        <v>8835</v>
      </c>
      <c r="F60" s="78">
        <v>2384</v>
      </c>
      <c r="G60" s="109">
        <v>1330</v>
      </c>
      <c r="H60" s="79">
        <f t="shared" ref="H60:H64" si="0">+F60-G60</f>
        <v>1054</v>
      </c>
    </row>
    <row r="61" spans="1:10">
      <c r="A61" s="100" t="s">
        <v>291</v>
      </c>
      <c r="B61" s="43"/>
      <c r="C61" s="106">
        <v>86871</v>
      </c>
      <c r="D61" s="109">
        <v>30111</v>
      </c>
      <c r="E61" s="79">
        <f t="shared" ref="E61:E63" si="1">+C61-D61</f>
        <v>56760</v>
      </c>
      <c r="F61" s="78">
        <v>444</v>
      </c>
      <c r="G61" s="109">
        <v>238</v>
      </c>
      <c r="H61" s="79">
        <f t="shared" si="0"/>
        <v>206</v>
      </c>
    </row>
    <row r="62" spans="1:10">
      <c r="A62" s="102" t="s">
        <v>292</v>
      </c>
      <c r="B62" s="3"/>
      <c r="C62" s="107">
        <v>47906</v>
      </c>
      <c r="D62" s="110">
        <v>20670</v>
      </c>
      <c r="E62" s="82">
        <f t="shared" si="1"/>
        <v>27236</v>
      </c>
      <c r="F62" s="81">
        <v>1620</v>
      </c>
      <c r="G62" s="110">
        <v>881</v>
      </c>
      <c r="H62" s="82">
        <f t="shared" si="0"/>
        <v>739</v>
      </c>
    </row>
    <row r="63" spans="1:10">
      <c r="A63" s="116" t="s">
        <v>293</v>
      </c>
      <c r="B63" s="2"/>
      <c r="C63" s="117">
        <v>10222</v>
      </c>
      <c r="D63" s="118">
        <v>4839</v>
      </c>
      <c r="E63" s="119">
        <f t="shared" si="1"/>
        <v>5383</v>
      </c>
      <c r="F63" s="155">
        <v>109</v>
      </c>
      <c r="G63" s="118">
        <v>56</v>
      </c>
      <c r="H63" s="119">
        <f t="shared" si="0"/>
        <v>53</v>
      </c>
      <c r="J63" s="133">
        <f>SUM(F59:F62)</f>
        <v>5455</v>
      </c>
    </row>
    <row r="64" spans="1:10">
      <c r="A64" s="413" t="s">
        <v>294</v>
      </c>
      <c r="B64" s="413"/>
      <c r="C64" s="120"/>
      <c r="D64" s="120"/>
      <c r="E64" s="120"/>
      <c r="F64" s="118">
        <v>549</v>
      </c>
      <c r="G64" s="118">
        <v>440</v>
      </c>
      <c r="H64" s="118">
        <f t="shared" si="0"/>
        <v>109</v>
      </c>
    </row>
    <row r="66" spans="1:10">
      <c r="A66" s="122" t="s">
        <v>296</v>
      </c>
    </row>
    <row r="67" spans="1:10">
      <c r="A67" s="122" t="s">
        <v>297</v>
      </c>
    </row>
    <row r="68" spans="1:10">
      <c r="A68" s="122" t="s">
        <v>295</v>
      </c>
      <c r="B68" s="122"/>
      <c r="C68" s="122"/>
    </row>
    <row r="70" spans="1:10" ht="15.75">
      <c r="A70" t="s">
        <v>299</v>
      </c>
      <c r="C70" s="121" t="s">
        <v>298</v>
      </c>
    </row>
    <row r="71" spans="1:10">
      <c r="A71" t="s">
        <v>300</v>
      </c>
      <c r="C71" t="s">
        <v>301</v>
      </c>
    </row>
    <row r="72" spans="1:10">
      <c r="C72" t="s">
        <v>302</v>
      </c>
    </row>
    <row r="73" spans="1:10">
      <c r="C73" t="s">
        <v>303</v>
      </c>
    </row>
    <row r="74" spans="1:10">
      <c r="A74" s="37" t="s">
        <v>318</v>
      </c>
      <c r="F74" s="3"/>
    </row>
    <row r="75" spans="1:10" ht="91.5">
      <c r="A75" s="123" t="s">
        <v>304</v>
      </c>
      <c r="B75" s="124" t="s">
        <v>305</v>
      </c>
      <c r="C75" s="125" t="s">
        <v>306</v>
      </c>
      <c r="D75" s="126" t="s">
        <v>307</v>
      </c>
      <c r="E75" s="126" t="s">
        <v>308</v>
      </c>
      <c r="F75" s="409" t="s">
        <v>309</v>
      </c>
      <c r="G75" s="410"/>
      <c r="H75" s="127" t="s">
        <v>310</v>
      </c>
      <c r="I75" s="128" t="s">
        <v>311</v>
      </c>
      <c r="J75" s="129">
        <v>46.4</v>
      </c>
    </row>
    <row r="76" spans="1:10" ht="89.25">
      <c r="A76" s="130" t="s">
        <v>312</v>
      </c>
      <c r="B76" s="124" t="s">
        <v>312</v>
      </c>
      <c r="C76" s="125" t="s">
        <v>306</v>
      </c>
      <c r="D76" s="126" t="s">
        <v>313</v>
      </c>
      <c r="E76" s="126" t="s">
        <v>314</v>
      </c>
      <c r="F76" s="411" t="s">
        <v>315</v>
      </c>
      <c r="G76" s="412"/>
      <c r="H76" s="127" t="s">
        <v>316</v>
      </c>
      <c r="I76" s="128" t="s">
        <v>317</v>
      </c>
      <c r="J76" s="129">
        <v>29.3</v>
      </c>
    </row>
    <row r="78" spans="1:10">
      <c r="A78" s="408" t="s">
        <v>342</v>
      </c>
      <c r="B78" s="408"/>
    </row>
    <row r="79" spans="1:10">
      <c r="A79" s="148" t="s">
        <v>341</v>
      </c>
      <c r="B79" s="149"/>
    </row>
    <row r="80" spans="1:10">
      <c r="A80" s="146" t="s">
        <v>338</v>
      </c>
      <c r="B80" s="147"/>
    </row>
    <row r="81" spans="1:2">
      <c r="A81" s="146" t="s">
        <v>339</v>
      </c>
      <c r="B81" s="147"/>
    </row>
    <row r="82" spans="1:2">
      <c r="A82" s="146" t="s">
        <v>340</v>
      </c>
      <c r="B82" s="147"/>
    </row>
    <row r="84" spans="1:2">
      <c r="A84" s="144" t="s">
        <v>343</v>
      </c>
    </row>
    <row r="85" spans="1:2">
      <c r="A85" s="145" t="s">
        <v>344</v>
      </c>
    </row>
    <row r="86" spans="1:2">
      <c r="A86" s="145" t="s">
        <v>347</v>
      </c>
    </row>
    <row r="87" spans="1:2">
      <c r="A87" s="145" t="s">
        <v>348</v>
      </c>
    </row>
    <row r="88" spans="1:2">
      <c r="A88" s="144" t="s">
        <v>349</v>
      </c>
    </row>
    <row r="89" spans="1:2">
      <c r="A89" s="145" t="s">
        <v>345</v>
      </c>
    </row>
    <row r="90" spans="1:2">
      <c r="A90" s="145" t="s">
        <v>350</v>
      </c>
    </row>
    <row r="91" spans="1:2">
      <c r="A91" s="145" t="s">
        <v>351</v>
      </c>
    </row>
    <row r="92" spans="1:2">
      <c r="A92" s="144" t="s">
        <v>352</v>
      </c>
    </row>
    <row r="93" spans="1:2">
      <c r="A93" s="144" t="s">
        <v>346</v>
      </c>
    </row>
    <row r="94" spans="1:2">
      <c r="A94" s="145" t="s">
        <v>344</v>
      </c>
    </row>
    <row r="95" spans="1:2">
      <c r="A95" s="145" t="s">
        <v>353</v>
      </c>
    </row>
    <row r="96" spans="1:2">
      <c r="A96" s="145" t="s">
        <v>354</v>
      </c>
    </row>
    <row r="97" spans="1:10">
      <c r="A97" s="144" t="s">
        <v>355</v>
      </c>
    </row>
    <row r="98" spans="1:10">
      <c r="A98" s="145" t="s">
        <v>345</v>
      </c>
    </row>
    <row r="99" spans="1:10">
      <c r="A99" s="145" t="s">
        <v>356</v>
      </c>
    </row>
    <row r="100" spans="1:10">
      <c r="A100" s="145" t="s">
        <v>357</v>
      </c>
    </row>
    <row r="101" spans="1:10">
      <c r="A101" s="144" t="s">
        <v>358</v>
      </c>
    </row>
    <row r="103" spans="1:10">
      <c r="A103" s="150" t="s">
        <v>359</v>
      </c>
      <c r="B103" s="151"/>
      <c r="C103" s="151"/>
      <c r="D103" s="151"/>
      <c r="E103" s="60"/>
      <c r="F103" s="60"/>
      <c r="G103" s="60"/>
      <c r="H103" s="60"/>
      <c r="I103" s="60"/>
      <c r="J103" s="60"/>
    </row>
    <row r="104" spans="1:10">
      <c r="A104" s="152" t="s">
        <v>344</v>
      </c>
      <c r="B104" s="24"/>
      <c r="C104" s="151"/>
      <c r="D104" s="151"/>
      <c r="E104" s="60"/>
      <c r="F104" s="60"/>
      <c r="G104" s="60"/>
      <c r="H104" s="60"/>
      <c r="I104" s="60"/>
      <c r="J104" s="60"/>
    </row>
    <row r="105" spans="1:10">
      <c r="A105" s="152" t="s">
        <v>360</v>
      </c>
      <c r="B105" s="151"/>
      <c r="C105" s="151"/>
      <c r="D105" s="151"/>
      <c r="E105" s="60"/>
      <c r="F105" s="60"/>
      <c r="G105" s="60"/>
      <c r="H105" s="60"/>
      <c r="I105" s="60"/>
      <c r="J105" s="60"/>
    </row>
    <row r="106" spans="1:10">
      <c r="A106" s="152" t="s">
        <v>365</v>
      </c>
      <c r="B106" s="151"/>
      <c r="C106" s="24"/>
      <c r="D106" s="151"/>
      <c r="E106" s="60"/>
      <c r="F106" s="60"/>
      <c r="G106" s="60"/>
      <c r="H106" s="60"/>
      <c r="I106" s="60"/>
      <c r="J106" s="60"/>
    </row>
    <row r="107" spans="1:10">
      <c r="A107" s="150" t="s">
        <v>364</v>
      </c>
      <c r="B107" s="151"/>
      <c r="C107" s="24"/>
      <c r="D107" s="151"/>
      <c r="E107" s="60"/>
      <c r="F107" s="60"/>
      <c r="G107" s="60"/>
      <c r="H107" s="60"/>
      <c r="I107" s="60"/>
      <c r="J107" s="60"/>
    </row>
    <row r="108" spans="1:10">
      <c r="A108" s="152" t="s">
        <v>345</v>
      </c>
      <c r="B108" s="24"/>
      <c r="C108" s="151"/>
      <c r="D108" s="151"/>
      <c r="E108" s="60"/>
      <c r="F108" s="60"/>
      <c r="G108" s="60"/>
      <c r="H108" s="60"/>
      <c r="I108" s="60"/>
      <c r="J108" s="60"/>
    </row>
    <row r="109" spans="1:10">
      <c r="A109" s="152" t="s">
        <v>361</v>
      </c>
      <c r="B109" s="151"/>
      <c r="C109" s="24"/>
      <c r="D109" s="151"/>
      <c r="E109" s="60"/>
      <c r="F109" s="60"/>
      <c r="G109" s="60"/>
      <c r="H109" s="60"/>
      <c r="I109" s="60"/>
      <c r="J109" s="60"/>
    </row>
    <row r="110" spans="1:10">
      <c r="A110" s="152" t="s">
        <v>363</v>
      </c>
      <c r="B110" s="151"/>
      <c r="C110" s="24"/>
      <c r="D110" s="151"/>
      <c r="E110" s="60"/>
      <c r="F110" s="60"/>
      <c r="G110" s="60"/>
      <c r="H110" s="60"/>
      <c r="I110" s="60"/>
      <c r="J110" s="60"/>
    </row>
    <row r="111" spans="1:10">
      <c r="A111" s="150" t="s">
        <v>362</v>
      </c>
      <c r="B111" s="151"/>
      <c r="C111" s="24"/>
      <c r="D111" s="151"/>
      <c r="E111" s="60"/>
      <c r="F111" s="60"/>
      <c r="G111" s="60"/>
      <c r="H111" s="60"/>
      <c r="I111" s="60"/>
      <c r="J111" s="60"/>
    </row>
    <row r="112" spans="1:10">
      <c r="A112" s="60"/>
      <c r="B112" s="60"/>
      <c r="C112" s="60"/>
      <c r="D112" s="60"/>
      <c r="E112" s="60"/>
      <c r="F112" s="60"/>
      <c r="G112" s="60"/>
      <c r="H112" s="60"/>
      <c r="I112" s="60"/>
      <c r="J112" s="60"/>
    </row>
  </sheetData>
  <mergeCells count="9">
    <mergeCell ref="A78:B78"/>
    <mergeCell ref="F75:G75"/>
    <mergeCell ref="F76:G76"/>
    <mergeCell ref="A64:B64"/>
    <mergeCell ref="B29:C29"/>
    <mergeCell ref="D29:E29"/>
    <mergeCell ref="F29:G29"/>
    <mergeCell ref="F53:H53"/>
    <mergeCell ref="C53:E53"/>
  </mergeCells>
  <hyperlinks>
    <hyperlink ref="A66" location="_edn1" display="_edn1"/>
    <hyperlink ref="A68" location="_ednref1" display="_ednref1"/>
    <hyperlink ref="A67" location="_edn1" display="_edn1"/>
  </hyperlinks>
  <pageMargins left="0.7" right="0.7" top="0.75" bottom="0.75" header="0.3" footer="0.3"/>
  <pageSetup paperSize="9" orientation="portrait"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29"/>
  <sheetViews>
    <sheetView showGridLines="0" tabSelected="1" zoomScale="95" zoomScaleNormal="100" workbookViewId="0">
      <selection activeCell="B20" sqref="B20"/>
    </sheetView>
  </sheetViews>
  <sheetFormatPr defaultColWidth="9.140625" defaultRowHeight="12.75"/>
  <cols>
    <col min="1" max="1" width="5.7109375" style="225" customWidth="1"/>
    <col min="2" max="2" width="127.5703125" style="225" customWidth="1"/>
    <col min="3" max="16384" width="9.140625" style="225"/>
  </cols>
  <sheetData>
    <row r="2" spans="1:2" ht="20.25">
      <c r="B2" s="228" t="s">
        <v>562</v>
      </c>
    </row>
    <row r="3" spans="1:2">
      <c r="B3" s="340"/>
    </row>
    <row r="4" spans="1:2" ht="18">
      <c r="B4" s="341" t="s">
        <v>554</v>
      </c>
    </row>
    <row r="5" spans="1:2" ht="18">
      <c r="A5" s="227"/>
      <c r="B5" s="340"/>
    </row>
    <row r="6" spans="1:2" ht="12.75" customHeight="1">
      <c r="A6" s="227"/>
      <c r="B6" s="342" t="s">
        <v>571</v>
      </c>
    </row>
    <row r="7" spans="1:2" ht="6.75" customHeight="1">
      <c r="B7" s="340"/>
    </row>
    <row r="8" spans="1:2" ht="75">
      <c r="A8" s="383"/>
      <c r="B8" s="343" t="s">
        <v>618</v>
      </c>
    </row>
    <row r="9" spans="1:2" ht="102">
      <c r="A9" s="383"/>
      <c r="B9" s="343" t="s">
        <v>570</v>
      </c>
    </row>
    <row r="10" spans="1:2">
      <c r="A10" s="226"/>
      <c r="B10" s="343"/>
    </row>
    <row r="11" spans="1:2">
      <c r="A11" s="226"/>
      <c r="B11" s="344" t="s">
        <v>569</v>
      </c>
    </row>
    <row r="12" spans="1:2" ht="6.75" customHeight="1">
      <c r="A12" s="226"/>
      <c r="B12" s="343"/>
    </row>
    <row r="13" spans="1:2" ht="38.25">
      <c r="A13" s="383"/>
      <c r="B13" s="345" t="s">
        <v>568</v>
      </c>
    </row>
    <row r="14" spans="1:2" ht="6.75" customHeight="1">
      <c r="A14" s="383"/>
      <c r="B14" s="345"/>
    </row>
    <row r="15" spans="1:2">
      <c r="A15" s="383"/>
      <c r="B15" s="345" t="s">
        <v>567</v>
      </c>
    </row>
    <row r="16" spans="1:2">
      <c r="A16" s="383"/>
      <c r="B16" s="345" t="s">
        <v>637</v>
      </c>
    </row>
    <row r="17" spans="1:2">
      <c r="A17" s="383"/>
      <c r="B17" s="345" t="s">
        <v>638</v>
      </c>
    </row>
    <row r="18" spans="1:2">
      <c r="A18" s="383"/>
      <c r="B18" s="345" t="s">
        <v>639</v>
      </c>
    </row>
    <row r="19" spans="1:2">
      <c r="A19" s="383"/>
      <c r="B19" s="345" t="s">
        <v>640</v>
      </c>
    </row>
    <row r="20" spans="1:2">
      <c r="A20" s="226"/>
      <c r="B20" s="345"/>
    </row>
    <row r="21" spans="1:2">
      <c r="A21" s="226"/>
      <c r="B21" s="346" t="s">
        <v>566</v>
      </c>
    </row>
    <row r="22" spans="1:2" ht="6.75" customHeight="1">
      <c r="A22" s="226"/>
      <c r="B22" s="345"/>
    </row>
    <row r="23" spans="1:2" ht="89.25">
      <c r="A23" s="226"/>
      <c r="B23" s="347" t="s">
        <v>565</v>
      </c>
    </row>
    <row r="24" spans="1:2">
      <c r="B24" s="340"/>
    </row>
    <row r="25" spans="1:2">
      <c r="B25" s="348" t="s">
        <v>564</v>
      </c>
    </row>
    <row r="26" spans="1:2">
      <c r="B26" s="331"/>
    </row>
    <row r="27" spans="1:2">
      <c r="B27" s="331"/>
    </row>
    <row r="28" spans="1:2">
      <c r="B28" s="332" t="s">
        <v>563</v>
      </c>
    </row>
    <row r="29" spans="1:2">
      <c r="B29" s="331"/>
    </row>
  </sheetData>
  <mergeCells count="2">
    <mergeCell ref="A8:A9"/>
    <mergeCell ref="A13:A19"/>
  </mergeCells>
  <pageMargins left="0.75" right="0.75" top="1" bottom="1" header="0.5" footer="0.5"/>
  <pageSetup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J23"/>
  <sheetViews>
    <sheetView showGridLines="0" topLeftCell="A19" zoomScale="90" zoomScaleNormal="90" workbookViewId="0">
      <selection activeCell="C27" sqref="C27"/>
    </sheetView>
  </sheetViews>
  <sheetFormatPr defaultColWidth="9.140625" defaultRowHeight="12.75"/>
  <cols>
    <col min="1" max="1" width="5.7109375" style="224" customWidth="1"/>
    <col min="2" max="2" width="16.28515625" style="224" customWidth="1"/>
    <col min="3" max="3" width="67" style="224" customWidth="1"/>
    <col min="4" max="4" width="17.140625" style="224" customWidth="1"/>
    <col min="5" max="5" width="15" style="224" customWidth="1"/>
    <col min="6" max="6" width="15.140625" style="224" customWidth="1"/>
    <col min="7" max="7" width="18.28515625" style="224" customWidth="1"/>
    <col min="8" max="8" width="10.85546875" style="224" customWidth="1"/>
    <col min="9" max="9" width="20.7109375" style="224" customWidth="1"/>
    <col min="10" max="16384" width="9.140625" style="224"/>
  </cols>
  <sheetData>
    <row r="2" spans="2:10" ht="20.25">
      <c r="B2" s="275" t="s">
        <v>562</v>
      </c>
      <c r="G2" s="274"/>
    </row>
    <row r="4" spans="2:10" ht="18">
      <c r="B4" s="273" t="s">
        <v>600</v>
      </c>
      <c r="G4" s="272" t="s">
        <v>599</v>
      </c>
    </row>
    <row r="5" spans="2:10" ht="12.75" customHeight="1">
      <c r="C5" s="266"/>
    </row>
    <row r="6" spans="2:10" ht="39.75" customHeight="1">
      <c r="B6" s="384" t="s">
        <v>598</v>
      </c>
      <c r="C6" s="384"/>
      <c r="D6" s="384"/>
      <c r="E6" s="384"/>
      <c r="F6" s="384"/>
      <c r="G6" s="384"/>
    </row>
    <row r="8" spans="2:10" s="266" customFormat="1" ht="15.75">
      <c r="B8" s="393" t="s">
        <v>597</v>
      </c>
      <c r="C8" s="388" t="s">
        <v>596</v>
      </c>
      <c r="D8" s="390" t="s">
        <v>595</v>
      </c>
      <c r="E8" s="391"/>
      <c r="F8" s="391"/>
      <c r="G8" s="392"/>
    </row>
    <row r="9" spans="2:10" s="266" customFormat="1" ht="39" thickBot="1">
      <c r="B9" s="394"/>
      <c r="C9" s="389"/>
      <c r="D9" s="271" t="s">
        <v>594</v>
      </c>
      <c r="E9" s="269" t="s">
        <v>593</v>
      </c>
      <c r="F9" s="270" t="s">
        <v>592</v>
      </c>
      <c r="G9" s="269" t="s">
        <v>591</v>
      </c>
      <c r="I9" s="268" t="s">
        <v>590</v>
      </c>
      <c r="J9" s="267"/>
    </row>
    <row r="10" spans="2:10" ht="38.85" customHeight="1">
      <c r="B10" s="265" t="s">
        <v>571</v>
      </c>
      <c r="C10" s="264" t="s">
        <v>589</v>
      </c>
      <c r="D10" s="263">
        <v>1</v>
      </c>
      <c r="E10" s="262">
        <v>1</v>
      </c>
      <c r="F10" s="261"/>
      <c r="G10" s="260">
        <f>D10</f>
        <v>1</v>
      </c>
      <c r="I10" s="259" t="str">
        <f>IF(D10=E10,IF(D11=E11,"Y","N"),"N")</f>
        <v>Y</v>
      </c>
    </row>
    <row r="11" spans="2:10" ht="38.85" customHeight="1">
      <c r="B11" s="258" t="s">
        <v>571</v>
      </c>
      <c r="C11" s="239" t="s">
        <v>588</v>
      </c>
      <c r="D11" s="238">
        <v>1</v>
      </c>
      <c r="E11" s="237">
        <v>1</v>
      </c>
      <c r="F11" s="236" t="s">
        <v>587</v>
      </c>
      <c r="G11" s="235">
        <f>D11</f>
        <v>1</v>
      </c>
      <c r="I11" s="257" t="str">
        <f>IF(D13=E13,IF(D14=E14,IF(D15=E15,IF(D16=E16,IF(D17=E17,"Y","N"),"N"),"N"),"N"),"N")</f>
        <v>Y</v>
      </c>
    </row>
    <row r="12" spans="2:10" ht="14.25" customHeight="1">
      <c r="B12" s="256"/>
      <c r="C12" s="256"/>
      <c r="D12" s="256"/>
      <c r="E12" s="256"/>
      <c r="F12" s="256"/>
      <c r="G12" s="256"/>
    </row>
    <row r="13" spans="2:10" ht="35.25" customHeight="1">
      <c r="B13" s="255" t="s">
        <v>575</v>
      </c>
      <c r="C13" s="254" t="s">
        <v>586</v>
      </c>
      <c r="D13" s="253">
        <v>0.02</v>
      </c>
      <c r="E13" s="252">
        <v>0.02</v>
      </c>
      <c r="F13" s="251" t="s">
        <v>579</v>
      </c>
      <c r="G13" s="250">
        <f>IF($I$10="Y",IF(D13&gt;1,100%,IF(D13&lt;0,0%,D13)),E13)</f>
        <v>0.02</v>
      </c>
      <c r="H13" s="387" t="s">
        <v>585</v>
      </c>
      <c r="I13" s="249" t="s">
        <v>584</v>
      </c>
    </row>
    <row r="14" spans="2:10" ht="42" customHeight="1">
      <c r="B14" s="246" t="s">
        <v>575</v>
      </c>
      <c r="C14" s="245" t="s">
        <v>583</v>
      </c>
      <c r="D14" s="244">
        <v>0.45</v>
      </c>
      <c r="E14" s="243">
        <v>0.45</v>
      </c>
      <c r="F14" s="242" t="s">
        <v>582</v>
      </c>
      <c r="G14" s="241">
        <f>IF($I$10="Y",IF(D14&gt;1,100%,IF(D14&lt;0,0%,D14)),E14)</f>
        <v>0.45</v>
      </c>
      <c r="H14" s="387"/>
      <c r="I14" s="248" t="s">
        <v>581</v>
      </c>
    </row>
    <row r="15" spans="2:10" ht="33" customHeight="1">
      <c r="B15" s="246" t="s">
        <v>575</v>
      </c>
      <c r="C15" s="245" t="s">
        <v>580</v>
      </c>
      <c r="D15" s="244">
        <v>0.02</v>
      </c>
      <c r="E15" s="243">
        <v>0.02</v>
      </c>
      <c r="F15" s="242" t="s">
        <v>579</v>
      </c>
      <c r="G15" s="241">
        <f>IF($I$10="Y",IF(D15&gt;1,100%,IF(D15&lt;0,0%,D15)),E15)</f>
        <v>0.02</v>
      </c>
      <c r="H15" s="387"/>
      <c r="I15" s="247" t="s">
        <v>578</v>
      </c>
    </row>
    <row r="16" spans="2:10" ht="48" customHeight="1">
      <c r="B16" s="246" t="s">
        <v>575</v>
      </c>
      <c r="C16" s="245" t="s">
        <v>577</v>
      </c>
      <c r="D16" s="244">
        <v>0.8</v>
      </c>
      <c r="E16" s="243">
        <v>0.8</v>
      </c>
      <c r="F16" s="242" t="s">
        <v>576</v>
      </c>
      <c r="G16" s="241">
        <f>IF($I$10="Y",IF(D16&gt;1,100%,IF(D16&lt;0,0%,D16)),E16)</f>
        <v>0.8</v>
      </c>
      <c r="H16" s="387"/>
      <c r="I16" s="234"/>
    </row>
    <row r="17" spans="2:9" ht="38.25" customHeight="1">
      <c r="B17" s="240" t="s">
        <v>575</v>
      </c>
      <c r="C17" s="239" t="s">
        <v>574</v>
      </c>
      <c r="D17" s="238">
        <v>0.6</v>
      </c>
      <c r="E17" s="237">
        <v>0.6</v>
      </c>
      <c r="F17" s="236" t="s">
        <v>573</v>
      </c>
      <c r="G17" s="235">
        <f>IF($I$10="Y",IF(D17&gt;1,100%,IF(D17&lt;0,0%,D17)),E17)</f>
        <v>0.6</v>
      </c>
      <c r="H17" s="387"/>
      <c r="I17" s="234"/>
    </row>
    <row r="18" spans="2:9">
      <c r="D18" s="386"/>
      <c r="E18" s="386"/>
      <c r="F18" s="386"/>
      <c r="G18" s="386"/>
    </row>
    <row r="19" spans="2:9" ht="31.5" customHeight="1">
      <c r="B19" s="385">
        <f>IF(I10="N",IF(I11="N","Reminder: Please reset all summary parameters to original values before changing specific parameters.  Specific parameters will only be used in ERR computation when all summary parameters are set to initial values",0),0)</f>
        <v>0</v>
      </c>
      <c r="C19" s="385"/>
      <c r="D19" s="385"/>
      <c r="E19" s="385"/>
      <c r="F19" s="385"/>
      <c r="G19" s="385"/>
    </row>
    <row r="20" spans="2:9" ht="12" customHeight="1">
      <c r="B20" s="233"/>
      <c r="C20" s="233"/>
      <c r="D20" s="233"/>
      <c r="E20" s="233"/>
      <c r="F20" s="233"/>
      <c r="G20" s="233"/>
    </row>
    <row r="21" spans="2:9">
      <c r="C21" s="230" t="s">
        <v>572</v>
      </c>
      <c r="D21" s="232">
        <f ca="1">'SUMMARY ERR'!C219</f>
        <v>0.1063198455204033</v>
      </c>
      <c r="E21" s="231"/>
    </row>
    <row r="22" spans="2:9">
      <c r="C22" s="230"/>
      <c r="D22" s="231"/>
      <c r="E22" s="231"/>
    </row>
    <row r="23" spans="2:9">
      <c r="E23" s="229"/>
    </row>
  </sheetData>
  <mergeCells count="7">
    <mergeCell ref="B6:G6"/>
    <mergeCell ref="B19:G19"/>
    <mergeCell ref="D18:G18"/>
    <mergeCell ref="H13:H17"/>
    <mergeCell ref="C8:C9"/>
    <mergeCell ref="D8:G8"/>
    <mergeCell ref="B8:B9"/>
  </mergeCells>
  <conditionalFormatting sqref="B19:B20 B12">
    <cfRule type="cellIs" dxfId="1" priority="1" stopIfTrue="1" operator="equal">
      <formula>0</formula>
    </cfRule>
    <cfRule type="cellIs" dxfId="0" priority="2" stopIfTrue="1" operator="notEqual">
      <formula>0</formula>
    </cfRule>
  </conditionalFormatting>
  <hyperlinks>
    <hyperlink ref="I14" location="'Project Description'!A1" display="Project Description"/>
    <hyperlink ref="I15" location="'User''s Guide'!A1" display="User's Guide"/>
  </hyperlinks>
  <pageMargins left="1.57" right="0.75" top="0.49" bottom="0.49" header="0.5" footer="0.5"/>
  <pageSetup scale="4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Reset">
                <anchor moveWithCells="1" sizeWithCells="1">
                  <from>
                    <xdr:col>8</xdr:col>
                    <xdr:colOff>0</xdr:colOff>
                    <xdr:row>5</xdr:row>
                    <xdr:rowOff>0</xdr:rowOff>
                  </from>
                  <to>
                    <xdr:col>8</xdr:col>
                    <xdr:colOff>1371600</xdr:colOff>
                    <xdr:row>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C17" sqref="C17"/>
    </sheetView>
  </sheetViews>
  <sheetFormatPr defaultRowHeight="15"/>
  <cols>
    <col min="1" max="1" width="38.28515625" customWidth="1"/>
    <col min="2" max="3" width="18.140625" bestFit="1" customWidth="1"/>
    <col min="4" max="6" width="19.140625" bestFit="1" customWidth="1"/>
    <col min="7" max="12" width="18.140625" bestFit="1" customWidth="1"/>
    <col min="13" max="15" width="19" bestFit="1" customWidth="1"/>
    <col min="16" max="16" width="19.140625" bestFit="1" customWidth="1"/>
    <col min="17" max="21" width="19" bestFit="1" customWidth="1"/>
  </cols>
  <sheetData>
    <row r="1" spans="1:24">
      <c r="I1" s="395"/>
      <c r="J1" s="395"/>
      <c r="K1" s="395"/>
      <c r="V1" s="349" t="s">
        <v>619</v>
      </c>
      <c r="W1" s="349"/>
      <c r="X1" s="349"/>
    </row>
    <row r="2" spans="1:24" ht="20.25">
      <c r="A2" s="350" t="s">
        <v>562</v>
      </c>
    </row>
    <row r="3" spans="1:24" ht="18">
      <c r="A3" s="351"/>
    </row>
    <row r="4" spans="1:24" ht="18">
      <c r="A4" s="351"/>
      <c r="B4" s="37"/>
    </row>
    <row r="5" spans="1:24">
      <c r="B5" s="352"/>
      <c r="C5" s="353"/>
      <c r="D5" s="353"/>
      <c r="E5" s="353" t="s">
        <v>620</v>
      </c>
      <c r="F5" s="353"/>
      <c r="G5" s="353"/>
      <c r="H5" s="354"/>
      <c r="I5" s="354"/>
      <c r="J5" s="354"/>
      <c r="K5" s="354"/>
      <c r="L5" s="354"/>
      <c r="M5" s="355"/>
      <c r="N5" s="355"/>
      <c r="O5" s="355"/>
      <c r="P5" s="355"/>
      <c r="Q5" s="355"/>
      <c r="R5" s="356"/>
      <c r="S5" s="356"/>
      <c r="T5" s="356"/>
      <c r="U5" s="356"/>
    </row>
    <row r="6" spans="1:24">
      <c r="A6" s="357" t="s">
        <v>621</v>
      </c>
      <c r="B6" s="357">
        <v>1</v>
      </c>
      <c r="C6" s="357">
        <f t="shared" ref="C6:U6" si="0">B6+1</f>
        <v>2</v>
      </c>
      <c r="D6" s="357">
        <f t="shared" si="0"/>
        <v>3</v>
      </c>
      <c r="E6" s="357">
        <f t="shared" si="0"/>
        <v>4</v>
      </c>
      <c r="F6" s="357">
        <f t="shared" si="0"/>
        <v>5</v>
      </c>
      <c r="G6" s="357">
        <f t="shared" si="0"/>
        <v>6</v>
      </c>
      <c r="H6" s="357">
        <f t="shared" si="0"/>
        <v>7</v>
      </c>
      <c r="I6" s="357">
        <f t="shared" si="0"/>
        <v>8</v>
      </c>
      <c r="J6" s="357">
        <f t="shared" si="0"/>
        <v>9</v>
      </c>
      <c r="K6" s="357">
        <f t="shared" si="0"/>
        <v>10</v>
      </c>
      <c r="L6" s="357">
        <f t="shared" si="0"/>
        <v>11</v>
      </c>
      <c r="M6" s="357">
        <f t="shared" si="0"/>
        <v>12</v>
      </c>
      <c r="N6" s="357">
        <f t="shared" si="0"/>
        <v>13</v>
      </c>
      <c r="O6" s="357">
        <f t="shared" si="0"/>
        <v>14</v>
      </c>
      <c r="P6" s="357">
        <f t="shared" si="0"/>
        <v>15</v>
      </c>
      <c r="Q6" s="357">
        <f t="shared" si="0"/>
        <v>16</v>
      </c>
      <c r="R6" s="357">
        <f t="shared" si="0"/>
        <v>17</v>
      </c>
      <c r="S6" s="357">
        <f t="shared" si="0"/>
        <v>18</v>
      </c>
      <c r="T6" s="357">
        <f t="shared" si="0"/>
        <v>19</v>
      </c>
      <c r="U6" s="357">
        <f t="shared" si="0"/>
        <v>20</v>
      </c>
    </row>
    <row r="7" spans="1:24">
      <c r="A7" s="360" t="s">
        <v>622</v>
      </c>
      <c r="B7" s="361">
        <v>2009</v>
      </c>
      <c r="C7" s="361">
        <v>2010</v>
      </c>
      <c r="D7" s="361">
        <v>2011</v>
      </c>
      <c r="E7" s="361">
        <v>2012</v>
      </c>
      <c r="F7" s="361">
        <v>2013</v>
      </c>
      <c r="G7" s="361">
        <v>2014</v>
      </c>
      <c r="H7" s="361">
        <v>2015</v>
      </c>
      <c r="I7" s="361">
        <v>2016</v>
      </c>
      <c r="J7" s="361">
        <v>2017</v>
      </c>
      <c r="K7" s="361">
        <v>2018</v>
      </c>
      <c r="L7" s="361">
        <v>2019</v>
      </c>
      <c r="M7" s="361">
        <v>2020</v>
      </c>
      <c r="N7" s="361">
        <v>2021</v>
      </c>
      <c r="O7" s="361">
        <v>2022</v>
      </c>
      <c r="P7" s="361">
        <v>2023</v>
      </c>
      <c r="Q7" s="361">
        <v>2024</v>
      </c>
      <c r="R7" s="361">
        <v>2025</v>
      </c>
      <c r="S7" s="361">
        <v>2026</v>
      </c>
      <c r="T7" s="361">
        <v>2027</v>
      </c>
      <c r="U7" s="361">
        <v>2028</v>
      </c>
    </row>
    <row r="8" spans="1:24">
      <c r="A8" t="s">
        <v>623</v>
      </c>
      <c r="B8" s="363">
        <f ca="1">'SUMMARY ERR'!D214</f>
        <v>0</v>
      </c>
      <c r="C8" s="363">
        <f ca="1">'SUMMARY ERR'!E214</f>
        <v>12376710.516764941</v>
      </c>
      <c r="D8" s="363">
        <f ca="1">'SUMMARY ERR'!F214</f>
        <v>62018442.941290781</v>
      </c>
      <c r="E8" s="363">
        <f ca="1">'SUMMARY ERR'!G214</f>
        <v>263541965.90850678</v>
      </c>
      <c r="F8" s="363">
        <f ca="1">'SUMMARY ERR'!H214</f>
        <v>776279941.08810282</v>
      </c>
      <c r="G8" s="363">
        <f ca="1">'SUMMARY ERR'!I214</f>
        <v>1568869308.4216578</v>
      </c>
      <c r="H8" s="363">
        <f ca="1">'SUMMARY ERR'!J214</f>
        <v>2659958585.4382658</v>
      </c>
      <c r="I8" s="363">
        <f ca="1">'SUMMARY ERR'!K214</f>
        <v>4024764140.0492196</v>
      </c>
      <c r="J8" s="363">
        <f ca="1">'SUMMARY ERR'!L214</f>
        <v>5609430353.9860487</v>
      </c>
      <c r="K8" s="363">
        <f ca="1">'SUMMARY ERR'!M214</f>
        <v>7430103888.8409519</v>
      </c>
      <c r="L8" s="363">
        <f ca="1">'SUMMARY ERR'!N214</f>
        <v>9459636573.2884483</v>
      </c>
      <c r="M8" s="363">
        <f ca="1">'SUMMARY ERR'!O214</f>
        <v>11652154967.867163</v>
      </c>
      <c r="N8" s="363">
        <f ca="1">'SUMMARY ERR'!P214</f>
        <v>13952892567.249039</v>
      </c>
      <c r="O8" s="363">
        <f ca="1">'SUMMARY ERR'!Q214</f>
        <v>16364917004.457165</v>
      </c>
      <c r="P8" s="363">
        <f ca="1">'SUMMARY ERR'!R214</f>
        <v>18853755650.096439</v>
      </c>
      <c r="Q8" s="363">
        <f ca="1">'SUMMARY ERR'!S214</f>
        <v>21466729498.592014</v>
      </c>
      <c r="R8" s="363">
        <f ca="1">'SUMMARY ERR'!T214</f>
        <v>24070838938.857582</v>
      </c>
      <c r="S8" s="363">
        <f ca="1">'SUMMARY ERR'!U214</f>
        <v>26701176819.528698</v>
      </c>
      <c r="T8" s="363">
        <f ca="1">'SUMMARY ERR'!V214</f>
        <v>29300372798.62495</v>
      </c>
      <c r="U8" s="363">
        <f ca="1">'SUMMARY ERR'!W214</f>
        <v>31933509878.374012</v>
      </c>
    </row>
    <row r="9" spans="1:24" ht="14.25" customHeight="1">
      <c r="A9" t="s">
        <v>624</v>
      </c>
      <c r="B9" s="363">
        <f>'SUMMARY ERR'!D215+'SUMMARY ERR'!D216+'SUMMARY ERR'!D217</f>
        <v>1360593878.2800002</v>
      </c>
      <c r="C9" s="363">
        <f>'SUMMARY ERR'!E215+'SUMMARY ERR'!E216+'SUMMARY ERR'!E217</f>
        <v>8635493413.7389984</v>
      </c>
      <c r="D9" s="363">
        <f>'SUMMARY ERR'!F215+'SUMMARY ERR'!F216+'SUMMARY ERR'!F217</f>
        <v>11233467760.395</v>
      </c>
      <c r="E9" s="363">
        <f>'SUMMARY ERR'!G215+'SUMMARY ERR'!G216+'SUMMARY ERR'!G217</f>
        <v>13249219394.312</v>
      </c>
      <c r="F9" s="363">
        <f>'SUMMARY ERR'!H215+'SUMMARY ERR'!H216+'SUMMARY ERR'!H217</f>
        <v>20414550986.375004</v>
      </c>
      <c r="G9" s="363">
        <f>'SUMMARY ERR'!I215+'SUMMARY ERR'!I216+'SUMMARY ERR'!I217</f>
        <v>1557500000</v>
      </c>
      <c r="H9" s="363">
        <f>'SUMMARY ERR'!J215+'SUMMARY ERR'!J216+'SUMMARY ERR'!J217</f>
        <v>1557500000</v>
      </c>
      <c r="I9" s="363">
        <f>'SUMMARY ERR'!K215+'SUMMARY ERR'!K216+'SUMMARY ERR'!K217</f>
        <v>1982350400</v>
      </c>
      <c r="J9" s="363">
        <f>'SUMMARY ERR'!L215+'SUMMARY ERR'!L216+'SUMMARY ERR'!L217</f>
        <v>1953591800</v>
      </c>
      <c r="K9" s="363">
        <f>'SUMMARY ERR'!M215+'SUMMARY ERR'!M216+'SUMMARY ERR'!M217</f>
        <v>1557500000</v>
      </c>
      <c r="L9" s="363">
        <f>'SUMMARY ERR'!N215+'SUMMARY ERR'!N216+'SUMMARY ERR'!N217</f>
        <v>1557500000</v>
      </c>
      <c r="M9" s="363">
        <f>'SUMMARY ERR'!O215+'SUMMARY ERR'!O216+'SUMMARY ERR'!O217</f>
        <v>1557500000</v>
      </c>
      <c r="N9" s="363">
        <f>'SUMMARY ERR'!P215+'SUMMARY ERR'!P216+'SUMMARY ERR'!P217</f>
        <v>1557500000</v>
      </c>
      <c r="O9" s="363">
        <f>'SUMMARY ERR'!Q215+'SUMMARY ERR'!Q216+'SUMMARY ERR'!Q217</f>
        <v>6960163916</v>
      </c>
      <c r="P9" s="363">
        <f>'SUMMARY ERR'!R215+'SUMMARY ERR'!R216+'SUMMARY ERR'!R217</f>
        <v>16199396391.199999</v>
      </c>
      <c r="Q9" s="363">
        <f>'SUMMARY ERR'!S215+'SUMMARY ERR'!S216+'SUMMARY ERR'!S217</f>
        <v>1557500000</v>
      </c>
      <c r="R9" s="363">
        <f>'SUMMARY ERR'!T215+'SUMMARY ERR'!T216+'SUMMARY ERR'!T217</f>
        <v>1557500000</v>
      </c>
      <c r="S9" s="363">
        <f>'SUMMARY ERR'!U215+'SUMMARY ERR'!U216+'SUMMARY ERR'!U217</f>
        <v>1557500000</v>
      </c>
      <c r="T9" s="363">
        <f>'SUMMARY ERR'!V215+'SUMMARY ERR'!V216+'SUMMARY ERR'!V217</f>
        <v>1557500000</v>
      </c>
      <c r="U9" s="363">
        <f>'SUMMARY ERR'!W215+'SUMMARY ERR'!W216+'SUMMARY ERR'!W217</f>
        <v>1557500000</v>
      </c>
    </row>
    <row r="10" spans="1:24" ht="14.25" customHeight="1">
      <c r="B10" s="363"/>
      <c r="C10" s="363"/>
      <c r="D10" s="363"/>
      <c r="E10" s="363"/>
      <c r="F10" s="363"/>
      <c r="G10" s="363"/>
      <c r="H10" s="363"/>
      <c r="I10" s="363"/>
      <c r="J10" s="363"/>
      <c r="K10" s="363"/>
      <c r="L10" s="363"/>
      <c r="M10" s="363"/>
      <c r="N10" s="363"/>
      <c r="O10" s="363"/>
      <c r="P10" s="363"/>
      <c r="Q10" s="363"/>
      <c r="R10" s="363"/>
      <c r="S10" s="363"/>
      <c r="T10" s="363"/>
      <c r="U10" s="363"/>
    </row>
    <row r="11" spans="1:24" ht="14.25" customHeight="1">
      <c r="A11" t="s">
        <v>626</v>
      </c>
      <c r="B11" s="363">
        <f ca="1">B8/'SUMMARY ERR'!$B$16</f>
        <v>0</v>
      </c>
      <c r="C11" s="363">
        <f ca="1">C8/'SUMMARY ERR'!$B$16</f>
        <v>16436.534550816654</v>
      </c>
      <c r="D11" s="363">
        <f ca="1">D8/'SUMMARY ERR'!$B$16</f>
        <v>82361.810014994393</v>
      </c>
      <c r="E11" s="363">
        <f ca="1">E8/'SUMMARY ERR'!$B$16</f>
        <v>349989.33055578591</v>
      </c>
      <c r="F11" s="363">
        <f ca="1">F8/'SUMMARY ERR'!$B$16</f>
        <v>1030916.2564251033</v>
      </c>
      <c r="G11" s="363">
        <f ca="1">G8/'SUMMARY ERR'!$B$16</f>
        <v>2083491.7774524009</v>
      </c>
      <c r="H11" s="363">
        <f ca="1">H8/'SUMMARY ERR'!$B$16</f>
        <v>3532481.5211663558</v>
      </c>
      <c r="I11" s="363">
        <f ca="1">I8/'SUMMARY ERR'!$B$16</f>
        <v>5344972.2975421241</v>
      </c>
      <c r="J11" s="363">
        <f ca="1">J8/'SUMMARY ERR'!$B$16</f>
        <v>7449442.7011766918</v>
      </c>
      <c r="K11" s="363">
        <f ca="1">K8/'SUMMARY ERR'!$B$16</f>
        <v>9867335.8417542521</v>
      </c>
      <c r="L11" s="363">
        <f ca="1">L8/'SUMMARY ERR'!$B$16</f>
        <v>12562598.370900994</v>
      </c>
      <c r="M11" s="363">
        <f ca="1">M8/'SUMMARY ERR'!$B$16</f>
        <v>15474309.386277772</v>
      </c>
      <c r="N11" s="363">
        <f ca="1">N8/'SUMMARY ERR'!$B$16</f>
        <v>18529737.805111606</v>
      </c>
      <c r="O11" s="363">
        <f ca="1">O8/'SUMMARY ERR'!$B$16</f>
        <v>21732957.509239264</v>
      </c>
      <c r="P11" s="363">
        <f ca="1">P8/'SUMMARY ERR'!$B$16</f>
        <v>25038188.114337903</v>
      </c>
      <c r="Q11" s="363">
        <f ca="1">Q8/'SUMMARY ERR'!$B$16</f>
        <v>28508272.9064967</v>
      </c>
      <c r="R11" s="363">
        <f ca="1">R8/'SUMMARY ERR'!$B$16</f>
        <v>31966585.576172087</v>
      </c>
      <c r="S11" s="363">
        <f ca="1">S8/'SUMMARY ERR'!$B$16</f>
        <v>35459730.172016867</v>
      </c>
      <c r="T11" s="363">
        <f ca="1">T8/'SUMMARY ERR'!$B$16</f>
        <v>38911517.660856508</v>
      </c>
      <c r="U11" s="363">
        <f ca="1">U8/'SUMMARY ERR'!$B$16</f>
        <v>42408379.65255513</v>
      </c>
    </row>
    <row r="12" spans="1:24" ht="14.25" customHeight="1">
      <c r="A12" t="s">
        <v>627</v>
      </c>
      <c r="B12" s="363">
        <f>B9/'SUMMARY ERR'!$B$16</f>
        <v>1806897.5807171317</v>
      </c>
      <c r="C12" s="363">
        <f>C9/'SUMMARY ERR'!$B$16</f>
        <v>11468118.743345283</v>
      </c>
      <c r="D12" s="363">
        <f>D9/'SUMMARY ERR'!$B$16</f>
        <v>14918283.878346615</v>
      </c>
      <c r="E12" s="363">
        <f>E9/'SUMMARY ERR'!$B$16</f>
        <v>17595244.879564408</v>
      </c>
      <c r="F12" s="363">
        <f>F9/'SUMMARY ERR'!$B$16</f>
        <v>27110957.485225767</v>
      </c>
      <c r="G12" s="363">
        <f>G9/'SUMMARY ERR'!$B$16</f>
        <v>2068393.0942895086</v>
      </c>
      <c r="H12" s="363">
        <f>H9/'SUMMARY ERR'!$B$16</f>
        <v>2068393.0942895086</v>
      </c>
      <c r="I12" s="363">
        <f>I9/'SUMMARY ERR'!$B$16</f>
        <v>2632603.4528552457</v>
      </c>
      <c r="J12" s="363">
        <f>J9/'SUMMARY ERR'!$B$16</f>
        <v>2594411.4209827357</v>
      </c>
      <c r="K12" s="363">
        <f>K9/'SUMMARY ERR'!$B$16</f>
        <v>2068393.0942895086</v>
      </c>
      <c r="L12" s="363">
        <f>L9/'SUMMARY ERR'!$B$16</f>
        <v>2068393.0942895086</v>
      </c>
      <c r="M12" s="363">
        <f>M9/'SUMMARY ERR'!$B$16</f>
        <v>2068393.0942895086</v>
      </c>
      <c r="N12" s="363">
        <f>N9/'SUMMARY ERR'!$B$16</f>
        <v>2068393.0942895086</v>
      </c>
      <c r="O12" s="363">
        <f>O9/'SUMMARY ERR'!$B$16</f>
        <v>9243245.5723771583</v>
      </c>
      <c r="P12" s="363">
        <f>P9/'SUMMARY ERR'!$B$16</f>
        <v>21513142.617795482</v>
      </c>
      <c r="Q12" s="363">
        <f>Q9/'SUMMARY ERR'!$B$16</f>
        <v>2068393.0942895086</v>
      </c>
      <c r="R12" s="363">
        <f>R9/'SUMMARY ERR'!$B$16</f>
        <v>2068393.0942895086</v>
      </c>
      <c r="S12" s="363">
        <f>S9/'SUMMARY ERR'!$B$16</f>
        <v>2068393.0942895086</v>
      </c>
      <c r="T12" s="363">
        <f>T9/'SUMMARY ERR'!$B$16</f>
        <v>2068393.0942895086</v>
      </c>
      <c r="U12" s="363">
        <f>U9/'SUMMARY ERR'!$B$16</f>
        <v>2068393.0942895086</v>
      </c>
    </row>
    <row r="13" spans="1:24">
      <c r="B13" s="363"/>
      <c r="C13" s="363"/>
      <c r="D13" s="363"/>
      <c r="E13" s="363"/>
      <c r="F13" s="363"/>
      <c r="G13" s="363"/>
      <c r="H13" s="363"/>
      <c r="I13" s="363"/>
      <c r="J13" s="363"/>
      <c r="K13" s="363"/>
      <c r="L13" s="363"/>
      <c r="M13" s="363"/>
      <c r="N13" s="363"/>
      <c r="O13" s="363"/>
      <c r="P13" s="363"/>
      <c r="Q13" s="363"/>
      <c r="R13" s="363"/>
      <c r="S13" s="363"/>
      <c r="T13" s="363"/>
      <c r="U13" s="363"/>
    </row>
    <row r="14" spans="1:24">
      <c r="A14" t="s">
        <v>625</v>
      </c>
      <c r="B14" s="364">
        <f ca="1">B11-B12</f>
        <v>-1806897.5807171317</v>
      </c>
      <c r="C14" s="364">
        <f t="shared" ref="C14:U14" ca="1" si="1">C11-C12</f>
        <v>-11451682.208794467</v>
      </c>
      <c r="D14" s="364">
        <f t="shared" ca="1" si="1"/>
        <v>-14835922.06833162</v>
      </c>
      <c r="E14" s="364">
        <f t="shared" ca="1" si="1"/>
        <v>-17245255.549008623</v>
      </c>
      <c r="F14" s="364">
        <f t="shared" ca="1" si="1"/>
        <v>-26080041.228800662</v>
      </c>
      <c r="G14" s="364">
        <f t="shared" ca="1" si="1"/>
        <v>15098.683162892237</v>
      </c>
      <c r="H14" s="364">
        <f t="shared" ca="1" si="1"/>
        <v>1464088.4268768472</v>
      </c>
      <c r="I14" s="364">
        <f t="shared" ca="1" si="1"/>
        <v>2712368.8446868784</v>
      </c>
      <c r="J14" s="364">
        <f t="shared" ca="1" si="1"/>
        <v>4855031.2801939566</v>
      </c>
      <c r="K14" s="364">
        <f t="shared" ca="1" si="1"/>
        <v>7798942.7474647434</v>
      </c>
      <c r="L14" s="364">
        <f t="shared" ca="1" si="1"/>
        <v>10494205.276611485</v>
      </c>
      <c r="M14" s="364">
        <f t="shared" ca="1" si="1"/>
        <v>13405916.291988265</v>
      </c>
      <c r="N14" s="364">
        <f t="shared" ca="1" si="1"/>
        <v>16461344.710822098</v>
      </c>
      <c r="O14" s="364">
        <f t="shared" ca="1" si="1"/>
        <v>12489711.936862106</v>
      </c>
      <c r="P14" s="364">
        <f t="shared" ca="1" si="1"/>
        <v>3525045.4965424202</v>
      </c>
      <c r="Q14" s="364">
        <f t="shared" ca="1" si="1"/>
        <v>26439879.812207192</v>
      </c>
      <c r="R14" s="364">
        <f t="shared" ca="1" si="1"/>
        <v>29898192.48188258</v>
      </c>
      <c r="S14" s="364">
        <f t="shared" ca="1" si="1"/>
        <v>33391337.077727359</v>
      </c>
      <c r="T14" s="364">
        <f t="shared" ca="1" si="1"/>
        <v>36843124.566566996</v>
      </c>
      <c r="U14" s="364">
        <f t="shared" ca="1" si="1"/>
        <v>40339986.558265619</v>
      </c>
    </row>
    <row r="15" spans="1:24">
      <c r="B15" s="364"/>
      <c r="C15" s="364"/>
      <c r="D15" s="364"/>
      <c r="E15" s="364"/>
      <c r="F15" s="364"/>
      <c r="G15" s="364"/>
      <c r="H15" s="364"/>
      <c r="I15" s="364"/>
      <c r="J15" s="364"/>
      <c r="K15" s="364"/>
      <c r="L15" s="364"/>
      <c r="M15" s="364"/>
      <c r="N15" s="364"/>
      <c r="O15" s="364"/>
      <c r="P15" s="364"/>
      <c r="Q15" s="364"/>
      <c r="R15" s="364"/>
      <c r="S15" s="364"/>
      <c r="T15" s="364"/>
      <c r="U15" s="364"/>
    </row>
    <row r="16" spans="1:24">
      <c r="A16" s="37" t="s">
        <v>602</v>
      </c>
      <c r="B16" s="358">
        <f ca="1">IRR(B14:U14)</f>
        <v>0.10631984552040308</v>
      </c>
    </row>
    <row r="18" spans="1:21">
      <c r="A18" s="357" t="s">
        <v>628</v>
      </c>
      <c r="B18" s="359">
        <f ca="1">NPV(0.1,B14:U14)</f>
        <v>3411528.0220529698</v>
      </c>
    </row>
    <row r="19" spans="1:21">
      <c r="A19" s="357" t="s">
        <v>630</v>
      </c>
      <c r="B19" s="359">
        <f ca="1">NPV(0.1,B11:U11)</f>
        <v>71390966.334140986</v>
      </c>
    </row>
    <row r="20" spans="1:21">
      <c r="A20" s="357" t="s">
        <v>631</v>
      </c>
      <c r="B20" s="359">
        <f>NPV(0.1,B12:U12)</f>
        <v>67979438.312088028</v>
      </c>
    </row>
    <row r="28" spans="1:21">
      <c r="B28" s="362"/>
      <c r="C28" s="362"/>
      <c r="D28" s="362"/>
      <c r="E28" s="362"/>
      <c r="F28" s="362"/>
      <c r="G28" s="362"/>
      <c r="H28" s="362"/>
      <c r="I28" s="362"/>
      <c r="J28" s="362"/>
      <c r="K28" s="362"/>
      <c r="L28" s="362"/>
      <c r="M28" s="362"/>
      <c r="N28" s="362"/>
      <c r="O28" s="362"/>
      <c r="P28" s="362"/>
      <c r="Q28" s="362"/>
      <c r="R28" s="362"/>
      <c r="S28" s="362"/>
      <c r="T28" s="362"/>
      <c r="U28" s="362"/>
    </row>
  </sheetData>
  <mergeCells count="1">
    <mergeCell ref="I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75"/>
  <sheetViews>
    <sheetView topLeftCell="B1" zoomScaleNormal="100" workbookViewId="0">
      <selection activeCell="D220" sqref="D220"/>
    </sheetView>
  </sheetViews>
  <sheetFormatPr defaultRowHeight="15"/>
  <cols>
    <col min="1" max="1" width="35.42578125" customWidth="1"/>
    <col min="2" max="3" width="17.85546875" bestFit="1" customWidth="1"/>
    <col min="4" max="4" width="20.28515625" bestFit="1" customWidth="1"/>
    <col min="5" max="5" width="24.140625" bestFit="1" customWidth="1"/>
    <col min="6" max="6" width="16.140625" customWidth="1"/>
    <col min="7" max="7" width="16.7109375" customWidth="1"/>
    <col min="8" max="8" width="19.5703125" customWidth="1"/>
    <col min="9" max="9" width="16.28515625" bestFit="1" customWidth="1"/>
    <col min="10" max="10" width="20.7109375" customWidth="1"/>
    <col min="11" max="14" width="17.28515625" customWidth="1"/>
    <col min="15" max="22" width="16.7109375" customWidth="1"/>
    <col min="23" max="23" width="11.28515625" customWidth="1"/>
  </cols>
  <sheetData>
    <row r="1" spans="1:23">
      <c r="A1" t="s">
        <v>0</v>
      </c>
    </row>
    <row r="2" spans="1:23">
      <c r="A2" t="s">
        <v>141</v>
      </c>
    </row>
    <row r="3" spans="1:23">
      <c r="A3" t="s">
        <v>140</v>
      </c>
    </row>
    <row r="4" spans="1:23">
      <c r="A4" t="s">
        <v>142</v>
      </c>
    </row>
    <row r="6" spans="1:23">
      <c r="A6" t="s">
        <v>40</v>
      </c>
    </row>
    <row r="7" spans="1:23">
      <c r="A7" t="s">
        <v>138</v>
      </c>
      <c r="D7" t="s">
        <v>33</v>
      </c>
    </row>
    <row r="8" spans="1:23">
      <c r="A8" t="s">
        <v>83</v>
      </c>
      <c r="B8" s="29">
        <f>+D273*1000</f>
        <v>6590637139140.5996</v>
      </c>
    </row>
    <row r="9" spans="1:23">
      <c r="A9" t="s">
        <v>333</v>
      </c>
      <c r="B9" s="133">
        <f>+C274</f>
        <v>2683500</v>
      </c>
      <c r="D9">
        <v>1</v>
      </c>
      <c r="E9">
        <v>2</v>
      </c>
      <c r="F9">
        <v>3</v>
      </c>
      <c r="G9">
        <v>4</v>
      </c>
      <c r="H9">
        <v>5</v>
      </c>
      <c r="I9">
        <v>6</v>
      </c>
      <c r="J9">
        <v>7</v>
      </c>
      <c r="K9">
        <v>8</v>
      </c>
      <c r="L9">
        <v>9</v>
      </c>
      <c r="M9">
        <v>10</v>
      </c>
      <c r="N9">
        <v>11</v>
      </c>
      <c r="O9">
        <v>12</v>
      </c>
      <c r="P9">
        <v>13</v>
      </c>
      <c r="Q9">
        <v>14</v>
      </c>
      <c r="R9">
        <v>15</v>
      </c>
      <c r="S9">
        <v>16</v>
      </c>
      <c r="T9">
        <v>17</v>
      </c>
      <c r="U9">
        <v>18</v>
      </c>
      <c r="V9">
        <v>19</v>
      </c>
      <c r="W9">
        <v>20</v>
      </c>
    </row>
    <row r="10" spans="1:23">
      <c r="A10" t="s">
        <v>39</v>
      </c>
      <c r="B10" s="21">
        <f>+D275</f>
        <v>2409298.8993385485</v>
      </c>
      <c r="C10" s="35" t="s">
        <v>107</v>
      </c>
      <c r="D10">
        <v>2009</v>
      </c>
      <c r="E10">
        <v>2010</v>
      </c>
      <c r="F10">
        <v>2011</v>
      </c>
      <c r="G10">
        <v>2012</v>
      </c>
      <c r="H10">
        <v>2013</v>
      </c>
      <c r="I10">
        <f>+H10+1</f>
        <v>2014</v>
      </c>
      <c r="J10">
        <f t="shared" ref="J10:N10" si="0">+I10+1</f>
        <v>2015</v>
      </c>
      <c r="K10">
        <f t="shared" si="0"/>
        <v>2016</v>
      </c>
      <c r="L10">
        <f t="shared" si="0"/>
        <v>2017</v>
      </c>
      <c r="M10">
        <f t="shared" si="0"/>
        <v>2018</v>
      </c>
      <c r="N10">
        <f t="shared" si="0"/>
        <v>2019</v>
      </c>
    </row>
    <row r="11" spans="1:23" hidden="1">
      <c r="A11" t="s">
        <v>106</v>
      </c>
      <c r="B11" s="21">
        <f>B8/(pop*0.68)</f>
        <v>3611743.4096935512</v>
      </c>
      <c r="C11" s="35" t="s">
        <v>146</v>
      </c>
    </row>
    <row r="12" spans="1:23" hidden="1">
      <c r="A12" t="s">
        <v>139</v>
      </c>
      <c r="D12" s="4"/>
      <c r="E12" s="4">
        <v>2.7411793543993753E-2</v>
      </c>
      <c r="F12" s="4">
        <v>4.3937234259515179E-2</v>
      </c>
      <c r="G12" s="4">
        <v>9.6622660718111889E-2</v>
      </c>
      <c r="H12" s="4">
        <v>0.11356718477005716</v>
      </c>
      <c r="I12" s="4">
        <v>4.4471411275140323E-2</v>
      </c>
      <c r="J12" s="4">
        <v>0.04</v>
      </c>
      <c r="K12" s="4">
        <v>0.04</v>
      </c>
      <c r="L12" s="4">
        <v>0.04</v>
      </c>
      <c r="M12" s="4">
        <v>0.04</v>
      </c>
      <c r="N12" s="4">
        <v>0.04</v>
      </c>
      <c r="O12" s="4">
        <v>0.04</v>
      </c>
      <c r="P12" s="4">
        <v>0.04</v>
      </c>
      <c r="Q12" s="4">
        <v>0.04</v>
      </c>
      <c r="R12" s="4">
        <v>0.04</v>
      </c>
      <c r="S12" s="4">
        <v>0.04</v>
      </c>
      <c r="T12" s="4">
        <v>0.04</v>
      </c>
      <c r="U12" s="4">
        <v>0.04</v>
      </c>
      <c r="V12" s="4">
        <v>0.04</v>
      </c>
      <c r="W12" s="4">
        <v>0.04</v>
      </c>
    </row>
    <row r="13" spans="1:23">
      <c r="A13" s="24" t="s">
        <v>332</v>
      </c>
      <c r="B13" s="24"/>
      <c r="C13" s="24"/>
      <c r="D13" s="36">
        <v>1.2999999999999999E-2</v>
      </c>
      <c r="E13" s="36">
        <v>6.4000000000000001E-2</v>
      </c>
      <c r="F13" s="36">
        <v>0.17499999999999999</v>
      </c>
      <c r="G13" s="36">
        <v>0.123</v>
      </c>
      <c r="H13" s="36">
        <v>0.14000000000000001</v>
      </c>
      <c r="I13" s="36">
        <v>0.11600000000000001</v>
      </c>
      <c r="J13" s="36">
        <v>8.8999999999999996E-2</v>
      </c>
      <c r="K13" s="36">
        <v>8.8999999999999996E-2</v>
      </c>
      <c r="L13" s="36">
        <v>8.8999999999999996E-2</v>
      </c>
      <c r="M13" s="36">
        <v>8.8999999999999996E-2</v>
      </c>
      <c r="N13" s="36">
        <v>8.8999999999999996E-2</v>
      </c>
      <c r="O13" s="36">
        <v>8.8999999999999996E-2</v>
      </c>
      <c r="P13" s="36">
        <v>8.8999999999999996E-2</v>
      </c>
      <c r="Q13" s="36">
        <v>8.8999999999999996E-2</v>
      </c>
      <c r="R13" s="36">
        <v>8.8999999999999996E-2</v>
      </c>
      <c r="S13" s="36">
        <v>8.8999999999999996E-2</v>
      </c>
      <c r="T13" s="36">
        <v>8.8999999999999996E-2</v>
      </c>
      <c r="U13" s="36">
        <v>8.8999999999999996E-2</v>
      </c>
      <c r="V13" s="36">
        <v>8.8999999999999996E-2</v>
      </c>
      <c r="W13" s="36">
        <v>8.8999999999999996E-2</v>
      </c>
    </row>
    <row r="14" spans="1:23">
      <c r="A14" s="27" t="s">
        <v>145</v>
      </c>
      <c r="B14" s="27">
        <v>1560</v>
      </c>
      <c r="D14" s="21">
        <f>B10*(1+D12)</f>
        <v>2409298.8993385485</v>
      </c>
      <c r="E14" s="21">
        <f>D14*(1+E12)</f>
        <v>2475342.1033529881</v>
      </c>
      <c r="F14" s="21">
        <f t="shared" ref="F14:W14" si="1">E14*(1+F12)</f>
        <v>2584101.7892204495</v>
      </c>
      <c r="G14" s="21">
        <f t="shared" si="1"/>
        <v>2833784.5796613633</v>
      </c>
      <c r="H14" s="21">
        <f t="shared" si="1"/>
        <v>3155609.5166183044</v>
      </c>
      <c r="I14" s="21">
        <f t="shared" si="1"/>
        <v>3295943.9252555836</v>
      </c>
      <c r="J14" s="21">
        <f t="shared" si="1"/>
        <v>3427781.6822658069</v>
      </c>
      <c r="K14" s="21">
        <f t="shared" si="1"/>
        <v>3564892.9495564392</v>
      </c>
      <c r="L14" s="21">
        <f t="shared" si="1"/>
        <v>3707488.6675386969</v>
      </c>
      <c r="M14" s="21">
        <f t="shared" si="1"/>
        <v>3855788.2142402451</v>
      </c>
      <c r="N14" s="21">
        <f t="shared" si="1"/>
        <v>4010019.7428098549</v>
      </c>
      <c r="O14" s="21">
        <f t="shared" si="1"/>
        <v>4170420.532522249</v>
      </c>
      <c r="P14" s="21">
        <f t="shared" si="1"/>
        <v>4337237.3538231393</v>
      </c>
      <c r="Q14" s="21">
        <f t="shared" si="1"/>
        <v>4510726.8479760652</v>
      </c>
      <c r="R14" s="21">
        <f t="shared" si="1"/>
        <v>4691155.9218951082</v>
      </c>
      <c r="S14" s="21">
        <f t="shared" si="1"/>
        <v>4878802.1587709123</v>
      </c>
      <c r="T14" s="21">
        <f t="shared" si="1"/>
        <v>5073954.2451217491</v>
      </c>
      <c r="U14" s="21">
        <f t="shared" si="1"/>
        <v>5276912.4149266193</v>
      </c>
      <c r="V14" s="21">
        <f t="shared" si="1"/>
        <v>5487988.9115236839</v>
      </c>
      <c r="W14" s="21">
        <f t="shared" si="1"/>
        <v>5707508.4679846317</v>
      </c>
    </row>
    <row r="15" spans="1:23">
      <c r="A15" t="s">
        <v>98</v>
      </c>
      <c r="B15" s="4">
        <v>1.4999999999999999E-2</v>
      </c>
      <c r="F15">
        <v>1.92</v>
      </c>
    </row>
    <row r="16" spans="1:23">
      <c r="A16" t="s">
        <v>119</v>
      </c>
      <c r="B16">
        <v>753</v>
      </c>
    </row>
    <row r="17" spans="1:35">
      <c r="A17" t="s">
        <v>126</v>
      </c>
      <c r="B17" s="21">
        <f>B10/B16</f>
        <v>3199.6001319237034</v>
      </c>
      <c r="D17" t="s">
        <v>132</v>
      </c>
      <c r="S17" s="3"/>
      <c r="T17" s="3"/>
      <c r="U17" s="3"/>
      <c r="V17" s="3"/>
      <c r="W17" s="3"/>
    </row>
    <row r="18" spans="1:35">
      <c r="D18" s="399" t="s">
        <v>1</v>
      </c>
      <c r="E18" s="400" t="s">
        <v>2</v>
      </c>
      <c r="F18" s="401" t="s">
        <v>3</v>
      </c>
      <c r="G18" s="401" t="s">
        <v>4</v>
      </c>
      <c r="H18" s="401" t="s">
        <v>5</v>
      </c>
      <c r="I18" s="396" t="s">
        <v>6</v>
      </c>
      <c r="J18" s="396" t="s">
        <v>7</v>
      </c>
      <c r="K18" s="396" t="s">
        <v>8</v>
      </c>
      <c r="L18" s="396" t="s">
        <v>9</v>
      </c>
      <c r="M18" s="396" t="s">
        <v>10</v>
      </c>
      <c r="N18" s="396" t="s">
        <v>11</v>
      </c>
      <c r="O18" s="396" t="s">
        <v>12</v>
      </c>
      <c r="P18" s="396" t="s">
        <v>13</v>
      </c>
      <c r="Q18" s="396" t="s">
        <v>14</v>
      </c>
      <c r="R18" s="396">
        <v>65</v>
      </c>
      <c r="S18" s="397" t="s">
        <v>17</v>
      </c>
      <c r="T18" s="398"/>
      <c r="U18" s="398"/>
      <c r="V18" s="398"/>
      <c r="W18" s="398"/>
    </row>
    <row r="19" spans="1:35">
      <c r="B19" t="s">
        <v>367</v>
      </c>
      <c r="D19" s="399"/>
      <c r="E19" s="400"/>
      <c r="F19" s="401"/>
      <c r="G19" s="401"/>
      <c r="H19" s="401"/>
      <c r="I19" s="396"/>
      <c r="J19" s="396"/>
      <c r="K19" s="396"/>
      <c r="L19" s="396"/>
      <c r="M19" s="396"/>
      <c r="N19" s="396"/>
      <c r="O19" s="396"/>
      <c r="P19" s="396"/>
      <c r="Q19" s="396"/>
      <c r="R19" s="396"/>
      <c r="S19" s="1">
        <v>66</v>
      </c>
      <c r="T19" s="2">
        <v>67</v>
      </c>
      <c r="U19" s="2">
        <v>68</v>
      </c>
      <c r="V19" s="2">
        <v>69</v>
      </c>
      <c r="W19" s="2">
        <v>70</v>
      </c>
      <c r="X19" s="2">
        <v>71</v>
      </c>
      <c r="Y19" s="2">
        <v>72</v>
      </c>
      <c r="Z19" s="2">
        <v>73</v>
      </c>
      <c r="AA19" s="2">
        <v>74</v>
      </c>
      <c r="AB19" s="2">
        <v>75</v>
      </c>
      <c r="AC19" s="2">
        <v>76</v>
      </c>
      <c r="AD19" s="2">
        <v>77</v>
      </c>
      <c r="AE19" s="2">
        <v>78</v>
      </c>
      <c r="AF19" s="2">
        <v>79</v>
      </c>
      <c r="AG19" s="2">
        <v>80</v>
      </c>
      <c r="AH19" s="2">
        <v>81</v>
      </c>
      <c r="AI19" s="2">
        <v>82</v>
      </c>
    </row>
    <row r="20" spans="1:35">
      <c r="A20" t="s">
        <v>16</v>
      </c>
      <c r="B20" s="157">
        <f>SUM(D20:AH20)</f>
        <v>5438</v>
      </c>
      <c r="C20" t="s">
        <v>18</v>
      </c>
      <c r="D20">
        <v>0</v>
      </c>
      <c r="E20">
        <v>0</v>
      </c>
      <c r="F20">
        <v>0</v>
      </c>
      <c r="G20">
        <v>1</v>
      </c>
      <c r="H20">
        <f>Scratch!F7</f>
        <v>11</v>
      </c>
      <c r="I20">
        <f>Scratch!G7</f>
        <v>20</v>
      </c>
      <c r="J20">
        <f>Scratch!H7</f>
        <v>50</v>
      </c>
      <c r="K20">
        <f>Scratch!I7</f>
        <v>77</v>
      </c>
      <c r="L20">
        <f>Scratch!J7</f>
        <v>135</v>
      </c>
      <c r="M20">
        <f>Scratch!K7</f>
        <v>267</v>
      </c>
      <c r="N20">
        <f>Scratch!L7</f>
        <v>393</v>
      </c>
      <c r="O20">
        <f>Scratch!M7</f>
        <v>470</v>
      </c>
      <c r="P20">
        <f>Scratch!N7</f>
        <v>412</v>
      </c>
      <c r="Q20">
        <f>Scratch!O7</f>
        <v>452</v>
      </c>
      <c r="R20">
        <v>100</v>
      </c>
      <c r="S20">
        <v>150</v>
      </c>
      <c r="T20">
        <v>200</v>
      </c>
      <c r="U20">
        <f t="shared" ref="U20:AG20" si="2">T20</f>
        <v>200</v>
      </c>
      <c r="V20">
        <f t="shared" si="2"/>
        <v>200</v>
      </c>
      <c r="W20">
        <f t="shared" si="2"/>
        <v>200</v>
      </c>
      <c r="X20">
        <f t="shared" si="2"/>
        <v>200</v>
      </c>
      <c r="Y20">
        <f t="shared" si="2"/>
        <v>200</v>
      </c>
      <c r="Z20">
        <f t="shared" si="2"/>
        <v>200</v>
      </c>
      <c r="AA20">
        <f t="shared" si="2"/>
        <v>200</v>
      </c>
      <c r="AB20">
        <f t="shared" si="2"/>
        <v>200</v>
      </c>
      <c r="AC20">
        <f t="shared" si="2"/>
        <v>200</v>
      </c>
      <c r="AD20">
        <f t="shared" si="2"/>
        <v>200</v>
      </c>
      <c r="AE20">
        <f t="shared" si="2"/>
        <v>200</v>
      </c>
      <c r="AF20">
        <f t="shared" si="2"/>
        <v>200</v>
      </c>
      <c r="AG20">
        <f t="shared" si="2"/>
        <v>200</v>
      </c>
      <c r="AH20">
        <v>100</v>
      </c>
    </row>
    <row r="21" spans="1:35">
      <c r="B21" t="s">
        <v>19</v>
      </c>
      <c r="G21" s="4">
        <f>G20/$B20</f>
        <v>1.8389113644722325E-4</v>
      </c>
      <c r="H21" s="4">
        <f t="shared" ref="H21:AH21" si="3">H20/$B20</f>
        <v>2.0228025009194558E-3</v>
      </c>
      <c r="I21" s="4">
        <f t="shared" si="3"/>
        <v>3.677822728944465E-3</v>
      </c>
      <c r="J21" s="4">
        <f t="shared" si="3"/>
        <v>9.1945568223611614E-3</v>
      </c>
      <c r="K21" s="4">
        <f t="shared" si="3"/>
        <v>1.4159617506436189E-2</v>
      </c>
      <c r="L21" s="4">
        <f t="shared" si="3"/>
        <v>2.4825303420375137E-2</v>
      </c>
      <c r="M21" s="4">
        <f t="shared" si="3"/>
        <v>4.9098933431408608E-2</v>
      </c>
      <c r="N21" s="4">
        <f t="shared" si="3"/>
        <v>7.2269216623758736E-2</v>
      </c>
      <c r="O21" s="4">
        <f t="shared" si="3"/>
        <v>8.642883413019492E-2</v>
      </c>
      <c r="P21" s="4">
        <f t="shared" si="3"/>
        <v>7.5763148216255974E-2</v>
      </c>
      <c r="Q21" s="4">
        <f t="shared" si="3"/>
        <v>8.3118793674144903E-2</v>
      </c>
      <c r="R21" s="4">
        <f t="shared" si="3"/>
        <v>1.8389113644722323E-2</v>
      </c>
      <c r="S21" s="4">
        <f t="shared" si="3"/>
        <v>2.7583670467083488E-2</v>
      </c>
      <c r="T21" s="4">
        <f t="shared" si="3"/>
        <v>3.6778227289444645E-2</v>
      </c>
      <c r="U21" s="4">
        <f t="shared" si="3"/>
        <v>3.6778227289444645E-2</v>
      </c>
      <c r="V21" s="4">
        <f t="shared" si="3"/>
        <v>3.6778227289444645E-2</v>
      </c>
      <c r="W21" s="4">
        <f t="shared" si="3"/>
        <v>3.6778227289444645E-2</v>
      </c>
      <c r="X21" s="4">
        <f t="shared" si="3"/>
        <v>3.6778227289444645E-2</v>
      </c>
      <c r="Y21" s="4">
        <f t="shared" si="3"/>
        <v>3.6778227289444645E-2</v>
      </c>
      <c r="Z21" s="4">
        <f t="shared" si="3"/>
        <v>3.6778227289444645E-2</v>
      </c>
      <c r="AA21" s="4">
        <f t="shared" si="3"/>
        <v>3.6778227289444645E-2</v>
      </c>
      <c r="AB21" s="4">
        <f t="shared" si="3"/>
        <v>3.6778227289444645E-2</v>
      </c>
      <c r="AC21" s="4">
        <f t="shared" si="3"/>
        <v>3.6778227289444645E-2</v>
      </c>
      <c r="AD21" s="4">
        <f t="shared" si="3"/>
        <v>3.6778227289444645E-2</v>
      </c>
      <c r="AE21" s="4">
        <f t="shared" si="3"/>
        <v>3.6778227289444645E-2</v>
      </c>
      <c r="AF21" s="4">
        <f t="shared" si="3"/>
        <v>3.6778227289444645E-2</v>
      </c>
      <c r="AG21" s="4">
        <f t="shared" si="3"/>
        <v>3.6778227289444645E-2</v>
      </c>
      <c r="AH21" s="4">
        <f t="shared" si="3"/>
        <v>1.8389113644722323E-2</v>
      </c>
    </row>
    <row r="22" spans="1:35">
      <c r="A22" t="s">
        <v>148</v>
      </c>
      <c r="B22" s="57">
        <v>164</v>
      </c>
      <c r="C22" t="s">
        <v>18</v>
      </c>
      <c r="D22" s="57"/>
      <c r="E22" s="57"/>
      <c r="F22" s="57"/>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7"/>
    </row>
    <row r="23" spans="1:35">
      <c r="A23" t="s">
        <v>149</v>
      </c>
      <c r="B23" t="s">
        <v>19</v>
      </c>
      <c r="D23" s="28">
        <f>+'Cancer benefits'!D24</f>
        <v>0</v>
      </c>
      <c r="E23" s="28">
        <f>+'Cancer benefits'!E24</f>
        <v>0</v>
      </c>
      <c r="F23" s="28">
        <f>+'Cancer benefits'!F24</f>
        <v>0</v>
      </c>
      <c r="G23" s="28">
        <f>+'Cancer benefits'!G24</f>
        <v>0</v>
      </c>
      <c r="H23" s="28">
        <f>+Scratch!F14</f>
        <v>3.0519969856819894E-2</v>
      </c>
      <c r="I23" s="28">
        <f>+Scratch!G14</f>
        <v>4.4461190655614165E-2</v>
      </c>
      <c r="J23" s="28">
        <f>+Scratch!H14</f>
        <v>5.0866616428033161E-2</v>
      </c>
      <c r="K23" s="28">
        <f>+Scratch!I14</f>
        <v>5.1996985681989447E-2</v>
      </c>
      <c r="L23" s="28">
        <f>+Scratch!J14</f>
        <v>6.706857573474001E-2</v>
      </c>
      <c r="M23" s="28">
        <f>+Scratch!K14</f>
        <v>9.1183119819140915E-2</v>
      </c>
      <c r="N23" s="28">
        <f>+Scratch!L14</f>
        <v>9.6458176337603618E-2</v>
      </c>
      <c r="O23" s="28">
        <f>+Scratch!M14</f>
        <v>9.0429540316503396E-2</v>
      </c>
      <c r="P23" s="28">
        <f>+Scratch!N14</f>
        <v>6.8575734740015076E-2</v>
      </c>
      <c r="Q23" s="28">
        <f>+Scratch!O14</f>
        <v>6.9706103993971369E-2</v>
      </c>
      <c r="R23" s="28">
        <f>+Scratch!P14</f>
        <v>1.1656365672249445E-2</v>
      </c>
      <c r="S23" s="28">
        <f>+Scratch!Q14</f>
        <v>1.1656365672249445E-2</v>
      </c>
      <c r="T23" s="28">
        <f>+Scratch!R14</f>
        <v>1.7484548508374172E-2</v>
      </c>
      <c r="U23" s="28">
        <f>+Scratch!S14</f>
        <v>1.7484548508374172E-2</v>
      </c>
      <c r="V23" s="28">
        <f>+Scratch!T14</f>
        <v>1.7484548508374172E-2</v>
      </c>
      <c r="W23" s="28">
        <f>+Scratch!U14</f>
        <v>2.3312731344498891E-2</v>
      </c>
      <c r="X23" s="28">
        <f>+Scratch!V14</f>
        <v>2.3312731344498891E-2</v>
      </c>
      <c r="Y23" s="28">
        <f>+Scratch!W14</f>
        <v>2.3312731344498891E-2</v>
      </c>
      <c r="Z23" s="28">
        <f>+Scratch!X14</f>
        <v>2.3312731344498891E-2</v>
      </c>
      <c r="AA23" s="28">
        <f>+Scratch!Y14</f>
        <v>2.3312731344498891E-2</v>
      </c>
      <c r="AB23" s="28">
        <f>+Scratch!Z14</f>
        <v>2.3312731344498891E-2</v>
      </c>
      <c r="AC23" s="28">
        <f>+Scratch!AA14</f>
        <v>2.3312731344498891E-2</v>
      </c>
      <c r="AD23" s="28">
        <f>+Scratch!AB14</f>
        <v>2.3312731344498891E-2</v>
      </c>
      <c r="AE23" s="28">
        <f>+Scratch!AC14</f>
        <v>2.3312731344498891E-2</v>
      </c>
      <c r="AF23" s="28">
        <f>+Scratch!AD14</f>
        <v>2.3312731344498891E-2</v>
      </c>
      <c r="AG23" s="28">
        <f>+Scratch!AE14</f>
        <v>1.8183930448709137E-2</v>
      </c>
      <c r="AH23" s="28">
        <f>+Scratch!AF14</f>
        <v>1.1656365672249445E-2</v>
      </c>
    </row>
    <row r="24" spans="1:35">
      <c r="A24" t="s">
        <v>147</v>
      </c>
      <c r="B24" s="57">
        <v>109</v>
      </c>
      <c r="C24" t="s">
        <v>18</v>
      </c>
      <c r="D24" s="57">
        <v>0</v>
      </c>
      <c r="E24" s="57">
        <v>0</v>
      </c>
      <c r="F24" s="57">
        <v>0</v>
      </c>
      <c r="G24" s="57">
        <v>0</v>
      </c>
      <c r="H24" s="138">
        <f>+Scratch!F8</f>
        <v>13</v>
      </c>
      <c r="I24" s="138">
        <f>+Scratch!G8</f>
        <v>22</v>
      </c>
      <c r="J24" s="138">
        <f>+Scratch!H8</f>
        <v>20</v>
      </c>
      <c r="K24" s="138">
        <f>+Scratch!I8</f>
        <v>40</v>
      </c>
      <c r="L24" s="138">
        <f>+Scratch!J8</f>
        <v>72</v>
      </c>
      <c r="M24" s="138">
        <f>+Scratch!K8</f>
        <v>188</v>
      </c>
      <c r="N24" s="138">
        <f>+Scratch!L8</f>
        <v>261</v>
      </c>
      <c r="O24" s="138">
        <f>+Scratch!M8</f>
        <v>315</v>
      </c>
      <c r="P24" s="138">
        <f>+Scratch!N8</f>
        <v>326</v>
      </c>
      <c r="Q24" s="138">
        <f>+Scratch!O8</f>
        <v>390</v>
      </c>
      <c r="R24" s="138">
        <f>+Scratch!AJ8</f>
        <v>1453</v>
      </c>
      <c r="S24" s="58"/>
      <c r="T24" s="58"/>
      <c r="U24" s="58"/>
      <c r="V24" s="58"/>
      <c r="W24" s="58"/>
      <c r="X24" s="58"/>
      <c r="Y24" s="58"/>
      <c r="Z24" s="58"/>
      <c r="AA24" s="58"/>
      <c r="AB24" s="58"/>
      <c r="AC24" s="58"/>
      <c r="AD24" s="58"/>
      <c r="AE24" s="58"/>
      <c r="AF24" s="58"/>
      <c r="AG24" s="58"/>
      <c r="AH24" s="58"/>
      <c r="AI24" s="57"/>
    </row>
    <row r="25" spans="1:35">
      <c r="B25" t="s">
        <v>19</v>
      </c>
      <c r="D25" s="28">
        <f>+'Cancer benefits'!D24</f>
        <v>0</v>
      </c>
      <c r="E25" s="28">
        <f>+'Cancer benefits'!E24</f>
        <v>0</v>
      </c>
      <c r="F25" s="28">
        <f>+'Cancer benefits'!F24</f>
        <v>0</v>
      </c>
      <c r="G25" s="28">
        <f>+'Cancer benefits'!G24</f>
        <v>0</v>
      </c>
      <c r="H25" s="28">
        <f>+'Cancer benefits'!H24</f>
        <v>4.193548387096774E-3</v>
      </c>
      <c r="I25" s="28">
        <f>+'Cancer benefits'!I24</f>
        <v>7.0967741935483875E-3</v>
      </c>
      <c r="J25" s="28">
        <f>+'Cancer benefits'!J24</f>
        <v>6.4516129032258064E-3</v>
      </c>
      <c r="K25" s="28">
        <f>+'Cancer benefits'!K24</f>
        <v>1.2903225806451613E-2</v>
      </c>
      <c r="L25" s="28">
        <f>+'Cancer benefits'!L24</f>
        <v>2.3225806451612905E-2</v>
      </c>
      <c r="M25" s="28">
        <f>+'Cancer benefits'!M24</f>
        <v>6.0645161290322581E-2</v>
      </c>
      <c r="N25" s="28">
        <f>+'Cancer benefits'!N24</f>
        <v>8.4193548387096778E-2</v>
      </c>
      <c r="O25" s="28">
        <f>+'Cancer benefits'!O24</f>
        <v>0.10161290322580645</v>
      </c>
      <c r="P25" s="28">
        <f>+'Cancer benefits'!P24</f>
        <v>0.10516129032258065</v>
      </c>
      <c r="Q25" s="28">
        <f>+'Cancer benefits'!Q24</f>
        <v>0.12580645161290321</v>
      </c>
      <c r="R25" s="28">
        <f>+'Cancer benefits'!R24</f>
        <v>1.6129032258064516E-2</v>
      </c>
      <c r="S25" s="28">
        <f>+'Cancer benefits'!S24</f>
        <v>1.6129032258064516E-2</v>
      </c>
      <c r="T25" s="28">
        <f>+'Cancer benefits'!T24</f>
        <v>2.4193548387096774E-2</v>
      </c>
      <c r="U25" s="28">
        <f>+'Cancer benefits'!U24</f>
        <v>2.4193548387096774E-2</v>
      </c>
      <c r="V25" s="28">
        <f>+'Cancer benefits'!V24</f>
        <v>2.4193548387096774E-2</v>
      </c>
      <c r="W25" s="28">
        <f>+'Cancer benefits'!W24</f>
        <v>3.2258064516129031E-2</v>
      </c>
      <c r="X25" s="28">
        <f>+'Cancer benefits'!X24</f>
        <v>3.2258064516129031E-2</v>
      </c>
      <c r="Y25" s="28">
        <f>+'Cancer benefits'!Y24</f>
        <v>3.2258064516129031E-2</v>
      </c>
      <c r="Z25" s="28">
        <f>+'Cancer benefits'!Z24</f>
        <v>3.2258064516129031E-2</v>
      </c>
      <c r="AA25" s="28">
        <f>+'Cancer benefits'!AA24</f>
        <v>3.2258064516129031E-2</v>
      </c>
      <c r="AB25" s="28">
        <f>+'Cancer benefits'!AB24</f>
        <v>3.2258064516129031E-2</v>
      </c>
      <c r="AC25" s="28">
        <f>+'Cancer benefits'!AC24</f>
        <v>3.2258064516129031E-2</v>
      </c>
      <c r="AD25" s="28">
        <f>+'Cancer benefits'!AD24</f>
        <v>3.2258064516129031E-2</v>
      </c>
      <c r="AE25" s="28">
        <f>+'Cancer benefits'!AE24</f>
        <v>3.2258064516129031E-2</v>
      </c>
      <c r="AF25" s="28">
        <f>+'Cancer benefits'!AF24</f>
        <v>3.2258064516129031E-2</v>
      </c>
      <c r="AG25" s="28">
        <f>+'Cancer benefits'!AG24</f>
        <v>2.5161290322580646E-2</v>
      </c>
      <c r="AH25" s="28">
        <f>+'Cancer benefits'!AH24</f>
        <v>1.6129032258064516E-2</v>
      </c>
      <c r="AI25" s="28"/>
    </row>
    <row r="26" spans="1:35">
      <c r="G26" s="4"/>
      <c r="H26" s="4"/>
      <c r="I26" s="4"/>
      <c r="J26" s="4"/>
      <c r="K26" s="4"/>
      <c r="L26" s="4"/>
      <c r="M26" s="4"/>
      <c r="N26" s="4"/>
      <c r="O26" s="4"/>
      <c r="P26" s="4"/>
      <c r="Q26" s="4"/>
      <c r="R26" s="4"/>
      <c r="S26" s="4"/>
      <c r="T26" s="4"/>
      <c r="U26" s="4"/>
      <c r="V26" s="4"/>
      <c r="W26" s="4"/>
    </row>
    <row r="27" spans="1:35">
      <c r="A27" s="24" t="s">
        <v>127</v>
      </c>
      <c r="B27" s="24"/>
      <c r="D27" s="24" t="s">
        <v>128</v>
      </c>
      <c r="E27" s="24"/>
      <c r="F27" s="24"/>
      <c r="G27" s="36"/>
      <c r="H27" s="36"/>
      <c r="I27" s="36"/>
      <c r="J27" s="4"/>
      <c r="K27" s="4"/>
      <c r="L27" s="4"/>
      <c r="M27" s="4"/>
      <c r="N27" s="4"/>
      <c r="O27" s="4"/>
      <c r="P27" s="4"/>
      <c r="Q27" s="4"/>
      <c r="R27" s="4"/>
      <c r="S27" s="4"/>
      <c r="T27" s="4"/>
      <c r="U27" s="4"/>
      <c r="V27" s="4"/>
      <c r="W27" s="4"/>
    </row>
    <row r="28" spans="1:35">
      <c r="A28" t="s">
        <v>34</v>
      </c>
      <c r="B28">
        <v>10</v>
      </c>
      <c r="G28" s="4"/>
      <c r="H28" s="4"/>
      <c r="I28" s="4"/>
      <c r="J28" s="4"/>
      <c r="K28" s="4"/>
      <c r="L28" s="4"/>
      <c r="M28" s="4"/>
      <c r="N28" s="4"/>
      <c r="O28" s="4"/>
      <c r="P28" s="4"/>
      <c r="Q28" s="4"/>
      <c r="R28" s="4"/>
      <c r="S28" s="4"/>
      <c r="T28" s="4"/>
      <c r="U28" s="4"/>
      <c r="V28" s="4"/>
      <c r="W28" s="4"/>
    </row>
    <row r="29" spans="1:35">
      <c r="A29" t="s">
        <v>35</v>
      </c>
      <c r="B29">
        <v>0.66</v>
      </c>
      <c r="G29" s="4"/>
      <c r="H29" s="4"/>
      <c r="I29" s="4"/>
      <c r="J29" s="4"/>
      <c r="K29" s="4"/>
      <c r="L29" s="4"/>
      <c r="M29" s="4"/>
      <c r="N29" s="4"/>
      <c r="O29" s="4"/>
      <c r="P29" s="4"/>
      <c r="Q29" s="4"/>
      <c r="R29" s="4"/>
      <c r="S29" s="4"/>
      <c r="T29" s="4"/>
      <c r="U29" s="4"/>
      <c r="V29" s="4"/>
      <c r="W29" s="4"/>
    </row>
    <row r="30" spans="1:35">
      <c r="A30" t="s">
        <v>36</v>
      </c>
      <c r="B30">
        <f>LN(B29)/10</f>
        <v>-4.1551544396166581E-2</v>
      </c>
      <c r="E30" t="s">
        <v>38</v>
      </c>
      <c r="G30" s="4"/>
      <c r="H30" s="4"/>
      <c r="I30" s="4"/>
      <c r="J30" s="4"/>
      <c r="K30" s="4"/>
      <c r="L30" s="4"/>
      <c r="M30" s="4"/>
      <c r="N30" s="4"/>
      <c r="O30" s="4"/>
      <c r="P30" s="4"/>
      <c r="Q30" s="4"/>
      <c r="R30" s="4"/>
      <c r="S30" s="4"/>
      <c r="T30" s="4"/>
      <c r="U30" s="4"/>
      <c r="V30" s="4"/>
      <c r="W30" s="4"/>
    </row>
    <row r="31" spans="1:35">
      <c r="D31">
        <v>0</v>
      </c>
      <c r="E31">
        <v>1</v>
      </c>
      <c r="F31">
        <v>2</v>
      </c>
      <c r="G31">
        <v>3</v>
      </c>
      <c r="H31">
        <v>4</v>
      </c>
      <c r="I31">
        <v>5</v>
      </c>
      <c r="J31">
        <v>6</v>
      </c>
      <c r="K31">
        <v>7</v>
      </c>
      <c r="L31">
        <v>8</v>
      </c>
      <c r="M31">
        <v>9</v>
      </c>
      <c r="N31">
        <v>10</v>
      </c>
      <c r="O31" s="4"/>
      <c r="P31" s="4"/>
      <c r="Q31" s="4"/>
      <c r="R31" s="4"/>
      <c r="S31" s="4"/>
      <c r="T31" s="4"/>
      <c r="U31" s="4"/>
      <c r="V31" s="4"/>
      <c r="W31" s="4"/>
    </row>
    <row r="32" spans="1:35">
      <c r="A32" t="s">
        <v>37</v>
      </c>
      <c r="D32">
        <f>EXP($B30*D31)</f>
        <v>1</v>
      </c>
      <c r="E32">
        <f t="shared" ref="E32:M32" si="4">EXP($B30*E31)</f>
        <v>0.95929988753365902</v>
      </c>
      <c r="F32">
        <f t="shared" si="4"/>
        <v>0.92025627422209078</v>
      </c>
      <c r="G32">
        <f t="shared" si="4"/>
        <v>0.88280174036339565</v>
      </c>
      <c r="H32">
        <f t="shared" si="4"/>
        <v>0.84687161024512392</v>
      </c>
      <c r="I32">
        <f t="shared" si="4"/>
        <v>0.81240384046359604</v>
      </c>
      <c r="J32">
        <f t="shared" si="4"/>
        <v>0.77933891278864031</v>
      </c>
      <c r="K32">
        <f t="shared" si="4"/>
        <v>0.74761973138874671</v>
      </c>
      <c r="L32">
        <f t="shared" si="4"/>
        <v>0.7171915242391691</v>
      </c>
      <c r="M32">
        <f t="shared" si="4"/>
        <v>0.68800174854272833</v>
      </c>
      <c r="N32">
        <f>EXP($B30*N31)</f>
        <v>0.66</v>
      </c>
      <c r="O32" s="4"/>
      <c r="P32" s="4"/>
      <c r="Q32" s="4"/>
      <c r="R32" s="4"/>
      <c r="S32" s="4"/>
      <c r="T32" s="4"/>
      <c r="U32" s="4"/>
      <c r="V32" s="4"/>
      <c r="W32" s="4"/>
    </row>
    <row r="33" spans="1:24">
      <c r="O33" s="4"/>
      <c r="P33" s="4"/>
      <c r="Q33" s="4"/>
      <c r="R33" s="4"/>
      <c r="S33" s="4"/>
      <c r="T33" s="4"/>
      <c r="U33" s="4"/>
      <c r="V33" s="4"/>
      <c r="W33" s="4"/>
    </row>
    <row r="34" spans="1:24">
      <c r="A34" s="37" t="s">
        <v>129</v>
      </c>
      <c r="O34" s="4"/>
      <c r="P34" s="4"/>
      <c r="Q34" s="4"/>
      <c r="R34" s="4"/>
      <c r="S34" s="4"/>
      <c r="T34" s="4"/>
      <c r="U34" s="4"/>
      <c r="V34" s="4"/>
      <c r="W34" s="4"/>
    </row>
    <row r="35" spans="1:24">
      <c r="A35" t="s">
        <v>102</v>
      </c>
      <c r="C35" s="4">
        <f>popgrowth</f>
        <v>1.4999999999999999E-2</v>
      </c>
      <c r="D35" t="s">
        <v>103</v>
      </c>
      <c r="O35" s="4"/>
      <c r="P35" s="4"/>
      <c r="Q35" s="4"/>
      <c r="R35" s="4"/>
      <c r="S35" s="4"/>
      <c r="T35" s="4"/>
      <c r="U35" s="4"/>
      <c r="V35" s="4"/>
      <c r="W35" s="4"/>
    </row>
    <row r="36" spans="1:24">
      <c r="G36" s="4"/>
      <c r="H36" s="4"/>
      <c r="I36" s="4"/>
      <c r="J36" s="4"/>
      <c r="K36" s="4"/>
      <c r="L36" s="4"/>
      <c r="M36" s="4"/>
      <c r="N36" s="4"/>
      <c r="O36" s="4"/>
      <c r="P36" s="4"/>
      <c r="Q36" s="4"/>
      <c r="R36" s="4"/>
      <c r="S36" s="4"/>
      <c r="T36" s="4"/>
      <c r="U36" s="4"/>
      <c r="V36" s="4"/>
      <c r="W36" s="4"/>
    </row>
    <row r="37" spans="1:24">
      <c r="A37" s="37" t="s">
        <v>112</v>
      </c>
      <c r="D37" t="s">
        <v>33</v>
      </c>
    </row>
    <row r="38" spans="1:24" s="57" customFormat="1">
      <c r="A38" s="57" t="s">
        <v>130</v>
      </c>
      <c r="E38" s="58">
        <v>2.5000000000000001E-3</v>
      </c>
      <c r="F38" s="58">
        <v>5.0000000000000001E-3</v>
      </c>
      <c r="G38" s="58">
        <v>0.02</v>
      </c>
      <c r="H38" s="58">
        <v>0.03</v>
      </c>
      <c r="I38" s="58">
        <v>3.5000000000000003E-2</v>
      </c>
      <c r="J38" s="58">
        <v>3.5000000000000003E-2</v>
      </c>
      <c r="K38" s="58">
        <v>3.5000000000000003E-2</v>
      </c>
      <c r="L38" s="58">
        <v>3.5000000000000003E-2</v>
      </c>
      <c r="M38" s="58">
        <v>3.5000000000000003E-2</v>
      </c>
      <c r="N38" s="58">
        <v>3.5000000000000003E-2</v>
      </c>
      <c r="O38" s="58">
        <v>3.5000000000000003E-2</v>
      </c>
      <c r="P38" s="58">
        <v>3.5000000000000003E-2</v>
      </c>
      <c r="Q38" s="58">
        <v>3.5000000000000003E-2</v>
      </c>
      <c r="R38" s="58">
        <v>3.5000000000000003E-2</v>
      </c>
      <c r="S38" s="58">
        <v>3.5000000000000003E-2</v>
      </c>
      <c r="T38" s="58">
        <v>3.5000000000000003E-2</v>
      </c>
      <c r="U38" s="58">
        <v>3.5000000000000003E-2</v>
      </c>
      <c r="V38" s="58">
        <v>3.5000000000000003E-2</v>
      </c>
      <c r="W38" s="58">
        <v>3.5000000000000003E-2</v>
      </c>
    </row>
    <row r="39" spans="1:24">
      <c r="A39" t="s">
        <v>32</v>
      </c>
      <c r="D39">
        <v>1</v>
      </c>
      <c r="E39">
        <v>2</v>
      </c>
      <c r="F39">
        <v>3</v>
      </c>
      <c r="G39">
        <v>4</v>
      </c>
      <c r="H39">
        <v>5</v>
      </c>
      <c r="I39">
        <v>6</v>
      </c>
      <c r="J39">
        <v>7</v>
      </c>
      <c r="K39">
        <v>8</v>
      </c>
      <c r="L39">
        <v>9</v>
      </c>
      <c r="M39">
        <v>10</v>
      </c>
      <c r="N39">
        <v>11</v>
      </c>
      <c r="O39">
        <v>12</v>
      </c>
      <c r="P39">
        <v>13</v>
      </c>
      <c r="Q39">
        <v>14</v>
      </c>
      <c r="R39">
        <v>15</v>
      </c>
      <c r="S39">
        <v>16</v>
      </c>
      <c r="T39">
        <v>17</v>
      </c>
      <c r="U39">
        <v>18</v>
      </c>
      <c r="V39">
        <v>19</v>
      </c>
      <c r="W39">
        <v>20</v>
      </c>
    </row>
    <row r="40" spans="1:24">
      <c r="A40" t="s">
        <v>104</v>
      </c>
      <c r="D40">
        <f>ROUND(B20*(1+popgrowth),0)</f>
        <v>5520</v>
      </c>
      <c r="E40">
        <f t="shared" ref="E40:W40" si="5">ROUND(D40*(1+popgrowth),0)</f>
        <v>5603</v>
      </c>
      <c r="F40">
        <f t="shared" si="5"/>
        <v>5687</v>
      </c>
      <c r="G40">
        <f t="shared" si="5"/>
        <v>5772</v>
      </c>
      <c r="H40">
        <f t="shared" si="5"/>
        <v>5859</v>
      </c>
      <c r="I40">
        <f t="shared" si="5"/>
        <v>5947</v>
      </c>
      <c r="J40">
        <f t="shared" si="5"/>
        <v>6036</v>
      </c>
      <c r="K40">
        <f t="shared" si="5"/>
        <v>6127</v>
      </c>
      <c r="L40">
        <f t="shared" si="5"/>
        <v>6219</v>
      </c>
      <c r="M40">
        <f t="shared" si="5"/>
        <v>6312</v>
      </c>
      <c r="N40">
        <f t="shared" si="5"/>
        <v>6407</v>
      </c>
      <c r="O40">
        <f t="shared" si="5"/>
        <v>6503</v>
      </c>
      <c r="P40">
        <f t="shared" si="5"/>
        <v>6601</v>
      </c>
      <c r="Q40">
        <f t="shared" si="5"/>
        <v>6700</v>
      </c>
      <c r="R40">
        <f t="shared" si="5"/>
        <v>6801</v>
      </c>
      <c r="S40">
        <f t="shared" si="5"/>
        <v>6903</v>
      </c>
      <c r="T40">
        <f t="shared" si="5"/>
        <v>7007</v>
      </c>
      <c r="U40">
        <f t="shared" si="5"/>
        <v>7112</v>
      </c>
      <c r="V40">
        <f t="shared" si="5"/>
        <v>7219</v>
      </c>
      <c r="W40">
        <f t="shared" si="5"/>
        <v>7327</v>
      </c>
    </row>
    <row r="41" spans="1:24" s="57" customFormat="1">
      <c r="A41" s="57" t="s">
        <v>158</v>
      </c>
      <c r="D41" s="59">
        <f>ROUND(B20*(1+C35),0)</f>
        <v>5520</v>
      </c>
      <c r="E41" s="57">
        <f t="shared" ref="E41:X41" si="6">ROUND((D41*(1+popgrowth))*(1-E38),0)</f>
        <v>5589</v>
      </c>
      <c r="F41" s="57">
        <f t="shared" si="6"/>
        <v>5644</v>
      </c>
      <c r="G41" s="57">
        <f t="shared" si="6"/>
        <v>5614</v>
      </c>
      <c r="H41" s="57">
        <f t="shared" si="6"/>
        <v>5527</v>
      </c>
      <c r="I41" s="57">
        <f t="shared" si="6"/>
        <v>5414</v>
      </c>
      <c r="J41" s="57">
        <f t="shared" si="6"/>
        <v>5303</v>
      </c>
      <c r="K41" s="57">
        <f t="shared" si="6"/>
        <v>5194</v>
      </c>
      <c r="L41" s="57">
        <f t="shared" si="6"/>
        <v>5087</v>
      </c>
      <c r="M41" s="57">
        <f t="shared" si="6"/>
        <v>4983</v>
      </c>
      <c r="N41" s="57">
        <f t="shared" si="6"/>
        <v>4881</v>
      </c>
      <c r="O41" s="57">
        <f t="shared" si="6"/>
        <v>4781</v>
      </c>
      <c r="P41" s="57">
        <f t="shared" si="6"/>
        <v>4683</v>
      </c>
      <c r="Q41" s="57">
        <f t="shared" si="6"/>
        <v>4587</v>
      </c>
      <c r="R41" s="57">
        <f t="shared" si="6"/>
        <v>4493</v>
      </c>
      <c r="S41" s="57">
        <f t="shared" si="6"/>
        <v>4401</v>
      </c>
      <c r="T41" s="57">
        <f t="shared" si="6"/>
        <v>4311</v>
      </c>
      <c r="U41" s="57">
        <f t="shared" si="6"/>
        <v>4223</v>
      </c>
      <c r="V41" s="57">
        <f t="shared" si="6"/>
        <v>4136</v>
      </c>
      <c r="W41" s="57">
        <f t="shared" si="6"/>
        <v>4051</v>
      </c>
      <c r="X41" s="57">
        <f t="shared" si="6"/>
        <v>4112</v>
      </c>
    </row>
    <row r="42" spans="1:24">
      <c r="A42" t="s">
        <v>131</v>
      </c>
      <c r="B42">
        <f>SUM(D42:W42)</f>
        <v>29240</v>
      </c>
      <c r="C42" t="s">
        <v>18</v>
      </c>
      <c r="D42" s="21">
        <f>$D41-D41</f>
        <v>0</v>
      </c>
      <c r="E42">
        <f>E40-E41</f>
        <v>14</v>
      </c>
      <c r="F42">
        <f>F40-F41</f>
        <v>43</v>
      </c>
      <c r="G42">
        <f t="shared" ref="G42:W42" si="7">G40-G41</f>
        <v>158</v>
      </c>
      <c r="H42">
        <f t="shared" si="7"/>
        <v>332</v>
      </c>
      <c r="I42">
        <f t="shared" si="7"/>
        <v>533</v>
      </c>
      <c r="J42">
        <f t="shared" si="7"/>
        <v>733</v>
      </c>
      <c r="K42">
        <f t="shared" si="7"/>
        <v>933</v>
      </c>
      <c r="L42">
        <f t="shared" si="7"/>
        <v>1132</v>
      </c>
      <c r="M42">
        <f t="shared" si="7"/>
        <v>1329</v>
      </c>
      <c r="N42">
        <f t="shared" si="7"/>
        <v>1526</v>
      </c>
      <c r="O42">
        <f t="shared" si="7"/>
        <v>1722</v>
      </c>
      <c r="P42">
        <f t="shared" si="7"/>
        <v>1918</v>
      </c>
      <c r="Q42">
        <f t="shared" si="7"/>
        <v>2113</v>
      </c>
      <c r="R42">
        <f t="shared" si="7"/>
        <v>2308</v>
      </c>
      <c r="S42">
        <f t="shared" si="7"/>
        <v>2502</v>
      </c>
      <c r="T42">
        <f t="shared" si="7"/>
        <v>2696</v>
      </c>
      <c r="U42">
        <f t="shared" si="7"/>
        <v>2889</v>
      </c>
      <c r="V42">
        <f t="shared" si="7"/>
        <v>3083</v>
      </c>
      <c r="W42">
        <f t="shared" si="7"/>
        <v>3276</v>
      </c>
      <c r="X42">
        <f>38/X41</f>
        <v>9.2412451361867706E-3</v>
      </c>
    </row>
    <row r="43" spans="1:24">
      <c r="D43" s="21"/>
    </row>
    <row r="44" spans="1:24">
      <c r="D44" s="21"/>
    </row>
    <row r="45" spans="1:24">
      <c r="A45" t="s">
        <v>105</v>
      </c>
      <c r="B45">
        <f>B42/20</f>
        <v>1462</v>
      </c>
      <c r="D45">
        <f>pop</f>
        <v>2683500</v>
      </c>
      <c r="E45">
        <f t="shared" ref="E45:W45" si="8">D45*(1+popgrowth)</f>
        <v>2723752.4999999995</v>
      </c>
      <c r="F45">
        <f t="shared" si="8"/>
        <v>2764608.7874999992</v>
      </c>
      <c r="G45">
        <f t="shared" si="8"/>
        <v>2806077.919312499</v>
      </c>
      <c r="H45">
        <f t="shared" si="8"/>
        <v>2848169.0881021861</v>
      </c>
      <c r="I45" s="21">
        <f t="shared" si="8"/>
        <v>2890891.6244237185</v>
      </c>
      <c r="J45">
        <f t="shared" si="8"/>
        <v>2934254.9987900741</v>
      </c>
      <c r="K45">
        <f t="shared" si="8"/>
        <v>2978268.8237719252</v>
      </c>
      <c r="L45">
        <f t="shared" si="8"/>
        <v>3022942.8561285036</v>
      </c>
      <c r="M45">
        <f t="shared" si="8"/>
        <v>3068286.9989704308</v>
      </c>
      <c r="N45">
        <f t="shared" si="8"/>
        <v>3114311.3039549869</v>
      </c>
      <c r="O45">
        <f t="shared" si="8"/>
        <v>3161025.9735143115</v>
      </c>
      <c r="P45">
        <f t="shared" si="8"/>
        <v>3208441.3631170257</v>
      </c>
      <c r="Q45">
        <f t="shared" si="8"/>
        <v>3256567.9835637808</v>
      </c>
      <c r="R45">
        <f t="shared" si="8"/>
        <v>3305416.5033172374</v>
      </c>
      <c r="S45">
        <f t="shared" si="8"/>
        <v>3354997.7508669957</v>
      </c>
      <c r="T45">
        <f t="shared" si="8"/>
        <v>3405322.7171300002</v>
      </c>
      <c r="U45">
        <f t="shared" si="8"/>
        <v>3456402.5578869497</v>
      </c>
      <c r="V45">
        <f t="shared" si="8"/>
        <v>3508248.5962552535</v>
      </c>
      <c r="W45">
        <f t="shared" si="8"/>
        <v>3560872.325199082</v>
      </c>
      <c r="X45">
        <f>X42*2</f>
        <v>1.8482490272373541E-2</v>
      </c>
    </row>
    <row r="46" spans="1:24">
      <c r="D46" s="21">
        <f>D41/(D45*0.68)*100000</f>
        <v>302.50221944563179</v>
      </c>
    </row>
    <row r="47" spans="1:24">
      <c r="D47" s="21" t="s">
        <v>144</v>
      </c>
    </row>
    <row r="48" spans="1:24">
      <c r="D48" s="54">
        <v>1</v>
      </c>
      <c r="E48" s="54">
        <v>2</v>
      </c>
      <c r="F48" s="54">
        <v>3</v>
      </c>
      <c r="G48" s="54">
        <v>4</v>
      </c>
      <c r="H48" s="54">
        <v>5</v>
      </c>
    </row>
    <row r="49" spans="1:23">
      <c r="D49" s="55">
        <f t="shared" ref="D49:I49" si="9">+D41*1000000/D45</f>
        <v>2057.0150922302964</v>
      </c>
      <c r="E49" s="55">
        <f t="shared" si="9"/>
        <v>2051.9485525942614</v>
      </c>
      <c r="F49" s="55">
        <f t="shared" si="9"/>
        <v>2041.5185054460446</v>
      </c>
      <c r="G49" s="55">
        <f t="shared" si="9"/>
        <v>2000.6572024826216</v>
      </c>
      <c r="H49" s="55">
        <f t="shared" si="9"/>
        <v>1940.5449006129033</v>
      </c>
      <c r="I49" s="55">
        <f t="shared" si="9"/>
        <v>1872.7786106749152</v>
      </c>
    </row>
    <row r="50" spans="1:23">
      <c r="A50" t="s">
        <v>133</v>
      </c>
      <c r="B50" t="s">
        <v>111</v>
      </c>
      <c r="H50" s="4">
        <f t="shared" ref="H50:W50" si="10">(G41-H41)/G41</f>
        <v>1.5496971856074101E-2</v>
      </c>
      <c r="I50" s="4">
        <f t="shared" si="10"/>
        <v>2.0445087751040349E-2</v>
      </c>
      <c r="J50" s="4">
        <f t="shared" si="10"/>
        <v>2.050240118212043E-2</v>
      </c>
      <c r="K50" s="4">
        <f t="shared" si="10"/>
        <v>2.0554403168018102E-2</v>
      </c>
      <c r="L50" s="4">
        <f t="shared" si="10"/>
        <v>2.0600693107431654E-2</v>
      </c>
      <c r="M50" s="4">
        <f t="shared" si="10"/>
        <v>2.0444269707096521E-2</v>
      </c>
      <c r="N50" s="4">
        <f t="shared" si="10"/>
        <v>2.0469596628537028E-2</v>
      </c>
      <c r="O50" s="4">
        <f t="shared" si="10"/>
        <v>2.0487604998975621E-2</v>
      </c>
      <c r="P50" s="4">
        <f t="shared" si="10"/>
        <v>2.0497803806734993E-2</v>
      </c>
      <c r="Q50" s="4">
        <f t="shared" si="10"/>
        <v>2.0499679692504803E-2</v>
      </c>
      <c r="R50" s="4">
        <f t="shared" si="10"/>
        <v>2.0492696751689559E-2</v>
      </c>
      <c r="S50" s="4">
        <f t="shared" si="10"/>
        <v>2.0476296461161808E-2</v>
      </c>
      <c r="T50" s="4">
        <f t="shared" si="10"/>
        <v>2.0449897750511249E-2</v>
      </c>
      <c r="U50" s="4">
        <f t="shared" si="10"/>
        <v>2.0412897239619577E-2</v>
      </c>
      <c r="V50" s="4">
        <f t="shared" si="10"/>
        <v>2.0601468150603836E-2</v>
      </c>
      <c r="W50" s="4">
        <f t="shared" si="10"/>
        <v>2.0551257253384914E-2</v>
      </c>
    </row>
    <row r="52" spans="1:23">
      <c r="A52" s="22" t="s">
        <v>41</v>
      </c>
      <c r="D52" s="3">
        <v>1</v>
      </c>
      <c r="E52" s="3">
        <v>2</v>
      </c>
      <c r="F52" s="3">
        <v>3</v>
      </c>
      <c r="G52" s="3">
        <v>4</v>
      </c>
      <c r="H52" s="3">
        <v>5</v>
      </c>
      <c r="I52" s="3">
        <v>6</v>
      </c>
      <c r="J52" s="3">
        <v>7</v>
      </c>
      <c r="K52" s="3">
        <v>8</v>
      </c>
      <c r="L52" s="3">
        <v>9</v>
      </c>
      <c r="M52" s="3">
        <v>10</v>
      </c>
      <c r="N52" s="3">
        <v>11</v>
      </c>
      <c r="O52" s="3">
        <v>12</v>
      </c>
      <c r="P52" s="3">
        <v>13</v>
      </c>
      <c r="Q52" s="3">
        <v>14</v>
      </c>
      <c r="R52" s="3">
        <v>15</v>
      </c>
      <c r="S52" s="3">
        <v>16</v>
      </c>
      <c r="T52" s="3">
        <v>17</v>
      </c>
      <c r="U52" s="3">
        <v>18</v>
      </c>
      <c r="V52" s="3">
        <v>19</v>
      </c>
      <c r="W52" s="3">
        <v>20</v>
      </c>
    </row>
    <row r="53" spans="1:23">
      <c r="A53" s="22" t="s">
        <v>5</v>
      </c>
      <c r="D53">
        <v>0</v>
      </c>
      <c r="E53">
        <f>ROUND($E$42*H$21,0)</f>
        <v>0</v>
      </c>
      <c r="F53">
        <f>ROUND($F$42*H$21,0)</f>
        <v>0</v>
      </c>
      <c r="G53">
        <f>ROUND($G$42*H$21,0)</f>
        <v>0</v>
      </c>
      <c r="H53">
        <f>ROUND($H$42*H$21,0)</f>
        <v>1</v>
      </c>
      <c r="I53">
        <f>ROUND($I$42*H$21,0)</f>
        <v>1</v>
      </c>
      <c r="J53">
        <f>ROUND($J$42*H$21,0)</f>
        <v>1</v>
      </c>
      <c r="K53">
        <f>ROUND($K$42*H$21,0)</f>
        <v>2</v>
      </c>
      <c r="L53">
        <f>ROUND($L$42*H$21,0)</f>
        <v>2</v>
      </c>
      <c r="M53">
        <f>ROUND($M$42*H$21,0)</f>
        <v>3</v>
      </c>
      <c r="N53">
        <f>ROUND($N$42*H$21,0)</f>
        <v>3</v>
      </c>
      <c r="O53">
        <f>ROUND($O$42*H$21,0)</f>
        <v>3</v>
      </c>
      <c r="P53">
        <f>ROUND($P$42*H$21,0)</f>
        <v>4</v>
      </c>
      <c r="Q53">
        <f>ROUND($Q$42*H$21,0)</f>
        <v>4</v>
      </c>
      <c r="R53">
        <f>ROUND($R$42*H$21,0)</f>
        <v>5</v>
      </c>
      <c r="S53">
        <f>ROUND($S$42*H$21,0)</f>
        <v>5</v>
      </c>
      <c r="T53">
        <f>ROUND($T$42*H$21,0)</f>
        <v>5</v>
      </c>
      <c r="U53">
        <f>ROUND($U$42*H$21,0)</f>
        <v>6</v>
      </c>
      <c r="V53">
        <f>ROUND($V$42*H$21,0)</f>
        <v>6</v>
      </c>
      <c r="W53">
        <f>ROUND($W$42*H$21,0)</f>
        <v>7</v>
      </c>
    </row>
    <row r="54" spans="1:23">
      <c r="A54" s="22" t="s">
        <v>6</v>
      </c>
      <c r="D54">
        <v>0</v>
      </c>
      <c r="E54">
        <f>ROUND($E$42*I$21,0)</f>
        <v>0</v>
      </c>
      <c r="F54">
        <f>ROUND($F$42*I$21,0)</f>
        <v>0</v>
      </c>
      <c r="G54">
        <f>ROUND($G$42*I$21,0)</f>
        <v>1</v>
      </c>
      <c r="H54">
        <f>ROUND($H$42*I$21,0)</f>
        <v>1</v>
      </c>
      <c r="I54">
        <f>ROUND($I$42*I$21,0)</f>
        <v>2</v>
      </c>
      <c r="J54">
        <f>ROUND($J$42*I$21,0)</f>
        <v>3</v>
      </c>
      <c r="K54">
        <f>ROUND($K$42*I$21,0)</f>
        <v>3</v>
      </c>
      <c r="L54">
        <f>ROUND($L$42*I$21,0)</f>
        <v>4</v>
      </c>
      <c r="M54">
        <f>ROUND($M$42*I$21,0)</f>
        <v>5</v>
      </c>
      <c r="N54">
        <f>ROUND($N$42*I$21,0)</f>
        <v>6</v>
      </c>
      <c r="O54">
        <f>ROUND($O$42*I$21,0)</f>
        <v>6</v>
      </c>
      <c r="P54">
        <f>ROUND($P$42*I$21,0)</f>
        <v>7</v>
      </c>
      <c r="Q54">
        <f>ROUND($Q$42*I$21,0)</f>
        <v>8</v>
      </c>
      <c r="R54">
        <f>ROUND($R$42*I$21,0)</f>
        <v>8</v>
      </c>
      <c r="S54">
        <f>ROUND($S$42*I$21,0)</f>
        <v>9</v>
      </c>
      <c r="T54">
        <f>ROUND($T$42*I$21,0)</f>
        <v>10</v>
      </c>
      <c r="U54">
        <f>ROUND($U$42*I$21,0)</f>
        <v>11</v>
      </c>
      <c r="V54">
        <f>ROUND($V$42*I$21,0)</f>
        <v>11</v>
      </c>
      <c r="W54">
        <f>ROUND($W$42*I$21,0)</f>
        <v>12</v>
      </c>
    </row>
    <row r="55" spans="1:23">
      <c r="A55" s="22" t="s">
        <v>7</v>
      </c>
      <c r="D55">
        <v>0</v>
      </c>
      <c r="E55">
        <f>ROUND($E$42*J$21,0)</f>
        <v>0</v>
      </c>
      <c r="F55">
        <f>ROUND($F$42*J$21,0)</f>
        <v>0</v>
      </c>
      <c r="G55">
        <f>ROUND($G$42*J$21,0)</f>
        <v>1</v>
      </c>
      <c r="H55">
        <f>ROUND($H$42*J$21,0)</f>
        <v>3</v>
      </c>
      <c r="I55">
        <f>ROUND($I$42*J$21,0)</f>
        <v>5</v>
      </c>
      <c r="J55">
        <f>ROUND($J$42*J$21,0)</f>
        <v>7</v>
      </c>
      <c r="K55">
        <f>ROUND($K$42*J$21,0)</f>
        <v>9</v>
      </c>
      <c r="L55">
        <f>ROUND($L$42*J$21,0)</f>
        <v>10</v>
      </c>
      <c r="M55">
        <f>ROUND($M$42*J$21,0)</f>
        <v>12</v>
      </c>
      <c r="N55">
        <f>ROUND($N$42*J$21,0)</f>
        <v>14</v>
      </c>
      <c r="O55">
        <f>ROUND($O$42*J$21,0)</f>
        <v>16</v>
      </c>
      <c r="P55">
        <f>ROUND($P$42*J$21,0)</f>
        <v>18</v>
      </c>
      <c r="Q55">
        <f>ROUND($Q$42*J$21,0)</f>
        <v>19</v>
      </c>
      <c r="R55">
        <f>ROUND($R$42*J$21,0)</f>
        <v>21</v>
      </c>
      <c r="S55">
        <f>ROUND($S$42*J$21,0)</f>
        <v>23</v>
      </c>
      <c r="T55">
        <f>ROUND($T$42*J$21,0)</f>
        <v>25</v>
      </c>
      <c r="U55">
        <f>ROUND($U$42*J$21,0)</f>
        <v>27</v>
      </c>
      <c r="V55">
        <f>ROUND($V$42*J$21,0)</f>
        <v>28</v>
      </c>
      <c r="W55">
        <f>ROUND($W$42*J$21,0)</f>
        <v>30</v>
      </c>
    </row>
    <row r="56" spans="1:23">
      <c r="A56" s="22" t="s">
        <v>8</v>
      </c>
      <c r="D56">
        <v>0</v>
      </c>
      <c r="E56">
        <f>ROUND($E$42*K$21,0)</f>
        <v>0</v>
      </c>
      <c r="F56">
        <f>ROUND($F$42*K$21,0)</f>
        <v>1</v>
      </c>
      <c r="G56">
        <f>ROUND($G$42*K$21,0)</f>
        <v>2</v>
      </c>
      <c r="H56">
        <f>ROUND($H$42*K$21,0)</f>
        <v>5</v>
      </c>
      <c r="I56">
        <f>ROUND($I$42*K$21,0)</f>
        <v>8</v>
      </c>
      <c r="J56">
        <f>ROUND($J$42*K$21,0)</f>
        <v>10</v>
      </c>
      <c r="K56">
        <f>ROUND($K$42*K$21,0)</f>
        <v>13</v>
      </c>
      <c r="L56">
        <f>ROUND($L$42*K$21,0)</f>
        <v>16</v>
      </c>
      <c r="M56">
        <f>ROUND($M$42*K$21,0)</f>
        <v>19</v>
      </c>
      <c r="N56">
        <f>ROUND($N$42*K$21,0)</f>
        <v>22</v>
      </c>
      <c r="O56">
        <f>ROUND($O$42*K$21,0)</f>
        <v>24</v>
      </c>
      <c r="P56">
        <f>ROUND($P$42*K$21,0)</f>
        <v>27</v>
      </c>
      <c r="Q56">
        <f>ROUND($Q$42*K$21,0)</f>
        <v>30</v>
      </c>
      <c r="R56">
        <f>ROUND($R$42*K$21,0)</f>
        <v>33</v>
      </c>
      <c r="S56">
        <f>ROUND($S$42*K$21,0)</f>
        <v>35</v>
      </c>
      <c r="T56">
        <f>ROUND($T$42*K$21,0)</f>
        <v>38</v>
      </c>
      <c r="U56">
        <f>ROUND($U$42*K$21,0)</f>
        <v>41</v>
      </c>
      <c r="V56">
        <f>ROUND($V$42*K$21,0)</f>
        <v>44</v>
      </c>
      <c r="W56">
        <f>ROUND($W$42*K$21,0)</f>
        <v>46</v>
      </c>
    </row>
    <row r="57" spans="1:23">
      <c r="A57" s="22" t="s">
        <v>9</v>
      </c>
      <c r="D57">
        <v>0</v>
      </c>
      <c r="E57">
        <f>ROUND($E$42*L$21,0)</f>
        <v>0</v>
      </c>
      <c r="F57">
        <f>ROUND($F$42*L$21,0)</f>
        <v>1</v>
      </c>
      <c r="G57">
        <f>ROUND($G$42*L$21,0)</f>
        <v>4</v>
      </c>
      <c r="H57">
        <f>ROUND($H$42*L$21,0)</f>
        <v>8</v>
      </c>
      <c r="I57">
        <f>ROUND($I$42*L$21,0)</f>
        <v>13</v>
      </c>
      <c r="J57">
        <f>ROUND($J$42*L$21,0)</f>
        <v>18</v>
      </c>
      <c r="K57">
        <f>ROUND($K$42*L$21,0)</f>
        <v>23</v>
      </c>
      <c r="L57">
        <f>ROUND($L$42*L$21,0)</f>
        <v>28</v>
      </c>
      <c r="M57">
        <f>ROUND($M$42*L$21,0)</f>
        <v>33</v>
      </c>
      <c r="N57">
        <f>ROUND($N$42*L$21,0)</f>
        <v>38</v>
      </c>
      <c r="O57">
        <f>ROUND($O$42*L$21,0)</f>
        <v>43</v>
      </c>
      <c r="P57">
        <f>ROUND($P$42*L$21,0)</f>
        <v>48</v>
      </c>
      <c r="Q57">
        <f>ROUND($Q$42*L$21,0)</f>
        <v>52</v>
      </c>
      <c r="R57">
        <f>ROUND($R$42*L$21,0)</f>
        <v>57</v>
      </c>
      <c r="S57">
        <f>ROUND($S$42*L$21,0)</f>
        <v>62</v>
      </c>
      <c r="T57">
        <f>ROUND($T$42*L$21,0)</f>
        <v>67</v>
      </c>
      <c r="U57">
        <f>ROUND($U$42*L$21,0)</f>
        <v>72</v>
      </c>
      <c r="V57">
        <f>ROUND($V$42*L$21,0)</f>
        <v>77</v>
      </c>
      <c r="W57">
        <f>ROUND($W$42*L$21,0)</f>
        <v>81</v>
      </c>
    </row>
    <row r="58" spans="1:23">
      <c r="A58" s="22" t="s">
        <v>10</v>
      </c>
      <c r="D58">
        <v>0</v>
      </c>
      <c r="E58">
        <f>ROUND($E$42*M$21,0)</f>
        <v>1</v>
      </c>
      <c r="F58">
        <f>ROUND($F$42*M$21,0)</f>
        <v>2</v>
      </c>
      <c r="G58">
        <f>ROUND($G$42*M$21,0)</f>
        <v>8</v>
      </c>
      <c r="H58">
        <f>ROUND($H$42*M$21,0)</f>
        <v>16</v>
      </c>
      <c r="I58">
        <f>ROUND($I$42*M$21,0)</f>
        <v>26</v>
      </c>
      <c r="J58">
        <f>ROUND($J$42*M$21,0)</f>
        <v>36</v>
      </c>
      <c r="K58">
        <f>ROUND($K$42*M$21,0)</f>
        <v>46</v>
      </c>
      <c r="L58">
        <f>ROUND($L$42*M$21,0)</f>
        <v>56</v>
      </c>
      <c r="M58">
        <f>ROUND($M$42*M$21,0)</f>
        <v>65</v>
      </c>
      <c r="N58">
        <f>ROUND($N$42*M$21,0)</f>
        <v>75</v>
      </c>
      <c r="O58">
        <f>ROUND($O$42*M$21,0)</f>
        <v>85</v>
      </c>
      <c r="P58">
        <f>ROUND($P$42*M$21,0)</f>
        <v>94</v>
      </c>
      <c r="Q58">
        <f>ROUND($Q$42*M$21,0)</f>
        <v>104</v>
      </c>
      <c r="R58">
        <f>ROUND($R$42*M$21,0)</f>
        <v>113</v>
      </c>
      <c r="S58">
        <f>ROUND($S$42*M$21,0)</f>
        <v>123</v>
      </c>
      <c r="T58">
        <f>ROUND($T$42*M$21,0)</f>
        <v>132</v>
      </c>
      <c r="U58">
        <f>ROUND($U$42*M$21,0)</f>
        <v>142</v>
      </c>
      <c r="V58">
        <f>ROUND($V$42*M$21,0)</f>
        <v>151</v>
      </c>
      <c r="W58">
        <f>ROUND($W$42*M$21,0)</f>
        <v>161</v>
      </c>
    </row>
    <row r="59" spans="1:23">
      <c r="A59" s="22" t="s">
        <v>11</v>
      </c>
      <c r="D59">
        <v>0</v>
      </c>
      <c r="E59">
        <f>ROUND($E$42*N$21,0)</f>
        <v>1</v>
      </c>
      <c r="F59">
        <f>ROUND($F$42*N$21,0)</f>
        <v>3</v>
      </c>
      <c r="G59">
        <f>ROUND($G$42*N$21,0)</f>
        <v>11</v>
      </c>
      <c r="H59">
        <f>ROUND($H$42*N$21,0)</f>
        <v>24</v>
      </c>
      <c r="I59">
        <f>ROUND($I$42*N$21,0)</f>
        <v>39</v>
      </c>
      <c r="J59">
        <f>ROUND($J$42*N$21,0)</f>
        <v>53</v>
      </c>
      <c r="K59">
        <f>ROUND($K$42*N$21,0)</f>
        <v>67</v>
      </c>
      <c r="L59">
        <f>ROUND($L$42*N$21,0)</f>
        <v>82</v>
      </c>
      <c r="M59">
        <f>ROUND($M$42*N$21,0)</f>
        <v>96</v>
      </c>
      <c r="N59">
        <f>ROUND($N$42*N$21,0)</f>
        <v>110</v>
      </c>
      <c r="O59">
        <f>ROUND($O$42*N$21,0)</f>
        <v>124</v>
      </c>
      <c r="P59">
        <f>ROUND($P$42*N$21,0)</f>
        <v>139</v>
      </c>
      <c r="Q59">
        <f>ROUND($Q$42*N$21,0)</f>
        <v>153</v>
      </c>
      <c r="R59">
        <f>ROUND($R$42*N$21,0)</f>
        <v>167</v>
      </c>
      <c r="S59">
        <f>ROUND($S$42*N$21,0)</f>
        <v>181</v>
      </c>
      <c r="T59">
        <f>ROUND($T$42*N$21,0)</f>
        <v>195</v>
      </c>
      <c r="U59">
        <f>ROUND($U$42*N$21,0)</f>
        <v>209</v>
      </c>
      <c r="V59">
        <f>ROUND($V$42*N$21,0)</f>
        <v>223</v>
      </c>
      <c r="W59">
        <f>ROUND($W$42*N$21,0)</f>
        <v>237</v>
      </c>
    </row>
    <row r="60" spans="1:23">
      <c r="A60" s="22" t="s">
        <v>12</v>
      </c>
      <c r="D60">
        <v>0</v>
      </c>
      <c r="E60">
        <f>ROUND($E$42*O$21,0)</f>
        <v>1</v>
      </c>
      <c r="F60">
        <f>ROUND($F$42*O$21,0)</f>
        <v>4</v>
      </c>
      <c r="G60">
        <f>ROUND($G$42*O$21,0)</f>
        <v>14</v>
      </c>
      <c r="H60">
        <f>ROUND($H$42*O$21,0)</f>
        <v>29</v>
      </c>
      <c r="I60">
        <f>ROUND($I$42*O$21,0)</f>
        <v>46</v>
      </c>
      <c r="J60">
        <f>ROUND($J$42*O$21,0)</f>
        <v>63</v>
      </c>
      <c r="K60">
        <f>ROUND($K$42*O$21,0)</f>
        <v>81</v>
      </c>
      <c r="L60">
        <f>ROUND($L$42*O$21,0)</f>
        <v>98</v>
      </c>
      <c r="M60">
        <f>ROUND($M$42*O$21,0)</f>
        <v>115</v>
      </c>
      <c r="N60">
        <f>ROUND($N$42*O$21,0)</f>
        <v>132</v>
      </c>
      <c r="O60">
        <f>ROUND($O$42*O$21,0)</f>
        <v>149</v>
      </c>
      <c r="P60">
        <f>ROUND($P$42*O$21,0)</f>
        <v>166</v>
      </c>
      <c r="Q60">
        <f>ROUND($Q$42*O$21,0)</f>
        <v>183</v>
      </c>
      <c r="R60">
        <f>ROUND($R$42*O$21,0)</f>
        <v>199</v>
      </c>
      <c r="S60">
        <f>ROUND($S$42*O$21,0)</f>
        <v>216</v>
      </c>
      <c r="T60">
        <f>ROUND($T$42*O$21,0)</f>
        <v>233</v>
      </c>
      <c r="U60">
        <f>ROUND($U$42*O$21,0)</f>
        <v>250</v>
      </c>
      <c r="V60">
        <f>ROUND($V$42*O$21,0)</f>
        <v>266</v>
      </c>
      <c r="W60">
        <f>ROUND($W$42*O$21,0)</f>
        <v>283</v>
      </c>
    </row>
    <row r="61" spans="1:23">
      <c r="A61" s="22" t="s">
        <v>13</v>
      </c>
      <c r="D61">
        <v>0</v>
      </c>
      <c r="E61">
        <f>ROUND($E$42*P$21,0)</f>
        <v>1</v>
      </c>
      <c r="F61">
        <f>ROUND($F$42*P$21,0)</f>
        <v>3</v>
      </c>
      <c r="G61">
        <f>ROUND($G$42*P$21,0)</f>
        <v>12</v>
      </c>
      <c r="H61">
        <f>ROUND($H$42*P$21,0)</f>
        <v>25</v>
      </c>
      <c r="I61">
        <f>ROUND($I$42*P$21,0)</f>
        <v>40</v>
      </c>
      <c r="J61">
        <f>ROUND($J$42*P$21,0)</f>
        <v>56</v>
      </c>
      <c r="K61">
        <f>ROUND($K$42*P$21,0)</f>
        <v>71</v>
      </c>
      <c r="L61">
        <f>ROUND($L$42*P$21,0)</f>
        <v>86</v>
      </c>
      <c r="M61">
        <f>ROUND($M$42*P$21,0)</f>
        <v>101</v>
      </c>
      <c r="N61">
        <f>ROUND($N$42*P$21,0)</f>
        <v>116</v>
      </c>
      <c r="O61">
        <f>ROUND($O$42*P$21,0)</f>
        <v>130</v>
      </c>
      <c r="P61">
        <f>ROUND($P$42*P$21,0)</f>
        <v>145</v>
      </c>
      <c r="Q61">
        <f>ROUND($Q$42*P$21,0)</f>
        <v>160</v>
      </c>
      <c r="R61">
        <f>ROUND($R$42*P$21,0)</f>
        <v>175</v>
      </c>
      <c r="S61">
        <f>ROUND($S$42*P$21,0)</f>
        <v>190</v>
      </c>
      <c r="T61">
        <f>ROUND($T$42*P$21,0)</f>
        <v>204</v>
      </c>
      <c r="U61">
        <f>ROUND($U$42*P$21,0)</f>
        <v>219</v>
      </c>
      <c r="V61">
        <f>ROUND($V$42*P$21,0)</f>
        <v>234</v>
      </c>
      <c r="W61">
        <f>ROUND($W$42*P$21,0)</f>
        <v>248</v>
      </c>
    </row>
    <row r="62" spans="1:23">
      <c r="A62" s="22" t="s">
        <v>14</v>
      </c>
      <c r="D62">
        <v>0</v>
      </c>
      <c r="E62">
        <f>ROUND($E$42*Q$21,0)</f>
        <v>1</v>
      </c>
      <c r="F62">
        <f>ROUND($F$42*Q$21,0)</f>
        <v>4</v>
      </c>
      <c r="G62">
        <f>ROUND($G$42*Q$21,0)</f>
        <v>13</v>
      </c>
      <c r="H62">
        <f>ROUND($H$42*Q$21,0)</f>
        <v>28</v>
      </c>
      <c r="I62">
        <f>ROUND($I$42*Q$21,0)</f>
        <v>44</v>
      </c>
      <c r="J62">
        <f>ROUND($J$42*Q$21,0)</f>
        <v>61</v>
      </c>
      <c r="K62">
        <f>ROUND($K$42*Q$21,0)</f>
        <v>78</v>
      </c>
      <c r="L62">
        <f>ROUND($L$42*Q$21,0)</f>
        <v>94</v>
      </c>
      <c r="M62">
        <f>ROUND($M$42*Q$21,0)</f>
        <v>110</v>
      </c>
      <c r="N62">
        <f>ROUND($N$42*Q$21,0)</f>
        <v>127</v>
      </c>
      <c r="O62">
        <f>ROUND($O$42*Q$21,0)</f>
        <v>143</v>
      </c>
      <c r="P62">
        <f>ROUND($P$42*Q$21,0)</f>
        <v>159</v>
      </c>
      <c r="Q62">
        <f>ROUND($Q$42*Q$21,0)</f>
        <v>176</v>
      </c>
      <c r="R62">
        <f>ROUND($R$42*Q$21,0)</f>
        <v>192</v>
      </c>
      <c r="S62">
        <f>ROUND($S$42*Q$21,0)</f>
        <v>208</v>
      </c>
      <c r="T62">
        <f>ROUND($T$42*Q$21,0)</f>
        <v>224</v>
      </c>
      <c r="U62">
        <f>ROUND($U$42*Q$21,0)</f>
        <v>240</v>
      </c>
      <c r="V62">
        <f>ROUND($V$42*Q$21,0)</f>
        <v>256</v>
      </c>
      <c r="W62">
        <f>ROUND($W$42*Q$21,0)</f>
        <v>272</v>
      </c>
    </row>
    <row r="63" spans="1:23">
      <c r="A63" s="22" t="s">
        <v>15</v>
      </c>
      <c r="D63">
        <v>0</v>
      </c>
      <c r="E63">
        <f>ROUND($E$42*R$21,0)</f>
        <v>0</v>
      </c>
      <c r="F63">
        <f>ROUND($F$42*R$21,0)</f>
        <v>1</v>
      </c>
      <c r="G63">
        <f>ROUND($G$42*R$21,0)</f>
        <v>3</v>
      </c>
      <c r="H63">
        <f>ROUND($H$42*R$21,0)</f>
        <v>6</v>
      </c>
      <c r="I63">
        <f>ROUND($I$42*R$21,0)</f>
        <v>10</v>
      </c>
      <c r="J63">
        <f>ROUND($J$42*R$21,0)</f>
        <v>13</v>
      </c>
      <c r="K63">
        <f>ROUND($K$42*R$21,0)</f>
        <v>17</v>
      </c>
      <c r="L63">
        <f>ROUND($L$42*R$21,0)</f>
        <v>21</v>
      </c>
      <c r="M63">
        <f>ROUND($M$42*R$21,0)</f>
        <v>24</v>
      </c>
      <c r="N63">
        <f>ROUND($N$42*R$21,0)</f>
        <v>28</v>
      </c>
      <c r="O63">
        <f>ROUND($O$42*R$21,0)</f>
        <v>32</v>
      </c>
      <c r="P63">
        <f>ROUND($P$42*R$21,0)</f>
        <v>35</v>
      </c>
      <c r="Q63">
        <f>ROUND($Q$42*R$21,0)</f>
        <v>39</v>
      </c>
      <c r="R63">
        <f>ROUND($R$42*R$21,0)</f>
        <v>42</v>
      </c>
      <c r="S63">
        <f>ROUND($S$42*R$21,0)</f>
        <v>46</v>
      </c>
      <c r="T63">
        <f>ROUND($T$42*R$21,0)</f>
        <v>50</v>
      </c>
      <c r="U63">
        <f>ROUND($U$42*R$21,0)</f>
        <v>53</v>
      </c>
      <c r="V63">
        <f>ROUND($V$42*R$21,0)</f>
        <v>57</v>
      </c>
      <c r="W63">
        <f>ROUND($W$42*R$21,0)</f>
        <v>60</v>
      </c>
    </row>
    <row r="64" spans="1:23">
      <c r="A64">
        <v>66</v>
      </c>
      <c r="D64">
        <v>0</v>
      </c>
      <c r="E64">
        <f>ROUND($E$42*S$21,0)</f>
        <v>0</v>
      </c>
      <c r="F64">
        <f>ROUND($F$42*S$21,0)</f>
        <v>1</v>
      </c>
      <c r="G64">
        <f>ROUND($G$42*S$21,0)</f>
        <v>4</v>
      </c>
      <c r="H64">
        <f>ROUND($H$42*S$21,0)</f>
        <v>9</v>
      </c>
      <c r="I64">
        <f>ROUND($I$42*S$21,0)</f>
        <v>15</v>
      </c>
      <c r="J64">
        <f>ROUND($J$42*S$21,0)</f>
        <v>20</v>
      </c>
      <c r="K64">
        <f>ROUND($K$42*S$21,0)</f>
        <v>26</v>
      </c>
      <c r="L64">
        <f>ROUND($L$42*S$21,0)</f>
        <v>31</v>
      </c>
      <c r="M64">
        <f>ROUND($M$42*S$21,0)</f>
        <v>37</v>
      </c>
      <c r="N64">
        <f>ROUND($N$42*S$21,0)</f>
        <v>42</v>
      </c>
      <c r="O64">
        <f>ROUND($O$42*S$21,0)</f>
        <v>47</v>
      </c>
      <c r="P64">
        <f>ROUND($P$42*S$21,0)</f>
        <v>53</v>
      </c>
      <c r="Q64">
        <f>ROUND($Q$42*S$21,0)</f>
        <v>58</v>
      </c>
      <c r="R64">
        <f>ROUND($R$42*S$21,0)</f>
        <v>64</v>
      </c>
      <c r="S64">
        <f>ROUND($S$42*S$21,0)</f>
        <v>69</v>
      </c>
      <c r="T64">
        <f>ROUND($T$42*S$21,0)</f>
        <v>74</v>
      </c>
      <c r="U64">
        <f>ROUND($U$42*S$21,0)</f>
        <v>80</v>
      </c>
      <c r="V64">
        <f>ROUND($V$42*S$21,0)</f>
        <v>85</v>
      </c>
      <c r="W64">
        <f>ROUND($W$42*S$21,0)</f>
        <v>90</v>
      </c>
    </row>
    <row r="65" spans="1:23">
      <c r="A65">
        <v>67</v>
      </c>
      <c r="D65">
        <v>0</v>
      </c>
      <c r="E65">
        <f>ROUND($E$42*T$21,0)</f>
        <v>1</v>
      </c>
      <c r="F65">
        <f>ROUND($F$42*T$21,0)</f>
        <v>2</v>
      </c>
      <c r="G65">
        <f>ROUND($G$42*T$21,0)</f>
        <v>6</v>
      </c>
      <c r="H65">
        <f>ROUND($H$42*T$21,0)</f>
        <v>12</v>
      </c>
      <c r="I65">
        <f>ROUND($I$42*T$21,0)</f>
        <v>20</v>
      </c>
      <c r="J65">
        <f>ROUND($J$42*T$21,0)</f>
        <v>27</v>
      </c>
      <c r="K65">
        <f>ROUND($K$42*T$21,0)</f>
        <v>34</v>
      </c>
      <c r="L65">
        <f>ROUND($L$42*T$21,0)</f>
        <v>42</v>
      </c>
      <c r="M65">
        <f>ROUND($M$42*T$21,0)</f>
        <v>49</v>
      </c>
      <c r="N65">
        <f>ROUND($N$42*T$21,0)</f>
        <v>56</v>
      </c>
      <c r="O65">
        <f>ROUND($O$42*T$21,0)</f>
        <v>63</v>
      </c>
      <c r="P65">
        <f>ROUND($P$42*T$21,0)</f>
        <v>71</v>
      </c>
      <c r="Q65">
        <f>ROUND($Q$42*T$21,0)</f>
        <v>78</v>
      </c>
      <c r="R65">
        <f>ROUND($R$42*T$21,0)</f>
        <v>85</v>
      </c>
      <c r="S65">
        <f>ROUND($S$42*T$21,0)</f>
        <v>92</v>
      </c>
      <c r="T65">
        <f>ROUND($T$42*T$21,0)</f>
        <v>99</v>
      </c>
      <c r="U65">
        <f>ROUND($U$42*T$21,0)</f>
        <v>106</v>
      </c>
      <c r="V65">
        <f>ROUND($V$42*T$21,0)</f>
        <v>113</v>
      </c>
      <c r="W65">
        <f>ROUND($W$42*T$21,0)</f>
        <v>120</v>
      </c>
    </row>
    <row r="66" spans="1:23">
      <c r="A66">
        <v>68</v>
      </c>
      <c r="D66">
        <v>0</v>
      </c>
      <c r="E66">
        <f>ROUND($E$42*U$21,0)</f>
        <v>1</v>
      </c>
      <c r="F66">
        <f>ROUND($F$42*U$21,0)</f>
        <v>2</v>
      </c>
      <c r="G66">
        <f>ROUND($G$42*U$21,0)</f>
        <v>6</v>
      </c>
      <c r="H66">
        <f>ROUND($H$42*U$21,0)</f>
        <v>12</v>
      </c>
      <c r="I66">
        <f>ROUND($I$42*U$21,0)</f>
        <v>20</v>
      </c>
      <c r="J66">
        <f>ROUND($J$42*U$21,0)</f>
        <v>27</v>
      </c>
      <c r="K66">
        <f>ROUND($K$42*U$21,0)</f>
        <v>34</v>
      </c>
      <c r="L66">
        <f>ROUND($L$42*U$21,0)</f>
        <v>42</v>
      </c>
      <c r="M66">
        <f>ROUND($M$42*U$21,0)</f>
        <v>49</v>
      </c>
      <c r="N66">
        <f>ROUND($N$42*U$21,0)</f>
        <v>56</v>
      </c>
      <c r="O66">
        <f>ROUND($O$42*U$21,0)</f>
        <v>63</v>
      </c>
      <c r="P66">
        <f>ROUND($P$42*U$21,0)</f>
        <v>71</v>
      </c>
      <c r="Q66">
        <f>ROUND($Q$42*U$21,0)</f>
        <v>78</v>
      </c>
      <c r="R66">
        <f>ROUND($R$42*U$21,0)</f>
        <v>85</v>
      </c>
      <c r="S66">
        <f>ROUND($S$42*U$21,0)</f>
        <v>92</v>
      </c>
      <c r="T66">
        <f>ROUND($T$42*U$21,0)</f>
        <v>99</v>
      </c>
      <c r="U66">
        <f>ROUND($U$42*U$21,0)</f>
        <v>106</v>
      </c>
      <c r="V66">
        <f>ROUND($V$42*U$21,0)</f>
        <v>113</v>
      </c>
      <c r="W66">
        <f>ROUND($W$42*U$21,0)</f>
        <v>120</v>
      </c>
    </row>
    <row r="67" spans="1:23">
      <c r="A67">
        <v>69</v>
      </c>
      <c r="D67">
        <v>0</v>
      </c>
      <c r="E67">
        <f>ROUND($E$42*V$21,0)</f>
        <v>1</v>
      </c>
      <c r="F67">
        <f>ROUND($F$42*V$21,0)</f>
        <v>2</v>
      </c>
      <c r="G67">
        <f>ROUND($G$42*V$21,0)</f>
        <v>6</v>
      </c>
      <c r="H67">
        <f>ROUND($H$42*V$21,0)</f>
        <v>12</v>
      </c>
      <c r="I67">
        <f>ROUND($I$42*V$21,0)</f>
        <v>20</v>
      </c>
      <c r="J67">
        <f>ROUND($J$42*V$21,0)</f>
        <v>27</v>
      </c>
      <c r="K67">
        <f>ROUND($K$42*V$21,0)</f>
        <v>34</v>
      </c>
      <c r="L67">
        <f>ROUND($L$42*V$21,0)</f>
        <v>42</v>
      </c>
      <c r="M67">
        <f>ROUND($M$42*V$21,0)</f>
        <v>49</v>
      </c>
      <c r="N67">
        <f>ROUND($N$42*V$21,0)</f>
        <v>56</v>
      </c>
      <c r="O67">
        <f>ROUND($O$42*V$21,0)</f>
        <v>63</v>
      </c>
      <c r="P67">
        <f>ROUND($P$42*V$21,0)</f>
        <v>71</v>
      </c>
      <c r="Q67">
        <f>ROUND($Q$42*V$21,0)</f>
        <v>78</v>
      </c>
      <c r="R67">
        <f>ROUND($R$42*V$21,0)</f>
        <v>85</v>
      </c>
      <c r="S67">
        <f>ROUND($S$42*V$21,0)</f>
        <v>92</v>
      </c>
      <c r="T67">
        <f>ROUND($T$42*V$21,0)</f>
        <v>99</v>
      </c>
      <c r="U67">
        <f>ROUND($U$42*V$21,0)</f>
        <v>106</v>
      </c>
      <c r="V67">
        <f>ROUND($V$42*V$21,0)</f>
        <v>113</v>
      </c>
      <c r="W67">
        <f>ROUND($W$42*V$21,0)</f>
        <v>120</v>
      </c>
    </row>
    <row r="68" spans="1:23">
      <c r="A68">
        <v>70</v>
      </c>
      <c r="D68">
        <v>0</v>
      </c>
      <c r="E68">
        <f>ROUND($E$42*W$21,0)</f>
        <v>1</v>
      </c>
      <c r="F68">
        <f>ROUND($F$42*W$21,0)</f>
        <v>2</v>
      </c>
      <c r="G68">
        <f>ROUND($G$42*W$21,0)</f>
        <v>6</v>
      </c>
      <c r="H68">
        <f>ROUND($H$42*W$21,0)</f>
        <v>12</v>
      </c>
      <c r="I68">
        <f>ROUND($I$42*W$21,0)</f>
        <v>20</v>
      </c>
      <c r="J68">
        <f>ROUND($J$42*W$21,0)</f>
        <v>27</v>
      </c>
      <c r="K68">
        <f>ROUND($K$42*W$21,0)</f>
        <v>34</v>
      </c>
      <c r="L68">
        <f>ROUND($L$42*W$21,0)</f>
        <v>42</v>
      </c>
      <c r="M68">
        <f>ROUND($M$42*W$21,0)</f>
        <v>49</v>
      </c>
      <c r="N68">
        <f>ROUND($N$42*W$21,0)</f>
        <v>56</v>
      </c>
      <c r="O68">
        <f>ROUND($O$42*W$21,0)</f>
        <v>63</v>
      </c>
      <c r="P68">
        <f>ROUND($P$42*W$21,0)</f>
        <v>71</v>
      </c>
      <c r="Q68">
        <f>ROUND($Q$42*W$21,0)</f>
        <v>78</v>
      </c>
      <c r="R68">
        <f>ROUND($R$42*W$21,0)</f>
        <v>85</v>
      </c>
      <c r="S68">
        <f>ROUND($S$42*W$21,0)</f>
        <v>92</v>
      </c>
      <c r="T68">
        <f>ROUND($T$42*W$21,0)</f>
        <v>99</v>
      </c>
      <c r="U68">
        <f>ROUND($U$42*W$21,0)</f>
        <v>106</v>
      </c>
      <c r="V68">
        <f>ROUND($V$42*W$21,0)</f>
        <v>113</v>
      </c>
      <c r="W68">
        <f>ROUND($W$42*W$21,0)</f>
        <v>120</v>
      </c>
    </row>
    <row r="70" spans="1:23">
      <c r="A70" s="31" t="s">
        <v>134</v>
      </c>
      <c r="H70" t="s">
        <v>42</v>
      </c>
    </row>
    <row r="71" spans="1:23">
      <c r="A71" s="22" t="s">
        <v>5</v>
      </c>
      <c r="D71" s="23">
        <f>$D53*D$14</f>
        <v>0</v>
      </c>
      <c r="E71" s="23">
        <f>(SUM($E53:E53))*E$14</f>
        <v>0</v>
      </c>
      <c r="F71" s="23">
        <f>(SUM($E53:F53))*F$14</f>
        <v>0</v>
      </c>
      <c r="G71" s="23">
        <f>(SUM($E53:G53))*G$14</f>
        <v>0</v>
      </c>
      <c r="H71" s="23">
        <f>(SUM($E53:H53))*H$14</f>
        <v>3155609.5166183044</v>
      </c>
      <c r="I71" s="23">
        <f>(SUM($E53:I53))*I$14</f>
        <v>6591887.8505111672</v>
      </c>
      <c r="J71" s="23">
        <f>(SUM($E53:J53))*J$14</f>
        <v>10283345.046797421</v>
      </c>
      <c r="K71" s="23">
        <f>(SUM($E53:K53))*K$14</f>
        <v>17824464.747782197</v>
      </c>
      <c r="L71" s="23">
        <f>(SUM($E53:L53))*L$14</f>
        <v>25952420.67277088</v>
      </c>
      <c r="M71" s="23">
        <f>(SUM($E53:M53))*M$14</f>
        <v>38557882.142402448</v>
      </c>
      <c r="N71" s="23">
        <f>(SUM($E53:N53))*N$14</f>
        <v>52130256.656528115</v>
      </c>
      <c r="O71" s="23">
        <f>(SUM($E53:O53))*O$14</f>
        <v>66726728.520355985</v>
      </c>
      <c r="P71" s="23">
        <f>(SUM($E53:P53))*P$14</f>
        <v>86744747.07646279</v>
      </c>
      <c r="Q71" s="23">
        <f>(SUM($E53:Q53))*Q$14</f>
        <v>108257444.35142556</v>
      </c>
      <c r="R71" s="23">
        <f>(SUM($E53:R53))*R$14</f>
        <v>136043521.73495814</v>
      </c>
      <c r="S71" s="23">
        <f>(SUM($E53:S53))*S$14</f>
        <v>165879273.39821103</v>
      </c>
      <c r="T71" s="23">
        <f>(SUM($E53:T53))*T$14</f>
        <v>197884215.5597482</v>
      </c>
      <c r="U71" s="23">
        <f>(SUM($E53:U53))*U$14</f>
        <v>237461058.67169785</v>
      </c>
      <c r="V71" s="23">
        <f>(SUM($E53:V53))*V$14</f>
        <v>279887434.48770785</v>
      </c>
      <c r="W71" s="23">
        <f>(SUM($E53:W53))*W$14</f>
        <v>331035491.14310861</v>
      </c>
    </row>
    <row r="72" spans="1:23">
      <c r="A72" s="22" t="s">
        <v>6</v>
      </c>
      <c r="D72" s="23">
        <f>$D54*D$14</f>
        <v>0</v>
      </c>
      <c r="E72" s="23">
        <f>(SUM($E54:E54))*E$14</f>
        <v>0</v>
      </c>
      <c r="F72" s="23">
        <f>(SUM($E54:F54))*F$14</f>
        <v>0</v>
      </c>
      <c r="G72" s="23">
        <f>(SUM($E54:G54))*G$14</f>
        <v>2833784.5796613633</v>
      </c>
      <c r="H72" s="23">
        <f>(SUM($E54:H54))*H$14</f>
        <v>6311219.0332366088</v>
      </c>
      <c r="I72" s="23">
        <f>(SUM($E54:I54))*I$14</f>
        <v>13183775.701022334</v>
      </c>
      <c r="J72" s="23">
        <f>(SUM($E54:J54))*J$14</f>
        <v>23994471.775860649</v>
      </c>
      <c r="K72" s="23">
        <f>(SUM($E54:K54))*K$14</f>
        <v>35648929.495564394</v>
      </c>
      <c r="L72" s="23">
        <f>(SUM($E54:L54))*L$14</f>
        <v>51904841.34554176</v>
      </c>
      <c r="M72" s="23">
        <f>(SUM($E54:M54))*M$14</f>
        <v>73259976.070564657</v>
      </c>
      <c r="N72" s="23">
        <f>(SUM($E54:N54))*N$14</f>
        <v>100250493.57024637</v>
      </c>
      <c r="O72" s="23">
        <f>(SUM($E54:O54))*O$14</f>
        <v>129283036.50818972</v>
      </c>
      <c r="P72" s="23">
        <f>(SUM($E54:P54))*P$14</f>
        <v>164815019.4452793</v>
      </c>
      <c r="Q72" s="23">
        <f>(SUM($E54:Q54))*Q$14</f>
        <v>207493435.006899</v>
      </c>
      <c r="R72" s="23">
        <f>(SUM($E54:R54))*R$14</f>
        <v>253322419.78233585</v>
      </c>
      <c r="S72" s="23">
        <f>(SUM($E54:S54))*S$14</f>
        <v>307364536.00256747</v>
      </c>
      <c r="T72" s="23">
        <f>(SUM($E54:T54))*T$14</f>
        <v>370398659.8938877</v>
      </c>
      <c r="U72" s="23">
        <f>(SUM($E54:U54))*U$14</f>
        <v>443260642.853836</v>
      </c>
      <c r="V72" s="23">
        <f>(SUM($E54:V54))*V$14</f>
        <v>521358946.59474999</v>
      </c>
      <c r="W72" s="23">
        <f>(SUM($E54:W54))*W$14</f>
        <v>610703406.0743556</v>
      </c>
    </row>
    <row r="73" spans="1:23">
      <c r="A73" s="22" t="s">
        <v>7</v>
      </c>
      <c r="D73" s="23">
        <f t="shared" ref="D73:D81" si="11">$D55*D$14</f>
        <v>0</v>
      </c>
      <c r="E73" s="23">
        <f>(SUM($E55:E55))*E$14</f>
        <v>0</v>
      </c>
      <c r="F73" s="23">
        <f>(SUM($E55:F55))*F$14</f>
        <v>0</v>
      </c>
      <c r="G73" s="23">
        <f>(SUM($E55:G55))*G$14</f>
        <v>2833784.5796613633</v>
      </c>
      <c r="H73" s="23">
        <f>(SUM($E55:H55))*H$14</f>
        <v>12622438.066473218</v>
      </c>
      <c r="I73" s="23">
        <f>(SUM($E55:I55))*I$14</f>
        <v>29663495.327300251</v>
      </c>
      <c r="J73" s="23">
        <f>(SUM($E55:J55))*J$14</f>
        <v>54844506.916252911</v>
      </c>
      <c r="K73" s="23">
        <f>(SUM($E55:K55))*K$14</f>
        <v>89122323.738910973</v>
      </c>
      <c r="L73" s="23">
        <f>(SUM($E55:L55))*L$14</f>
        <v>129762103.36385439</v>
      </c>
      <c r="M73" s="23">
        <f>(SUM($E55:M55))*M$14</f>
        <v>181222046.06929153</v>
      </c>
      <c r="N73" s="23">
        <f>(SUM($E55:N55))*N$14</f>
        <v>244611204.31140116</v>
      </c>
      <c r="O73" s="23">
        <f>(SUM($E55:O55))*O$14</f>
        <v>321122381.00421315</v>
      </c>
      <c r="P73" s="23">
        <f>(SUM($E55:P55))*P$14</f>
        <v>412037548.61319822</v>
      </c>
      <c r="Q73" s="23">
        <f>(SUM($E55:Q55))*Q$14</f>
        <v>514222860.66927141</v>
      </c>
      <c r="R73" s="23">
        <f>(SUM($E55:R55))*R$14</f>
        <v>633306049.45583963</v>
      </c>
      <c r="S73" s="23">
        <f>(SUM($E55:S55))*S$14</f>
        <v>770850741.0858041</v>
      </c>
      <c r="T73" s="23">
        <f>(SUM($E55:T55))*T$14</f>
        <v>928533626.85728014</v>
      </c>
      <c r="U73" s="23">
        <f>(SUM($E55:U55))*U$14</f>
        <v>1108151607.1345901</v>
      </c>
      <c r="V73" s="23">
        <f>(SUM($E55:V55))*V$14</f>
        <v>1306141360.9426367</v>
      </c>
      <c r="W73" s="23">
        <f>(SUM($E55:W55))*W$14</f>
        <v>1529612269.4198813</v>
      </c>
    </row>
    <row r="74" spans="1:23">
      <c r="A74" s="22" t="s">
        <v>8</v>
      </c>
      <c r="D74" s="23">
        <f t="shared" si="11"/>
        <v>0</v>
      </c>
      <c r="E74" s="23">
        <f>(SUM($E56:E56))*E$14</f>
        <v>0</v>
      </c>
      <c r="F74" s="23">
        <f>(SUM($E56:F56))*F$14</f>
        <v>2584101.7892204495</v>
      </c>
      <c r="G74" s="23">
        <f>(SUM($E56:G56))*G$14</f>
        <v>8501353.7389840893</v>
      </c>
      <c r="H74" s="23">
        <f>(SUM($E56:H56))*H$14</f>
        <v>25244876.132946435</v>
      </c>
      <c r="I74" s="23">
        <f>(SUM($E56:I56))*I$14</f>
        <v>52735102.804089338</v>
      </c>
      <c r="J74" s="23">
        <f>(SUM($E56:J56))*J$14</f>
        <v>89122323.738910973</v>
      </c>
      <c r="K74" s="23">
        <f>(SUM($E56:K56))*K$14</f>
        <v>139030825.03270113</v>
      </c>
      <c r="L74" s="23">
        <f>(SUM($E56:L56))*L$14</f>
        <v>203911876.71462834</v>
      </c>
      <c r="M74" s="23">
        <f>(SUM($E56:M56))*M$14</f>
        <v>285328327.85377812</v>
      </c>
      <c r="N74" s="23">
        <f>(SUM($E56:N56))*N$14</f>
        <v>384961895.30974609</v>
      </c>
      <c r="O74" s="23">
        <f>(SUM($E56:O56))*O$14</f>
        <v>500450463.90266991</v>
      </c>
      <c r="P74" s="23">
        <f>(SUM($E56:P56))*P$14</f>
        <v>637573891.01200151</v>
      </c>
      <c r="Q74" s="23">
        <f>(SUM($E56:Q56))*Q$14</f>
        <v>798398652.0917635</v>
      </c>
      <c r="R74" s="23">
        <f>(SUM($E56:R56))*R$14</f>
        <v>985142743.59797275</v>
      </c>
      <c r="S74" s="23">
        <f>(SUM($E56:S56))*S$14</f>
        <v>1195306528.8988736</v>
      </c>
      <c r="T74" s="23">
        <f>(SUM($E56:T56))*T$14</f>
        <v>1435929051.3694551</v>
      </c>
      <c r="U74" s="23">
        <f>(SUM($E56:U56))*U$14</f>
        <v>1709719622.4362247</v>
      </c>
      <c r="V74" s="23">
        <f>(SUM($E56:V56))*V$14</f>
        <v>2019579919.4407158</v>
      </c>
      <c r="W74" s="23">
        <f>(SUM($E56:W56))*W$14</f>
        <v>2362908505.7456374</v>
      </c>
    </row>
    <row r="75" spans="1:23">
      <c r="A75" s="22" t="s">
        <v>9</v>
      </c>
      <c r="D75" s="23">
        <f t="shared" si="11"/>
        <v>0</v>
      </c>
      <c r="E75" s="23">
        <f>(SUM($E57:E57))*E$14</f>
        <v>0</v>
      </c>
      <c r="F75" s="23">
        <f>(SUM($E57:F57))*F$14</f>
        <v>2584101.7892204495</v>
      </c>
      <c r="G75" s="23">
        <f>(SUM($E57:G57))*G$14</f>
        <v>14168922.898306817</v>
      </c>
      <c r="H75" s="23">
        <f>(SUM($E57:H57))*H$14</f>
        <v>41022923.716037959</v>
      </c>
      <c r="I75" s="23">
        <f>(SUM($E57:I57))*I$14</f>
        <v>85694542.05664517</v>
      </c>
      <c r="J75" s="23">
        <f>(SUM($E57:J57))*J$14</f>
        <v>150822394.01969552</v>
      </c>
      <c r="K75" s="23">
        <f>(SUM($E57:K57))*K$14</f>
        <v>238847827.62028143</v>
      </c>
      <c r="L75" s="23">
        <f>(SUM($E57:L57))*L$14</f>
        <v>352211423.4161762</v>
      </c>
      <c r="M75" s="23">
        <f>(SUM($E57:M57))*M$14</f>
        <v>493540891.42275137</v>
      </c>
      <c r="N75" s="23">
        <f>(SUM($E57:N57))*N$14</f>
        <v>665663277.30643594</v>
      </c>
      <c r="O75" s="23">
        <f>(SUM($E57:O57))*O$14</f>
        <v>871617891.29715002</v>
      </c>
      <c r="P75" s="23">
        <f>(SUM($E57:P57))*P$14</f>
        <v>1114669999.9325469</v>
      </c>
      <c r="Q75" s="23">
        <f>(SUM($E57:Q57))*Q$14</f>
        <v>1393814596.0246041</v>
      </c>
      <c r="R75" s="23">
        <f>(SUM($E57:R57))*R$14</f>
        <v>1716963067.4136095</v>
      </c>
      <c r="S75" s="23">
        <f>(SUM($E57:S57))*S$14</f>
        <v>2088127323.9539504</v>
      </c>
      <c r="T75" s="23">
        <f>(SUM($E57:T57))*T$14</f>
        <v>2511607351.3352656</v>
      </c>
      <c r="U75" s="23">
        <f>(SUM($E57:U57))*U$14</f>
        <v>2992009339.2633929</v>
      </c>
      <c r="V75" s="23">
        <f>(SUM($E57:V57))*V$14</f>
        <v>3534264859.0212526</v>
      </c>
      <c r="W75" s="23">
        <f>(SUM($E57:W57))*W$14</f>
        <v>4137943639.2888579</v>
      </c>
    </row>
    <row r="76" spans="1:23">
      <c r="A76" s="22" t="s">
        <v>10</v>
      </c>
      <c r="D76" s="23">
        <f t="shared" si="11"/>
        <v>0</v>
      </c>
      <c r="E76" s="23">
        <f>(SUM($E58:E58))*E$14</f>
        <v>2475342.1033529881</v>
      </c>
      <c r="F76" s="23">
        <f>(SUM($D58:F58))*F$14</f>
        <v>7752305.3676613485</v>
      </c>
      <c r="G76" s="23">
        <f>(SUM($D58:G58))*G$14</f>
        <v>31171630.376274996</v>
      </c>
      <c r="H76" s="23">
        <f>(SUM($D58:H58))*H$14</f>
        <v>85201456.948694214</v>
      </c>
      <c r="I76" s="23">
        <f>(SUM($D58:I58))*I$14</f>
        <v>174685028.03854594</v>
      </c>
      <c r="J76" s="23">
        <f>(SUM($D58:J58))*J$14</f>
        <v>305072569.7216568</v>
      </c>
      <c r="K76" s="23">
        <f>(SUM($D58:K58))*K$14</f>
        <v>481260548.19011927</v>
      </c>
      <c r="L76" s="23">
        <f>(SUM($D58:L58))*L$14</f>
        <v>708130335.49989116</v>
      </c>
      <c r="M76" s="23">
        <f>(SUM($D58:M58))*M$14</f>
        <v>987081782.84550273</v>
      </c>
      <c r="N76" s="23">
        <f>(SUM($D58:N58))*N$14</f>
        <v>1327316534.8700619</v>
      </c>
      <c r="O76" s="23">
        <f>(SUM($D58:O58))*O$14</f>
        <v>1734894941.5292556</v>
      </c>
      <c r="P76" s="23">
        <f>(SUM($D58:P58))*P$14</f>
        <v>2211991050.449801</v>
      </c>
      <c r="Q76" s="23">
        <f>(SUM($D58:Q58))*Q$14</f>
        <v>2769586284.6573043</v>
      </c>
      <c r="R76" s="23">
        <f>(SUM($D58:R58))*R$14</f>
        <v>3410470355.2177439</v>
      </c>
      <c r="S76" s="23">
        <f>(SUM($D58:S58))*S$14</f>
        <v>4146981834.9552755</v>
      </c>
      <c r="T76" s="23">
        <f>(SUM($D58:T58))*T$14</f>
        <v>4982623068.7095575</v>
      </c>
      <c r="U76" s="23">
        <f>(SUM($D58:U58))*U$14</f>
        <v>5931249554.3775196</v>
      </c>
      <c r="V76" s="23">
        <f>(SUM($D58:V58))*V$14</f>
        <v>6997185862.1926966</v>
      </c>
      <c r="W76" s="23">
        <f>(SUM($D58:W58))*W$14</f>
        <v>8195982160.0259314</v>
      </c>
    </row>
    <row r="77" spans="1:23">
      <c r="A77" s="22" t="s">
        <v>11</v>
      </c>
      <c r="D77" s="23">
        <f t="shared" si="11"/>
        <v>0</v>
      </c>
      <c r="E77" s="23">
        <f>(SUM($E59:E59))*E$14</f>
        <v>2475342.1033529881</v>
      </c>
      <c r="F77" s="23">
        <f>(SUM($E59:F59))*F$14</f>
        <v>10336407.156881798</v>
      </c>
      <c r="G77" s="23">
        <f>(SUM($E59:G59))*G$14</f>
        <v>42506768.69492045</v>
      </c>
      <c r="H77" s="23">
        <f>(SUM($E59:H59))*H$14</f>
        <v>123068771.14811388</v>
      </c>
      <c r="I77" s="23">
        <f>(SUM($E59:I59))*I$14</f>
        <v>257083626.16993552</v>
      </c>
      <c r="J77" s="23">
        <f>(SUM($E59:J59))*J$14</f>
        <v>449039400.37682068</v>
      </c>
      <c r="K77" s="23">
        <f>(SUM($E59:K59))*K$14</f>
        <v>705848804.01217496</v>
      </c>
      <c r="L77" s="23">
        <f>(SUM($E59:L59))*L$14</f>
        <v>1038096826.9108351</v>
      </c>
      <c r="M77" s="23">
        <f>(SUM($E59:M59))*M$14</f>
        <v>1449776368.5543323</v>
      </c>
      <c r="N77" s="23">
        <f>(SUM($E59:N59))*N$14</f>
        <v>1948869595.0055895</v>
      </c>
      <c r="O77" s="23">
        <f>(SUM($E59:O59))*O$14</f>
        <v>2543956524.838572</v>
      </c>
      <c r="P77" s="23">
        <f>(SUM($E59:P59))*P$14</f>
        <v>3248590778.0135312</v>
      </c>
      <c r="Q77" s="23">
        <f>(SUM($E59:Q59))*Q$14</f>
        <v>4068675616.8744106</v>
      </c>
      <c r="R77" s="23">
        <f>(SUM($E59:R59))*R$14</f>
        <v>5014845680.5058708</v>
      </c>
      <c r="S77" s="23">
        <f>(SUM($E59:S59))*S$14</f>
        <v>6098502698.4636402</v>
      </c>
      <c r="T77" s="23">
        <f>(SUM($E59:T59))*T$14</f>
        <v>7331863884.2009277</v>
      </c>
      <c r="U77" s="23">
        <f>(SUM($E59:U59))*U$14</f>
        <v>8728013134.2886276</v>
      </c>
      <c r="V77" s="23">
        <f>(SUM($E59:V59))*V$14</f>
        <v>10300955186.929955</v>
      </c>
      <c r="W77" s="23">
        <f>(SUM($F59:W59))*W$14</f>
        <v>12059965392.851526</v>
      </c>
    </row>
    <row r="78" spans="1:23">
      <c r="A78" s="22" t="s">
        <v>12</v>
      </c>
      <c r="D78" s="23">
        <f t="shared" si="11"/>
        <v>0</v>
      </c>
      <c r="E78" s="23">
        <f>(SUM($E60:E60))*E$14</f>
        <v>2475342.1033529881</v>
      </c>
      <c r="F78" s="23">
        <f>(SUM($E60:F60))*F$14</f>
        <v>12920508.946102247</v>
      </c>
      <c r="G78" s="23">
        <f>(SUM($E60:G60))*G$14</f>
        <v>53841907.013565905</v>
      </c>
      <c r="H78" s="23">
        <f>(SUM($E60:H60))*H$14</f>
        <v>151469256.79767862</v>
      </c>
      <c r="I78" s="23">
        <f>(SUM($E60:I60))*I$14</f>
        <v>309818728.97402483</v>
      </c>
      <c r="J78" s="23">
        <f>(SUM($E60:J60))*J$14</f>
        <v>538161724.11573172</v>
      </c>
      <c r="K78" s="23">
        <f>(SUM($E60:K60))*K$14</f>
        <v>848444521.99443257</v>
      </c>
      <c r="L78" s="23">
        <f>(SUM($E60:L60))*L$14</f>
        <v>1245716192.2930021</v>
      </c>
      <c r="M78" s="23">
        <f>(SUM($E60:M60))*M$14</f>
        <v>1738960484.6223505</v>
      </c>
      <c r="N78" s="23">
        <f>(SUM($E60:N60))*N$14</f>
        <v>2337841510.0581455</v>
      </c>
      <c r="O78" s="23">
        <f>(SUM($E60:O60))*O$14</f>
        <v>3052747829.8062863</v>
      </c>
      <c r="P78" s="23">
        <f>(SUM($E60:P60))*P$14</f>
        <v>3894839143.7331791</v>
      </c>
      <c r="Q78" s="23">
        <f>(SUM($E60:Q60))*Q$14</f>
        <v>4876095722.6621265</v>
      </c>
      <c r="R78" s="23">
        <f>(SUM(F60:R60))*R$14</f>
        <v>5999988424.1038437</v>
      </c>
      <c r="S78" s="23">
        <f t="shared" ref="S78:W78" si="12">(SUM(G60:S60))*S$14</f>
        <v>7274294018.7274303</v>
      </c>
      <c r="T78" s="23">
        <f t="shared" si="12"/>
        <v>8676461759.1581917</v>
      </c>
      <c r="U78" s="23">
        <f t="shared" si="12"/>
        <v>10189717873.223301</v>
      </c>
      <c r="V78" s="23">
        <f t="shared" si="12"/>
        <v>11804664148.687445</v>
      </c>
      <c r="W78" s="23">
        <f t="shared" si="12"/>
        <v>13532502577.591562</v>
      </c>
    </row>
    <row r="79" spans="1:23">
      <c r="A79" s="22" t="s">
        <v>13</v>
      </c>
      <c r="D79" s="23">
        <f t="shared" si="11"/>
        <v>0</v>
      </c>
      <c r="E79" s="23">
        <f>(SUM($E61:E61))*E$14</f>
        <v>2475342.1033529881</v>
      </c>
      <c r="F79" s="23">
        <f>(SUM($E61:F61))*F$14</f>
        <v>10336407.156881798</v>
      </c>
      <c r="G79" s="23">
        <f>(SUM($E61:G61))*G$14</f>
        <v>45340553.274581812</v>
      </c>
      <c r="H79" s="23">
        <f>(SUM($E61:H61))*H$14</f>
        <v>129379990.18135048</v>
      </c>
      <c r="I79" s="23">
        <f>(SUM($E61:I61))*I$14</f>
        <v>266971457.94570228</v>
      </c>
      <c r="J79" s="23">
        <f>(SUM($E61:J61))*J$14</f>
        <v>469606090.47041553</v>
      </c>
      <c r="K79" s="23">
        <f>(SUM($E61:K61))*K$14</f>
        <v>741497733.50773931</v>
      </c>
      <c r="L79" s="23">
        <f>(SUM($E61:L61))*L$14</f>
        <v>1090001668.256377</v>
      </c>
      <c r="M79" s="23">
        <f>(SUM(F61:M61))*M$14</f>
        <v>1519180556.4106565</v>
      </c>
      <c r="N79" s="23">
        <f t="shared" ref="N79:W79" si="13">(SUM(G61:N61))*N$14</f>
        <v>2033080009.6045964</v>
      </c>
      <c r="O79" s="23">
        <f t="shared" si="13"/>
        <v>2606512832.8264055</v>
      </c>
      <c r="P79" s="23">
        <f t="shared" si="13"/>
        <v>3231241828.5982389</v>
      </c>
      <c r="Q79" s="23">
        <f t="shared" si="13"/>
        <v>3901778723.4992967</v>
      </c>
      <c r="R79" s="23">
        <f t="shared" si="13"/>
        <v>4616097427.1447868</v>
      </c>
      <c r="S79" s="23">
        <f t="shared" si="13"/>
        <v>5381318781.1243162</v>
      </c>
      <c r="T79" s="23">
        <f t="shared" si="13"/>
        <v>6195298133.2936554</v>
      </c>
      <c r="U79" s="23">
        <f t="shared" si="13"/>
        <v>7065785723.5867434</v>
      </c>
      <c r="V79" s="23">
        <f t="shared" si="13"/>
        <v>7995999844.0900078</v>
      </c>
      <c r="W79" s="23">
        <f t="shared" si="13"/>
        <v>8989325837.0757942</v>
      </c>
    </row>
    <row r="80" spans="1:23">
      <c r="A80" s="22" t="s">
        <v>14</v>
      </c>
      <c r="D80" s="23">
        <f t="shared" si="11"/>
        <v>0</v>
      </c>
      <c r="E80" s="23">
        <f>(SUM($E62:E62))*E$14</f>
        <v>2475342.1033529881</v>
      </c>
      <c r="F80" s="23">
        <f>(SUM($E62:F62))*F$14</f>
        <v>12920508.946102247</v>
      </c>
      <c r="G80" s="23">
        <f>(SUM($E62:G62))*G$14</f>
        <v>51008122.433904536</v>
      </c>
      <c r="H80" s="23">
        <f>(SUM(F62:H62))*H$14</f>
        <v>142002428.24782369</v>
      </c>
      <c r="I80" s="23">
        <f t="shared" ref="I80:W80" si="14">(SUM(G62:I62))*I$14</f>
        <v>280155233.64672458</v>
      </c>
      <c r="J80" s="23">
        <f t="shared" si="14"/>
        <v>455894963.74135232</v>
      </c>
      <c r="K80" s="23">
        <f t="shared" si="14"/>
        <v>652375409.76882839</v>
      </c>
      <c r="L80" s="23">
        <f t="shared" si="14"/>
        <v>863844859.53651643</v>
      </c>
      <c r="M80" s="23">
        <f t="shared" si="14"/>
        <v>1087332276.4157491</v>
      </c>
      <c r="N80" s="23">
        <f t="shared" si="14"/>
        <v>1327316534.8700619</v>
      </c>
      <c r="O80" s="23">
        <f t="shared" si="14"/>
        <v>1584759802.3584547</v>
      </c>
      <c r="P80" s="23">
        <f t="shared" si="14"/>
        <v>1860674824.7901268</v>
      </c>
      <c r="Q80" s="23">
        <f t="shared" si="14"/>
        <v>2156127433.3325591</v>
      </c>
      <c r="R80" s="23">
        <f t="shared" si="14"/>
        <v>2472239170.8387222</v>
      </c>
      <c r="S80" s="23">
        <f t="shared" si="14"/>
        <v>2810190043.4520454</v>
      </c>
      <c r="T80" s="23">
        <f t="shared" si="14"/>
        <v>3166147448.9559712</v>
      </c>
      <c r="U80" s="23">
        <f t="shared" si="14"/>
        <v>3546085142.830688</v>
      </c>
      <c r="V80" s="23">
        <f t="shared" si="14"/>
        <v>3951352016.2970524</v>
      </c>
      <c r="W80" s="23">
        <f t="shared" si="14"/>
        <v>4383366503.4121971</v>
      </c>
    </row>
    <row r="81" spans="1:23">
      <c r="A81" s="22" t="s">
        <v>15</v>
      </c>
      <c r="D81" s="23">
        <f t="shared" si="11"/>
        <v>0</v>
      </c>
      <c r="E81" s="23">
        <f>(SUM($D63:E63))*E$14</f>
        <v>0</v>
      </c>
      <c r="F81" s="23">
        <f>(SUM($D63:F63))*F$14</f>
        <v>2584101.7892204495</v>
      </c>
      <c r="G81" s="23">
        <f>(SUM($D63:G63))*G$14</f>
        <v>11335138.318645453</v>
      </c>
      <c r="H81" s="23">
        <f>(SUM($D63:H63))*H$14</f>
        <v>31556095.166183043</v>
      </c>
      <c r="I81" s="23">
        <f>(SUM($D63:I63))*I$14</f>
        <v>65918878.505111672</v>
      </c>
      <c r="J81" s="23">
        <f>(SUM($D63:J63))*J$14</f>
        <v>113116795.51477163</v>
      </c>
      <c r="K81" s="23">
        <f>(SUM($D63:K63))*K$14</f>
        <v>178244647.47782195</v>
      </c>
      <c r="L81" s="23">
        <f>(SUM($D63:L63))*L$14</f>
        <v>263231695.39524749</v>
      </c>
      <c r="M81" s="23">
        <f>(SUM($D63:M63))*M$14</f>
        <v>366299880.35282326</v>
      </c>
      <c r="N81" s="23">
        <f>(SUM($D63:N63))*N$14</f>
        <v>493232428.36561215</v>
      </c>
      <c r="O81" s="23">
        <f>(SUM($D63:O63))*O$14</f>
        <v>646415182.54094863</v>
      </c>
      <c r="P81" s="23">
        <f>(SUM($D63:P63))*P$14</f>
        <v>824075097.22639644</v>
      </c>
      <c r="Q81" s="23">
        <f>(SUM($D63:Q63))*Q$14</f>
        <v>1032956448.1865189</v>
      </c>
      <c r="R81" s="23">
        <f>(SUM($D63:R63))*R$14</f>
        <v>1271303254.8335743</v>
      </c>
      <c r="S81" s="23">
        <f>(SUM($D63:S63))*S$14</f>
        <v>1546580284.3303792</v>
      </c>
      <c r="T81" s="23">
        <f>(SUM($D63:T63))*T$14</f>
        <v>1862141207.959682</v>
      </c>
      <c r="U81" s="23">
        <f>(SUM($D63:U63))*U$14</f>
        <v>2216303214.2691803</v>
      </c>
      <c r="V81" s="23">
        <f>(SUM($D63:V63))*V$14</f>
        <v>2617770710.7967973</v>
      </c>
      <c r="W81" s="23">
        <f>(SUM($D63:W63))*W$14</f>
        <v>3064932047.3077474</v>
      </c>
    </row>
    <row r="82" spans="1:23">
      <c r="A82">
        <v>66</v>
      </c>
      <c r="D82" s="23"/>
      <c r="E82" s="23"/>
      <c r="F82" s="23"/>
      <c r="G82" s="23"/>
      <c r="H82" s="23"/>
      <c r="I82" s="23"/>
      <c r="J82" s="23"/>
      <c r="K82" s="23"/>
      <c r="L82" s="23"/>
      <c r="M82" s="23"/>
      <c r="N82" s="23"/>
      <c r="O82" s="23"/>
      <c r="P82" s="23"/>
      <c r="Q82" s="23"/>
      <c r="R82" s="23"/>
      <c r="S82" s="23"/>
      <c r="T82" s="23"/>
      <c r="U82" s="23"/>
      <c r="V82" s="23"/>
      <c r="W82" s="23"/>
    </row>
    <row r="83" spans="1:23">
      <c r="A83">
        <v>67</v>
      </c>
    </row>
    <row r="84" spans="1:23">
      <c r="A84">
        <v>68</v>
      </c>
    </row>
    <row r="85" spans="1:23">
      <c r="A85">
        <v>69</v>
      </c>
    </row>
    <row r="86" spans="1:23">
      <c r="A86">
        <v>70</v>
      </c>
      <c r="D86" s="3"/>
      <c r="E86" s="3"/>
      <c r="F86" s="3"/>
      <c r="G86" s="3"/>
      <c r="H86" s="3"/>
      <c r="I86" s="3"/>
      <c r="J86" s="3"/>
      <c r="K86" s="3"/>
      <c r="L86" s="3"/>
      <c r="M86" s="3"/>
      <c r="N86" s="3"/>
      <c r="O86" s="3"/>
      <c r="P86" s="3"/>
      <c r="Q86" s="3"/>
      <c r="R86" s="3"/>
      <c r="S86" s="3"/>
      <c r="T86" s="3"/>
      <c r="U86" s="3"/>
      <c r="V86" s="3"/>
      <c r="W86" s="3"/>
    </row>
    <row r="87" spans="1:23">
      <c r="A87" s="22" t="s">
        <v>43</v>
      </c>
      <c r="D87" s="23">
        <f>SUM(D71:D86)</f>
        <v>0</v>
      </c>
      <c r="E87" s="23">
        <f t="shared" ref="E87:W87" si="15">SUM(E71:E86)</f>
        <v>12376710.516764941</v>
      </c>
      <c r="F87" s="23">
        <f t="shared" si="15"/>
        <v>62018442.941290781</v>
      </c>
      <c r="G87" s="23">
        <f t="shared" si="15"/>
        <v>263541965.90850678</v>
      </c>
      <c r="H87" s="23">
        <f t="shared" si="15"/>
        <v>751035064.95515645</v>
      </c>
      <c r="I87" s="23">
        <f t="shared" si="15"/>
        <v>1542501757.0196133</v>
      </c>
      <c r="J87" s="23">
        <f t="shared" si="15"/>
        <v>2659958585.4382658</v>
      </c>
      <c r="K87" s="23">
        <f t="shared" si="15"/>
        <v>4128146035.5863566</v>
      </c>
      <c r="L87" s="23">
        <f t="shared" si="15"/>
        <v>5972764243.4048405</v>
      </c>
      <c r="M87" s="23">
        <f t="shared" si="15"/>
        <v>8220540472.7602024</v>
      </c>
      <c r="N87" s="23">
        <f t="shared" si="15"/>
        <v>10915273739.928425</v>
      </c>
      <c r="O87" s="23">
        <f t="shared" si="15"/>
        <v>14058487615.132502</v>
      </c>
      <c r="P87" s="23">
        <f t="shared" si="15"/>
        <v>17687253928.890759</v>
      </c>
      <c r="Q87" s="23">
        <f t="shared" si="15"/>
        <v>21827407217.356178</v>
      </c>
      <c r="R87" s="23">
        <f t="shared" si="15"/>
        <v>26509722114.629257</v>
      </c>
      <c r="S87" s="23">
        <f t="shared" si="15"/>
        <v>31785396064.392494</v>
      </c>
      <c r="T87" s="23">
        <f t="shared" si="15"/>
        <v>37658888407.293617</v>
      </c>
      <c r="U87" s="23">
        <f t="shared" si="15"/>
        <v>44167756912.935799</v>
      </c>
      <c r="V87" s="23">
        <f t="shared" si="15"/>
        <v>51329160289.48101</v>
      </c>
      <c r="W87" s="23">
        <f t="shared" si="15"/>
        <v>59198277829.936607</v>
      </c>
    </row>
    <row r="88" spans="1:23">
      <c r="A88" s="22"/>
      <c r="D88" s="23"/>
      <c r="E88" s="23"/>
      <c r="F88" s="23"/>
      <c r="G88" s="23"/>
      <c r="H88" s="23"/>
      <c r="I88" s="23"/>
      <c r="J88" s="23"/>
      <c r="K88" s="23"/>
      <c r="L88" s="23"/>
      <c r="M88" s="23"/>
      <c r="N88" s="23"/>
      <c r="O88" s="23"/>
      <c r="P88" s="23"/>
      <c r="Q88" s="23"/>
      <c r="R88" s="23"/>
      <c r="S88" s="23"/>
      <c r="T88" s="23"/>
      <c r="U88" s="23"/>
      <c r="V88" s="23"/>
      <c r="W88" s="23"/>
    </row>
    <row r="89" spans="1:23">
      <c r="A89" t="s">
        <v>135</v>
      </c>
      <c r="D89" s="23"/>
      <c r="E89" s="23"/>
      <c r="F89" s="23"/>
      <c r="G89" s="23"/>
      <c r="H89" s="23"/>
      <c r="I89" s="23"/>
      <c r="J89" s="23"/>
      <c r="K89" s="21"/>
      <c r="L89" s="23"/>
      <c r="M89" s="23"/>
      <c r="N89" s="23"/>
      <c r="O89" s="23"/>
      <c r="P89" s="23"/>
      <c r="Q89" s="23"/>
      <c r="R89" s="23"/>
      <c r="S89" s="23"/>
      <c r="T89" s="23"/>
      <c r="U89" s="23"/>
      <c r="V89" s="23"/>
      <c r="W89" s="23"/>
    </row>
    <row r="90" spans="1:23">
      <c r="A90" t="s">
        <v>70</v>
      </c>
    </row>
    <row r="91" spans="1:23">
      <c r="B91" t="s">
        <v>71</v>
      </c>
      <c r="C91" t="s">
        <v>72</v>
      </c>
      <c r="D91">
        <v>1</v>
      </c>
      <c r="E91">
        <v>2</v>
      </c>
      <c r="F91">
        <v>3</v>
      </c>
      <c r="G91">
        <v>4</v>
      </c>
      <c r="H91">
        <v>5</v>
      </c>
      <c r="I91">
        <v>6</v>
      </c>
      <c r="J91">
        <v>7</v>
      </c>
      <c r="K91">
        <v>8</v>
      </c>
      <c r="L91">
        <v>9</v>
      </c>
      <c r="M91">
        <v>10</v>
      </c>
      <c r="N91">
        <v>11</v>
      </c>
      <c r="O91">
        <v>12</v>
      </c>
      <c r="P91">
        <v>13</v>
      </c>
      <c r="Q91">
        <v>14</v>
      </c>
      <c r="R91">
        <v>15</v>
      </c>
      <c r="S91">
        <v>16</v>
      </c>
      <c r="T91">
        <v>17</v>
      </c>
      <c r="U91">
        <v>18</v>
      </c>
      <c r="V91">
        <v>19</v>
      </c>
      <c r="W91">
        <v>20</v>
      </c>
    </row>
    <row r="92" spans="1:23">
      <c r="A92" s="22" t="s">
        <v>5</v>
      </c>
      <c r="B92">
        <v>10</v>
      </c>
      <c r="C92">
        <v>3</v>
      </c>
      <c r="D92">
        <f>NORMDIST(D$91,$B92,$C92,)</f>
        <v>1.4772828039793357E-3</v>
      </c>
      <c r="E92">
        <f t="shared" ref="E92:W102" si="16">NORMDIST(E$91,$B92,$C92,)</f>
        <v>3.798662007932481E-3</v>
      </c>
      <c r="F92">
        <f t="shared" si="16"/>
        <v>8.7406296979031604E-3</v>
      </c>
      <c r="G92">
        <f t="shared" si="16"/>
        <v>1.7996988837729353E-2</v>
      </c>
      <c r="H92">
        <f t="shared" si="16"/>
        <v>3.3159046264249557E-2</v>
      </c>
      <c r="I92">
        <f t="shared" si="16"/>
        <v>5.4670024891997876E-2</v>
      </c>
      <c r="J92">
        <f t="shared" si="16"/>
        <v>8.0656908173047798E-2</v>
      </c>
      <c r="K92">
        <f t="shared" si="16"/>
        <v>0.10648266850745074</v>
      </c>
      <c r="L92">
        <f t="shared" si="16"/>
        <v>0.12579440923099772</v>
      </c>
      <c r="M92">
        <f t="shared" si="16"/>
        <v>0.13298076013381088</v>
      </c>
      <c r="N92">
        <f t="shared" si="16"/>
        <v>0.12579440923099772</v>
      </c>
      <c r="O92">
        <f t="shared" si="16"/>
        <v>0.10648266850745074</v>
      </c>
      <c r="P92">
        <f t="shared" si="16"/>
        <v>8.0656908173047798E-2</v>
      </c>
      <c r="Q92">
        <f t="shared" si="16"/>
        <v>5.4670024891997876E-2</v>
      </c>
      <c r="R92">
        <f t="shared" si="16"/>
        <v>3.3159046264249557E-2</v>
      </c>
      <c r="S92">
        <f t="shared" si="16"/>
        <v>1.7996988837729353E-2</v>
      </c>
      <c r="T92">
        <f t="shared" si="16"/>
        <v>8.7406296979031604E-3</v>
      </c>
      <c r="U92">
        <f t="shared" si="16"/>
        <v>3.798662007932481E-3</v>
      </c>
      <c r="V92">
        <f t="shared" si="16"/>
        <v>1.4772828039793357E-3</v>
      </c>
      <c r="W92">
        <f t="shared" si="16"/>
        <v>5.140929987637018E-4</v>
      </c>
    </row>
    <row r="93" spans="1:23">
      <c r="A93" s="22" t="s">
        <v>6</v>
      </c>
      <c r="B93">
        <v>10</v>
      </c>
      <c r="C93">
        <v>3</v>
      </c>
      <c r="D93">
        <f t="shared" ref="D93:D102" si="17">NORMDIST(D$91,$B93,$C93,)</f>
        <v>1.4772828039793357E-3</v>
      </c>
      <c r="E93">
        <f t="shared" si="16"/>
        <v>3.798662007932481E-3</v>
      </c>
      <c r="F93">
        <f t="shared" si="16"/>
        <v>8.7406296979031604E-3</v>
      </c>
      <c r="G93">
        <f t="shared" si="16"/>
        <v>1.7996988837729353E-2</v>
      </c>
      <c r="H93">
        <f t="shared" si="16"/>
        <v>3.3159046264249557E-2</v>
      </c>
      <c r="I93">
        <f t="shared" si="16"/>
        <v>5.4670024891997876E-2</v>
      </c>
      <c r="J93">
        <f t="shared" si="16"/>
        <v>8.0656908173047798E-2</v>
      </c>
      <c r="K93">
        <f t="shared" si="16"/>
        <v>0.10648266850745074</v>
      </c>
      <c r="L93">
        <f t="shared" si="16"/>
        <v>0.12579440923099772</v>
      </c>
      <c r="M93">
        <f t="shared" si="16"/>
        <v>0.13298076013381088</v>
      </c>
      <c r="N93">
        <f t="shared" si="16"/>
        <v>0.12579440923099772</v>
      </c>
      <c r="O93">
        <f t="shared" si="16"/>
        <v>0.10648266850745074</v>
      </c>
      <c r="P93">
        <f t="shared" si="16"/>
        <v>8.0656908173047798E-2</v>
      </c>
      <c r="Q93">
        <f t="shared" si="16"/>
        <v>5.4670024891997876E-2</v>
      </c>
      <c r="R93">
        <f t="shared" si="16"/>
        <v>3.3159046264249557E-2</v>
      </c>
      <c r="S93">
        <f t="shared" si="16"/>
        <v>1.7996988837729353E-2</v>
      </c>
      <c r="T93">
        <f t="shared" si="16"/>
        <v>8.7406296979031604E-3</v>
      </c>
      <c r="U93">
        <f t="shared" si="16"/>
        <v>3.798662007932481E-3</v>
      </c>
      <c r="V93">
        <f t="shared" si="16"/>
        <v>1.4772828039793357E-3</v>
      </c>
      <c r="W93">
        <f t="shared" si="16"/>
        <v>5.140929987637018E-4</v>
      </c>
    </row>
    <row r="94" spans="1:23">
      <c r="A94" s="22" t="s">
        <v>7</v>
      </c>
      <c r="B94">
        <v>9</v>
      </c>
      <c r="C94">
        <v>3</v>
      </c>
      <c r="D94">
        <f t="shared" si="17"/>
        <v>3.798662007932481E-3</v>
      </c>
      <c r="E94">
        <f t="shared" si="16"/>
        <v>8.7406296979031604E-3</v>
      </c>
      <c r="F94">
        <f t="shared" si="16"/>
        <v>1.7996988837729353E-2</v>
      </c>
      <c r="G94">
        <f t="shared" si="16"/>
        <v>3.3159046264249557E-2</v>
      </c>
      <c r="H94">
        <f t="shared" si="16"/>
        <v>5.4670024891997876E-2</v>
      </c>
      <c r="I94">
        <f t="shared" si="16"/>
        <v>8.0656908173047798E-2</v>
      </c>
      <c r="J94">
        <f t="shared" si="16"/>
        <v>0.10648266850745074</v>
      </c>
      <c r="K94">
        <f t="shared" si="16"/>
        <v>0.12579440923099772</v>
      </c>
      <c r="L94">
        <f t="shared" si="16"/>
        <v>0.13298076013381088</v>
      </c>
      <c r="M94">
        <f t="shared" si="16"/>
        <v>0.12579440923099772</v>
      </c>
      <c r="N94">
        <f t="shared" si="16"/>
        <v>0.10648266850745074</v>
      </c>
      <c r="O94">
        <f t="shared" si="16"/>
        <v>8.0656908173047798E-2</v>
      </c>
      <c r="P94">
        <f t="shared" si="16"/>
        <v>5.4670024891997876E-2</v>
      </c>
      <c r="Q94">
        <f t="shared" si="16"/>
        <v>3.3159046264249557E-2</v>
      </c>
      <c r="R94">
        <f t="shared" si="16"/>
        <v>1.7996988837729353E-2</v>
      </c>
      <c r="S94">
        <f t="shared" si="16"/>
        <v>8.7406296979031604E-3</v>
      </c>
      <c r="T94">
        <f t="shared" si="16"/>
        <v>3.798662007932481E-3</v>
      </c>
      <c r="U94">
        <f t="shared" si="16"/>
        <v>1.4772828039793357E-3</v>
      </c>
      <c r="V94">
        <f t="shared" si="16"/>
        <v>5.140929987637018E-4</v>
      </c>
      <c r="W94">
        <f t="shared" si="16"/>
        <v>1.6009021720694023E-4</v>
      </c>
    </row>
    <row r="95" spans="1:23">
      <c r="A95" s="22" t="s">
        <v>8</v>
      </c>
      <c r="B95">
        <v>9</v>
      </c>
      <c r="C95">
        <v>3</v>
      </c>
      <c r="D95">
        <f t="shared" si="17"/>
        <v>3.798662007932481E-3</v>
      </c>
      <c r="E95">
        <f t="shared" si="16"/>
        <v>8.7406296979031604E-3</v>
      </c>
      <c r="F95">
        <f t="shared" si="16"/>
        <v>1.7996988837729353E-2</v>
      </c>
      <c r="G95">
        <f t="shared" si="16"/>
        <v>3.3159046264249557E-2</v>
      </c>
      <c r="H95">
        <f t="shared" si="16"/>
        <v>5.4670024891997876E-2</v>
      </c>
      <c r="I95">
        <f t="shared" si="16"/>
        <v>8.0656908173047798E-2</v>
      </c>
      <c r="J95">
        <f t="shared" si="16"/>
        <v>0.10648266850745074</v>
      </c>
      <c r="K95">
        <f t="shared" si="16"/>
        <v>0.12579440923099772</v>
      </c>
      <c r="L95">
        <f t="shared" si="16"/>
        <v>0.13298076013381088</v>
      </c>
      <c r="M95">
        <f t="shared" si="16"/>
        <v>0.12579440923099772</v>
      </c>
      <c r="N95">
        <f t="shared" si="16"/>
        <v>0.10648266850745074</v>
      </c>
      <c r="O95">
        <f t="shared" si="16"/>
        <v>8.0656908173047798E-2</v>
      </c>
      <c r="P95">
        <f t="shared" si="16"/>
        <v>5.4670024891997876E-2</v>
      </c>
      <c r="Q95">
        <f t="shared" si="16"/>
        <v>3.3159046264249557E-2</v>
      </c>
      <c r="R95">
        <f t="shared" si="16"/>
        <v>1.7996988837729353E-2</v>
      </c>
      <c r="S95">
        <f t="shared" si="16"/>
        <v>8.7406296979031604E-3</v>
      </c>
      <c r="T95">
        <f t="shared" si="16"/>
        <v>3.798662007932481E-3</v>
      </c>
      <c r="U95">
        <f t="shared" si="16"/>
        <v>1.4772828039793357E-3</v>
      </c>
      <c r="V95">
        <f t="shared" si="16"/>
        <v>5.140929987637018E-4</v>
      </c>
      <c r="W95">
        <f t="shared" si="16"/>
        <v>1.6009021720694023E-4</v>
      </c>
    </row>
    <row r="96" spans="1:23">
      <c r="A96" s="22" t="s">
        <v>9</v>
      </c>
      <c r="B96">
        <v>8</v>
      </c>
      <c r="C96">
        <v>3</v>
      </c>
      <c r="D96">
        <f t="shared" si="17"/>
        <v>8.7406296979031604E-3</v>
      </c>
      <c r="E96">
        <f t="shared" si="16"/>
        <v>1.7996988837729353E-2</v>
      </c>
      <c r="F96">
        <f t="shared" si="16"/>
        <v>3.3159046264249557E-2</v>
      </c>
      <c r="G96">
        <f t="shared" si="16"/>
        <v>5.4670024891997876E-2</v>
      </c>
      <c r="H96">
        <f t="shared" si="16"/>
        <v>8.0656908173047798E-2</v>
      </c>
      <c r="I96">
        <f t="shared" si="16"/>
        <v>0.10648266850745074</v>
      </c>
      <c r="J96">
        <f t="shared" si="16"/>
        <v>0.12579440923099772</v>
      </c>
      <c r="K96">
        <f t="shared" si="16"/>
        <v>0.13298076013381088</v>
      </c>
      <c r="L96">
        <f t="shared" si="16"/>
        <v>0.12579440923099772</v>
      </c>
      <c r="M96">
        <f t="shared" si="16"/>
        <v>0.10648266850745074</v>
      </c>
      <c r="N96">
        <f t="shared" si="16"/>
        <v>8.0656908173047798E-2</v>
      </c>
      <c r="O96">
        <f t="shared" si="16"/>
        <v>5.4670024891997876E-2</v>
      </c>
      <c r="P96">
        <f t="shared" si="16"/>
        <v>3.3159046264249557E-2</v>
      </c>
      <c r="Q96">
        <f t="shared" si="16"/>
        <v>1.7996988837729353E-2</v>
      </c>
      <c r="R96">
        <f t="shared" si="16"/>
        <v>8.7406296979031604E-3</v>
      </c>
      <c r="S96">
        <f t="shared" si="16"/>
        <v>3.798662007932481E-3</v>
      </c>
      <c r="T96">
        <f t="shared" si="16"/>
        <v>1.4772828039793357E-3</v>
      </c>
      <c r="U96">
        <f t="shared" si="16"/>
        <v>5.140929987637018E-4</v>
      </c>
      <c r="V96">
        <f t="shared" si="16"/>
        <v>1.6009021720694023E-4</v>
      </c>
      <c r="W96">
        <f t="shared" si="16"/>
        <v>4.4610075254961789E-5</v>
      </c>
    </row>
    <row r="97" spans="1:23">
      <c r="A97" s="22" t="s">
        <v>10</v>
      </c>
      <c r="B97">
        <v>8</v>
      </c>
      <c r="C97">
        <v>3</v>
      </c>
      <c r="D97">
        <f t="shared" si="17"/>
        <v>8.7406296979031604E-3</v>
      </c>
      <c r="E97">
        <f t="shared" si="16"/>
        <v>1.7996988837729353E-2</v>
      </c>
      <c r="F97">
        <f t="shared" si="16"/>
        <v>3.3159046264249557E-2</v>
      </c>
      <c r="G97">
        <f t="shared" si="16"/>
        <v>5.4670024891997876E-2</v>
      </c>
      <c r="H97">
        <f t="shared" si="16"/>
        <v>8.0656908173047798E-2</v>
      </c>
      <c r="I97">
        <f t="shared" si="16"/>
        <v>0.10648266850745074</v>
      </c>
      <c r="J97">
        <f t="shared" si="16"/>
        <v>0.12579440923099772</v>
      </c>
      <c r="K97">
        <f t="shared" si="16"/>
        <v>0.13298076013381088</v>
      </c>
      <c r="L97">
        <f t="shared" si="16"/>
        <v>0.12579440923099772</v>
      </c>
      <c r="M97">
        <f t="shared" si="16"/>
        <v>0.10648266850745074</v>
      </c>
      <c r="N97">
        <f t="shared" si="16"/>
        <v>8.0656908173047798E-2</v>
      </c>
      <c r="O97">
        <f t="shared" si="16"/>
        <v>5.4670024891997876E-2</v>
      </c>
      <c r="P97">
        <f t="shared" si="16"/>
        <v>3.3159046264249557E-2</v>
      </c>
      <c r="Q97">
        <f t="shared" si="16"/>
        <v>1.7996988837729353E-2</v>
      </c>
      <c r="R97">
        <f t="shared" si="16"/>
        <v>8.7406296979031604E-3</v>
      </c>
      <c r="S97">
        <f t="shared" si="16"/>
        <v>3.798662007932481E-3</v>
      </c>
      <c r="T97">
        <f t="shared" si="16"/>
        <v>1.4772828039793357E-3</v>
      </c>
      <c r="U97">
        <f t="shared" si="16"/>
        <v>5.140929987637018E-4</v>
      </c>
      <c r="V97">
        <f t="shared" si="16"/>
        <v>1.6009021720694023E-4</v>
      </c>
      <c r="W97">
        <f t="shared" si="16"/>
        <v>4.4610075254961789E-5</v>
      </c>
    </row>
    <row r="98" spans="1:23">
      <c r="A98" s="22" t="s">
        <v>11</v>
      </c>
      <c r="B98">
        <v>7</v>
      </c>
      <c r="C98">
        <v>3</v>
      </c>
      <c r="D98">
        <f t="shared" si="17"/>
        <v>1.7996988837729353E-2</v>
      </c>
      <c r="E98">
        <f t="shared" si="16"/>
        <v>3.3159046264249557E-2</v>
      </c>
      <c r="F98">
        <f t="shared" si="16"/>
        <v>5.4670024891997876E-2</v>
      </c>
      <c r="G98">
        <f t="shared" si="16"/>
        <v>8.0656908173047798E-2</v>
      </c>
      <c r="H98">
        <f t="shared" si="16"/>
        <v>0.10648266850745074</v>
      </c>
      <c r="I98">
        <f t="shared" si="16"/>
        <v>0.12579440923099772</v>
      </c>
      <c r="J98">
        <f t="shared" si="16"/>
        <v>0.13298076013381088</v>
      </c>
      <c r="K98">
        <f t="shared" si="16"/>
        <v>0.12579440923099772</v>
      </c>
      <c r="L98">
        <f t="shared" si="16"/>
        <v>0.10648266850745074</v>
      </c>
      <c r="M98">
        <f t="shared" si="16"/>
        <v>8.0656908173047798E-2</v>
      </c>
      <c r="N98">
        <f t="shared" si="16"/>
        <v>5.4670024891997876E-2</v>
      </c>
      <c r="O98">
        <f t="shared" si="16"/>
        <v>3.3159046264249557E-2</v>
      </c>
      <c r="P98">
        <f t="shared" si="16"/>
        <v>1.7996988837729353E-2</v>
      </c>
      <c r="Q98">
        <f t="shared" si="16"/>
        <v>8.7406296979031604E-3</v>
      </c>
      <c r="R98">
        <f t="shared" si="16"/>
        <v>3.798662007932481E-3</v>
      </c>
      <c r="S98">
        <f t="shared" si="16"/>
        <v>1.4772828039793357E-3</v>
      </c>
      <c r="T98">
        <f t="shared" si="16"/>
        <v>5.140929987637018E-4</v>
      </c>
      <c r="U98">
        <f t="shared" si="16"/>
        <v>1.6009021720694023E-4</v>
      </c>
      <c r="V98">
        <f t="shared" si="16"/>
        <v>4.4610075254961789E-5</v>
      </c>
      <c r="W98">
        <f t="shared" si="16"/>
        <v>1.1123620798546141E-5</v>
      </c>
    </row>
    <row r="99" spans="1:23">
      <c r="A99" s="22" t="s">
        <v>12</v>
      </c>
      <c r="B99">
        <v>7</v>
      </c>
      <c r="C99">
        <v>3</v>
      </c>
      <c r="D99">
        <f t="shared" si="17"/>
        <v>1.7996988837729353E-2</v>
      </c>
      <c r="E99">
        <f t="shared" si="16"/>
        <v>3.3159046264249557E-2</v>
      </c>
      <c r="F99">
        <f t="shared" si="16"/>
        <v>5.4670024891997876E-2</v>
      </c>
      <c r="G99">
        <f t="shared" si="16"/>
        <v>8.0656908173047798E-2</v>
      </c>
      <c r="H99">
        <f t="shared" si="16"/>
        <v>0.10648266850745074</v>
      </c>
      <c r="I99">
        <f t="shared" si="16"/>
        <v>0.12579440923099772</v>
      </c>
      <c r="J99">
        <f t="shared" si="16"/>
        <v>0.13298076013381088</v>
      </c>
      <c r="K99">
        <f t="shared" si="16"/>
        <v>0.12579440923099772</v>
      </c>
      <c r="L99">
        <f t="shared" si="16"/>
        <v>0.10648266850745074</v>
      </c>
      <c r="M99">
        <f t="shared" si="16"/>
        <v>8.0656908173047798E-2</v>
      </c>
      <c r="N99">
        <f t="shared" si="16"/>
        <v>5.4670024891997876E-2</v>
      </c>
      <c r="O99">
        <f t="shared" si="16"/>
        <v>3.3159046264249557E-2</v>
      </c>
      <c r="P99">
        <f t="shared" si="16"/>
        <v>1.7996988837729353E-2</v>
      </c>
      <c r="Q99">
        <f t="shared" si="16"/>
        <v>8.7406296979031604E-3</v>
      </c>
      <c r="R99">
        <f t="shared" si="16"/>
        <v>3.798662007932481E-3</v>
      </c>
      <c r="S99">
        <f t="shared" si="16"/>
        <v>1.4772828039793357E-3</v>
      </c>
      <c r="T99">
        <f t="shared" si="16"/>
        <v>5.140929987637018E-4</v>
      </c>
      <c r="U99">
        <f t="shared" si="16"/>
        <v>1.6009021720694023E-4</v>
      </c>
      <c r="V99">
        <f t="shared" si="16"/>
        <v>4.4610075254961789E-5</v>
      </c>
      <c r="W99">
        <f t="shared" si="16"/>
        <v>1.1123620798546141E-5</v>
      </c>
    </row>
    <row r="100" spans="1:23">
      <c r="A100" s="22" t="s">
        <v>13</v>
      </c>
      <c r="B100">
        <v>6</v>
      </c>
      <c r="C100">
        <v>2</v>
      </c>
      <c r="D100">
        <f t="shared" si="17"/>
        <v>8.7641502467842702E-3</v>
      </c>
      <c r="E100">
        <f t="shared" si="16"/>
        <v>2.6995483256594031E-2</v>
      </c>
      <c r="F100">
        <f t="shared" si="16"/>
        <v>6.4758797832945872E-2</v>
      </c>
      <c r="G100">
        <f t="shared" si="16"/>
        <v>0.12098536225957168</v>
      </c>
      <c r="H100">
        <f t="shared" si="16"/>
        <v>0.17603266338214976</v>
      </c>
      <c r="I100">
        <f t="shared" si="16"/>
        <v>0.19947114020071635</v>
      </c>
      <c r="J100">
        <f t="shared" si="16"/>
        <v>0.17603266338214976</v>
      </c>
      <c r="K100">
        <f t="shared" si="16"/>
        <v>0.12098536225957168</v>
      </c>
      <c r="L100">
        <f t="shared" si="16"/>
        <v>6.4758797832945872E-2</v>
      </c>
      <c r="M100">
        <f t="shared" si="16"/>
        <v>2.6995483256594031E-2</v>
      </c>
      <c r="N100">
        <f t="shared" si="16"/>
        <v>8.7641502467842702E-3</v>
      </c>
      <c r="O100">
        <f t="shared" si="16"/>
        <v>2.2159242059690038E-3</v>
      </c>
      <c r="P100">
        <f t="shared" si="16"/>
        <v>4.3634134752288008E-4</v>
      </c>
      <c r="Q100">
        <f t="shared" si="16"/>
        <v>6.6915112882442684E-5</v>
      </c>
      <c r="R100">
        <f t="shared" si="16"/>
        <v>7.9918705534527373E-6</v>
      </c>
      <c r="S100">
        <f t="shared" si="16"/>
        <v>7.4335975736714884E-7</v>
      </c>
      <c r="T100">
        <f t="shared" si="16"/>
        <v>5.384880021271638E-8</v>
      </c>
      <c r="U100">
        <f t="shared" si="16"/>
        <v>3.037941424911643E-9</v>
      </c>
      <c r="V100">
        <f t="shared" si="16"/>
        <v>1.334778307381426E-10</v>
      </c>
      <c r="W100">
        <f t="shared" si="16"/>
        <v>4.5673602041822968E-12</v>
      </c>
    </row>
    <row r="101" spans="1:23">
      <c r="A101" s="22" t="s">
        <v>14</v>
      </c>
      <c r="B101">
        <v>6</v>
      </c>
      <c r="C101">
        <v>2</v>
      </c>
      <c r="D101">
        <f t="shared" si="17"/>
        <v>8.7641502467842702E-3</v>
      </c>
      <c r="E101">
        <f t="shared" si="16"/>
        <v>2.6995483256594031E-2</v>
      </c>
      <c r="F101">
        <f t="shared" si="16"/>
        <v>6.4758797832945872E-2</v>
      </c>
      <c r="G101">
        <f t="shared" si="16"/>
        <v>0.12098536225957168</v>
      </c>
      <c r="H101">
        <f t="shared" si="16"/>
        <v>0.17603266338214976</v>
      </c>
      <c r="I101">
        <f t="shared" si="16"/>
        <v>0.19947114020071635</v>
      </c>
      <c r="J101">
        <f t="shared" si="16"/>
        <v>0.17603266338214976</v>
      </c>
      <c r="K101">
        <f t="shared" si="16"/>
        <v>0.12098536225957168</v>
      </c>
      <c r="L101">
        <f t="shared" si="16"/>
        <v>6.4758797832945872E-2</v>
      </c>
      <c r="M101">
        <f t="shared" si="16"/>
        <v>2.6995483256594031E-2</v>
      </c>
      <c r="N101">
        <f t="shared" si="16"/>
        <v>8.7641502467842702E-3</v>
      </c>
      <c r="O101">
        <f t="shared" si="16"/>
        <v>2.2159242059690038E-3</v>
      </c>
      <c r="P101">
        <f t="shared" si="16"/>
        <v>4.3634134752288008E-4</v>
      </c>
      <c r="Q101">
        <f t="shared" si="16"/>
        <v>6.6915112882442684E-5</v>
      </c>
      <c r="R101">
        <f t="shared" si="16"/>
        <v>7.9918705534527373E-6</v>
      </c>
      <c r="S101">
        <f t="shared" si="16"/>
        <v>7.4335975736714884E-7</v>
      </c>
      <c r="T101">
        <f t="shared" si="16"/>
        <v>5.384880021271638E-8</v>
      </c>
      <c r="U101">
        <f t="shared" si="16"/>
        <v>3.037941424911643E-9</v>
      </c>
      <c r="V101">
        <f t="shared" si="16"/>
        <v>1.334778307381426E-10</v>
      </c>
      <c r="W101">
        <f t="shared" si="16"/>
        <v>4.5673602041822968E-12</v>
      </c>
    </row>
    <row r="102" spans="1:23">
      <c r="A102" s="22" t="s">
        <v>15</v>
      </c>
      <c r="B102">
        <v>5</v>
      </c>
      <c r="C102">
        <v>2</v>
      </c>
      <c r="D102">
        <f t="shared" si="17"/>
        <v>2.6995483256594031E-2</v>
      </c>
      <c r="E102">
        <f t="shared" si="16"/>
        <v>6.4758797832945872E-2</v>
      </c>
      <c r="F102">
        <f t="shared" si="16"/>
        <v>0.12098536225957168</v>
      </c>
      <c r="G102">
        <f t="shared" si="16"/>
        <v>0.17603266338214976</v>
      </c>
      <c r="H102">
        <f t="shared" si="16"/>
        <v>0.19947114020071635</v>
      </c>
      <c r="I102">
        <f t="shared" si="16"/>
        <v>0.17603266338214976</v>
      </c>
      <c r="J102">
        <f t="shared" si="16"/>
        <v>0.12098536225957168</v>
      </c>
      <c r="K102">
        <f t="shared" si="16"/>
        <v>6.4758797832945872E-2</v>
      </c>
      <c r="L102">
        <f t="shared" si="16"/>
        <v>2.6995483256594031E-2</v>
      </c>
      <c r="M102">
        <f t="shared" si="16"/>
        <v>8.7641502467842702E-3</v>
      </c>
      <c r="N102">
        <f t="shared" si="16"/>
        <v>2.2159242059690038E-3</v>
      </c>
      <c r="O102">
        <f t="shared" si="16"/>
        <v>4.3634134752288008E-4</v>
      </c>
      <c r="P102">
        <f t="shared" si="16"/>
        <v>6.6915112882442684E-5</v>
      </c>
      <c r="Q102">
        <f t="shared" si="16"/>
        <v>7.9918705534527373E-6</v>
      </c>
      <c r="R102">
        <f t="shared" si="16"/>
        <v>7.4335975736714884E-7</v>
      </c>
      <c r="S102">
        <f t="shared" si="16"/>
        <v>5.384880021271638E-8</v>
      </c>
      <c r="T102">
        <f t="shared" si="16"/>
        <v>3.037941424911643E-9</v>
      </c>
      <c r="U102">
        <f t="shared" si="16"/>
        <v>1.334778307381426E-10</v>
      </c>
      <c r="V102">
        <f t="shared" si="16"/>
        <v>4.5673602041822968E-12</v>
      </c>
      <c r="W102">
        <f t="shared" si="16"/>
        <v>1.2171602665145048E-13</v>
      </c>
    </row>
    <row r="103" spans="1:23">
      <c r="A103" s="22"/>
    </row>
    <row r="104" spans="1:23">
      <c r="A104" s="30" t="s">
        <v>136</v>
      </c>
    </row>
    <row r="105" spans="1:23">
      <c r="A105" s="30"/>
    </row>
    <row r="106" spans="1:23">
      <c r="A106" s="22" t="s">
        <v>73</v>
      </c>
    </row>
    <row r="107" spans="1:23">
      <c r="A107" s="22" t="s">
        <v>41</v>
      </c>
      <c r="D107" s="3">
        <v>1</v>
      </c>
      <c r="E107" s="3">
        <v>2</v>
      </c>
      <c r="F107" s="3">
        <v>3</v>
      </c>
      <c r="G107" s="3">
        <v>4</v>
      </c>
      <c r="H107" s="3">
        <v>5</v>
      </c>
      <c r="I107" s="3">
        <v>6</v>
      </c>
      <c r="J107" s="3">
        <v>7</v>
      </c>
      <c r="K107" s="3">
        <v>8</v>
      </c>
      <c r="L107" s="3">
        <v>9</v>
      </c>
      <c r="M107" s="3">
        <v>10</v>
      </c>
      <c r="N107" s="3">
        <v>11</v>
      </c>
      <c r="O107" s="3">
        <v>12</v>
      </c>
      <c r="P107" s="3">
        <v>13</v>
      </c>
      <c r="Q107" s="3">
        <v>14</v>
      </c>
      <c r="R107" s="3">
        <v>15</v>
      </c>
      <c r="S107" s="3">
        <v>16</v>
      </c>
      <c r="T107" s="3">
        <v>17</v>
      </c>
      <c r="U107" s="3">
        <v>18</v>
      </c>
      <c r="V107" s="3">
        <v>19</v>
      </c>
      <c r="W107" s="3">
        <v>20</v>
      </c>
    </row>
    <row r="108" spans="1:23">
      <c r="A108" s="22" t="s">
        <v>5</v>
      </c>
      <c r="D108">
        <f>IF(D53&lt;=4,D53,0)</f>
        <v>0</v>
      </c>
      <c r="E108">
        <f t="shared" ref="E108:W118" si="18">IF(E53&lt;=4,E53,0)</f>
        <v>0</v>
      </c>
      <c r="F108">
        <f t="shared" si="18"/>
        <v>0</v>
      </c>
      <c r="G108">
        <f t="shared" si="18"/>
        <v>0</v>
      </c>
      <c r="H108">
        <f t="shared" si="18"/>
        <v>1</v>
      </c>
      <c r="I108">
        <f t="shared" si="18"/>
        <v>1</v>
      </c>
      <c r="J108">
        <f t="shared" si="18"/>
        <v>1</v>
      </c>
      <c r="K108">
        <f t="shared" si="18"/>
        <v>2</v>
      </c>
      <c r="L108">
        <f t="shared" si="18"/>
        <v>2</v>
      </c>
      <c r="M108">
        <f t="shared" si="18"/>
        <v>3</v>
      </c>
      <c r="N108">
        <f t="shared" si="18"/>
        <v>3</v>
      </c>
      <c r="O108">
        <f t="shared" si="18"/>
        <v>3</v>
      </c>
      <c r="P108">
        <f t="shared" si="18"/>
        <v>4</v>
      </c>
      <c r="Q108">
        <f t="shared" si="18"/>
        <v>4</v>
      </c>
      <c r="R108">
        <f t="shared" si="18"/>
        <v>0</v>
      </c>
      <c r="S108">
        <f t="shared" si="18"/>
        <v>0</v>
      </c>
      <c r="T108">
        <f t="shared" si="18"/>
        <v>0</v>
      </c>
      <c r="U108">
        <f t="shared" si="18"/>
        <v>0</v>
      </c>
      <c r="V108">
        <f t="shared" si="18"/>
        <v>0</v>
      </c>
      <c r="W108">
        <f t="shared" si="18"/>
        <v>0</v>
      </c>
    </row>
    <row r="109" spans="1:23">
      <c r="A109" s="22" t="s">
        <v>6</v>
      </c>
      <c r="D109">
        <f t="shared" ref="D109:S118" si="19">IF(D54&lt;=4,D54,0)</f>
        <v>0</v>
      </c>
      <c r="E109">
        <f t="shared" si="19"/>
        <v>0</v>
      </c>
      <c r="F109">
        <f t="shared" si="19"/>
        <v>0</v>
      </c>
      <c r="G109">
        <f t="shared" si="19"/>
        <v>1</v>
      </c>
      <c r="H109">
        <f t="shared" si="19"/>
        <v>1</v>
      </c>
      <c r="I109">
        <f t="shared" si="19"/>
        <v>2</v>
      </c>
      <c r="J109">
        <f t="shared" si="19"/>
        <v>3</v>
      </c>
      <c r="K109">
        <f t="shared" si="19"/>
        <v>3</v>
      </c>
      <c r="L109">
        <f t="shared" si="19"/>
        <v>4</v>
      </c>
      <c r="M109">
        <f t="shared" si="19"/>
        <v>0</v>
      </c>
      <c r="N109">
        <f t="shared" si="19"/>
        <v>0</v>
      </c>
      <c r="O109">
        <f t="shared" si="19"/>
        <v>0</v>
      </c>
      <c r="P109">
        <f t="shared" si="19"/>
        <v>0</v>
      </c>
      <c r="Q109">
        <f t="shared" si="19"/>
        <v>0</v>
      </c>
      <c r="R109">
        <f t="shared" si="19"/>
        <v>0</v>
      </c>
      <c r="S109">
        <f t="shared" si="19"/>
        <v>0</v>
      </c>
      <c r="T109">
        <f t="shared" si="18"/>
        <v>0</v>
      </c>
      <c r="U109">
        <f t="shared" si="18"/>
        <v>0</v>
      </c>
      <c r="V109">
        <f t="shared" si="18"/>
        <v>0</v>
      </c>
      <c r="W109">
        <f t="shared" si="18"/>
        <v>0</v>
      </c>
    </row>
    <row r="110" spans="1:23">
      <c r="A110" s="22" t="s">
        <v>7</v>
      </c>
      <c r="D110">
        <f t="shared" si="19"/>
        <v>0</v>
      </c>
      <c r="E110">
        <f t="shared" si="18"/>
        <v>0</v>
      </c>
      <c r="F110">
        <f t="shared" si="18"/>
        <v>0</v>
      </c>
      <c r="G110">
        <f t="shared" si="18"/>
        <v>1</v>
      </c>
      <c r="H110">
        <f t="shared" si="18"/>
        <v>3</v>
      </c>
      <c r="I110">
        <f t="shared" si="18"/>
        <v>0</v>
      </c>
      <c r="J110">
        <f t="shared" si="18"/>
        <v>0</v>
      </c>
      <c r="K110">
        <f t="shared" si="18"/>
        <v>0</v>
      </c>
      <c r="L110">
        <f t="shared" si="18"/>
        <v>0</v>
      </c>
      <c r="M110">
        <f t="shared" si="18"/>
        <v>0</v>
      </c>
      <c r="N110">
        <f t="shared" si="18"/>
        <v>0</v>
      </c>
      <c r="O110">
        <f t="shared" si="18"/>
        <v>0</v>
      </c>
      <c r="P110">
        <f t="shared" si="18"/>
        <v>0</v>
      </c>
      <c r="Q110">
        <f t="shared" si="18"/>
        <v>0</v>
      </c>
      <c r="R110">
        <f t="shared" si="18"/>
        <v>0</v>
      </c>
      <c r="S110">
        <f t="shared" si="18"/>
        <v>0</v>
      </c>
      <c r="T110">
        <f t="shared" si="18"/>
        <v>0</v>
      </c>
      <c r="U110">
        <f t="shared" si="18"/>
        <v>0</v>
      </c>
      <c r="V110">
        <f t="shared" si="18"/>
        <v>0</v>
      </c>
      <c r="W110">
        <f t="shared" si="18"/>
        <v>0</v>
      </c>
    </row>
    <row r="111" spans="1:23">
      <c r="A111" s="22" t="s">
        <v>8</v>
      </c>
      <c r="D111">
        <f t="shared" si="19"/>
        <v>0</v>
      </c>
      <c r="E111">
        <f t="shared" si="18"/>
        <v>0</v>
      </c>
      <c r="F111">
        <f t="shared" si="18"/>
        <v>1</v>
      </c>
      <c r="G111">
        <f t="shared" si="18"/>
        <v>2</v>
      </c>
      <c r="H111">
        <f t="shared" si="18"/>
        <v>0</v>
      </c>
      <c r="I111">
        <f t="shared" si="18"/>
        <v>0</v>
      </c>
      <c r="J111">
        <f t="shared" si="18"/>
        <v>0</v>
      </c>
      <c r="K111">
        <f t="shared" si="18"/>
        <v>0</v>
      </c>
      <c r="L111">
        <f t="shared" si="18"/>
        <v>0</v>
      </c>
      <c r="M111">
        <f t="shared" si="18"/>
        <v>0</v>
      </c>
      <c r="N111">
        <f t="shared" si="18"/>
        <v>0</v>
      </c>
      <c r="O111">
        <f t="shared" si="18"/>
        <v>0</v>
      </c>
      <c r="P111">
        <f t="shared" si="18"/>
        <v>0</v>
      </c>
      <c r="Q111">
        <f t="shared" si="18"/>
        <v>0</v>
      </c>
      <c r="R111">
        <f t="shared" si="18"/>
        <v>0</v>
      </c>
      <c r="S111">
        <f t="shared" si="18"/>
        <v>0</v>
      </c>
      <c r="T111">
        <f t="shared" si="18"/>
        <v>0</v>
      </c>
      <c r="U111">
        <f t="shared" si="18"/>
        <v>0</v>
      </c>
      <c r="V111">
        <f t="shared" si="18"/>
        <v>0</v>
      </c>
      <c r="W111">
        <f t="shared" si="18"/>
        <v>0</v>
      </c>
    </row>
    <row r="112" spans="1:23">
      <c r="A112" s="22" t="s">
        <v>9</v>
      </c>
      <c r="D112">
        <f t="shared" si="19"/>
        <v>0</v>
      </c>
      <c r="E112">
        <f t="shared" si="18"/>
        <v>0</v>
      </c>
      <c r="F112">
        <f t="shared" si="18"/>
        <v>1</v>
      </c>
      <c r="G112">
        <f t="shared" si="18"/>
        <v>4</v>
      </c>
      <c r="H112">
        <f t="shared" si="18"/>
        <v>0</v>
      </c>
      <c r="I112">
        <f t="shared" si="18"/>
        <v>0</v>
      </c>
      <c r="J112">
        <f t="shared" si="18"/>
        <v>0</v>
      </c>
      <c r="K112">
        <f t="shared" si="18"/>
        <v>0</v>
      </c>
      <c r="L112">
        <f t="shared" si="18"/>
        <v>0</v>
      </c>
      <c r="M112">
        <f t="shared" si="18"/>
        <v>0</v>
      </c>
      <c r="N112">
        <f t="shared" si="18"/>
        <v>0</v>
      </c>
      <c r="O112">
        <f t="shared" si="18"/>
        <v>0</v>
      </c>
      <c r="P112">
        <f t="shared" si="18"/>
        <v>0</v>
      </c>
      <c r="Q112">
        <f t="shared" si="18"/>
        <v>0</v>
      </c>
      <c r="R112">
        <f t="shared" si="18"/>
        <v>0</v>
      </c>
      <c r="S112">
        <f t="shared" si="18"/>
        <v>0</v>
      </c>
      <c r="T112">
        <f t="shared" si="18"/>
        <v>0</v>
      </c>
      <c r="U112">
        <f t="shared" si="18"/>
        <v>0</v>
      </c>
      <c r="V112">
        <f t="shared" si="18"/>
        <v>0</v>
      </c>
      <c r="W112">
        <f t="shared" si="18"/>
        <v>0</v>
      </c>
    </row>
    <row r="113" spans="1:23">
      <c r="A113" s="22" t="s">
        <v>10</v>
      </c>
      <c r="D113">
        <f t="shared" si="19"/>
        <v>0</v>
      </c>
      <c r="E113">
        <f t="shared" si="18"/>
        <v>1</v>
      </c>
      <c r="F113">
        <f t="shared" si="18"/>
        <v>2</v>
      </c>
      <c r="G113">
        <f t="shared" si="18"/>
        <v>0</v>
      </c>
      <c r="H113">
        <f t="shared" si="18"/>
        <v>0</v>
      </c>
      <c r="I113">
        <f t="shared" si="18"/>
        <v>0</v>
      </c>
      <c r="J113">
        <f t="shared" si="18"/>
        <v>0</v>
      </c>
      <c r="K113">
        <f t="shared" si="18"/>
        <v>0</v>
      </c>
      <c r="L113">
        <f t="shared" si="18"/>
        <v>0</v>
      </c>
      <c r="M113">
        <f t="shared" si="18"/>
        <v>0</v>
      </c>
      <c r="N113">
        <f t="shared" si="18"/>
        <v>0</v>
      </c>
      <c r="O113">
        <f t="shared" si="18"/>
        <v>0</v>
      </c>
      <c r="P113">
        <f t="shared" si="18"/>
        <v>0</v>
      </c>
      <c r="Q113">
        <f t="shared" si="18"/>
        <v>0</v>
      </c>
      <c r="R113">
        <f t="shared" si="18"/>
        <v>0</v>
      </c>
      <c r="S113">
        <f t="shared" si="18"/>
        <v>0</v>
      </c>
      <c r="T113">
        <f t="shared" si="18"/>
        <v>0</v>
      </c>
      <c r="U113">
        <f t="shared" si="18"/>
        <v>0</v>
      </c>
      <c r="V113">
        <f t="shared" si="18"/>
        <v>0</v>
      </c>
      <c r="W113">
        <f t="shared" si="18"/>
        <v>0</v>
      </c>
    </row>
    <row r="114" spans="1:23">
      <c r="A114" s="22" t="s">
        <v>11</v>
      </c>
      <c r="D114">
        <f t="shared" si="19"/>
        <v>0</v>
      </c>
      <c r="E114">
        <f t="shared" si="18"/>
        <v>1</v>
      </c>
      <c r="F114">
        <f t="shared" si="18"/>
        <v>3</v>
      </c>
      <c r="G114">
        <f t="shared" si="18"/>
        <v>0</v>
      </c>
      <c r="H114">
        <f t="shared" si="18"/>
        <v>0</v>
      </c>
      <c r="I114">
        <f t="shared" si="18"/>
        <v>0</v>
      </c>
      <c r="J114">
        <f t="shared" si="18"/>
        <v>0</v>
      </c>
      <c r="K114">
        <f t="shared" si="18"/>
        <v>0</v>
      </c>
      <c r="L114">
        <f t="shared" si="18"/>
        <v>0</v>
      </c>
      <c r="M114">
        <f t="shared" si="18"/>
        <v>0</v>
      </c>
      <c r="N114">
        <f t="shared" si="18"/>
        <v>0</v>
      </c>
      <c r="O114">
        <f t="shared" si="18"/>
        <v>0</v>
      </c>
      <c r="P114">
        <f t="shared" si="18"/>
        <v>0</v>
      </c>
      <c r="Q114">
        <f t="shared" si="18"/>
        <v>0</v>
      </c>
      <c r="R114">
        <f t="shared" si="18"/>
        <v>0</v>
      </c>
      <c r="S114">
        <f t="shared" si="18"/>
        <v>0</v>
      </c>
      <c r="T114">
        <f t="shared" si="18"/>
        <v>0</v>
      </c>
      <c r="U114">
        <f t="shared" si="18"/>
        <v>0</v>
      </c>
      <c r="V114">
        <f t="shared" si="18"/>
        <v>0</v>
      </c>
      <c r="W114">
        <f t="shared" si="18"/>
        <v>0</v>
      </c>
    </row>
    <row r="115" spans="1:23">
      <c r="A115" s="22" t="s">
        <v>12</v>
      </c>
      <c r="D115">
        <f t="shared" si="19"/>
        <v>0</v>
      </c>
      <c r="E115">
        <f t="shared" si="18"/>
        <v>1</v>
      </c>
      <c r="F115">
        <f t="shared" si="18"/>
        <v>4</v>
      </c>
      <c r="G115">
        <f t="shared" si="18"/>
        <v>0</v>
      </c>
      <c r="H115">
        <f t="shared" si="18"/>
        <v>0</v>
      </c>
      <c r="I115">
        <f t="shared" si="18"/>
        <v>0</v>
      </c>
      <c r="J115">
        <f t="shared" si="18"/>
        <v>0</v>
      </c>
      <c r="K115">
        <f t="shared" si="18"/>
        <v>0</v>
      </c>
      <c r="L115">
        <f t="shared" si="18"/>
        <v>0</v>
      </c>
      <c r="M115">
        <f t="shared" si="18"/>
        <v>0</v>
      </c>
      <c r="N115">
        <f t="shared" si="18"/>
        <v>0</v>
      </c>
      <c r="O115">
        <f t="shared" si="18"/>
        <v>0</v>
      </c>
      <c r="P115">
        <f t="shared" si="18"/>
        <v>0</v>
      </c>
      <c r="Q115">
        <f t="shared" si="18"/>
        <v>0</v>
      </c>
      <c r="R115">
        <f t="shared" si="18"/>
        <v>0</v>
      </c>
      <c r="S115">
        <f t="shared" si="18"/>
        <v>0</v>
      </c>
      <c r="T115">
        <f t="shared" si="18"/>
        <v>0</v>
      </c>
      <c r="U115">
        <f t="shared" si="18"/>
        <v>0</v>
      </c>
      <c r="V115">
        <f t="shared" si="18"/>
        <v>0</v>
      </c>
      <c r="W115">
        <f t="shared" si="18"/>
        <v>0</v>
      </c>
    </row>
    <row r="116" spans="1:23">
      <c r="A116" s="22" t="s">
        <v>13</v>
      </c>
      <c r="D116">
        <f t="shared" si="19"/>
        <v>0</v>
      </c>
      <c r="E116">
        <f t="shared" si="18"/>
        <v>1</v>
      </c>
      <c r="F116">
        <f t="shared" si="18"/>
        <v>3</v>
      </c>
      <c r="G116">
        <f t="shared" si="18"/>
        <v>0</v>
      </c>
      <c r="H116">
        <f t="shared" si="18"/>
        <v>0</v>
      </c>
      <c r="I116">
        <f t="shared" si="18"/>
        <v>0</v>
      </c>
      <c r="J116">
        <f t="shared" si="18"/>
        <v>0</v>
      </c>
      <c r="K116">
        <f t="shared" si="18"/>
        <v>0</v>
      </c>
      <c r="L116">
        <f t="shared" si="18"/>
        <v>0</v>
      </c>
      <c r="M116">
        <f t="shared" si="18"/>
        <v>0</v>
      </c>
      <c r="N116">
        <f t="shared" si="18"/>
        <v>0</v>
      </c>
      <c r="O116">
        <f t="shared" si="18"/>
        <v>0</v>
      </c>
      <c r="P116">
        <f t="shared" si="18"/>
        <v>0</v>
      </c>
      <c r="Q116">
        <f t="shared" si="18"/>
        <v>0</v>
      </c>
      <c r="R116">
        <f t="shared" si="18"/>
        <v>0</v>
      </c>
      <c r="S116">
        <f t="shared" si="18"/>
        <v>0</v>
      </c>
      <c r="T116">
        <f t="shared" si="18"/>
        <v>0</v>
      </c>
      <c r="U116">
        <f t="shared" si="18"/>
        <v>0</v>
      </c>
      <c r="V116">
        <f t="shared" si="18"/>
        <v>0</v>
      </c>
      <c r="W116">
        <f t="shared" si="18"/>
        <v>0</v>
      </c>
    </row>
    <row r="117" spans="1:23">
      <c r="A117" s="22" t="s">
        <v>14</v>
      </c>
      <c r="D117">
        <f t="shared" si="19"/>
        <v>0</v>
      </c>
      <c r="E117">
        <f t="shared" si="18"/>
        <v>1</v>
      </c>
      <c r="F117">
        <f t="shared" si="18"/>
        <v>4</v>
      </c>
      <c r="G117">
        <f t="shared" si="18"/>
        <v>0</v>
      </c>
      <c r="H117">
        <f t="shared" si="18"/>
        <v>0</v>
      </c>
      <c r="I117">
        <f t="shared" si="18"/>
        <v>0</v>
      </c>
      <c r="J117">
        <f t="shared" si="18"/>
        <v>0</v>
      </c>
      <c r="K117">
        <f t="shared" si="18"/>
        <v>0</v>
      </c>
      <c r="L117">
        <f t="shared" si="18"/>
        <v>0</v>
      </c>
      <c r="M117">
        <f t="shared" si="18"/>
        <v>0</v>
      </c>
      <c r="N117">
        <f t="shared" si="18"/>
        <v>0</v>
      </c>
      <c r="O117">
        <f t="shared" si="18"/>
        <v>0</v>
      </c>
      <c r="P117">
        <f t="shared" si="18"/>
        <v>0</v>
      </c>
      <c r="Q117">
        <f t="shared" si="18"/>
        <v>0</v>
      </c>
      <c r="R117">
        <f t="shared" si="18"/>
        <v>0</v>
      </c>
      <c r="S117">
        <f t="shared" si="18"/>
        <v>0</v>
      </c>
      <c r="T117">
        <f t="shared" si="18"/>
        <v>0</v>
      </c>
      <c r="U117">
        <f t="shared" si="18"/>
        <v>0</v>
      </c>
      <c r="V117">
        <f t="shared" si="18"/>
        <v>0</v>
      </c>
      <c r="W117">
        <f t="shared" si="18"/>
        <v>0</v>
      </c>
    </row>
    <row r="118" spans="1:23">
      <c r="A118" s="22" t="s">
        <v>15</v>
      </c>
      <c r="D118">
        <f t="shared" si="19"/>
        <v>0</v>
      </c>
      <c r="E118">
        <f t="shared" si="18"/>
        <v>0</v>
      </c>
      <c r="F118">
        <f t="shared" si="18"/>
        <v>1</v>
      </c>
      <c r="G118">
        <f t="shared" si="18"/>
        <v>3</v>
      </c>
      <c r="H118">
        <f t="shared" si="18"/>
        <v>0</v>
      </c>
      <c r="I118">
        <f t="shared" si="18"/>
        <v>0</v>
      </c>
      <c r="J118">
        <f t="shared" si="18"/>
        <v>0</v>
      </c>
      <c r="K118">
        <f t="shared" si="18"/>
        <v>0</v>
      </c>
      <c r="L118">
        <f t="shared" si="18"/>
        <v>0</v>
      </c>
      <c r="M118">
        <f t="shared" si="18"/>
        <v>0</v>
      </c>
      <c r="N118">
        <f t="shared" si="18"/>
        <v>0</v>
      </c>
      <c r="O118">
        <f t="shared" si="18"/>
        <v>0</v>
      </c>
      <c r="P118">
        <f t="shared" si="18"/>
        <v>0</v>
      </c>
      <c r="Q118">
        <f t="shared" si="18"/>
        <v>0</v>
      </c>
      <c r="R118">
        <f t="shared" si="18"/>
        <v>0</v>
      </c>
      <c r="S118">
        <f t="shared" si="18"/>
        <v>0</v>
      </c>
      <c r="T118">
        <f t="shared" si="18"/>
        <v>0</v>
      </c>
      <c r="U118">
        <f t="shared" si="18"/>
        <v>0</v>
      </c>
      <c r="V118">
        <f t="shared" si="18"/>
        <v>0</v>
      </c>
      <c r="W118">
        <f t="shared" si="18"/>
        <v>0</v>
      </c>
    </row>
    <row r="120" spans="1:23">
      <c r="A120" s="22" t="s">
        <v>76</v>
      </c>
      <c r="B120" t="s">
        <v>86</v>
      </c>
      <c r="C120" t="s">
        <v>72</v>
      </c>
      <c r="D120" s="3">
        <v>1</v>
      </c>
      <c r="E120" s="3">
        <v>2</v>
      </c>
      <c r="F120" s="3">
        <v>3</v>
      </c>
      <c r="G120" s="3">
        <v>4</v>
      </c>
      <c r="H120" s="3">
        <v>5</v>
      </c>
      <c r="I120" s="3">
        <v>6</v>
      </c>
      <c r="J120" s="3">
        <v>7</v>
      </c>
      <c r="K120" s="3">
        <v>8</v>
      </c>
      <c r="L120" s="3">
        <v>9</v>
      </c>
      <c r="M120" s="3">
        <v>10</v>
      </c>
      <c r="N120" s="3">
        <v>11</v>
      </c>
      <c r="O120" s="3">
        <v>12</v>
      </c>
      <c r="P120" s="3">
        <v>13</v>
      </c>
      <c r="Q120" s="3">
        <v>14</v>
      </c>
      <c r="R120" s="3">
        <v>15</v>
      </c>
      <c r="S120" s="3">
        <v>16</v>
      </c>
      <c r="T120" s="3">
        <v>17</v>
      </c>
      <c r="U120" s="3">
        <v>18</v>
      </c>
      <c r="V120" s="3">
        <v>19</v>
      </c>
      <c r="W120" s="3">
        <v>20</v>
      </c>
    </row>
    <row r="121" spans="1:23">
      <c r="A121" s="22" t="s">
        <v>5</v>
      </c>
      <c r="B121">
        <v>10</v>
      </c>
      <c r="C121">
        <v>3</v>
      </c>
      <c r="D121">
        <f t="shared" ref="D121:W121" ca="1" si="20">IF($B121&lt;D120,OFFSET(D121,-13,-$B121),0)</f>
        <v>0</v>
      </c>
      <c r="E121">
        <f t="shared" ca="1" si="20"/>
        <v>0</v>
      </c>
      <c r="F121">
        <f t="shared" ca="1" si="20"/>
        <v>0</v>
      </c>
      <c r="G121">
        <f t="shared" ca="1" si="20"/>
        <v>0</v>
      </c>
      <c r="H121">
        <f t="shared" ca="1" si="20"/>
        <v>0</v>
      </c>
      <c r="I121">
        <f t="shared" ca="1" si="20"/>
        <v>0</v>
      </c>
      <c r="J121">
        <f t="shared" ca="1" si="20"/>
        <v>0</v>
      </c>
      <c r="K121">
        <f t="shared" ca="1" si="20"/>
        <v>0</v>
      </c>
      <c r="L121">
        <f t="shared" ca="1" si="20"/>
        <v>0</v>
      </c>
      <c r="M121">
        <f t="shared" ca="1" si="20"/>
        <v>0</v>
      </c>
      <c r="N121">
        <f t="shared" ca="1" si="20"/>
        <v>0</v>
      </c>
      <c r="O121">
        <f t="shared" ca="1" si="20"/>
        <v>0</v>
      </c>
      <c r="P121">
        <f t="shared" ca="1" si="20"/>
        <v>0</v>
      </c>
      <c r="Q121">
        <f t="shared" ca="1" si="20"/>
        <v>0</v>
      </c>
      <c r="R121">
        <f t="shared" ca="1" si="20"/>
        <v>1</v>
      </c>
      <c r="S121">
        <f t="shared" ca="1" si="20"/>
        <v>1</v>
      </c>
      <c r="T121">
        <f t="shared" ca="1" si="20"/>
        <v>1</v>
      </c>
      <c r="U121">
        <f t="shared" ca="1" si="20"/>
        <v>2</v>
      </c>
      <c r="V121">
        <f t="shared" ca="1" si="20"/>
        <v>2</v>
      </c>
      <c r="W121">
        <f t="shared" ca="1" si="20"/>
        <v>3</v>
      </c>
    </row>
    <row r="122" spans="1:23">
      <c r="A122" s="22" t="s">
        <v>6</v>
      </c>
      <c r="B122">
        <v>10</v>
      </c>
      <c r="C122">
        <v>3</v>
      </c>
      <c r="D122">
        <f t="shared" ref="D122:W122" ca="1" si="21">IF($B122&lt;D120,OFFSET(D122,-13,-$B122),0)</f>
        <v>0</v>
      </c>
      <c r="E122">
        <f t="shared" ca="1" si="21"/>
        <v>0</v>
      </c>
      <c r="F122">
        <f t="shared" ca="1" si="21"/>
        <v>0</v>
      </c>
      <c r="G122">
        <f t="shared" ca="1" si="21"/>
        <v>0</v>
      </c>
      <c r="H122">
        <f t="shared" ca="1" si="21"/>
        <v>0</v>
      </c>
      <c r="I122">
        <f t="shared" ca="1" si="21"/>
        <v>0</v>
      </c>
      <c r="J122">
        <f t="shared" ca="1" si="21"/>
        <v>0</v>
      </c>
      <c r="K122">
        <f t="shared" ca="1" si="21"/>
        <v>0</v>
      </c>
      <c r="L122">
        <f t="shared" ca="1" si="21"/>
        <v>0</v>
      </c>
      <c r="M122">
        <f t="shared" ca="1" si="21"/>
        <v>0</v>
      </c>
      <c r="N122">
        <f t="shared" ca="1" si="21"/>
        <v>0</v>
      </c>
      <c r="O122">
        <f t="shared" ca="1" si="21"/>
        <v>0</v>
      </c>
      <c r="P122">
        <f t="shared" ca="1" si="21"/>
        <v>0</v>
      </c>
      <c r="Q122">
        <f t="shared" ca="1" si="21"/>
        <v>1</v>
      </c>
      <c r="R122">
        <f t="shared" ca="1" si="21"/>
        <v>1</v>
      </c>
      <c r="S122">
        <f t="shared" ca="1" si="21"/>
        <v>2</v>
      </c>
      <c r="T122">
        <f t="shared" ca="1" si="21"/>
        <v>3</v>
      </c>
      <c r="U122">
        <f t="shared" ca="1" si="21"/>
        <v>3</v>
      </c>
      <c r="V122">
        <f t="shared" ca="1" si="21"/>
        <v>4</v>
      </c>
      <c r="W122">
        <f t="shared" ca="1" si="21"/>
        <v>0</v>
      </c>
    </row>
    <row r="123" spans="1:23">
      <c r="A123" s="22" t="s">
        <v>7</v>
      </c>
      <c r="B123">
        <v>9</v>
      </c>
      <c r="C123">
        <v>3</v>
      </c>
      <c r="D123">
        <f t="shared" ref="D123:W123" ca="1" si="22">IF($B123&lt;D120,OFFSET(D123,-13,-$B123),0)</f>
        <v>0</v>
      </c>
      <c r="E123">
        <f t="shared" ca="1" si="22"/>
        <v>0</v>
      </c>
      <c r="F123">
        <f t="shared" ca="1" si="22"/>
        <v>0</v>
      </c>
      <c r="G123">
        <f t="shared" ca="1" si="22"/>
        <v>0</v>
      </c>
      <c r="H123">
        <f t="shared" ca="1" si="22"/>
        <v>0</v>
      </c>
      <c r="I123">
        <f t="shared" ca="1" si="22"/>
        <v>0</v>
      </c>
      <c r="J123">
        <f t="shared" ca="1" si="22"/>
        <v>0</v>
      </c>
      <c r="K123">
        <f t="shared" ca="1" si="22"/>
        <v>0</v>
      </c>
      <c r="L123">
        <f t="shared" ca="1" si="22"/>
        <v>0</v>
      </c>
      <c r="M123">
        <f t="shared" ca="1" si="22"/>
        <v>0</v>
      </c>
      <c r="N123">
        <f t="shared" ca="1" si="22"/>
        <v>0</v>
      </c>
      <c r="O123">
        <f t="shared" ca="1" si="22"/>
        <v>0</v>
      </c>
      <c r="P123">
        <f t="shared" ca="1" si="22"/>
        <v>1</v>
      </c>
      <c r="Q123">
        <f t="shared" ca="1" si="22"/>
        <v>3</v>
      </c>
      <c r="R123">
        <f t="shared" ca="1" si="22"/>
        <v>0</v>
      </c>
      <c r="S123">
        <f t="shared" ca="1" si="22"/>
        <v>0</v>
      </c>
      <c r="T123">
        <f t="shared" ca="1" si="22"/>
        <v>0</v>
      </c>
      <c r="U123">
        <f t="shared" ca="1" si="22"/>
        <v>0</v>
      </c>
      <c r="V123">
        <f t="shared" ca="1" si="22"/>
        <v>0</v>
      </c>
      <c r="W123">
        <f t="shared" ca="1" si="22"/>
        <v>0</v>
      </c>
    </row>
    <row r="124" spans="1:23">
      <c r="A124" s="22" t="s">
        <v>8</v>
      </c>
      <c r="B124">
        <v>9</v>
      </c>
      <c r="C124">
        <v>3</v>
      </c>
      <c r="D124">
        <f t="shared" ref="D124:W124" ca="1" si="23">IF($B124&lt;D120,OFFSET(D124,-13,-$B124),0)</f>
        <v>0</v>
      </c>
      <c r="E124">
        <f t="shared" ca="1" si="23"/>
        <v>0</v>
      </c>
      <c r="F124">
        <f t="shared" ca="1" si="23"/>
        <v>0</v>
      </c>
      <c r="G124">
        <f t="shared" ca="1" si="23"/>
        <v>0</v>
      </c>
      <c r="H124">
        <f t="shared" ca="1" si="23"/>
        <v>0</v>
      </c>
      <c r="I124">
        <f t="shared" ca="1" si="23"/>
        <v>0</v>
      </c>
      <c r="J124">
        <f t="shared" ca="1" si="23"/>
        <v>0</v>
      </c>
      <c r="K124">
        <f t="shared" ca="1" si="23"/>
        <v>0</v>
      </c>
      <c r="L124">
        <f t="shared" ca="1" si="23"/>
        <v>0</v>
      </c>
      <c r="M124">
        <f t="shared" ca="1" si="23"/>
        <v>0</v>
      </c>
      <c r="N124">
        <f t="shared" ca="1" si="23"/>
        <v>0</v>
      </c>
      <c r="O124">
        <f t="shared" ca="1" si="23"/>
        <v>1</v>
      </c>
      <c r="P124">
        <f t="shared" ca="1" si="23"/>
        <v>2</v>
      </c>
      <c r="Q124">
        <f t="shared" ca="1" si="23"/>
        <v>0</v>
      </c>
      <c r="R124">
        <f t="shared" ca="1" si="23"/>
        <v>0</v>
      </c>
      <c r="S124">
        <f t="shared" ca="1" si="23"/>
        <v>0</v>
      </c>
      <c r="T124">
        <f t="shared" ca="1" si="23"/>
        <v>0</v>
      </c>
      <c r="U124">
        <f t="shared" ca="1" si="23"/>
        <v>0</v>
      </c>
      <c r="V124">
        <f t="shared" ca="1" si="23"/>
        <v>0</v>
      </c>
      <c r="W124">
        <f t="shared" ca="1" si="23"/>
        <v>0</v>
      </c>
    </row>
    <row r="125" spans="1:23">
      <c r="A125" s="22" t="s">
        <v>9</v>
      </c>
      <c r="B125">
        <v>8</v>
      </c>
      <c r="C125">
        <v>3</v>
      </c>
      <c r="D125">
        <f t="shared" ref="D125:W125" ca="1" si="24">IF($B125&lt;D120,OFFSET(D125,-13,-$B125),0)</f>
        <v>0</v>
      </c>
      <c r="E125">
        <f t="shared" ca="1" si="24"/>
        <v>0</v>
      </c>
      <c r="F125">
        <f t="shared" ca="1" si="24"/>
        <v>0</v>
      </c>
      <c r="G125">
        <f t="shared" ca="1" si="24"/>
        <v>0</v>
      </c>
      <c r="H125">
        <f t="shared" ca="1" si="24"/>
        <v>0</v>
      </c>
      <c r="I125">
        <f t="shared" ca="1" si="24"/>
        <v>0</v>
      </c>
      <c r="J125">
        <f t="shared" ca="1" si="24"/>
        <v>0</v>
      </c>
      <c r="K125">
        <f t="shared" ca="1" si="24"/>
        <v>0</v>
      </c>
      <c r="L125">
        <f t="shared" ca="1" si="24"/>
        <v>0</v>
      </c>
      <c r="M125">
        <f t="shared" ca="1" si="24"/>
        <v>0</v>
      </c>
      <c r="N125">
        <f t="shared" ca="1" si="24"/>
        <v>1</v>
      </c>
      <c r="O125">
        <f t="shared" ca="1" si="24"/>
        <v>4</v>
      </c>
      <c r="P125">
        <f t="shared" ca="1" si="24"/>
        <v>0</v>
      </c>
      <c r="Q125">
        <f t="shared" ca="1" si="24"/>
        <v>0</v>
      </c>
      <c r="R125">
        <f t="shared" ca="1" si="24"/>
        <v>0</v>
      </c>
      <c r="S125">
        <f t="shared" ca="1" si="24"/>
        <v>0</v>
      </c>
      <c r="T125">
        <f t="shared" ca="1" si="24"/>
        <v>0</v>
      </c>
      <c r="U125">
        <f t="shared" ca="1" si="24"/>
        <v>0</v>
      </c>
      <c r="V125">
        <f t="shared" ca="1" si="24"/>
        <v>0</v>
      </c>
      <c r="W125">
        <f t="shared" ca="1" si="24"/>
        <v>0</v>
      </c>
    </row>
    <row r="126" spans="1:23">
      <c r="A126" s="22" t="s">
        <v>10</v>
      </c>
      <c r="B126">
        <v>8</v>
      </c>
      <c r="C126">
        <v>3</v>
      </c>
      <c r="D126">
        <f t="shared" ref="D126:W126" ca="1" si="25">IF($B126&lt;D120,OFFSET(D126,-13,-$B126),0)</f>
        <v>0</v>
      </c>
      <c r="E126">
        <f t="shared" ca="1" si="25"/>
        <v>0</v>
      </c>
      <c r="F126">
        <f t="shared" ca="1" si="25"/>
        <v>0</v>
      </c>
      <c r="G126">
        <f t="shared" ca="1" si="25"/>
        <v>0</v>
      </c>
      <c r="H126">
        <f t="shared" ca="1" si="25"/>
        <v>0</v>
      </c>
      <c r="I126">
        <f t="shared" ca="1" si="25"/>
        <v>0</v>
      </c>
      <c r="J126">
        <f t="shared" ca="1" si="25"/>
        <v>0</v>
      </c>
      <c r="K126">
        <f t="shared" ca="1" si="25"/>
        <v>0</v>
      </c>
      <c r="L126">
        <f t="shared" ca="1" si="25"/>
        <v>0</v>
      </c>
      <c r="M126">
        <f t="shared" ca="1" si="25"/>
        <v>1</v>
      </c>
      <c r="N126">
        <f t="shared" ca="1" si="25"/>
        <v>2</v>
      </c>
      <c r="O126">
        <f t="shared" ca="1" si="25"/>
        <v>0</v>
      </c>
      <c r="P126">
        <f t="shared" ca="1" si="25"/>
        <v>0</v>
      </c>
      <c r="Q126">
        <f t="shared" ca="1" si="25"/>
        <v>0</v>
      </c>
      <c r="R126">
        <f t="shared" ca="1" si="25"/>
        <v>0</v>
      </c>
      <c r="S126">
        <f t="shared" ca="1" si="25"/>
        <v>0</v>
      </c>
      <c r="T126">
        <f t="shared" ca="1" si="25"/>
        <v>0</v>
      </c>
      <c r="U126">
        <f t="shared" ca="1" si="25"/>
        <v>0</v>
      </c>
      <c r="V126">
        <f t="shared" ca="1" si="25"/>
        <v>0</v>
      </c>
      <c r="W126">
        <f t="shared" ca="1" si="25"/>
        <v>0</v>
      </c>
    </row>
    <row r="127" spans="1:23">
      <c r="A127" s="22" t="s">
        <v>11</v>
      </c>
      <c r="B127">
        <v>7</v>
      </c>
      <c r="C127">
        <v>3</v>
      </c>
      <c r="D127">
        <f t="shared" ref="D127:W127" ca="1" si="26">IF($B127&lt;D120,OFFSET(D127,-13,-$B127),0)</f>
        <v>0</v>
      </c>
      <c r="E127">
        <f t="shared" ca="1" si="26"/>
        <v>0</v>
      </c>
      <c r="F127">
        <f t="shared" ca="1" si="26"/>
        <v>0</v>
      </c>
      <c r="G127">
        <f t="shared" ca="1" si="26"/>
        <v>0</v>
      </c>
      <c r="H127">
        <f t="shared" ca="1" si="26"/>
        <v>0</v>
      </c>
      <c r="I127">
        <f t="shared" ca="1" si="26"/>
        <v>0</v>
      </c>
      <c r="J127">
        <f t="shared" ca="1" si="26"/>
        <v>0</v>
      </c>
      <c r="K127">
        <f t="shared" ca="1" si="26"/>
        <v>0</v>
      </c>
      <c r="L127">
        <f t="shared" ca="1" si="26"/>
        <v>1</v>
      </c>
      <c r="M127">
        <f t="shared" ca="1" si="26"/>
        <v>3</v>
      </c>
      <c r="N127">
        <f t="shared" ca="1" si="26"/>
        <v>0</v>
      </c>
      <c r="O127">
        <f t="shared" ca="1" si="26"/>
        <v>0</v>
      </c>
      <c r="P127">
        <f t="shared" ca="1" si="26"/>
        <v>0</v>
      </c>
      <c r="Q127">
        <f t="shared" ca="1" si="26"/>
        <v>0</v>
      </c>
      <c r="R127">
        <f t="shared" ca="1" si="26"/>
        <v>0</v>
      </c>
      <c r="S127">
        <f t="shared" ca="1" si="26"/>
        <v>0</v>
      </c>
      <c r="T127">
        <f t="shared" ca="1" si="26"/>
        <v>0</v>
      </c>
      <c r="U127">
        <f t="shared" ca="1" si="26"/>
        <v>0</v>
      </c>
      <c r="V127">
        <f t="shared" ca="1" si="26"/>
        <v>0</v>
      </c>
      <c r="W127">
        <f t="shared" ca="1" si="26"/>
        <v>0</v>
      </c>
    </row>
    <row r="128" spans="1:23">
      <c r="A128" s="22" t="s">
        <v>12</v>
      </c>
      <c r="B128">
        <v>7</v>
      </c>
      <c r="C128">
        <v>3</v>
      </c>
      <c r="D128">
        <f t="shared" ref="D128:W128" ca="1" si="27">IF($B128&lt;D120,OFFSET(D128,-13,-$B128),0)</f>
        <v>0</v>
      </c>
      <c r="E128">
        <f t="shared" ca="1" si="27"/>
        <v>0</v>
      </c>
      <c r="F128">
        <f t="shared" ca="1" si="27"/>
        <v>0</v>
      </c>
      <c r="G128">
        <f t="shared" ca="1" si="27"/>
        <v>0</v>
      </c>
      <c r="H128">
        <f t="shared" ca="1" si="27"/>
        <v>0</v>
      </c>
      <c r="I128">
        <f t="shared" ca="1" si="27"/>
        <v>0</v>
      </c>
      <c r="J128">
        <f t="shared" ca="1" si="27"/>
        <v>0</v>
      </c>
      <c r="K128">
        <f t="shared" ca="1" si="27"/>
        <v>0</v>
      </c>
      <c r="L128">
        <f t="shared" ca="1" si="27"/>
        <v>1</v>
      </c>
      <c r="M128">
        <f t="shared" ca="1" si="27"/>
        <v>4</v>
      </c>
      <c r="N128">
        <f t="shared" ca="1" si="27"/>
        <v>0</v>
      </c>
      <c r="O128">
        <f t="shared" ca="1" si="27"/>
        <v>0</v>
      </c>
      <c r="P128">
        <f t="shared" ca="1" si="27"/>
        <v>0</v>
      </c>
      <c r="Q128">
        <f t="shared" ca="1" si="27"/>
        <v>0</v>
      </c>
      <c r="R128">
        <f t="shared" ca="1" si="27"/>
        <v>0</v>
      </c>
      <c r="S128">
        <f t="shared" ca="1" si="27"/>
        <v>0</v>
      </c>
      <c r="T128">
        <f t="shared" ca="1" si="27"/>
        <v>0</v>
      </c>
      <c r="U128">
        <f t="shared" ca="1" si="27"/>
        <v>0</v>
      </c>
      <c r="V128">
        <f t="shared" ca="1" si="27"/>
        <v>0</v>
      </c>
      <c r="W128">
        <f t="shared" ca="1" si="27"/>
        <v>0</v>
      </c>
    </row>
    <row r="129" spans="1:23">
      <c r="A129" s="22" t="s">
        <v>13</v>
      </c>
      <c r="B129">
        <v>6</v>
      </c>
      <c r="C129">
        <v>2</v>
      </c>
      <c r="D129">
        <f t="shared" ref="D129:W129" ca="1" si="28">IF($B129&lt;D120,OFFSET(D129,-13,-$B129),0)</f>
        <v>0</v>
      </c>
      <c r="E129">
        <f t="shared" ca="1" si="28"/>
        <v>0</v>
      </c>
      <c r="F129">
        <f t="shared" ca="1" si="28"/>
        <v>0</v>
      </c>
      <c r="G129">
        <f t="shared" ca="1" si="28"/>
        <v>0</v>
      </c>
      <c r="H129">
        <f t="shared" ca="1" si="28"/>
        <v>0</v>
      </c>
      <c r="I129">
        <f t="shared" ca="1" si="28"/>
        <v>0</v>
      </c>
      <c r="J129">
        <f t="shared" ca="1" si="28"/>
        <v>0</v>
      </c>
      <c r="K129">
        <f t="shared" ca="1" si="28"/>
        <v>1</v>
      </c>
      <c r="L129">
        <f t="shared" ca="1" si="28"/>
        <v>3</v>
      </c>
      <c r="M129">
        <f t="shared" ca="1" si="28"/>
        <v>0</v>
      </c>
      <c r="N129">
        <f t="shared" ca="1" si="28"/>
        <v>0</v>
      </c>
      <c r="O129">
        <f t="shared" ca="1" si="28"/>
        <v>0</v>
      </c>
      <c r="P129">
        <f t="shared" ca="1" si="28"/>
        <v>0</v>
      </c>
      <c r="Q129">
        <f t="shared" ca="1" si="28"/>
        <v>0</v>
      </c>
      <c r="R129">
        <f t="shared" ca="1" si="28"/>
        <v>0</v>
      </c>
      <c r="S129">
        <f t="shared" ca="1" si="28"/>
        <v>0</v>
      </c>
      <c r="T129">
        <f t="shared" ca="1" si="28"/>
        <v>0</v>
      </c>
      <c r="U129">
        <f t="shared" ca="1" si="28"/>
        <v>0</v>
      </c>
      <c r="V129">
        <f t="shared" ca="1" si="28"/>
        <v>0</v>
      </c>
      <c r="W129">
        <f t="shared" ca="1" si="28"/>
        <v>0</v>
      </c>
    </row>
    <row r="130" spans="1:23">
      <c r="A130" s="22" t="s">
        <v>14</v>
      </c>
      <c r="B130">
        <v>6</v>
      </c>
      <c r="C130">
        <v>2</v>
      </c>
      <c r="D130">
        <f t="shared" ref="D130:W130" ca="1" si="29">IF($B130&lt;D120,OFFSET(D130,-13,-$B130),0)</f>
        <v>0</v>
      </c>
      <c r="E130">
        <f t="shared" ca="1" si="29"/>
        <v>0</v>
      </c>
      <c r="F130">
        <f t="shared" ca="1" si="29"/>
        <v>0</v>
      </c>
      <c r="G130">
        <f t="shared" ca="1" si="29"/>
        <v>0</v>
      </c>
      <c r="H130">
        <f t="shared" ca="1" si="29"/>
        <v>0</v>
      </c>
      <c r="I130">
        <f t="shared" ca="1" si="29"/>
        <v>0</v>
      </c>
      <c r="J130">
        <f t="shared" ca="1" si="29"/>
        <v>0</v>
      </c>
      <c r="K130">
        <f t="shared" ca="1" si="29"/>
        <v>1</v>
      </c>
      <c r="L130">
        <f t="shared" ca="1" si="29"/>
        <v>4</v>
      </c>
      <c r="M130">
        <f t="shared" ca="1" si="29"/>
        <v>0</v>
      </c>
      <c r="N130">
        <f t="shared" ca="1" si="29"/>
        <v>0</v>
      </c>
      <c r="O130">
        <f t="shared" ca="1" si="29"/>
        <v>0</v>
      </c>
      <c r="P130">
        <f t="shared" ca="1" si="29"/>
        <v>0</v>
      </c>
      <c r="Q130">
        <f t="shared" ca="1" si="29"/>
        <v>0</v>
      </c>
      <c r="R130">
        <f t="shared" ca="1" si="29"/>
        <v>0</v>
      </c>
      <c r="S130">
        <f t="shared" ca="1" si="29"/>
        <v>0</v>
      </c>
      <c r="T130">
        <f t="shared" ca="1" si="29"/>
        <v>0</v>
      </c>
      <c r="U130">
        <f t="shared" ca="1" si="29"/>
        <v>0</v>
      </c>
      <c r="V130">
        <f t="shared" ca="1" si="29"/>
        <v>0</v>
      </c>
      <c r="W130">
        <f t="shared" ca="1" si="29"/>
        <v>0</v>
      </c>
    </row>
    <row r="131" spans="1:23">
      <c r="A131" s="22" t="s">
        <v>15</v>
      </c>
      <c r="B131">
        <v>5</v>
      </c>
      <c r="C131">
        <v>2</v>
      </c>
      <c r="D131">
        <f t="shared" ref="D131:W131" ca="1" si="30">IF($B131&lt;D120,OFFSET(D131,-13,-$B131),0)</f>
        <v>0</v>
      </c>
      <c r="E131">
        <f t="shared" ca="1" si="30"/>
        <v>0</v>
      </c>
      <c r="F131">
        <f t="shared" ca="1" si="30"/>
        <v>0</v>
      </c>
      <c r="G131">
        <f t="shared" ca="1" si="30"/>
        <v>0</v>
      </c>
      <c r="H131">
        <f t="shared" ca="1" si="30"/>
        <v>0</v>
      </c>
      <c r="I131">
        <f t="shared" ca="1" si="30"/>
        <v>0</v>
      </c>
      <c r="J131">
        <f t="shared" ca="1" si="30"/>
        <v>0</v>
      </c>
      <c r="K131">
        <f t="shared" ca="1" si="30"/>
        <v>1</v>
      </c>
      <c r="L131">
        <f t="shared" ca="1" si="30"/>
        <v>3</v>
      </c>
      <c r="M131">
        <f t="shared" ca="1" si="30"/>
        <v>0</v>
      </c>
      <c r="N131">
        <f t="shared" ca="1" si="30"/>
        <v>0</v>
      </c>
      <c r="O131">
        <f t="shared" ca="1" si="30"/>
        <v>0</v>
      </c>
      <c r="P131">
        <f t="shared" ca="1" si="30"/>
        <v>0</v>
      </c>
      <c r="Q131">
        <f t="shared" ca="1" si="30"/>
        <v>0</v>
      </c>
      <c r="R131">
        <f t="shared" ca="1" si="30"/>
        <v>0</v>
      </c>
      <c r="S131">
        <f t="shared" ca="1" si="30"/>
        <v>0</v>
      </c>
      <c r="T131">
        <f t="shared" ca="1" si="30"/>
        <v>0</v>
      </c>
      <c r="U131">
        <f t="shared" ca="1" si="30"/>
        <v>0</v>
      </c>
      <c r="V131">
        <f t="shared" ca="1" si="30"/>
        <v>0</v>
      </c>
      <c r="W131">
        <f t="shared" ca="1" si="30"/>
        <v>0</v>
      </c>
    </row>
    <row r="133" spans="1:23">
      <c r="A133" s="22" t="s">
        <v>74</v>
      </c>
    </row>
    <row r="134" spans="1:23">
      <c r="A134" s="22" t="s">
        <v>41</v>
      </c>
      <c r="D134" s="3">
        <v>1</v>
      </c>
      <c r="E134" s="3">
        <v>2</v>
      </c>
      <c r="F134" s="3">
        <v>3</v>
      </c>
      <c r="G134" s="3">
        <v>4</v>
      </c>
      <c r="H134" s="3">
        <v>5</v>
      </c>
      <c r="I134" s="3">
        <v>6</v>
      </c>
      <c r="J134" s="3">
        <v>7</v>
      </c>
      <c r="K134" s="3">
        <v>8</v>
      </c>
      <c r="L134" s="3">
        <v>9</v>
      </c>
      <c r="M134" s="3">
        <v>10</v>
      </c>
      <c r="N134" s="3">
        <v>11</v>
      </c>
      <c r="O134" s="3">
        <v>12</v>
      </c>
      <c r="P134" s="3">
        <v>13</v>
      </c>
      <c r="Q134" s="3">
        <v>14</v>
      </c>
      <c r="R134" s="3">
        <v>15</v>
      </c>
      <c r="S134" s="3">
        <v>16</v>
      </c>
      <c r="T134" s="3">
        <v>17</v>
      </c>
      <c r="U134" s="3">
        <v>18</v>
      </c>
      <c r="V134" s="3">
        <v>19</v>
      </c>
      <c r="W134" s="3">
        <v>20</v>
      </c>
    </row>
    <row r="135" spans="1:23">
      <c r="A135" s="22" t="s">
        <v>5</v>
      </c>
      <c r="C135">
        <f>SUM(D135:W135)</f>
        <v>34</v>
      </c>
      <c r="D135">
        <f>IF(D53&gt;4,D53,0)</f>
        <v>0</v>
      </c>
      <c r="E135">
        <f t="shared" ref="E135:W145" si="31">IF(E53&gt;4,E53,0)</f>
        <v>0</v>
      </c>
      <c r="F135">
        <f t="shared" si="31"/>
        <v>0</v>
      </c>
      <c r="G135">
        <f t="shared" si="31"/>
        <v>0</v>
      </c>
      <c r="H135">
        <f t="shared" si="31"/>
        <v>0</v>
      </c>
      <c r="I135">
        <f t="shared" si="31"/>
        <v>0</v>
      </c>
      <c r="J135">
        <f t="shared" si="31"/>
        <v>0</v>
      </c>
      <c r="K135">
        <f t="shared" si="31"/>
        <v>0</v>
      </c>
      <c r="L135">
        <f t="shared" si="31"/>
        <v>0</v>
      </c>
      <c r="M135">
        <f t="shared" si="31"/>
        <v>0</v>
      </c>
      <c r="N135">
        <f t="shared" si="31"/>
        <v>0</v>
      </c>
      <c r="O135">
        <f t="shared" si="31"/>
        <v>0</v>
      </c>
      <c r="P135">
        <f t="shared" si="31"/>
        <v>0</v>
      </c>
      <c r="Q135">
        <f t="shared" si="31"/>
        <v>0</v>
      </c>
      <c r="R135">
        <f t="shared" si="31"/>
        <v>5</v>
      </c>
      <c r="S135">
        <f t="shared" si="31"/>
        <v>5</v>
      </c>
      <c r="T135">
        <f t="shared" si="31"/>
        <v>5</v>
      </c>
      <c r="U135">
        <f t="shared" si="31"/>
        <v>6</v>
      </c>
      <c r="V135">
        <f t="shared" si="31"/>
        <v>6</v>
      </c>
      <c r="W135">
        <f t="shared" si="31"/>
        <v>7</v>
      </c>
    </row>
    <row r="136" spans="1:23">
      <c r="A136" s="22" t="s">
        <v>6</v>
      </c>
      <c r="C136">
        <f>SUM(D136:W136)</f>
        <v>93</v>
      </c>
      <c r="D136">
        <f t="shared" ref="D136:S145" si="32">IF(D54&gt;4,D54,0)</f>
        <v>0</v>
      </c>
      <c r="E136">
        <f t="shared" si="32"/>
        <v>0</v>
      </c>
      <c r="F136">
        <f t="shared" si="32"/>
        <v>0</v>
      </c>
      <c r="G136">
        <f t="shared" si="32"/>
        <v>0</v>
      </c>
      <c r="H136">
        <f t="shared" si="32"/>
        <v>0</v>
      </c>
      <c r="I136">
        <f t="shared" si="32"/>
        <v>0</v>
      </c>
      <c r="J136">
        <f t="shared" si="32"/>
        <v>0</v>
      </c>
      <c r="K136">
        <f t="shared" si="32"/>
        <v>0</v>
      </c>
      <c r="L136">
        <f t="shared" si="32"/>
        <v>0</v>
      </c>
      <c r="M136">
        <f t="shared" si="32"/>
        <v>5</v>
      </c>
      <c r="N136">
        <f t="shared" si="32"/>
        <v>6</v>
      </c>
      <c r="O136">
        <f t="shared" si="32"/>
        <v>6</v>
      </c>
      <c r="P136">
        <f t="shared" si="32"/>
        <v>7</v>
      </c>
      <c r="Q136">
        <f t="shared" si="32"/>
        <v>8</v>
      </c>
      <c r="R136">
        <f t="shared" si="32"/>
        <v>8</v>
      </c>
      <c r="S136">
        <f t="shared" si="32"/>
        <v>9</v>
      </c>
      <c r="T136">
        <f t="shared" si="31"/>
        <v>10</v>
      </c>
      <c r="U136">
        <f t="shared" si="31"/>
        <v>11</v>
      </c>
      <c r="V136">
        <f t="shared" si="31"/>
        <v>11</v>
      </c>
      <c r="W136">
        <f t="shared" si="31"/>
        <v>12</v>
      </c>
    </row>
    <row r="137" spans="1:23">
      <c r="A137" s="22" t="s">
        <v>7</v>
      </c>
      <c r="C137">
        <f t="shared" ref="C137:C145" si="33">SUM(D137:W137)</f>
        <v>264</v>
      </c>
      <c r="D137">
        <f t="shared" si="32"/>
        <v>0</v>
      </c>
      <c r="E137">
        <f t="shared" si="31"/>
        <v>0</v>
      </c>
      <c r="F137">
        <f t="shared" si="31"/>
        <v>0</v>
      </c>
      <c r="G137">
        <f t="shared" si="31"/>
        <v>0</v>
      </c>
      <c r="H137">
        <f t="shared" si="31"/>
        <v>0</v>
      </c>
      <c r="I137">
        <f t="shared" si="31"/>
        <v>5</v>
      </c>
      <c r="J137">
        <f t="shared" si="31"/>
        <v>7</v>
      </c>
      <c r="K137">
        <f t="shared" si="31"/>
        <v>9</v>
      </c>
      <c r="L137">
        <f t="shared" si="31"/>
        <v>10</v>
      </c>
      <c r="M137">
        <f t="shared" si="31"/>
        <v>12</v>
      </c>
      <c r="N137">
        <f t="shared" si="31"/>
        <v>14</v>
      </c>
      <c r="O137">
        <f t="shared" si="31"/>
        <v>16</v>
      </c>
      <c r="P137">
        <f t="shared" si="31"/>
        <v>18</v>
      </c>
      <c r="Q137">
        <f t="shared" si="31"/>
        <v>19</v>
      </c>
      <c r="R137">
        <f t="shared" si="31"/>
        <v>21</v>
      </c>
      <c r="S137">
        <f t="shared" si="31"/>
        <v>23</v>
      </c>
      <c r="T137">
        <f t="shared" si="31"/>
        <v>25</v>
      </c>
      <c r="U137">
        <f t="shared" si="31"/>
        <v>27</v>
      </c>
      <c r="V137">
        <f t="shared" si="31"/>
        <v>28</v>
      </c>
      <c r="W137">
        <f t="shared" si="31"/>
        <v>30</v>
      </c>
    </row>
    <row r="138" spans="1:23">
      <c r="A138" s="22" t="s">
        <v>8</v>
      </c>
      <c r="C138">
        <f t="shared" si="33"/>
        <v>411</v>
      </c>
      <c r="D138">
        <f t="shared" si="32"/>
        <v>0</v>
      </c>
      <c r="E138">
        <f t="shared" si="31"/>
        <v>0</v>
      </c>
      <c r="F138">
        <f t="shared" si="31"/>
        <v>0</v>
      </c>
      <c r="G138">
        <f t="shared" si="31"/>
        <v>0</v>
      </c>
      <c r="H138">
        <f t="shared" si="31"/>
        <v>5</v>
      </c>
      <c r="I138">
        <f t="shared" si="31"/>
        <v>8</v>
      </c>
      <c r="J138">
        <f t="shared" si="31"/>
        <v>10</v>
      </c>
      <c r="K138">
        <f t="shared" si="31"/>
        <v>13</v>
      </c>
      <c r="L138">
        <f t="shared" si="31"/>
        <v>16</v>
      </c>
      <c r="M138">
        <f t="shared" si="31"/>
        <v>19</v>
      </c>
      <c r="N138">
        <f t="shared" si="31"/>
        <v>22</v>
      </c>
      <c r="O138">
        <f t="shared" si="31"/>
        <v>24</v>
      </c>
      <c r="P138">
        <f t="shared" si="31"/>
        <v>27</v>
      </c>
      <c r="Q138">
        <f t="shared" si="31"/>
        <v>30</v>
      </c>
      <c r="R138">
        <f t="shared" si="31"/>
        <v>33</v>
      </c>
      <c r="S138">
        <f t="shared" si="31"/>
        <v>35</v>
      </c>
      <c r="T138">
        <f t="shared" si="31"/>
        <v>38</v>
      </c>
      <c r="U138">
        <f t="shared" si="31"/>
        <v>41</v>
      </c>
      <c r="V138">
        <f t="shared" si="31"/>
        <v>44</v>
      </c>
      <c r="W138">
        <f t="shared" si="31"/>
        <v>46</v>
      </c>
    </row>
    <row r="139" spans="1:23">
      <c r="A139" s="22" t="s">
        <v>9</v>
      </c>
      <c r="C139">
        <f t="shared" si="33"/>
        <v>720</v>
      </c>
      <c r="D139">
        <f t="shared" si="32"/>
        <v>0</v>
      </c>
      <c r="E139">
        <f t="shared" si="31"/>
        <v>0</v>
      </c>
      <c r="F139">
        <f t="shared" si="31"/>
        <v>0</v>
      </c>
      <c r="G139">
        <f t="shared" si="31"/>
        <v>0</v>
      </c>
      <c r="H139">
        <f t="shared" si="31"/>
        <v>8</v>
      </c>
      <c r="I139">
        <f t="shared" si="31"/>
        <v>13</v>
      </c>
      <c r="J139">
        <f t="shared" si="31"/>
        <v>18</v>
      </c>
      <c r="K139">
        <f t="shared" si="31"/>
        <v>23</v>
      </c>
      <c r="L139">
        <f t="shared" si="31"/>
        <v>28</v>
      </c>
      <c r="M139">
        <f t="shared" si="31"/>
        <v>33</v>
      </c>
      <c r="N139">
        <f t="shared" si="31"/>
        <v>38</v>
      </c>
      <c r="O139">
        <f t="shared" si="31"/>
        <v>43</v>
      </c>
      <c r="P139">
        <f t="shared" si="31"/>
        <v>48</v>
      </c>
      <c r="Q139">
        <f t="shared" si="31"/>
        <v>52</v>
      </c>
      <c r="R139">
        <f t="shared" si="31"/>
        <v>57</v>
      </c>
      <c r="S139">
        <f t="shared" si="31"/>
        <v>62</v>
      </c>
      <c r="T139">
        <f t="shared" si="31"/>
        <v>67</v>
      </c>
      <c r="U139">
        <f t="shared" si="31"/>
        <v>72</v>
      </c>
      <c r="V139">
        <f t="shared" si="31"/>
        <v>77</v>
      </c>
      <c r="W139">
        <f t="shared" si="31"/>
        <v>81</v>
      </c>
    </row>
    <row r="140" spans="1:23">
      <c r="A140" s="22" t="s">
        <v>10</v>
      </c>
      <c r="C140">
        <f t="shared" si="33"/>
        <v>1433</v>
      </c>
      <c r="D140">
        <f t="shared" si="32"/>
        <v>0</v>
      </c>
      <c r="E140">
        <f t="shared" si="31"/>
        <v>0</v>
      </c>
      <c r="F140">
        <f t="shared" si="31"/>
        <v>0</v>
      </c>
      <c r="G140">
        <f t="shared" si="31"/>
        <v>8</v>
      </c>
      <c r="H140">
        <f t="shared" si="31"/>
        <v>16</v>
      </c>
      <c r="I140">
        <f t="shared" si="31"/>
        <v>26</v>
      </c>
      <c r="J140">
        <f t="shared" si="31"/>
        <v>36</v>
      </c>
      <c r="K140">
        <f t="shared" si="31"/>
        <v>46</v>
      </c>
      <c r="L140">
        <f t="shared" si="31"/>
        <v>56</v>
      </c>
      <c r="M140">
        <f t="shared" si="31"/>
        <v>65</v>
      </c>
      <c r="N140">
        <f t="shared" si="31"/>
        <v>75</v>
      </c>
      <c r="O140">
        <f t="shared" si="31"/>
        <v>85</v>
      </c>
      <c r="P140">
        <f t="shared" si="31"/>
        <v>94</v>
      </c>
      <c r="Q140">
        <f t="shared" si="31"/>
        <v>104</v>
      </c>
      <c r="R140">
        <f t="shared" si="31"/>
        <v>113</v>
      </c>
      <c r="S140">
        <f t="shared" si="31"/>
        <v>123</v>
      </c>
      <c r="T140">
        <f t="shared" si="31"/>
        <v>132</v>
      </c>
      <c r="U140">
        <f t="shared" si="31"/>
        <v>142</v>
      </c>
      <c r="V140">
        <f t="shared" si="31"/>
        <v>151</v>
      </c>
      <c r="W140">
        <f t="shared" si="31"/>
        <v>161</v>
      </c>
    </row>
    <row r="141" spans="1:23">
      <c r="A141" s="22" t="s">
        <v>11</v>
      </c>
      <c r="C141">
        <f t="shared" si="33"/>
        <v>2110</v>
      </c>
      <c r="D141">
        <f t="shared" si="32"/>
        <v>0</v>
      </c>
      <c r="E141">
        <f t="shared" si="31"/>
        <v>0</v>
      </c>
      <c r="F141">
        <f t="shared" si="31"/>
        <v>0</v>
      </c>
      <c r="G141">
        <f t="shared" si="31"/>
        <v>11</v>
      </c>
      <c r="H141">
        <f t="shared" si="31"/>
        <v>24</v>
      </c>
      <c r="I141">
        <f t="shared" si="31"/>
        <v>39</v>
      </c>
      <c r="J141">
        <f t="shared" si="31"/>
        <v>53</v>
      </c>
      <c r="K141">
        <f t="shared" si="31"/>
        <v>67</v>
      </c>
      <c r="L141">
        <f t="shared" si="31"/>
        <v>82</v>
      </c>
      <c r="M141">
        <f t="shared" si="31"/>
        <v>96</v>
      </c>
      <c r="N141">
        <f t="shared" si="31"/>
        <v>110</v>
      </c>
      <c r="O141">
        <f t="shared" si="31"/>
        <v>124</v>
      </c>
      <c r="P141">
        <f t="shared" si="31"/>
        <v>139</v>
      </c>
      <c r="Q141">
        <f t="shared" si="31"/>
        <v>153</v>
      </c>
      <c r="R141">
        <f t="shared" si="31"/>
        <v>167</v>
      </c>
      <c r="S141">
        <f t="shared" si="31"/>
        <v>181</v>
      </c>
      <c r="T141">
        <f t="shared" si="31"/>
        <v>195</v>
      </c>
      <c r="U141">
        <f t="shared" si="31"/>
        <v>209</v>
      </c>
      <c r="V141">
        <f t="shared" si="31"/>
        <v>223</v>
      </c>
      <c r="W141">
        <f t="shared" si="31"/>
        <v>237</v>
      </c>
    </row>
    <row r="142" spans="1:23">
      <c r="A142" s="22" t="s">
        <v>12</v>
      </c>
      <c r="C142">
        <f t="shared" si="33"/>
        <v>2523</v>
      </c>
      <c r="D142">
        <f t="shared" si="32"/>
        <v>0</v>
      </c>
      <c r="E142">
        <f t="shared" si="31"/>
        <v>0</v>
      </c>
      <c r="F142">
        <f t="shared" si="31"/>
        <v>0</v>
      </c>
      <c r="G142">
        <f t="shared" si="31"/>
        <v>14</v>
      </c>
      <c r="H142">
        <f t="shared" si="31"/>
        <v>29</v>
      </c>
      <c r="I142">
        <f t="shared" si="31"/>
        <v>46</v>
      </c>
      <c r="J142">
        <f t="shared" si="31"/>
        <v>63</v>
      </c>
      <c r="K142">
        <f t="shared" si="31"/>
        <v>81</v>
      </c>
      <c r="L142">
        <f t="shared" si="31"/>
        <v>98</v>
      </c>
      <c r="M142">
        <f t="shared" si="31"/>
        <v>115</v>
      </c>
      <c r="N142">
        <f t="shared" si="31"/>
        <v>132</v>
      </c>
      <c r="O142">
        <f t="shared" si="31"/>
        <v>149</v>
      </c>
      <c r="P142">
        <f t="shared" si="31"/>
        <v>166</v>
      </c>
      <c r="Q142">
        <f t="shared" si="31"/>
        <v>183</v>
      </c>
      <c r="R142">
        <f t="shared" si="31"/>
        <v>199</v>
      </c>
      <c r="S142">
        <f t="shared" si="31"/>
        <v>216</v>
      </c>
      <c r="T142">
        <f t="shared" si="31"/>
        <v>233</v>
      </c>
      <c r="U142">
        <f t="shared" si="31"/>
        <v>250</v>
      </c>
      <c r="V142">
        <f t="shared" si="31"/>
        <v>266</v>
      </c>
      <c r="W142">
        <f t="shared" si="31"/>
        <v>283</v>
      </c>
    </row>
    <row r="143" spans="1:23">
      <c r="A143" s="22" t="s">
        <v>13</v>
      </c>
      <c r="C143">
        <f t="shared" si="33"/>
        <v>2212</v>
      </c>
      <c r="D143">
        <f t="shared" si="32"/>
        <v>0</v>
      </c>
      <c r="E143">
        <f t="shared" si="31"/>
        <v>0</v>
      </c>
      <c r="F143">
        <f t="shared" si="31"/>
        <v>0</v>
      </c>
      <c r="G143">
        <f t="shared" si="31"/>
        <v>12</v>
      </c>
      <c r="H143">
        <f t="shared" si="31"/>
        <v>25</v>
      </c>
      <c r="I143">
        <f t="shared" si="31"/>
        <v>40</v>
      </c>
      <c r="J143">
        <f t="shared" si="31"/>
        <v>56</v>
      </c>
      <c r="K143">
        <f t="shared" si="31"/>
        <v>71</v>
      </c>
      <c r="L143">
        <f t="shared" si="31"/>
        <v>86</v>
      </c>
      <c r="M143">
        <f t="shared" si="31"/>
        <v>101</v>
      </c>
      <c r="N143">
        <f t="shared" si="31"/>
        <v>116</v>
      </c>
      <c r="O143">
        <f t="shared" si="31"/>
        <v>130</v>
      </c>
      <c r="P143">
        <f t="shared" si="31"/>
        <v>145</v>
      </c>
      <c r="Q143">
        <f t="shared" si="31"/>
        <v>160</v>
      </c>
      <c r="R143">
        <f t="shared" si="31"/>
        <v>175</v>
      </c>
      <c r="S143">
        <f t="shared" si="31"/>
        <v>190</v>
      </c>
      <c r="T143">
        <f t="shared" si="31"/>
        <v>204</v>
      </c>
      <c r="U143">
        <f t="shared" si="31"/>
        <v>219</v>
      </c>
      <c r="V143">
        <f t="shared" si="31"/>
        <v>234</v>
      </c>
      <c r="W143">
        <f t="shared" si="31"/>
        <v>248</v>
      </c>
    </row>
    <row r="144" spans="1:23">
      <c r="A144" s="22" t="s">
        <v>14</v>
      </c>
      <c r="C144">
        <f t="shared" si="33"/>
        <v>2425</v>
      </c>
      <c r="D144">
        <f t="shared" si="32"/>
        <v>0</v>
      </c>
      <c r="E144">
        <f t="shared" si="31"/>
        <v>0</v>
      </c>
      <c r="F144">
        <f t="shared" si="31"/>
        <v>0</v>
      </c>
      <c r="G144">
        <f t="shared" si="31"/>
        <v>13</v>
      </c>
      <c r="H144">
        <f t="shared" si="31"/>
        <v>28</v>
      </c>
      <c r="I144">
        <f t="shared" si="31"/>
        <v>44</v>
      </c>
      <c r="J144">
        <f t="shared" si="31"/>
        <v>61</v>
      </c>
      <c r="K144">
        <f t="shared" si="31"/>
        <v>78</v>
      </c>
      <c r="L144">
        <f t="shared" si="31"/>
        <v>94</v>
      </c>
      <c r="M144">
        <f t="shared" si="31"/>
        <v>110</v>
      </c>
      <c r="N144">
        <f t="shared" si="31"/>
        <v>127</v>
      </c>
      <c r="O144">
        <f t="shared" si="31"/>
        <v>143</v>
      </c>
      <c r="P144">
        <f t="shared" si="31"/>
        <v>159</v>
      </c>
      <c r="Q144">
        <f t="shared" si="31"/>
        <v>176</v>
      </c>
      <c r="R144">
        <f t="shared" si="31"/>
        <v>192</v>
      </c>
      <c r="S144">
        <f t="shared" si="31"/>
        <v>208</v>
      </c>
      <c r="T144">
        <f t="shared" si="31"/>
        <v>224</v>
      </c>
      <c r="U144">
        <f t="shared" si="31"/>
        <v>240</v>
      </c>
      <c r="V144">
        <f t="shared" si="31"/>
        <v>256</v>
      </c>
      <c r="W144">
        <f t="shared" si="31"/>
        <v>272</v>
      </c>
    </row>
    <row r="145" spans="1:23">
      <c r="A145" s="22" t="s">
        <v>15</v>
      </c>
      <c r="C145">
        <f t="shared" si="33"/>
        <v>533</v>
      </c>
      <c r="D145">
        <f t="shared" si="32"/>
        <v>0</v>
      </c>
      <c r="E145">
        <f t="shared" si="31"/>
        <v>0</v>
      </c>
      <c r="F145">
        <f t="shared" si="31"/>
        <v>0</v>
      </c>
      <c r="G145">
        <f t="shared" si="31"/>
        <v>0</v>
      </c>
      <c r="H145">
        <f t="shared" si="31"/>
        <v>6</v>
      </c>
      <c r="I145">
        <f t="shared" si="31"/>
        <v>10</v>
      </c>
      <c r="J145">
        <f t="shared" si="31"/>
        <v>13</v>
      </c>
      <c r="K145">
        <f t="shared" si="31"/>
        <v>17</v>
      </c>
      <c r="L145">
        <f t="shared" si="31"/>
        <v>21</v>
      </c>
      <c r="M145">
        <f t="shared" si="31"/>
        <v>24</v>
      </c>
      <c r="N145">
        <f t="shared" si="31"/>
        <v>28</v>
      </c>
      <c r="O145">
        <f t="shared" si="31"/>
        <v>32</v>
      </c>
      <c r="P145">
        <f t="shared" si="31"/>
        <v>35</v>
      </c>
      <c r="Q145">
        <f t="shared" si="31"/>
        <v>39</v>
      </c>
      <c r="R145">
        <f t="shared" si="31"/>
        <v>42</v>
      </c>
      <c r="S145">
        <f t="shared" si="31"/>
        <v>46</v>
      </c>
      <c r="T145">
        <f t="shared" si="31"/>
        <v>50</v>
      </c>
      <c r="U145">
        <f t="shared" si="31"/>
        <v>53</v>
      </c>
      <c r="V145">
        <f t="shared" si="31"/>
        <v>57</v>
      </c>
      <c r="W145">
        <f t="shared" si="31"/>
        <v>60</v>
      </c>
    </row>
    <row r="147" spans="1:23">
      <c r="A147" s="22" t="s">
        <v>75</v>
      </c>
    </row>
    <row r="148" spans="1:23">
      <c r="A148" s="22" t="s">
        <v>5</v>
      </c>
      <c r="C148">
        <f>SUM(D148:W148)</f>
        <v>0</v>
      </c>
      <c r="D148">
        <f t="shared" ref="D148:D158" si="34">ROUND($D135*D92,0)</f>
        <v>0</v>
      </c>
      <c r="E148">
        <f t="shared" ref="E148:E158" si="35">ROUND($D135*E92,0)+ROUND($E135*D92,0)</f>
        <v>0</v>
      </c>
      <c r="F148">
        <f t="shared" ref="F148:F158" si="36">ROUND($D135*F92,0)+ROUND($E135*E92,0)+ROUND($F135*D92,0)</f>
        <v>0</v>
      </c>
      <c r="G148">
        <f t="shared" ref="G148:G158" si="37">ROUND($D135*G92,0)+ROUND($E135*F92,0)+ROUND($F135*E92,0)+ROUND($G135*D92,0)</f>
        <v>0</v>
      </c>
      <c r="H148">
        <f t="shared" ref="H148:H158" si="38">ROUND($D135*H92,0)+ROUND($E135*G92,0)+ROUND($F135*F92,0)+ROUND($G135*E92,0)+ROUND($H135*D92,0)</f>
        <v>0</v>
      </c>
      <c r="I148">
        <f t="shared" ref="I148:I158" si="39">ROUND($D135*I92,0)+ROUND($E135*H92,0)+ROUND($F135*G92,0)+ROUND($G135*F92,0)+ROUND($H135*E92,0)+ROUND($I135*D92,0)</f>
        <v>0</v>
      </c>
      <c r="J148">
        <f t="shared" ref="J148:J158" si="40">ROUND($D135*J92,0)+ROUND($E135*I92,0)+ROUND($F135*H92,0)+ROUND($G135*G92,0)+ROUND($H135*F92,0)+ROUND($I135*E92,0)+ROUND($J135*D92,0)</f>
        <v>0</v>
      </c>
      <c r="K148">
        <f t="shared" ref="K148:K158" si="41">ROUND($D135*K92,0)+ROUND($E135*J92,0)+ROUND($F135*I92,0)+ROUND($G135*H92,0)+ROUND($H135*G92,0)+ROUND($I135*F92,0)+ROUND($J135*E92,0)+ROUND($K135*D92,0)</f>
        <v>0</v>
      </c>
      <c r="L148">
        <f t="shared" ref="L148:L158" si="42">ROUND($D135*L92,0)+ROUND($E135*K92,0)+ROUND($F135*J92,0)+ROUND($G135*I92,0)+ROUND($H135*H92,0)+ROUND($I135*G92,0)+ROUND($J135*F92,0)+ROUND($K135*E92,0)+ROUND($L135*D92,0)</f>
        <v>0</v>
      </c>
      <c r="M148">
        <f t="shared" ref="M148:M158" si="43">ROUND($D135*M92,0)+ROUND($E135*L92,0)+ROUND($F135*K92,0)+ROUND($G135*J92,0)+ROUND($H135*I92,0)+ROUND($I135*H92,0)+ROUND($J135*G92,0)+ROUND($K135*F92,0)+ROUND($L135*E92,0)+ROUND($M135*D92,0)</f>
        <v>0</v>
      </c>
      <c r="N148">
        <f t="shared" ref="N148:N158" si="44">ROUND($D135*N92,0)+ROUND($E135*M92,0)+ROUND($F135*L92,0)+ROUND($G135*K92,0)+ROUND($H135*J92,0)+ROUND($I135*I92,0)+ROUND($J135*H92,0)+ROUND($K135*G92,0)+ROUND($L135*F92,0)+ROUND($M135*E92,0)+ROUND($N135*D92,0)</f>
        <v>0</v>
      </c>
      <c r="O148">
        <f t="shared" ref="O148:O158" si="45">ROUND($D135*O92,0)+ROUND($E135*N92,0)+ROUND($F135*M92,0)+ROUND($G135*L92,0)+ROUND($H135*K92,0)+ROUND($I135*J92,0)+ROUND($J135*I92,0)+ROUND($K135*H92,0)+ROUND($L135*G92,0)+ROUND($M135*F92,0)+ROUND($N135*E92,0)+ROUND($O135*D92,0)</f>
        <v>0</v>
      </c>
      <c r="P148">
        <f t="shared" ref="P148:P158" si="46">ROUND($D135*P92,0)+ROUND($E135*O92,0)+ROUND($F135*N92,0)+ROUND($G135*M92,0)+ROUND($H135*L92,0)+ROUND($I135*K92,0)+ROUND($J135*J92,0)+ROUND($K135*I92,0)+ROUND($L135*H92,0)+ROUND($M135*G92,0)+ROUND($N135*F92,0)+ROUND($O135*E92,0)+ROUND($P135*D92,0)</f>
        <v>0</v>
      </c>
      <c r="Q148">
        <f t="shared" ref="Q148:Q158" si="47">ROUND($D135*Q92,0)+ROUND($E135*P92,0)+ROUND($F135*O92,0)+ROUND($G135*N92,0)+ROUND($H135*M92,0)+ROUND($I135*L92,0)+ROUND($J135*K92,0)+ROUND($K135*J92,0)+ROUND($L135*I92,0)+ROUND($M135*H92,0)+ROUND($N135*G92,0)+ROUND($O135*F92,0)+ROUND($P135*E92,0)+ROUND($Q135*D92,0)</f>
        <v>0</v>
      </c>
      <c r="R148">
        <f t="shared" ref="R148:R158" si="48">ROUND($D135*R92,0)+ROUND($E135*Q92,0)+ROUND($F135*P92,0)+ROUND($G135*O92,0)+ROUND($H135*N92,0)+ROUND($I135*M92,0)+ROUND($J135*L92,0)+ROUND($K135*K92,0)+ROUND($L135*J92,0)+ROUND($M135*I92,0)+ROUND($N135*H92,0)+ROUND($O135*G92,0)+ROUND($P135*F92,0)+ROUND($Q135*E92,0)+ROUND($R135*D92,0)</f>
        <v>0</v>
      </c>
      <c r="S148">
        <f t="shared" ref="S148:S158" si="49">ROUND($D135*S92,0)+ROUND($E135*R92,0)+ROUND($F135*Q92,0)+ROUND($G135*P92,0)+ROUND($H135*O92,0)+ROUND($I135*N92,0)+ROUND($J135*M92,0)+ROUND($K135*L92,0)+ROUND($L135*K92,0)+ROUND($M135*J92,0)+ROUND($N135*I92,0)+ROUND($O135*H92,0)+ROUND($P135*G92,0)+ROUND($Q135*F92,0)+ROUND($R135*E92,0)+ROUND($S135*D92,0)</f>
        <v>0</v>
      </c>
      <c r="T148">
        <f t="shared" ref="T148:T158" si="50">ROUND($D135*T92,0)+ROUND($E135*S92,0)+ROUND($F135*R92,0)+ROUND($G135*Q92,0)+ROUND($H135*P92,0)+ROUND($I135*O92,0)+ROUND($J135*N92,0)+ROUND($K135*M92,0)+ROUND($L135*L92,0)+ROUND($M135*K92,0)+ROUND($N135*J92,0)+ROUND($O135*I92,0)+ROUND($P135*H92,0)+ROUND($Q135*G92,0)+ROUND($R135*F92,0)+ROUND($S135*E92,0)+ROUND($T135*D92,0)</f>
        <v>0</v>
      </c>
      <c r="U148">
        <f t="shared" ref="U148:U158" si="51">ROUND($D135*U92,0)+ROUND($E135*T92,0)+ROUND($F135*S92,0)+ROUND($G135*R92,0)+ROUND($H135*Q92,0)+ROUND($I135*P92,0)+ROUND($J135*O92,0)+ROUND($K135*N92,0)+ROUND($L135*M92,0)+ROUND($M135*L92,0)+ROUND($N135*K92,0)+ROUND($O135*J92,0)+ROUND($P135*I92,0)+ROUND($Q135*H92,0)+ROUND($R135*G92,0)+ROUND($S135*F92,0)+ROUND($T135*E92,0)+ROUND($U135*D92,0)</f>
        <v>0</v>
      </c>
      <c r="V148">
        <f t="shared" ref="V148:V158" si="52">ROUND($D135*V92,0)+ROUND($E135*U92,0)+ROUND($F135*T92,0)+ROUND($G135*S92,0)+ROUND($H135*R92,0)+ROUND($I135*Q92,0)+ROUND($J135*P92,0)+ROUND($K135*O92,0)+ROUND($L135*N92,0)+ROUND($M135*M92,0)+ROUND($N135*L92,0)+ROUND($O135*K92,0)+ROUND($P135*J92,0)+ROUND($Q135*I92,0)+ROUND($R135*H92,0)+ROUND($S135*G92,0)+ROUND($T135*F92,0)+ROUND($U135*E92,0)+ROUND($V135*D92,0)</f>
        <v>0</v>
      </c>
      <c r="W148">
        <f t="shared" ref="W148:W158" si="53">ROUND($D135*W92,0)+ROUND($E135*V92,0)+ROUND($F135*U92,0)+ROUND($G135*T92,0)+ROUND($H135*S92,0)+ROUND($I135*R92,0)+ROUND($J135*Q92,0)+ROUND($K135*P92,0)+ROUND($L135*O92,0)+ROUND($M135*N92,0)+ROUND($N135*M92,0)+ROUND($O135*L92,0)+ROUND($P135*K92,0)+ROUND($Q135*J92,0)+ROUND($R135*I92,0)+ROUND($S135*H92,0)+ROUND($T135*G92,0)+ROUND($U135*F92,0)+ROUND($V135*E92,0)+ROUND($W135*D92,0)</f>
        <v>0</v>
      </c>
    </row>
    <row r="149" spans="1:23">
      <c r="A149" s="22" t="s">
        <v>6</v>
      </c>
      <c r="C149">
        <f>SUM(D149:W149)</f>
        <v>12</v>
      </c>
      <c r="D149">
        <f t="shared" si="34"/>
        <v>0</v>
      </c>
      <c r="E149">
        <f t="shared" si="35"/>
        <v>0</v>
      </c>
      <c r="F149">
        <f t="shared" si="36"/>
        <v>0</v>
      </c>
      <c r="G149">
        <f t="shared" si="37"/>
        <v>0</v>
      </c>
      <c r="H149">
        <f t="shared" si="38"/>
        <v>0</v>
      </c>
      <c r="I149">
        <f t="shared" si="39"/>
        <v>0</v>
      </c>
      <c r="J149">
        <f t="shared" si="40"/>
        <v>0</v>
      </c>
      <c r="K149">
        <f t="shared" si="41"/>
        <v>0</v>
      </c>
      <c r="L149">
        <f t="shared" si="42"/>
        <v>0</v>
      </c>
      <c r="M149">
        <f t="shared" si="43"/>
        <v>0</v>
      </c>
      <c r="N149">
        <f t="shared" si="44"/>
        <v>0</v>
      </c>
      <c r="O149">
        <f t="shared" si="45"/>
        <v>0</v>
      </c>
      <c r="P149">
        <f t="shared" si="46"/>
        <v>0</v>
      </c>
      <c r="Q149">
        <f t="shared" si="47"/>
        <v>0</v>
      </c>
      <c r="R149">
        <f t="shared" si="48"/>
        <v>0</v>
      </c>
      <c r="S149">
        <f t="shared" si="49"/>
        <v>0</v>
      </c>
      <c r="T149">
        <f t="shared" si="50"/>
        <v>1</v>
      </c>
      <c r="U149">
        <f t="shared" si="51"/>
        <v>2</v>
      </c>
      <c r="V149">
        <f t="shared" si="52"/>
        <v>4</v>
      </c>
      <c r="W149">
        <f t="shared" si="53"/>
        <v>5</v>
      </c>
    </row>
    <row r="150" spans="1:23">
      <c r="A150" s="22" t="s">
        <v>7</v>
      </c>
      <c r="C150">
        <f t="shared" ref="C150:C158" si="54">SUM(D150:W150)</f>
        <v>75</v>
      </c>
      <c r="D150">
        <f t="shared" si="34"/>
        <v>0</v>
      </c>
      <c r="E150">
        <f t="shared" si="35"/>
        <v>0</v>
      </c>
      <c r="F150">
        <f t="shared" si="36"/>
        <v>0</v>
      </c>
      <c r="G150">
        <f t="shared" si="37"/>
        <v>0</v>
      </c>
      <c r="H150">
        <f t="shared" si="38"/>
        <v>0</v>
      </c>
      <c r="I150">
        <f t="shared" si="39"/>
        <v>0</v>
      </c>
      <c r="J150">
        <f t="shared" si="40"/>
        <v>0</v>
      </c>
      <c r="K150">
        <f t="shared" si="41"/>
        <v>0</v>
      </c>
      <c r="L150">
        <f t="shared" si="42"/>
        <v>0</v>
      </c>
      <c r="M150">
        <f t="shared" si="43"/>
        <v>0</v>
      </c>
      <c r="N150">
        <f t="shared" si="44"/>
        <v>0</v>
      </c>
      <c r="O150">
        <f t="shared" si="45"/>
        <v>2</v>
      </c>
      <c r="P150">
        <f t="shared" si="46"/>
        <v>4</v>
      </c>
      <c r="Q150">
        <f t="shared" si="47"/>
        <v>5</v>
      </c>
      <c r="R150">
        <f t="shared" si="48"/>
        <v>7</v>
      </c>
      <c r="S150">
        <f t="shared" si="49"/>
        <v>8</v>
      </c>
      <c r="T150">
        <f t="shared" si="50"/>
        <v>9</v>
      </c>
      <c r="U150">
        <f t="shared" si="51"/>
        <v>12</v>
      </c>
      <c r="V150">
        <f t="shared" si="52"/>
        <v>14</v>
      </c>
      <c r="W150">
        <f t="shared" si="53"/>
        <v>14</v>
      </c>
    </row>
    <row r="151" spans="1:23">
      <c r="A151" s="22" t="s">
        <v>8</v>
      </c>
      <c r="C151">
        <f t="shared" si="54"/>
        <v>123</v>
      </c>
      <c r="D151">
        <f t="shared" si="34"/>
        <v>0</v>
      </c>
      <c r="E151">
        <f t="shared" si="35"/>
        <v>0</v>
      </c>
      <c r="F151">
        <f t="shared" si="36"/>
        <v>0</v>
      </c>
      <c r="G151">
        <f t="shared" si="37"/>
        <v>0</v>
      </c>
      <c r="H151">
        <f t="shared" si="38"/>
        <v>0</v>
      </c>
      <c r="I151">
        <f t="shared" si="39"/>
        <v>0</v>
      </c>
      <c r="J151">
        <f t="shared" si="40"/>
        <v>0</v>
      </c>
      <c r="K151">
        <f t="shared" si="41"/>
        <v>0</v>
      </c>
      <c r="L151">
        <f t="shared" si="42"/>
        <v>0</v>
      </c>
      <c r="M151">
        <f t="shared" si="43"/>
        <v>0</v>
      </c>
      <c r="N151">
        <f t="shared" si="44"/>
        <v>3</v>
      </c>
      <c r="O151">
        <f t="shared" si="45"/>
        <v>5</v>
      </c>
      <c r="P151">
        <f t="shared" si="46"/>
        <v>6</v>
      </c>
      <c r="Q151">
        <f t="shared" si="47"/>
        <v>7</v>
      </c>
      <c r="R151">
        <f t="shared" si="48"/>
        <v>11</v>
      </c>
      <c r="S151">
        <f t="shared" si="49"/>
        <v>13</v>
      </c>
      <c r="T151">
        <f t="shared" si="50"/>
        <v>15</v>
      </c>
      <c r="U151">
        <f t="shared" si="51"/>
        <v>19</v>
      </c>
      <c r="V151">
        <f t="shared" si="52"/>
        <v>21</v>
      </c>
      <c r="W151">
        <f t="shared" si="53"/>
        <v>23</v>
      </c>
    </row>
    <row r="152" spans="1:23">
      <c r="A152" s="22" t="s">
        <v>9</v>
      </c>
      <c r="C152">
        <f t="shared" si="54"/>
        <v>266</v>
      </c>
      <c r="D152">
        <f t="shared" si="34"/>
        <v>0</v>
      </c>
      <c r="E152">
        <f t="shared" si="35"/>
        <v>0</v>
      </c>
      <c r="F152">
        <f t="shared" si="36"/>
        <v>0</v>
      </c>
      <c r="G152">
        <f t="shared" si="37"/>
        <v>0</v>
      </c>
      <c r="H152">
        <f t="shared" si="38"/>
        <v>0</v>
      </c>
      <c r="I152">
        <f t="shared" si="39"/>
        <v>0</v>
      </c>
      <c r="J152">
        <f t="shared" si="40"/>
        <v>0</v>
      </c>
      <c r="K152">
        <f t="shared" si="41"/>
        <v>0</v>
      </c>
      <c r="L152">
        <f t="shared" si="42"/>
        <v>3</v>
      </c>
      <c r="M152">
        <f t="shared" si="43"/>
        <v>5</v>
      </c>
      <c r="N152">
        <f t="shared" si="44"/>
        <v>6</v>
      </c>
      <c r="O152">
        <f t="shared" si="45"/>
        <v>11</v>
      </c>
      <c r="P152">
        <f t="shared" si="46"/>
        <v>13</v>
      </c>
      <c r="Q152">
        <f t="shared" si="47"/>
        <v>18</v>
      </c>
      <c r="R152">
        <f t="shared" si="48"/>
        <v>23</v>
      </c>
      <c r="S152">
        <f t="shared" si="49"/>
        <v>28</v>
      </c>
      <c r="T152">
        <f t="shared" si="50"/>
        <v>33</v>
      </c>
      <c r="U152">
        <f t="shared" si="51"/>
        <v>36</v>
      </c>
      <c r="V152">
        <f t="shared" si="52"/>
        <v>43</v>
      </c>
      <c r="W152">
        <f t="shared" si="53"/>
        <v>47</v>
      </c>
    </row>
    <row r="153" spans="1:23">
      <c r="A153" s="22" t="s">
        <v>10</v>
      </c>
      <c r="C153">
        <f t="shared" si="54"/>
        <v>541</v>
      </c>
      <c r="D153">
        <f t="shared" si="34"/>
        <v>0</v>
      </c>
      <c r="E153">
        <f t="shared" si="35"/>
        <v>0</v>
      </c>
      <c r="F153">
        <f t="shared" si="36"/>
        <v>0</v>
      </c>
      <c r="G153">
        <f t="shared" si="37"/>
        <v>0</v>
      </c>
      <c r="H153">
        <f t="shared" si="38"/>
        <v>0</v>
      </c>
      <c r="I153">
        <f t="shared" si="39"/>
        <v>0</v>
      </c>
      <c r="J153">
        <f t="shared" si="40"/>
        <v>1</v>
      </c>
      <c r="K153">
        <f t="shared" si="41"/>
        <v>4</v>
      </c>
      <c r="L153">
        <f t="shared" si="42"/>
        <v>5</v>
      </c>
      <c r="M153">
        <f t="shared" si="43"/>
        <v>11</v>
      </c>
      <c r="N153">
        <f t="shared" si="44"/>
        <v>16</v>
      </c>
      <c r="O153">
        <f t="shared" si="45"/>
        <v>21</v>
      </c>
      <c r="P153">
        <f t="shared" si="46"/>
        <v>30</v>
      </c>
      <c r="Q153">
        <f t="shared" si="47"/>
        <v>38</v>
      </c>
      <c r="R153">
        <f t="shared" si="48"/>
        <v>46</v>
      </c>
      <c r="S153">
        <f t="shared" si="49"/>
        <v>54</v>
      </c>
      <c r="T153">
        <f t="shared" si="50"/>
        <v>65</v>
      </c>
      <c r="U153">
        <f t="shared" si="51"/>
        <v>73</v>
      </c>
      <c r="V153">
        <f t="shared" si="52"/>
        <v>83</v>
      </c>
      <c r="W153">
        <f t="shared" si="53"/>
        <v>94</v>
      </c>
    </row>
    <row r="154" spans="1:23">
      <c r="A154" s="22" t="s">
        <v>11</v>
      </c>
      <c r="C154">
        <f t="shared" si="54"/>
        <v>919</v>
      </c>
      <c r="D154">
        <f t="shared" si="34"/>
        <v>0</v>
      </c>
      <c r="E154">
        <f t="shared" si="35"/>
        <v>0</v>
      </c>
      <c r="F154">
        <f t="shared" si="36"/>
        <v>0</v>
      </c>
      <c r="G154">
        <f t="shared" si="37"/>
        <v>0</v>
      </c>
      <c r="H154">
        <f t="shared" si="38"/>
        <v>0</v>
      </c>
      <c r="I154">
        <f t="shared" si="39"/>
        <v>3</v>
      </c>
      <c r="J154">
        <f t="shared" si="40"/>
        <v>4</v>
      </c>
      <c r="K154">
        <f t="shared" si="41"/>
        <v>8</v>
      </c>
      <c r="L154">
        <f t="shared" si="42"/>
        <v>13</v>
      </c>
      <c r="M154">
        <f t="shared" si="43"/>
        <v>21</v>
      </c>
      <c r="N154">
        <f t="shared" si="44"/>
        <v>29</v>
      </c>
      <c r="O154">
        <f t="shared" si="45"/>
        <v>41</v>
      </c>
      <c r="P154">
        <f t="shared" si="46"/>
        <v>54</v>
      </c>
      <c r="Q154">
        <f t="shared" si="47"/>
        <v>67</v>
      </c>
      <c r="R154">
        <f t="shared" si="48"/>
        <v>79</v>
      </c>
      <c r="S154">
        <f t="shared" si="49"/>
        <v>92</v>
      </c>
      <c r="T154">
        <f t="shared" si="50"/>
        <v>107</v>
      </c>
      <c r="U154">
        <f t="shared" si="51"/>
        <v>120</v>
      </c>
      <c r="V154">
        <f t="shared" si="52"/>
        <v>135</v>
      </c>
      <c r="W154">
        <f t="shared" si="53"/>
        <v>146</v>
      </c>
    </row>
    <row r="155" spans="1:23">
      <c r="A155" s="22" t="s">
        <v>12</v>
      </c>
      <c r="C155">
        <f t="shared" si="54"/>
        <v>1106</v>
      </c>
      <c r="D155">
        <f t="shared" si="34"/>
        <v>0</v>
      </c>
      <c r="E155">
        <f t="shared" si="35"/>
        <v>0</v>
      </c>
      <c r="F155">
        <f t="shared" si="36"/>
        <v>0</v>
      </c>
      <c r="G155">
        <f t="shared" si="37"/>
        <v>0</v>
      </c>
      <c r="H155">
        <f t="shared" si="38"/>
        <v>1</v>
      </c>
      <c r="I155">
        <f t="shared" si="39"/>
        <v>3</v>
      </c>
      <c r="J155">
        <f t="shared" si="40"/>
        <v>6</v>
      </c>
      <c r="K155">
        <f t="shared" si="41"/>
        <v>9</v>
      </c>
      <c r="L155">
        <f t="shared" si="42"/>
        <v>17</v>
      </c>
      <c r="M155">
        <f t="shared" si="43"/>
        <v>25</v>
      </c>
      <c r="N155">
        <f t="shared" si="44"/>
        <v>37</v>
      </c>
      <c r="O155">
        <f t="shared" si="45"/>
        <v>49</v>
      </c>
      <c r="P155">
        <f t="shared" si="46"/>
        <v>62</v>
      </c>
      <c r="Q155">
        <f t="shared" si="47"/>
        <v>79</v>
      </c>
      <c r="R155">
        <f t="shared" si="48"/>
        <v>95</v>
      </c>
      <c r="S155">
        <f t="shared" si="49"/>
        <v>112</v>
      </c>
      <c r="T155">
        <f t="shared" si="50"/>
        <v>129</v>
      </c>
      <c r="U155">
        <f t="shared" si="51"/>
        <v>144</v>
      </c>
      <c r="V155">
        <f t="shared" si="52"/>
        <v>160</v>
      </c>
      <c r="W155">
        <f t="shared" si="53"/>
        <v>178</v>
      </c>
    </row>
    <row r="156" spans="1:23">
      <c r="A156" s="22" t="s">
        <v>13</v>
      </c>
      <c r="C156">
        <f t="shared" si="54"/>
        <v>1141</v>
      </c>
      <c r="D156">
        <f t="shared" si="34"/>
        <v>0</v>
      </c>
      <c r="E156">
        <f t="shared" si="35"/>
        <v>0</v>
      </c>
      <c r="F156">
        <f t="shared" si="36"/>
        <v>0</v>
      </c>
      <c r="G156">
        <f t="shared" si="37"/>
        <v>0</v>
      </c>
      <c r="H156">
        <f t="shared" si="38"/>
        <v>0</v>
      </c>
      <c r="I156">
        <f t="shared" si="39"/>
        <v>2</v>
      </c>
      <c r="J156">
        <f t="shared" si="40"/>
        <v>4</v>
      </c>
      <c r="K156">
        <f t="shared" si="41"/>
        <v>11</v>
      </c>
      <c r="L156">
        <f t="shared" si="42"/>
        <v>18</v>
      </c>
      <c r="M156">
        <f t="shared" si="43"/>
        <v>29</v>
      </c>
      <c r="N156">
        <f t="shared" si="44"/>
        <v>42</v>
      </c>
      <c r="O156">
        <f t="shared" si="45"/>
        <v>55</v>
      </c>
      <c r="P156">
        <f t="shared" si="46"/>
        <v>71</v>
      </c>
      <c r="Q156">
        <f t="shared" si="47"/>
        <v>85</v>
      </c>
      <c r="R156">
        <f t="shared" si="48"/>
        <v>100</v>
      </c>
      <c r="S156">
        <f t="shared" si="49"/>
        <v>116</v>
      </c>
      <c r="T156">
        <f t="shared" si="50"/>
        <v>129</v>
      </c>
      <c r="U156">
        <f t="shared" si="51"/>
        <v>145</v>
      </c>
      <c r="V156">
        <f t="shared" si="52"/>
        <v>161</v>
      </c>
      <c r="W156">
        <f t="shared" si="53"/>
        <v>173</v>
      </c>
    </row>
    <row r="157" spans="1:23">
      <c r="A157" s="22" t="s">
        <v>14</v>
      </c>
      <c r="C157">
        <f t="shared" si="54"/>
        <v>1244</v>
      </c>
      <c r="D157">
        <f t="shared" si="34"/>
        <v>0</v>
      </c>
      <c r="E157">
        <f t="shared" si="35"/>
        <v>0</v>
      </c>
      <c r="F157">
        <f t="shared" si="36"/>
        <v>0</v>
      </c>
      <c r="G157">
        <f t="shared" si="37"/>
        <v>0</v>
      </c>
      <c r="H157">
        <f t="shared" si="38"/>
        <v>0</v>
      </c>
      <c r="I157">
        <f t="shared" si="39"/>
        <v>2</v>
      </c>
      <c r="J157">
        <f t="shared" si="40"/>
        <v>6</v>
      </c>
      <c r="K157">
        <f t="shared" si="41"/>
        <v>11</v>
      </c>
      <c r="L157">
        <f t="shared" si="42"/>
        <v>20</v>
      </c>
      <c r="M157">
        <f t="shared" si="43"/>
        <v>32</v>
      </c>
      <c r="N157">
        <f t="shared" si="44"/>
        <v>46</v>
      </c>
      <c r="O157">
        <f t="shared" si="45"/>
        <v>60</v>
      </c>
      <c r="P157">
        <f t="shared" si="46"/>
        <v>77</v>
      </c>
      <c r="Q157">
        <f t="shared" si="47"/>
        <v>93</v>
      </c>
      <c r="R157">
        <f t="shared" si="48"/>
        <v>109</v>
      </c>
      <c r="S157">
        <f t="shared" si="49"/>
        <v>124</v>
      </c>
      <c r="T157">
        <f t="shared" si="50"/>
        <v>142</v>
      </c>
      <c r="U157">
        <f t="shared" si="51"/>
        <v>158</v>
      </c>
      <c r="V157">
        <f t="shared" si="52"/>
        <v>174</v>
      </c>
      <c r="W157">
        <f t="shared" si="53"/>
        <v>190</v>
      </c>
    </row>
    <row r="158" spans="1:23">
      <c r="A158" s="22" t="s">
        <v>15</v>
      </c>
      <c r="C158">
        <f t="shared" si="54"/>
        <v>313</v>
      </c>
      <c r="D158">
        <f t="shared" si="34"/>
        <v>0</v>
      </c>
      <c r="E158">
        <f t="shared" si="35"/>
        <v>0</v>
      </c>
      <c r="F158">
        <f t="shared" si="36"/>
        <v>0</v>
      </c>
      <c r="G158">
        <f t="shared" si="37"/>
        <v>0</v>
      </c>
      <c r="H158">
        <f t="shared" si="38"/>
        <v>0</v>
      </c>
      <c r="I158">
        <f t="shared" si="39"/>
        <v>0</v>
      </c>
      <c r="J158">
        <f t="shared" si="40"/>
        <v>2</v>
      </c>
      <c r="K158">
        <f t="shared" si="41"/>
        <v>3</v>
      </c>
      <c r="L158">
        <f t="shared" si="42"/>
        <v>7</v>
      </c>
      <c r="M158">
        <f t="shared" si="43"/>
        <v>9</v>
      </c>
      <c r="N158">
        <f t="shared" si="44"/>
        <v>15</v>
      </c>
      <c r="O158">
        <f t="shared" si="45"/>
        <v>16</v>
      </c>
      <c r="P158">
        <f t="shared" si="46"/>
        <v>20</v>
      </c>
      <c r="Q158">
        <f t="shared" si="47"/>
        <v>24</v>
      </c>
      <c r="R158">
        <f t="shared" si="48"/>
        <v>28</v>
      </c>
      <c r="S158">
        <f t="shared" si="49"/>
        <v>30</v>
      </c>
      <c r="T158">
        <f t="shared" si="50"/>
        <v>35</v>
      </c>
      <c r="U158">
        <f t="shared" si="51"/>
        <v>38</v>
      </c>
      <c r="V158">
        <f t="shared" si="52"/>
        <v>41</v>
      </c>
      <c r="W158">
        <f t="shared" si="53"/>
        <v>45</v>
      </c>
    </row>
    <row r="160" spans="1:23">
      <c r="A160" s="22" t="s">
        <v>77</v>
      </c>
    </row>
    <row r="161" spans="1:23">
      <c r="A161" s="22" t="s">
        <v>5</v>
      </c>
      <c r="C161">
        <f t="shared" ref="C161:C171" ca="1" si="55">SUM(D161:W161)</f>
        <v>10</v>
      </c>
      <c r="D161">
        <f t="shared" ref="D161:W161" ca="1" si="56">D121+D148</f>
        <v>0</v>
      </c>
      <c r="E161">
        <f t="shared" ca="1" si="56"/>
        <v>0</v>
      </c>
      <c r="F161">
        <f t="shared" ca="1" si="56"/>
        <v>0</v>
      </c>
      <c r="G161">
        <f t="shared" ca="1" si="56"/>
        <v>0</v>
      </c>
      <c r="H161">
        <f t="shared" ca="1" si="56"/>
        <v>0</v>
      </c>
      <c r="I161">
        <f t="shared" ca="1" si="56"/>
        <v>0</v>
      </c>
      <c r="J161">
        <f t="shared" ca="1" si="56"/>
        <v>0</v>
      </c>
      <c r="K161">
        <f t="shared" ca="1" si="56"/>
        <v>0</v>
      </c>
      <c r="L161">
        <f t="shared" ca="1" si="56"/>
        <v>0</v>
      </c>
      <c r="M161">
        <f t="shared" ca="1" si="56"/>
        <v>0</v>
      </c>
      <c r="N161">
        <f t="shared" ca="1" si="56"/>
        <v>0</v>
      </c>
      <c r="O161">
        <f t="shared" ca="1" si="56"/>
        <v>0</v>
      </c>
      <c r="P161">
        <f t="shared" ca="1" si="56"/>
        <v>0</v>
      </c>
      <c r="Q161">
        <f t="shared" ca="1" si="56"/>
        <v>0</v>
      </c>
      <c r="R161">
        <f t="shared" ca="1" si="56"/>
        <v>1</v>
      </c>
      <c r="S161">
        <f t="shared" ca="1" si="56"/>
        <v>1</v>
      </c>
      <c r="T161">
        <f t="shared" ca="1" si="56"/>
        <v>1</v>
      </c>
      <c r="U161">
        <f t="shared" ca="1" si="56"/>
        <v>2</v>
      </c>
      <c r="V161">
        <f t="shared" ca="1" si="56"/>
        <v>2</v>
      </c>
      <c r="W161">
        <f t="shared" ca="1" si="56"/>
        <v>3</v>
      </c>
    </row>
    <row r="162" spans="1:23">
      <c r="A162" s="22" t="s">
        <v>6</v>
      </c>
      <c r="C162">
        <f t="shared" ca="1" si="55"/>
        <v>26</v>
      </c>
      <c r="D162">
        <f t="shared" ref="D162:W162" ca="1" si="57">D122+D149</f>
        <v>0</v>
      </c>
      <c r="E162">
        <f t="shared" ca="1" si="57"/>
        <v>0</v>
      </c>
      <c r="F162">
        <f t="shared" ca="1" si="57"/>
        <v>0</v>
      </c>
      <c r="G162">
        <f t="shared" ca="1" si="57"/>
        <v>0</v>
      </c>
      <c r="H162">
        <f t="shared" ca="1" si="57"/>
        <v>0</v>
      </c>
      <c r="I162">
        <f t="shared" ca="1" si="57"/>
        <v>0</v>
      </c>
      <c r="J162">
        <f t="shared" ca="1" si="57"/>
        <v>0</v>
      </c>
      <c r="K162">
        <f t="shared" ca="1" si="57"/>
        <v>0</v>
      </c>
      <c r="L162">
        <f t="shared" ca="1" si="57"/>
        <v>0</v>
      </c>
      <c r="M162">
        <f t="shared" ca="1" si="57"/>
        <v>0</v>
      </c>
      <c r="N162">
        <f t="shared" ca="1" si="57"/>
        <v>0</v>
      </c>
      <c r="O162">
        <f t="shared" ca="1" si="57"/>
        <v>0</v>
      </c>
      <c r="P162">
        <f t="shared" ca="1" si="57"/>
        <v>0</v>
      </c>
      <c r="Q162">
        <f t="shared" ca="1" si="57"/>
        <v>1</v>
      </c>
      <c r="R162">
        <f t="shared" ca="1" si="57"/>
        <v>1</v>
      </c>
      <c r="S162">
        <f t="shared" ca="1" si="57"/>
        <v>2</v>
      </c>
      <c r="T162">
        <f t="shared" ca="1" si="57"/>
        <v>4</v>
      </c>
      <c r="U162">
        <f t="shared" ca="1" si="57"/>
        <v>5</v>
      </c>
      <c r="V162">
        <f t="shared" ca="1" si="57"/>
        <v>8</v>
      </c>
      <c r="W162">
        <f t="shared" ca="1" si="57"/>
        <v>5</v>
      </c>
    </row>
    <row r="163" spans="1:23">
      <c r="A163" s="22" t="s">
        <v>7</v>
      </c>
      <c r="C163">
        <f t="shared" ca="1" si="55"/>
        <v>79</v>
      </c>
      <c r="D163">
        <f t="shared" ref="D163:W163" ca="1" si="58">D123+D150</f>
        <v>0</v>
      </c>
      <c r="E163">
        <f t="shared" ca="1" si="58"/>
        <v>0</v>
      </c>
      <c r="F163">
        <f t="shared" ca="1" si="58"/>
        <v>0</v>
      </c>
      <c r="G163">
        <f t="shared" ca="1" si="58"/>
        <v>0</v>
      </c>
      <c r="H163">
        <f t="shared" ca="1" si="58"/>
        <v>0</v>
      </c>
      <c r="I163">
        <f t="shared" ca="1" si="58"/>
        <v>0</v>
      </c>
      <c r="J163">
        <f t="shared" ca="1" si="58"/>
        <v>0</v>
      </c>
      <c r="K163">
        <f t="shared" ca="1" si="58"/>
        <v>0</v>
      </c>
      <c r="L163">
        <f t="shared" ca="1" si="58"/>
        <v>0</v>
      </c>
      <c r="M163">
        <f t="shared" ca="1" si="58"/>
        <v>0</v>
      </c>
      <c r="N163">
        <f t="shared" ca="1" si="58"/>
        <v>0</v>
      </c>
      <c r="O163">
        <f t="shared" ca="1" si="58"/>
        <v>2</v>
      </c>
      <c r="P163">
        <f t="shared" ca="1" si="58"/>
        <v>5</v>
      </c>
      <c r="Q163">
        <f t="shared" ca="1" si="58"/>
        <v>8</v>
      </c>
      <c r="R163">
        <f t="shared" ca="1" si="58"/>
        <v>7</v>
      </c>
      <c r="S163">
        <f t="shared" ca="1" si="58"/>
        <v>8</v>
      </c>
      <c r="T163">
        <f t="shared" ca="1" si="58"/>
        <v>9</v>
      </c>
      <c r="U163">
        <f t="shared" ca="1" si="58"/>
        <v>12</v>
      </c>
      <c r="V163">
        <f t="shared" ca="1" si="58"/>
        <v>14</v>
      </c>
      <c r="W163">
        <f t="shared" ca="1" si="58"/>
        <v>14</v>
      </c>
    </row>
    <row r="164" spans="1:23">
      <c r="A164" s="22" t="s">
        <v>8</v>
      </c>
      <c r="C164">
        <f t="shared" ca="1" si="55"/>
        <v>126</v>
      </c>
      <c r="D164">
        <f t="shared" ref="D164:W164" ca="1" si="59">D124+D151</f>
        <v>0</v>
      </c>
      <c r="E164">
        <f t="shared" ca="1" si="59"/>
        <v>0</v>
      </c>
      <c r="F164">
        <f t="shared" ca="1" si="59"/>
        <v>0</v>
      </c>
      <c r="G164">
        <f t="shared" ca="1" si="59"/>
        <v>0</v>
      </c>
      <c r="H164">
        <f t="shared" ca="1" si="59"/>
        <v>0</v>
      </c>
      <c r="I164">
        <f t="shared" ca="1" si="59"/>
        <v>0</v>
      </c>
      <c r="J164">
        <f t="shared" ca="1" si="59"/>
        <v>0</v>
      </c>
      <c r="K164">
        <f t="shared" ca="1" si="59"/>
        <v>0</v>
      </c>
      <c r="L164">
        <f t="shared" ca="1" si="59"/>
        <v>0</v>
      </c>
      <c r="M164">
        <f t="shared" ca="1" si="59"/>
        <v>0</v>
      </c>
      <c r="N164">
        <f t="shared" ca="1" si="59"/>
        <v>3</v>
      </c>
      <c r="O164">
        <f t="shared" ca="1" si="59"/>
        <v>6</v>
      </c>
      <c r="P164">
        <f t="shared" ca="1" si="59"/>
        <v>8</v>
      </c>
      <c r="Q164">
        <f t="shared" ca="1" si="59"/>
        <v>7</v>
      </c>
      <c r="R164">
        <f t="shared" ca="1" si="59"/>
        <v>11</v>
      </c>
      <c r="S164">
        <f t="shared" ca="1" si="59"/>
        <v>13</v>
      </c>
      <c r="T164">
        <f t="shared" ca="1" si="59"/>
        <v>15</v>
      </c>
      <c r="U164">
        <f t="shared" ca="1" si="59"/>
        <v>19</v>
      </c>
      <c r="V164">
        <f t="shared" ca="1" si="59"/>
        <v>21</v>
      </c>
      <c r="W164">
        <f t="shared" ca="1" si="59"/>
        <v>23</v>
      </c>
    </row>
    <row r="165" spans="1:23">
      <c r="A165" s="22" t="s">
        <v>9</v>
      </c>
      <c r="C165">
        <f t="shared" ca="1" si="55"/>
        <v>271</v>
      </c>
      <c r="D165">
        <f t="shared" ref="D165:W165" ca="1" si="60">D125+D152</f>
        <v>0</v>
      </c>
      <c r="E165">
        <f t="shared" ca="1" si="60"/>
        <v>0</v>
      </c>
      <c r="F165">
        <f t="shared" ca="1" si="60"/>
        <v>0</v>
      </c>
      <c r="G165">
        <f t="shared" ca="1" si="60"/>
        <v>0</v>
      </c>
      <c r="H165">
        <f t="shared" ca="1" si="60"/>
        <v>0</v>
      </c>
      <c r="I165">
        <f t="shared" ca="1" si="60"/>
        <v>0</v>
      </c>
      <c r="J165">
        <f t="shared" ca="1" si="60"/>
        <v>0</v>
      </c>
      <c r="K165">
        <f t="shared" ca="1" si="60"/>
        <v>0</v>
      </c>
      <c r="L165">
        <f t="shared" ca="1" si="60"/>
        <v>3</v>
      </c>
      <c r="M165">
        <f t="shared" ca="1" si="60"/>
        <v>5</v>
      </c>
      <c r="N165">
        <f t="shared" ca="1" si="60"/>
        <v>7</v>
      </c>
      <c r="O165">
        <f t="shared" ca="1" si="60"/>
        <v>15</v>
      </c>
      <c r="P165">
        <f t="shared" ca="1" si="60"/>
        <v>13</v>
      </c>
      <c r="Q165">
        <f t="shared" ca="1" si="60"/>
        <v>18</v>
      </c>
      <c r="R165">
        <f t="shared" ca="1" si="60"/>
        <v>23</v>
      </c>
      <c r="S165">
        <f t="shared" ca="1" si="60"/>
        <v>28</v>
      </c>
      <c r="T165">
        <f t="shared" ca="1" si="60"/>
        <v>33</v>
      </c>
      <c r="U165">
        <f t="shared" ca="1" si="60"/>
        <v>36</v>
      </c>
      <c r="V165">
        <f t="shared" ca="1" si="60"/>
        <v>43</v>
      </c>
      <c r="W165">
        <f t="shared" ca="1" si="60"/>
        <v>47</v>
      </c>
    </row>
    <row r="166" spans="1:23">
      <c r="A166" s="22" t="s">
        <v>10</v>
      </c>
      <c r="C166">
        <f t="shared" ca="1" si="55"/>
        <v>544</v>
      </c>
      <c r="D166">
        <f t="shared" ref="D166:W166" ca="1" si="61">D126+D153</f>
        <v>0</v>
      </c>
      <c r="E166">
        <f t="shared" ca="1" si="61"/>
        <v>0</v>
      </c>
      <c r="F166">
        <f t="shared" ca="1" si="61"/>
        <v>0</v>
      </c>
      <c r="G166">
        <f t="shared" ca="1" si="61"/>
        <v>0</v>
      </c>
      <c r="H166">
        <f t="shared" ca="1" si="61"/>
        <v>0</v>
      </c>
      <c r="I166">
        <f t="shared" ca="1" si="61"/>
        <v>0</v>
      </c>
      <c r="J166">
        <f t="shared" ca="1" si="61"/>
        <v>1</v>
      </c>
      <c r="K166">
        <f t="shared" ca="1" si="61"/>
        <v>4</v>
      </c>
      <c r="L166">
        <f t="shared" ca="1" si="61"/>
        <v>5</v>
      </c>
      <c r="M166">
        <f t="shared" ca="1" si="61"/>
        <v>12</v>
      </c>
      <c r="N166">
        <f t="shared" ca="1" si="61"/>
        <v>18</v>
      </c>
      <c r="O166">
        <f t="shared" ca="1" si="61"/>
        <v>21</v>
      </c>
      <c r="P166">
        <f t="shared" ca="1" si="61"/>
        <v>30</v>
      </c>
      <c r="Q166">
        <f t="shared" ca="1" si="61"/>
        <v>38</v>
      </c>
      <c r="R166">
        <f t="shared" ca="1" si="61"/>
        <v>46</v>
      </c>
      <c r="S166">
        <f t="shared" ca="1" si="61"/>
        <v>54</v>
      </c>
      <c r="T166">
        <f t="shared" ca="1" si="61"/>
        <v>65</v>
      </c>
      <c r="U166">
        <f t="shared" ca="1" si="61"/>
        <v>73</v>
      </c>
      <c r="V166">
        <f t="shared" ca="1" si="61"/>
        <v>83</v>
      </c>
      <c r="W166">
        <f t="shared" ca="1" si="61"/>
        <v>94</v>
      </c>
    </row>
    <row r="167" spans="1:23">
      <c r="A167" s="22" t="s">
        <v>11</v>
      </c>
      <c r="C167">
        <f t="shared" ca="1" si="55"/>
        <v>923</v>
      </c>
      <c r="D167">
        <f t="shared" ref="D167:W167" ca="1" si="62">D127+D154</f>
        <v>0</v>
      </c>
      <c r="E167">
        <f t="shared" ca="1" si="62"/>
        <v>0</v>
      </c>
      <c r="F167">
        <f t="shared" ca="1" si="62"/>
        <v>0</v>
      </c>
      <c r="G167">
        <f t="shared" ca="1" si="62"/>
        <v>0</v>
      </c>
      <c r="H167">
        <f t="shared" ca="1" si="62"/>
        <v>0</v>
      </c>
      <c r="I167">
        <f t="shared" ca="1" si="62"/>
        <v>3</v>
      </c>
      <c r="J167">
        <f t="shared" ca="1" si="62"/>
        <v>4</v>
      </c>
      <c r="K167">
        <f t="shared" ca="1" si="62"/>
        <v>8</v>
      </c>
      <c r="L167">
        <f t="shared" ca="1" si="62"/>
        <v>14</v>
      </c>
      <c r="M167">
        <f t="shared" ca="1" si="62"/>
        <v>24</v>
      </c>
      <c r="N167">
        <f t="shared" ca="1" si="62"/>
        <v>29</v>
      </c>
      <c r="O167">
        <f t="shared" ca="1" si="62"/>
        <v>41</v>
      </c>
      <c r="P167">
        <f t="shared" ca="1" si="62"/>
        <v>54</v>
      </c>
      <c r="Q167">
        <f t="shared" ca="1" si="62"/>
        <v>67</v>
      </c>
      <c r="R167">
        <f t="shared" ca="1" si="62"/>
        <v>79</v>
      </c>
      <c r="S167">
        <f t="shared" ca="1" si="62"/>
        <v>92</v>
      </c>
      <c r="T167">
        <f t="shared" ca="1" si="62"/>
        <v>107</v>
      </c>
      <c r="U167">
        <f t="shared" ca="1" si="62"/>
        <v>120</v>
      </c>
      <c r="V167">
        <f t="shared" ca="1" si="62"/>
        <v>135</v>
      </c>
      <c r="W167">
        <f t="shared" ca="1" si="62"/>
        <v>146</v>
      </c>
    </row>
    <row r="168" spans="1:23">
      <c r="A168" s="22" t="s">
        <v>12</v>
      </c>
      <c r="C168">
        <f t="shared" ca="1" si="55"/>
        <v>1111</v>
      </c>
      <c r="D168">
        <f t="shared" ref="D168:W168" ca="1" si="63">D128+D155</f>
        <v>0</v>
      </c>
      <c r="E168">
        <f t="shared" ca="1" si="63"/>
        <v>0</v>
      </c>
      <c r="F168">
        <f t="shared" ca="1" si="63"/>
        <v>0</v>
      </c>
      <c r="G168">
        <f t="shared" ca="1" si="63"/>
        <v>0</v>
      </c>
      <c r="H168">
        <f t="shared" ca="1" si="63"/>
        <v>1</v>
      </c>
      <c r="I168">
        <f t="shared" ca="1" si="63"/>
        <v>3</v>
      </c>
      <c r="J168">
        <f t="shared" ca="1" si="63"/>
        <v>6</v>
      </c>
      <c r="K168">
        <f t="shared" ca="1" si="63"/>
        <v>9</v>
      </c>
      <c r="L168">
        <f t="shared" ca="1" si="63"/>
        <v>18</v>
      </c>
      <c r="M168">
        <f t="shared" ca="1" si="63"/>
        <v>29</v>
      </c>
      <c r="N168">
        <f t="shared" ca="1" si="63"/>
        <v>37</v>
      </c>
      <c r="O168">
        <f t="shared" ca="1" si="63"/>
        <v>49</v>
      </c>
      <c r="P168">
        <f t="shared" ca="1" si="63"/>
        <v>62</v>
      </c>
      <c r="Q168">
        <f t="shared" ca="1" si="63"/>
        <v>79</v>
      </c>
      <c r="R168">
        <f t="shared" ca="1" si="63"/>
        <v>95</v>
      </c>
      <c r="S168">
        <f t="shared" ca="1" si="63"/>
        <v>112</v>
      </c>
      <c r="T168">
        <f t="shared" ca="1" si="63"/>
        <v>129</v>
      </c>
      <c r="U168">
        <f t="shared" ca="1" si="63"/>
        <v>144</v>
      </c>
      <c r="V168">
        <f t="shared" ca="1" si="63"/>
        <v>160</v>
      </c>
      <c r="W168">
        <f t="shared" ca="1" si="63"/>
        <v>178</v>
      </c>
    </row>
    <row r="169" spans="1:23">
      <c r="A169" s="22" t="s">
        <v>13</v>
      </c>
      <c r="C169">
        <f t="shared" ca="1" si="55"/>
        <v>1145</v>
      </c>
      <c r="D169">
        <f t="shared" ref="D169:W169" ca="1" si="64">D129+D156</f>
        <v>0</v>
      </c>
      <c r="E169">
        <f t="shared" ca="1" si="64"/>
        <v>0</v>
      </c>
      <c r="F169">
        <f t="shared" ca="1" si="64"/>
        <v>0</v>
      </c>
      <c r="G169">
        <f t="shared" ca="1" si="64"/>
        <v>0</v>
      </c>
      <c r="H169">
        <f t="shared" ca="1" si="64"/>
        <v>0</v>
      </c>
      <c r="I169">
        <f t="shared" ca="1" si="64"/>
        <v>2</v>
      </c>
      <c r="J169">
        <f t="shared" ca="1" si="64"/>
        <v>4</v>
      </c>
      <c r="K169">
        <f t="shared" ca="1" si="64"/>
        <v>12</v>
      </c>
      <c r="L169">
        <f t="shared" ca="1" si="64"/>
        <v>21</v>
      </c>
      <c r="M169">
        <f t="shared" ca="1" si="64"/>
        <v>29</v>
      </c>
      <c r="N169">
        <f t="shared" ca="1" si="64"/>
        <v>42</v>
      </c>
      <c r="O169">
        <f t="shared" ca="1" si="64"/>
        <v>55</v>
      </c>
      <c r="P169">
        <f t="shared" ca="1" si="64"/>
        <v>71</v>
      </c>
      <c r="Q169">
        <f t="shared" ca="1" si="64"/>
        <v>85</v>
      </c>
      <c r="R169">
        <f t="shared" ca="1" si="64"/>
        <v>100</v>
      </c>
      <c r="S169">
        <f t="shared" ca="1" si="64"/>
        <v>116</v>
      </c>
      <c r="T169">
        <f t="shared" ca="1" si="64"/>
        <v>129</v>
      </c>
      <c r="U169">
        <f t="shared" ca="1" si="64"/>
        <v>145</v>
      </c>
      <c r="V169">
        <f t="shared" ca="1" si="64"/>
        <v>161</v>
      </c>
      <c r="W169">
        <f t="shared" ca="1" si="64"/>
        <v>173</v>
      </c>
    </row>
    <row r="170" spans="1:23">
      <c r="A170" s="22" t="s">
        <v>14</v>
      </c>
      <c r="C170">
        <f t="shared" ca="1" si="55"/>
        <v>1249</v>
      </c>
      <c r="D170">
        <f t="shared" ref="D170:W170" ca="1" si="65">D130+D157</f>
        <v>0</v>
      </c>
      <c r="E170">
        <f t="shared" ca="1" si="65"/>
        <v>0</v>
      </c>
      <c r="F170">
        <f t="shared" ca="1" si="65"/>
        <v>0</v>
      </c>
      <c r="G170">
        <f t="shared" ca="1" si="65"/>
        <v>0</v>
      </c>
      <c r="H170">
        <f t="shared" ca="1" si="65"/>
        <v>0</v>
      </c>
      <c r="I170">
        <f t="shared" ca="1" si="65"/>
        <v>2</v>
      </c>
      <c r="J170">
        <f t="shared" ca="1" si="65"/>
        <v>6</v>
      </c>
      <c r="K170">
        <f t="shared" ca="1" si="65"/>
        <v>12</v>
      </c>
      <c r="L170">
        <f t="shared" ca="1" si="65"/>
        <v>24</v>
      </c>
      <c r="M170">
        <f t="shared" ca="1" si="65"/>
        <v>32</v>
      </c>
      <c r="N170">
        <f t="shared" ca="1" si="65"/>
        <v>46</v>
      </c>
      <c r="O170">
        <f t="shared" ca="1" si="65"/>
        <v>60</v>
      </c>
      <c r="P170">
        <f t="shared" ca="1" si="65"/>
        <v>77</v>
      </c>
      <c r="Q170">
        <f t="shared" ca="1" si="65"/>
        <v>93</v>
      </c>
      <c r="R170">
        <f t="shared" ca="1" si="65"/>
        <v>109</v>
      </c>
      <c r="S170">
        <f t="shared" ca="1" si="65"/>
        <v>124</v>
      </c>
      <c r="T170">
        <f t="shared" ca="1" si="65"/>
        <v>142</v>
      </c>
      <c r="U170">
        <f t="shared" ca="1" si="65"/>
        <v>158</v>
      </c>
      <c r="V170">
        <f t="shared" ca="1" si="65"/>
        <v>174</v>
      </c>
      <c r="W170">
        <f t="shared" ca="1" si="65"/>
        <v>190</v>
      </c>
    </row>
    <row r="171" spans="1:23">
      <c r="A171" s="22" t="s">
        <v>15</v>
      </c>
      <c r="C171">
        <f t="shared" ca="1" si="55"/>
        <v>317</v>
      </c>
      <c r="D171">
        <f t="shared" ref="D171:W171" ca="1" si="66">D131+D158</f>
        <v>0</v>
      </c>
      <c r="E171">
        <f t="shared" ca="1" si="66"/>
        <v>0</v>
      </c>
      <c r="F171">
        <f t="shared" ca="1" si="66"/>
        <v>0</v>
      </c>
      <c r="G171">
        <f t="shared" ca="1" si="66"/>
        <v>0</v>
      </c>
      <c r="H171">
        <f t="shared" ca="1" si="66"/>
        <v>0</v>
      </c>
      <c r="I171">
        <f t="shared" ca="1" si="66"/>
        <v>0</v>
      </c>
      <c r="J171">
        <f t="shared" ca="1" si="66"/>
        <v>2</v>
      </c>
      <c r="K171">
        <f t="shared" ca="1" si="66"/>
        <v>4</v>
      </c>
      <c r="L171">
        <f t="shared" ca="1" si="66"/>
        <v>10</v>
      </c>
      <c r="M171">
        <f t="shared" ca="1" si="66"/>
        <v>9</v>
      </c>
      <c r="N171">
        <f t="shared" ca="1" si="66"/>
        <v>15</v>
      </c>
      <c r="O171">
        <f t="shared" ca="1" si="66"/>
        <v>16</v>
      </c>
      <c r="P171">
        <f t="shared" ca="1" si="66"/>
        <v>20</v>
      </c>
      <c r="Q171">
        <f t="shared" ca="1" si="66"/>
        <v>24</v>
      </c>
      <c r="R171">
        <f t="shared" ca="1" si="66"/>
        <v>28</v>
      </c>
      <c r="S171">
        <f t="shared" ca="1" si="66"/>
        <v>30</v>
      </c>
      <c r="T171">
        <f t="shared" ca="1" si="66"/>
        <v>35</v>
      </c>
      <c r="U171">
        <f t="shared" ca="1" si="66"/>
        <v>38</v>
      </c>
      <c r="V171">
        <f t="shared" ca="1" si="66"/>
        <v>41</v>
      </c>
      <c r="W171">
        <f t="shared" ca="1" si="66"/>
        <v>45</v>
      </c>
    </row>
    <row r="173" spans="1:23">
      <c r="A173" s="30" t="s">
        <v>79</v>
      </c>
    </row>
    <row r="174" spans="1:23">
      <c r="A174" s="22" t="s">
        <v>5</v>
      </c>
      <c r="D174" s="23">
        <f t="shared" ref="D174:D184" ca="1" si="67">-$D161*D$14</f>
        <v>0</v>
      </c>
      <c r="E174" s="23">
        <f ca="1">-(SUM($E161:E161))*E$14</f>
        <v>0</v>
      </c>
      <c r="F174" s="23">
        <f ca="1">-(SUM($E161:F161))*F$14</f>
        <v>0</v>
      </c>
      <c r="G174" s="23">
        <f ca="1">-(SUM($E161:G161))*G$14</f>
        <v>0</v>
      </c>
      <c r="H174" s="23">
        <f ca="1">-(SUM($E161:H161))*H$14</f>
        <v>0</v>
      </c>
      <c r="I174" s="23">
        <f ca="1">-(SUM($E161:I161))*I$14</f>
        <v>0</v>
      </c>
      <c r="J174" s="23">
        <f ca="1">-(SUM($E161:J161))*J$14</f>
        <v>0</v>
      </c>
      <c r="K174" s="23">
        <f ca="1">-(SUM($E161:K161))*K$14</f>
        <v>0</v>
      </c>
      <c r="L174" s="23">
        <f ca="1">-(SUM($E161:L161))*L$14</f>
        <v>0</v>
      </c>
      <c r="M174" s="23">
        <f ca="1">-(SUM($E161:M161))*M$14</f>
        <v>0</v>
      </c>
      <c r="N174" s="23">
        <f ca="1">-(SUM($E161:N161))*N$14</f>
        <v>0</v>
      </c>
      <c r="O174" s="23">
        <f ca="1">-(SUM($E161:O161))*O$14</f>
        <v>0</v>
      </c>
      <c r="P174" s="23">
        <f ca="1">-(SUM($E161:P161))*P$14</f>
        <v>0</v>
      </c>
      <c r="Q174" s="23">
        <f ca="1">-(SUM($E161:Q161))*Q$14</f>
        <v>0</v>
      </c>
      <c r="R174" s="23">
        <f ca="1">-(SUM($E161:R161))*R$14</f>
        <v>-4691155.9218951082</v>
      </c>
      <c r="S174" s="23">
        <f ca="1">-(SUM($E161:S161))*S$14</f>
        <v>-9757604.3175418247</v>
      </c>
      <c r="T174" s="23">
        <f ca="1">-(SUM($E161:T161))*T$14</f>
        <v>-15221862.735365247</v>
      </c>
      <c r="U174" s="23">
        <f ca="1">-(SUM($E161:U161))*U$14</f>
        <v>-26384562.074633095</v>
      </c>
      <c r="V174" s="23">
        <f ca="1">-(SUM($E161:V161))*V$14</f>
        <v>-38415922.380665787</v>
      </c>
      <c r="W174" s="23">
        <f ca="1">-(SUM($E161:W161))*W$14</f>
        <v>-57075084.679846317</v>
      </c>
    </row>
    <row r="175" spans="1:23">
      <c r="A175" s="22" t="s">
        <v>6</v>
      </c>
      <c r="D175" s="23">
        <f t="shared" ca="1" si="67"/>
        <v>0</v>
      </c>
      <c r="E175" s="23">
        <f ca="1">-(SUM($E162:E162))*E$14</f>
        <v>0</v>
      </c>
      <c r="F175" s="23">
        <f ca="1">-(SUM($E162:F162))*F$14</f>
        <v>0</v>
      </c>
      <c r="G175" s="23">
        <f ca="1">-(SUM($E162:G162))*G$14</f>
        <v>0</v>
      </c>
      <c r="H175" s="23">
        <f ca="1">-(SUM($E162:H162))*H$14</f>
        <v>0</v>
      </c>
      <c r="I175" s="23">
        <f ca="1">-(SUM($E162:I162))*I$14</f>
        <v>0</v>
      </c>
      <c r="J175" s="23">
        <f ca="1">-(SUM($E162:J162))*J$14</f>
        <v>0</v>
      </c>
      <c r="K175" s="23">
        <f ca="1">-(SUM($E162:K162))*K$14</f>
        <v>0</v>
      </c>
      <c r="L175" s="23">
        <f ca="1">-(SUM($E162:L162))*L$14</f>
        <v>0</v>
      </c>
      <c r="M175" s="23">
        <f ca="1">-(SUM($E162:M162))*M$14</f>
        <v>0</v>
      </c>
      <c r="N175" s="23">
        <f ca="1">-(SUM($E162:N162))*N$14</f>
        <v>0</v>
      </c>
      <c r="O175" s="23">
        <f ca="1">-(SUM($E162:O162))*O$14</f>
        <v>0</v>
      </c>
      <c r="P175" s="23">
        <f ca="1">-(SUM($E162:P162))*P$14</f>
        <v>0</v>
      </c>
      <c r="Q175" s="23">
        <f ca="1">-(SUM($E162:Q162))*Q$14</f>
        <v>-4510726.8479760652</v>
      </c>
      <c r="R175" s="23">
        <f ca="1">-(SUM($E162:R162))*R$14</f>
        <v>-9382311.8437902164</v>
      </c>
      <c r="S175" s="23">
        <f ca="1">-(SUM($E162:S162))*S$14</f>
        <v>-19515208.635083649</v>
      </c>
      <c r="T175" s="23">
        <f ca="1">-(SUM($E162:T162))*T$14</f>
        <v>-40591633.960973993</v>
      </c>
      <c r="U175" s="23">
        <f ca="1">-(SUM($E162:U162))*U$14</f>
        <v>-68599861.394046053</v>
      </c>
      <c r="V175" s="23">
        <f ca="1">-(SUM($E162:V162))*V$14</f>
        <v>-115247767.14199737</v>
      </c>
      <c r="W175" s="23">
        <f ca="1">-(SUM($E162:W162))*W$14</f>
        <v>-148395220.16760042</v>
      </c>
    </row>
    <row r="176" spans="1:23">
      <c r="A176" s="22" t="s">
        <v>7</v>
      </c>
      <c r="D176" s="23">
        <f t="shared" ca="1" si="67"/>
        <v>0</v>
      </c>
      <c r="E176" s="23">
        <f ca="1">-(SUM($E163:E163))*E$14</f>
        <v>0</v>
      </c>
      <c r="F176" s="23">
        <f ca="1">-(SUM($E163:F163))*F$14</f>
        <v>0</v>
      </c>
      <c r="G176" s="23">
        <f ca="1">-(SUM($E163:G163))*G$14</f>
        <v>0</v>
      </c>
      <c r="H176" s="23">
        <f ca="1">-(SUM($E163:H163))*H$14</f>
        <v>0</v>
      </c>
      <c r="I176" s="23">
        <f ca="1">-(SUM($E163:I163))*I$14</f>
        <v>0</v>
      </c>
      <c r="J176" s="23">
        <f ca="1">-(SUM($E163:J163))*J$14</f>
        <v>0</v>
      </c>
      <c r="K176" s="23">
        <f ca="1">-(SUM($E163:K163))*K$14</f>
        <v>0</v>
      </c>
      <c r="L176" s="23">
        <f ca="1">-(SUM($E163:L163))*L$14</f>
        <v>0</v>
      </c>
      <c r="M176" s="23">
        <f ca="1">-(SUM($E163:M163))*M$14</f>
        <v>0</v>
      </c>
      <c r="N176" s="23">
        <f ca="1">-(SUM($E163:N163))*N$14</f>
        <v>0</v>
      </c>
      <c r="O176" s="23">
        <f ca="1">-(SUM($E163:O163))*O$14</f>
        <v>-8340841.0650444981</v>
      </c>
      <c r="P176" s="23">
        <f ca="1">-(SUM($E163:P163))*P$14</f>
        <v>-30360661.476761974</v>
      </c>
      <c r="Q176" s="23">
        <f ca="1">-(SUM($E163:Q163))*Q$14</f>
        <v>-67660902.719640985</v>
      </c>
      <c r="R176" s="23">
        <f ca="1">-(SUM($E163:R163))*R$14</f>
        <v>-103205430.28169239</v>
      </c>
      <c r="S176" s="23">
        <f ca="1">-(SUM($E163:S163))*S$14</f>
        <v>-146364064.76312736</v>
      </c>
      <c r="T176" s="23">
        <f ca="1">-(SUM($E163:T163))*T$14</f>
        <v>-197884215.5597482</v>
      </c>
      <c r="U176" s="23">
        <f ca="1">-(SUM($E163:U163))*U$14</f>
        <v>-269122533.16125757</v>
      </c>
      <c r="V176" s="23">
        <f ca="1">-(SUM($E163:V163))*V$14</f>
        <v>-356719279.24903947</v>
      </c>
      <c r="W176" s="23">
        <f ca="1">-(SUM($E163:W163))*W$14</f>
        <v>-450893168.97078592</v>
      </c>
    </row>
    <row r="177" spans="1:23">
      <c r="A177" s="22" t="s">
        <v>8</v>
      </c>
      <c r="D177" s="23">
        <f t="shared" ca="1" si="67"/>
        <v>0</v>
      </c>
      <c r="E177" s="23">
        <f ca="1">-(SUM($E164:E164))*E$14</f>
        <v>0</v>
      </c>
      <c r="F177" s="23">
        <f ca="1">-(SUM($E164:F164))*F$14</f>
        <v>0</v>
      </c>
      <c r="G177" s="23">
        <f ca="1">-(SUM($E164:G164))*G$14</f>
        <v>0</v>
      </c>
      <c r="H177" s="23">
        <f ca="1">-(SUM($E164:H164))*H$14</f>
        <v>0</v>
      </c>
      <c r="I177" s="23">
        <f ca="1">-(SUM($E164:I164))*I$14</f>
        <v>0</v>
      </c>
      <c r="J177" s="23">
        <f ca="1">-(SUM($E164:J164))*J$14</f>
        <v>0</v>
      </c>
      <c r="K177" s="23">
        <f ca="1">-(SUM($E164:K164))*K$14</f>
        <v>0</v>
      </c>
      <c r="L177" s="23">
        <f ca="1">-(SUM($E164:L164))*L$14</f>
        <v>0</v>
      </c>
      <c r="M177" s="23">
        <f ca="1">-(SUM($E164:M164))*M$14</f>
        <v>0</v>
      </c>
      <c r="N177" s="23">
        <f ca="1">-(SUM($E164:N164))*N$14</f>
        <v>-12030059.228429565</v>
      </c>
      <c r="O177" s="23">
        <f ca="1">-(SUM($E164:O164))*O$14</f>
        <v>-37533784.792700239</v>
      </c>
      <c r="P177" s="23">
        <f ca="1">-(SUM($E164:P164))*P$14</f>
        <v>-73733035.01499337</v>
      </c>
      <c r="Q177" s="23">
        <f ca="1">-(SUM($E164:Q164))*Q$14</f>
        <v>-108257444.35142556</v>
      </c>
      <c r="R177" s="23">
        <f ca="1">-(SUM($E164:R164))*R$14</f>
        <v>-164190457.26632878</v>
      </c>
      <c r="S177" s="23">
        <f ca="1">-(SUM($E164:S164))*S$14</f>
        <v>-234182503.62100381</v>
      </c>
      <c r="T177" s="23">
        <f ca="1">-(SUM($E164:T164))*T$14</f>
        <v>-319659117.44267017</v>
      </c>
      <c r="U177" s="23">
        <f ca="1">-(SUM($E164:U164))*U$14</f>
        <v>-432706818.02398276</v>
      </c>
      <c r="V177" s="23">
        <f ca="1">-(SUM($E164:V164))*V$14</f>
        <v>-565262857.88693941</v>
      </c>
      <c r="W177" s="23">
        <f ca="1">-(SUM($E164:W164))*W$14</f>
        <v>-719146066.96606362</v>
      </c>
    </row>
    <row r="178" spans="1:23">
      <c r="A178" s="22" t="s">
        <v>9</v>
      </c>
      <c r="D178" s="23">
        <f t="shared" ca="1" si="67"/>
        <v>0</v>
      </c>
      <c r="E178" s="23">
        <f ca="1">-(SUM($E165:E165))*E$14</f>
        <v>0</v>
      </c>
      <c r="F178" s="23">
        <f ca="1">-(SUM($E165:F165))*F$14</f>
        <v>0</v>
      </c>
      <c r="G178" s="23">
        <f ca="1">-(SUM($E165:G165))*G$14</f>
        <v>0</v>
      </c>
      <c r="H178" s="23">
        <f ca="1">-(SUM($E165:H165))*H$14</f>
        <v>0</v>
      </c>
      <c r="I178" s="23">
        <f ca="1">-(SUM($E165:I165))*I$14</f>
        <v>0</v>
      </c>
      <c r="J178" s="23">
        <f ca="1">-(SUM($E165:J165))*J$14</f>
        <v>0</v>
      </c>
      <c r="K178" s="23">
        <f ca="1">-(SUM($E165:K165))*K$14</f>
        <v>0</v>
      </c>
      <c r="L178" s="23">
        <f ca="1">-(SUM($E165:L165))*L$14</f>
        <v>-11122466.002616091</v>
      </c>
      <c r="M178" s="23">
        <f ca="1">-(SUM($E165:M165))*M$14</f>
        <v>-30846305.71392196</v>
      </c>
      <c r="N178" s="23">
        <f ca="1">-(SUM($E165:N165))*N$14</f>
        <v>-60150296.142147824</v>
      </c>
      <c r="O178" s="23">
        <f ca="1">-(SUM($E165:O165))*O$14</f>
        <v>-125112615.97566748</v>
      </c>
      <c r="P178" s="23">
        <f ca="1">-(SUM($E165:P165))*P$14</f>
        <v>-186501206.21439499</v>
      </c>
      <c r="Q178" s="23">
        <f ca="1">-(SUM($E165:Q165))*Q$14</f>
        <v>-275154337.72653997</v>
      </c>
      <c r="R178" s="23">
        <f ca="1">-(SUM($E165:R165))*R$14</f>
        <v>-394057097.43918908</v>
      </c>
      <c r="S178" s="23">
        <f ca="1">-(SUM($E165:S165))*S$14</f>
        <v>-546425841.7823422</v>
      </c>
      <c r="T178" s="23">
        <f ca="1">-(SUM($E165:T165))*T$14</f>
        <v>-735723365.54265368</v>
      </c>
      <c r="U178" s="23">
        <f ca="1">-(SUM($E165:U165))*U$14</f>
        <v>-955121147.10171807</v>
      </c>
      <c r="V178" s="23">
        <f ca="1">-(SUM($E165:V165))*V$14</f>
        <v>-1229309516.1813052</v>
      </c>
      <c r="W178" s="23">
        <f ca="1">-(SUM($E165:W165))*W$14</f>
        <v>-1546734794.8238351</v>
      </c>
    </row>
    <row r="179" spans="1:23">
      <c r="A179" s="22" t="s">
        <v>10</v>
      </c>
      <c r="D179" s="23">
        <f t="shared" ca="1" si="67"/>
        <v>0</v>
      </c>
      <c r="E179" s="23">
        <f ca="1">-(SUM($E166:E166))*E$14</f>
        <v>0</v>
      </c>
      <c r="F179" s="23">
        <f ca="1">-(SUM($E166:F166))*F$14</f>
        <v>0</v>
      </c>
      <c r="G179" s="23">
        <f ca="1">-(SUM($E166:G166))*G$14</f>
        <v>0</v>
      </c>
      <c r="H179" s="23">
        <f ca="1">-(SUM($E166:H166))*H$14</f>
        <v>0</v>
      </c>
      <c r="I179" s="23">
        <f ca="1">-(SUM($E166:I166))*I$14</f>
        <v>0</v>
      </c>
      <c r="J179" s="23">
        <f ca="1">-(SUM($E166:J166))*J$14</f>
        <v>-3427781.6822658069</v>
      </c>
      <c r="K179" s="23">
        <f ca="1">-(SUM($E166:K166))*K$14</f>
        <v>-17824464.747782197</v>
      </c>
      <c r="L179" s="23">
        <f ca="1">-(SUM($E166:L166))*L$14</f>
        <v>-37074886.675386965</v>
      </c>
      <c r="M179" s="23">
        <f ca="1">-(SUM($E166:M166))*M$14</f>
        <v>-84827340.713285387</v>
      </c>
      <c r="N179" s="23">
        <f ca="1">-(SUM($E166:N166))*N$14</f>
        <v>-160400789.71239421</v>
      </c>
      <c r="O179" s="23">
        <f ca="1">-(SUM($E166:O166))*O$14</f>
        <v>-254395652.48385718</v>
      </c>
      <c r="P179" s="23">
        <f ca="1">-(SUM($E166:P166))*P$14</f>
        <v>-394688599.19790566</v>
      </c>
      <c r="Q179" s="23">
        <f ca="1">-(SUM($E166:Q166))*Q$14</f>
        <v>-581883763.38891244</v>
      </c>
      <c r="R179" s="23">
        <f ca="1">-(SUM($E166:R166))*R$14</f>
        <v>-820952286.33164394</v>
      </c>
      <c r="S179" s="23">
        <f ca="1">-(SUM($E166:S166))*S$14</f>
        <v>-1117245694.3585389</v>
      </c>
      <c r="T179" s="23">
        <f ca="1">-(SUM($E166:T166))*T$14</f>
        <v>-1491742548.0657942</v>
      </c>
      <c r="U179" s="23">
        <f ca="1">-(SUM($E166:U166))*U$14</f>
        <v>-1936626856.2780693</v>
      </c>
      <c r="V179" s="23">
        <f ca="1">-(SUM($E166:V166))*V$14</f>
        <v>-2469595010.185658</v>
      </c>
      <c r="W179" s="23">
        <f ca="1">-(SUM($E166:W166))*W$14</f>
        <v>-3104884606.5836396</v>
      </c>
    </row>
    <row r="180" spans="1:23">
      <c r="A180" s="22" t="s">
        <v>11</v>
      </c>
      <c r="D180" s="23">
        <f t="shared" ca="1" si="67"/>
        <v>0</v>
      </c>
      <c r="E180" s="23">
        <f ca="1">-(SUM($E167:E167))*E$14</f>
        <v>0</v>
      </c>
      <c r="F180" s="23">
        <f ca="1">-(SUM($E167:F167))*F$14</f>
        <v>0</v>
      </c>
      <c r="G180" s="23">
        <f ca="1">-(SUM($E167:G167))*G$14</f>
        <v>0</v>
      </c>
      <c r="H180" s="23">
        <f ca="1">-(SUM($E167:H167))*H$14</f>
        <v>0</v>
      </c>
      <c r="I180" s="23">
        <f ca="1">-(SUM($E167:I167))*I$14</f>
        <v>-9887831.7757667508</v>
      </c>
      <c r="J180" s="23">
        <f ca="1">-(SUM($E167:J167))*J$14</f>
        <v>-23994471.775860649</v>
      </c>
      <c r="K180" s="23">
        <f ca="1">-(SUM($E167:K167))*K$14</f>
        <v>-53473394.243346587</v>
      </c>
      <c r="L180" s="23">
        <f ca="1">-(SUM($E167:L167))*L$14</f>
        <v>-107517171.35862221</v>
      </c>
      <c r="M180" s="23">
        <f ca="1">-(SUM($E167:M167))*M$14</f>
        <v>-204356775.35473299</v>
      </c>
      <c r="N180" s="23">
        <f ca="1">-(SUM($E167:N167))*N$14</f>
        <v>-328821618.91040808</v>
      </c>
      <c r="O180" s="23">
        <f ca="1">-(SUM($E167:O167))*O$14</f>
        <v>-512961725.50023663</v>
      </c>
      <c r="P180" s="23">
        <f ca="1">-(SUM($E167:P167))*P$14</f>
        <v>-767691011.62669563</v>
      </c>
      <c r="Q180" s="23">
        <f ca="1">-(SUM($E167:Q167))*Q$14</f>
        <v>-1100617350.9061599</v>
      </c>
      <c r="R180" s="23">
        <f ca="1">-(SUM($E167:R167))*R$14</f>
        <v>-1515243362.77212</v>
      </c>
      <c r="S180" s="23">
        <f ca="1">-(SUM($E167:S167))*S$14</f>
        <v>-2024702895.8899286</v>
      </c>
      <c r="T180" s="23">
        <f ca="1">-(SUM($E167:T167))*T$14</f>
        <v>-2648604115.9535532</v>
      </c>
      <c r="U180" s="23">
        <f ca="1">-(SUM($E167:U167))*U$14</f>
        <v>-3387777770.3828897</v>
      </c>
      <c r="V180" s="23">
        <f ca="1">-(SUM($E167:V167))*V$14</f>
        <v>-4264167384.2539024</v>
      </c>
      <c r="W180" s="23">
        <f ca="1">-(SUM($E167:W167))*W$14</f>
        <v>-5268030315.9498148</v>
      </c>
    </row>
    <row r="181" spans="1:23">
      <c r="A181" s="22" t="s">
        <v>12</v>
      </c>
      <c r="D181" s="23">
        <f t="shared" ca="1" si="67"/>
        <v>0</v>
      </c>
      <c r="E181" s="23">
        <f ca="1">-(SUM($E168:E168))*E$14</f>
        <v>0</v>
      </c>
      <c r="F181" s="23">
        <f ca="1">-(SUM($E168:F168))*F$14</f>
        <v>0</v>
      </c>
      <c r="G181" s="23">
        <f ca="1">-(SUM($E168:G168))*G$14</f>
        <v>0</v>
      </c>
      <c r="H181" s="23">
        <f ca="1">-(SUM($E168:H168))*H$14</f>
        <v>-3155609.5166183044</v>
      </c>
      <c r="I181" s="23">
        <f ca="1">-(SUM($E168:I168))*I$14</f>
        <v>-13183775.701022334</v>
      </c>
      <c r="J181" s="23">
        <f ca="1">-(SUM($E168:J168))*J$14</f>
        <v>-34277816.822658069</v>
      </c>
      <c r="K181" s="23">
        <f ca="1">-(SUM($E168:K168))*K$14</f>
        <v>-67732966.041572347</v>
      </c>
      <c r="L181" s="23">
        <f ca="1">-(SUM($E168:L168))*L$14</f>
        <v>-137177080.69893178</v>
      </c>
      <c r="M181" s="23">
        <f ca="1">-(SUM($E168:M168))*M$14</f>
        <v>-254482022.13985616</v>
      </c>
      <c r="N181" s="23">
        <f ca="1">-(SUM($E168:N168))*N$14</f>
        <v>-413032033.50941503</v>
      </c>
      <c r="O181" s="23">
        <f ca="1">-(SUM($E168:O168))*O$14</f>
        <v>-633903920.94338191</v>
      </c>
      <c r="P181" s="23">
        <f ca="1">-(SUM($E168:P168))*P$14</f>
        <v>-928168793.71815181</v>
      </c>
      <c r="Q181" s="23">
        <f ca="1">-(SUM($E168:Q168))*Q$14</f>
        <v>-1321642966.4569871</v>
      </c>
      <c r="R181" s="23">
        <f ca="1">-(SUM($E168:R168))*R$14</f>
        <v>-1820168497.695302</v>
      </c>
      <c r="S181" s="23">
        <f ca="1">-(SUM($E168:S168))*S$14</f>
        <v>-2439401079.3854561</v>
      </c>
      <c r="T181" s="23">
        <f ca="1">-(SUM($E168:T168))*T$14</f>
        <v>-3191517220.1815801</v>
      </c>
      <c r="U181" s="23">
        <f ca="1">-(SUM($E168:U168))*U$14</f>
        <v>-4079053296.7382765</v>
      </c>
      <c r="V181" s="23">
        <f ca="1">-(SUM($E168:V168))*V$14</f>
        <v>-5120293654.4515972</v>
      </c>
      <c r="W181" s="23">
        <f ca="1">-(SUM($E168:W168))*W$14</f>
        <v>-6341041907.9309254</v>
      </c>
    </row>
    <row r="182" spans="1:23">
      <c r="A182" s="22" t="s">
        <v>13</v>
      </c>
      <c r="D182" s="23">
        <f t="shared" ca="1" si="67"/>
        <v>0</v>
      </c>
      <c r="E182" s="23">
        <f ca="1">-(SUM($E169:E169))*E$14</f>
        <v>0</v>
      </c>
      <c r="F182" s="23">
        <f ca="1">-(SUM($E169:F169))*F$14</f>
        <v>0</v>
      </c>
      <c r="G182" s="23">
        <f ca="1">-(SUM($E169:G169))*G$14</f>
        <v>0</v>
      </c>
      <c r="H182" s="23">
        <f ca="1">-(SUM($E169:H169))*H$14</f>
        <v>0</v>
      </c>
      <c r="I182" s="23">
        <f ca="1">-(SUM($E169:I169))*I$14</f>
        <v>-6591887.8505111672</v>
      </c>
      <c r="J182" s="23">
        <f ca="1">-(SUM($E169:J169))*J$14</f>
        <v>-20566690.093594842</v>
      </c>
      <c r="K182" s="23">
        <f ca="1">-(SUM($E169:K169))*K$14</f>
        <v>-64168073.092015907</v>
      </c>
      <c r="L182" s="23">
        <f ca="1">-(SUM($E169:L169))*L$14</f>
        <v>-144592058.03400919</v>
      </c>
      <c r="M182" s="23">
        <f ca="1">-(SUM($E169:M169))*M$14</f>
        <v>-262193598.56833667</v>
      </c>
      <c r="N182" s="23">
        <f ca="1">-(SUM($E169:N169))*N$14</f>
        <v>-441102171.70908403</v>
      </c>
      <c r="O182" s="23">
        <f ca="1">-(SUM($E169:O169))*O$14</f>
        <v>-688119387.86617112</v>
      </c>
      <c r="P182" s="23">
        <f ca="1">-(SUM($E169:P169))*P$14</f>
        <v>-1023588015.5022609</v>
      </c>
      <c r="Q182" s="23">
        <f ca="1">-(SUM($E169:Q169))*Q$14</f>
        <v>-1447943318.2003169</v>
      </c>
      <c r="R182" s="23">
        <f ca="1">-(SUM($E169:R169))*R$14</f>
        <v>-1974976643.1178405</v>
      </c>
      <c r="S182" s="23">
        <f ca="1">-(SUM($E169:S169))*S$14</f>
        <v>-2619916759.2599797</v>
      </c>
      <c r="T182" s="23">
        <f ca="1">-(SUM($E169:T169))*T$14</f>
        <v>-3379253527.2510848</v>
      </c>
      <c r="U182" s="23">
        <f ca="1">-(SUM($E169:U169))*U$14</f>
        <v>-4279575968.5054884</v>
      </c>
      <c r="V182" s="23">
        <f ca="1">-(SUM($E169:V169))*V$14</f>
        <v>-5334325222.0010204</v>
      </c>
      <c r="W182" s="23">
        <f ca="1">-(SUM($E169:W169))*W$14</f>
        <v>-6535097195.8424034</v>
      </c>
    </row>
    <row r="183" spans="1:23">
      <c r="A183" s="22" t="s">
        <v>14</v>
      </c>
      <c r="D183" s="23">
        <f t="shared" ca="1" si="67"/>
        <v>0</v>
      </c>
      <c r="E183" s="23">
        <f ca="1">-(SUM($E170:E170))*E$14</f>
        <v>0</v>
      </c>
      <c r="F183" s="23">
        <f ca="1">-(SUM($E170:F170))*F$14</f>
        <v>0</v>
      </c>
      <c r="G183" s="23">
        <f t="shared" ref="G183:W183" ca="1" si="68">-(SUM(E170:G170))*G$14</f>
        <v>0</v>
      </c>
      <c r="H183" s="23">
        <f t="shared" ca="1" si="68"/>
        <v>0</v>
      </c>
      <c r="I183" s="23">
        <f t="shared" ca="1" si="68"/>
        <v>-6591887.8505111672</v>
      </c>
      <c r="J183" s="23">
        <f t="shared" ca="1" si="68"/>
        <v>-27422253.458126456</v>
      </c>
      <c r="K183" s="23">
        <f t="shared" ca="1" si="68"/>
        <v>-71297858.991128787</v>
      </c>
      <c r="L183" s="23">
        <f t="shared" ca="1" si="68"/>
        <v>-155714524.03662527</v>
      </c>
      <c r="M183" s="23">
        <f t="shared" ca="1" si="68"/>
        <v>-262193598.56833667</v>
      </c>
      <c r="N183" s="23">
        <f t="shared" ca="1" si="68"/>
        <v>-409022013.7666052</v>
      </c>
      <c r="O183" s="23">
        <f t="shared" ca="1" si="68"/>
        <v>-575518033.48807037</v>
      </c>
      <c r="P183" s="23">
        <f t="shared" ca="1" si="68"/>
        <v>-793714435.7496345</v>
      </c>
      <c r="Q183" s="23">
        <f t="shared" ca="1" si="68"/>
        <v>-1037467175.034495</v>
      </c>
      <c r="R183" s="23">
        <f t="shared" ca="1" si="68"/>
        <v>-1308832502.2087352</v>
      </c>
      <c r="S183" s="23">
        <f t="shared" ca="1" si="68"/>
        <v>-1590489503.7593174</v>
      </c>
      <c r="T183" s="23">
        <f t="shared" ca="1" si="68"/>
        <v>-1902732841.920656</v>
      </c>
      <c r="U183" s="23">
        <f t="shared" ca="1" si="68"/>
        <v>-2237410863.9288864</v>
      </c>
      <c r="V183" s="23">
        <f t="shared" ca="1" si="68"/>
        <v>-2601306744.0622263</v>
      </c>
      <c r="W183" s="23">
        <f t="shared" ca="1" si="68"/>
        <v>-2979319420.2879777</v>
      </c>
    </row>
    <row r="184" spans="1:23">
      <c r="A184" s="22" t="s">
        <v>15</v>
      </c>
      <c r="D184" s="26">
        <f t="shared" ca="1" si="67"/>
        <v>0</v>
      </c>
      <c r="E184" s="26">
        <f ca="1">-(SUM($E171:E171))*E$14</f>
        <v>0</v>
      </c>
      <c r="F184" s="26">
        <f ca="1">-(SUM($E171:F171))*F$14</f>
        <v>0</v>
      </c>
      <c r="G184" s="26">
        <f ca="1">-(SUM($E171:G171))*G$14</f>
        <v>0</v>
      </c>
      <c r="H184" s="26">
        <f ca="1">-(SUM($E171:H171))*H$14</f>
        <v>0</v>
      </c>
      <c r="I184" s="26">
        <f ca="1">-(SUM($E171:I171))*I$14</f>
        <v>0</v>
      </c>
      <c r="J184" s="26">
        <f ca="1">-(SUM($E171:J171))*J$14</f>
        <v>-6855563.3645316139</v>
      </c>
      <c r="K184" s="26">
        <f ca="1">-(SUM($E171:K171))*K$14</f>
        <v>-21389357.697338633</v>
      </c>
      <c r="L184" s="26">
        <f ca="1">-(SUM($E171:L171))*L$14</f>
        <v>-59319818.68061915</v>
      </c>
      <c r="M184" s="26">
        <f ca="1">-(SUM($E171:M171))*M$14</f>
        <v>-96394705.356006131</v>
      </c>
      <c r="N184" s="26">
        <f ca="1">-(SUM($E171:N171))*N$14</f>
        <v>-160400789.71239421</v>
      </c>
      <c r="O184" s="26">
        <f ca="1">-(SUM($E171:O171))*O$14</f>
        <v>-233543549.82124594</v>
      </c>
      <c r="P184" s="26">
        <f ca="1">-(SUM($E171:P171))*P$14</f>
        <v>-329630038.8905586</v>
      </c>
      <c r="Q184" s="26">
        <f ca="1">-(SUM($E171:Q171))*Q$14</f>
        <v>-451072684.79760653</v>
      </c>
      <c r="R184" s="26">
        <f ca="1">-(SUM($E171:R171))*R$14</f>
        <v>-600467958.00257385</v>
      </c>
      <c r="S184" s="26">
        <f ca="1">-(SUM($E171:S171))*S$14</f>
        <v>-770850741.0858041</v>
      </c>
      <c r="T184" s="26">
        <f ca="1">-(SUM($E171:T171))*T$14</f>
        <v>-979273169.30849755</v>
      </c>
      <c r="U184" s="26">
        <f ca="1">-(SUM($E171:U171))*U$14</f>
        <v>-1218966767.8480492</v>
      </c>
      <c r="V184" s="26">
        <f ca="1">-(SUM($E171:V171))*V$14</f>
        <v>-1492732983.934442</v>
      </c>
      <c r="W184" s="26">
        <f ca="1">-(SUM($E171:W171))*W$14</f>
        <v>-1809280184.3511283</v>
      </c>
    </row>
    <row r="185" spans="1:23">
      <c r="A185" s="22" t="s">
        <v>43</v>
      </c>
      <c r="D185" s="23">
        <f t="shared" ref="D185:W185" ca="1" si="69">SUM(D174:D184)</f>
        <v>0</v>
      </c>
      <c r="E185" s="23">
        <f t="shared" ca="1" si="69"/>
        <v>0</v>
      </c>
      <c r="F185" s="23">
        <f t="shared" ca="1" si="69"/>
        <v>0</v>
      </c>
      <c r="G185" s="23">
        <f t="shared" ca="1" si="69"/>
        <v>0</v>
      </c>
      <c r="H185" s="23">
        <f t="shared" ca="1" si="69"/>
        <v>-3155609.5166183044</v>
      </c>
      <c r="I185" s="23">
        <f t="shared" ca="1" si="69"/>
        <v>-36255383.177811421</v>
      </c>
      <c r="J185" s="23">
        <f t="shared" ca="1" si="69"/>
        <v>-116544577.19703743</v>
      </c>
      <c r="K185" s="23">
        <f t="shared" ca="1" si="69"/>
        <v>-295886114.8131845</v>
      </c>
      <c r="L185" s="23">
        <f t="shared" ca="1" si="69"/>
        <v>-652518005.48681068</v>
      </c>
      <c r="M185" s="23">
        <f t="shared" ca="1" si="69"/>
        <v>-1195294346.4144762</v>
      </c>
      <c r="N185" s="23">
        <f t="shared" ca="1" si="69"/>
        <v>-1984959772.6908782</v>
      </c>
      <c r="O185" s="23">
        <f t="shared" ca="1" si="69"/>
        <v>-3069429511.9363756</v>
      </c>
      <c r="P185" s="23">
        <f t="shared" ca="1" si="69"/>
        <v>-4528075797.3913574</v>
      </c>
      <c r="Q185" s="23">
        <f t="shared" ca="1" si="69"/>
        <v>-6396210670.4300613</v>
      </c>
      <c r="R185" s="23">
        <f t="shared" ca="1" si="69"/>
        <v>-8716167702.8811111</v>
      </c>
      <c r="S185" s="23">
        <f t="shared" ca="1" si="69"/>
        <v>-11518851896.858124</v>
      </c>
      <c r="T185" s="23">
        <f t="shared" ca="1" si="69"/>
        <v>-14902203617.922579</v>
      </c>
      <c r="U185" s="23">
        <f t="shared" ca="1" si="69"/>
        <v>-18891346445.437298</v>
      </c>
      <c r="V185" s="23">
        <f t="shared" ca="1" si="69"/>
        <v>-23587376341.72879</v>
      </c>
      <c r="W185" s="23">
        <f t="shared" ca="1" si="69"/>
        <v>-28959897966.55402</v>
      </c>
    </row>
    <row r="186" spans="1:23">
      <c r="A186" s="22"/>
    </row>
    <row r="187" spans="1:23">
      <c r="A187" s="22" t="s">
        <v>78</v>
      </c>
    </row>
    <row r="188" spans="1:23">
      <c r="A188" s="22" t="s">
        <v>5</v>
      </c>
      <c r="D188" s="23">
        <f t="shared" ref="D188:W188" ca="1" si="70">D71+D174</f>
        <v>0</v>
      </c>
      <c r="E188" s="23">
        <f t="shared" ca="1" si="70"/>
        <v>0</v>
      </c>
      <c r="F188" s="23">
        <f t="shared" ca="1" si="70"/>
        <v>0</v>
      </c>
      <c r="G188" s="23">
        <f t="shared" ca="1" si="70"/>
        <v>0</v>
      </c>
      <c r="H188" s="23">
        <f t="shared" ca="1" si="70"/>
        <v>3155609.5166183044</v>
      </c>
      <c r="I188" s="23">
        <f t="shared" ca="1" si="70"/>
        <v>6591887.8505111672</v>
      </c>
      <c r="J188" s="23">
        <f t="shared" ca="1" si="70"/>
        <v>10283345.046797421</v>
      </c>
      <c r="K188" s="23">
        <f t="shared" ca="1" si="70"/>
        <v>17824464.747782197</v>
      </c>
      <c r="L188" s="23">
        <f t="shared" ca="1" si="70"/>
        <v>25952420.67277088</v>
      </c>
      <c r="M188" s="23">
        <f t="shared" ca="1" si="70"/>
        <v>38557882.142402448</v>
      </c>
      <c r="N188" s="23">
        <f t="shared" ca="1" si="70"/>
        <v>52130256.656528115</v>
      </c>
      <c r="O188" s="23">
        <f t="shared" ca="1" si="70"/>
        <v>66726728.520355985</v>
      </c>
      <c r="P188" s="23">
        <f t="shared" ca="1" si="70"/>
        <v>86744747.07646279</v>
      </c>
      <c r="Q188" s="23">
        <f t="shared" ca="1" si="70"/>
        <v>108257444.35142556</v>
      </c>
      <c r="R188" s="23">
        <f t="shared" ca="1" si="70"/>
        <v>131352365.81306304</v>
      </c>
      <c r="S188" s="23">
        <f t="shared" ca="1" si="70"/>
        <v>156121669.08066919</v>
      </c>
      <c r="T188" s="23">
        <f t="shared" ca="1" si="70"/>
        <v>182662352.82438296</v>
      </c>
      <c r="U188" s="23">
        <f t="shared" ca="1" si="70"/>
        <v>211076496.59706476</v>
      </c>
      <c r="V188" s="23">
        <f t="shared" ca="1" si="70"/>
        <v>241471512.10704207</v>
      </c>
      <c r="W188" s="23">
        <f t="shared" ca="1" si="70"/>
        <v>273960406.46326232</v>
      </c>
    </row>
    <row r="189" spans="1:23">
      <c r="A189" s="22" t="s">
        <v>6</v>
      </c>
      <c r="D189" s="23">
        <f t="shared" ref="D189:W189" ca="1" si="71">D72+D175</f>
        <v>0</v>
      </c>
      <c r="E189" s="23">
        <f t="shared" ca="1" si="71"/>
        <v>0</v>
      </c>
      <c r="F189" s="23">
        <f t="shared" ca="1" si="71"/>
        <v>0</v>
      </c>
      <c r="G189" s="23">
        <f t="shared" ca="1" si="71"/>
        <v>2833784.5796613633</v>
      </c>
      <c r="H189" s="23">
        <f t="shared" ca="1" si="71"/>
        <v>6311219.0332366088</v>
      </c>
      <c r="I189" s="23">
        <f t="shared" ca="1" si="71"/>
        <v>13183775.701022334</v>
      </c>
      <c r="J189" s="23">
        <f t="shared" ca="1" si="71"/>
        <v>23994471.775860649</v>
      </c>
      <c r="K189" s="23">
        <f t="shared" ca="1" si="71"/>
        <v>35648929.495564394</v>
      </c>
      <c r="L189" s="23">
        <f t="shared" ca="1" si="71"/>
        <v>51904841.34554176</v>
      </c>
      <c r="M189" s="23">
        <f t="shared" ca="1" si="71"/>
        <v>73259976.070564657</v>
      </c>
      <c r="N189" s="23">
        <f t="shared" ca="1" si="71"/>
        <v>100250493.57024637</v>
      </c>
      <c r="O189" s="23">
        <f t="shared" ca="1" si="71"/>
        <v>129283036.50818972</v>
      </c>
      <c r="P189" s="23">
        <f t="shared" ca="1" si="71"/>
        <v>164815019.4452793</v>
      </c>
      <c r="Q189" s="23">
        <f t="shared" ca="1" si="71"/>
        <v>202982708.15892294</v>
      </c>
      <c r="R189" s="23">
        <f t="shared" ca="1" si="71"/>
        <v>243940107.93854564</v>
      </c>
      <c r="S189" s="23">
        <f t="shared" ca="1" si="71"/>
        <v>287849327.36748379</v>
      </c>
      <c r="T189" s="23">
        <f t="shared" ca="1" si="71"/>
        <v>329807025.93291372</v>
      </c>
      <c r="U189" s="23">
        <f t="shared" ca="1" si="71"/>
        <v>374660781.45978993</v>
      </c>
      <c r="V189" s="23">
        <f t="shared" ca="1" si="71"/>
        <v>406111179.45275259</v>
      </c>
      <c r="W189" s="23">
        <f t="shared" ca="1" si="71"/>
        <v>462308185.90675521</v>
      </c>
    </row>
    <row r="190" spans="1:23">
      <c r="A190" s="22" t="s">
        <v>7</v>
      </c>
      <c r="D190" s="23">
        <f t="shared" ref="D190:W190" ca="1" si="72">D73+D176</f>
        <v>0</v>
      </c>
      <c r="E190" s="23">
        <f t="shared" ca="1" si="72"/>
        <v>0</v>
      </c>
      <c r="F190" s="23">
        <f t="shared" ca="1" si="72"/>
        <v>0</v>
      </c>
      <c r="G190" s="23">
        <f t="shared" ca="1" si="72"/>
        <v>2833784.5796613633</v>
      </c>
      <c r="H190" s="23">
        <f t="shared" ca="1" si="72"/>
        <v>12622438.066473218</v>
      </c>
      <c r="I190" s="23">
        <f t="shared" ca="1" si="72"/>
        <v>29663495.327300251</v>
      </c>
      <c r="J190" s="23">
        <f t="shared" ca="1" si="72"/>
        <v>54844506.916252911</v>
      </c>
      <c r="K190" s="23">
        <f t="shared" ca="1" si="72"/>
        <v>89122323.738910973</v>
      </c>
      <c r="L190" s="23">
        <f t="shared" ca="1" si="72"/>
        <v>129762103.36385439</v>
      </c>
      <c r="M190" s="23">
        <f t="shared" ca="1" si="72"/>
        <v>181222046.06929153</v>
      </c>
      <c r="N190" s="23">
        <f t="shared" ca="1" si="72"/>
        <v>244611204.31140116</v>
      </c>
      <c r="O190" s="23">
        <f t="shared" ca="1" si="72"/>
        <v>312781539.93916863</v>
      </c>
      <c r="P190" s="23">
        <f t="shared" ca="1" si="72"/>
        <v>381676887.13643622</v>
      </c>
      <c r="Q190" s="23">
        <f t="shared" ca="1" si="72"/>
        <v>446561957.94963044</v>
      </c>
      <c r="R190" s="23">
        <f t="shared" ca="1" si="72"/>
        <v>530100619.17414725</v>
      </c>
      <c r="S190" s="23">
        <f t="shared" ca="1" si="72"/>
        <v>624486676.32267678</v>
      </c>
      <c r="T190" s="23">
        <f t="shared" ca="1" si="72"/>
        <v>730649411.29753196</v>
      </c>
      <c r="U190" s="23">
        <f t="shared" ca="1" si="72"/>
        <v>839029073.97333264</v>
      </c>
      <c r="V190" s="23">
        <f t="shared" ca="1" si="72"/>
        <v>949422081.69359732</v>
      </c>
      <c r="W190" s="23">
        <f t="shared" ca="1" si="72"/>
        <v>1078719100.4490955</v>
      </c>
    </row>
    <row r="191" spans="1:23">
      <c r="A191" s="22" t="s">
        <v>8</v>
      </c>
      <c r="D191" s="23">
        <f t="shared" ref="D191:W191" ca="1" si="73">D74+D177</f>
        <v>0</v>
      </c>
      <c r="E191" s="23">
        <f t="shared" ca="1" si="73"/>
        <v>0</v>
      </c>
      <c r="F191" s="23">
        <f t="shared" ca="1" si="73"/>
        <v>2584101.7892204495</v>
      </c>
      <c r="G191" s="23">
        <f t="shared" ca="1" si="73"/>
        <v>8501353.7389840893</v>
      </c>
      <c r="H191" s="23">
        <f t="shared" ca="1" si="73"/>
        <v>25244876.132946435</v>
      </c>
      <c r="I191" s="23">
        <f t="shared" ca="1" si="73"/>
        <v>52735102.804089338</v>
      </c>
      <c r="J191" s="23">
        <f t="shared" ca="1" si="73"/>
        <v>89122323.738910973</v>
      </c>
      <c r="K191" s="23">
        <f t="shared" ca="1" si="73"/>
        <v>139030825.03270113</v>
      </c>
      <c r="L191" s="23">
        <f t="shared" ca="1" si="73"/>
        <v>203911876.71462834</v>
      </c>
      <c r="M191" s="23">
        <f t="shared" ca="1" si="73"/>
        <v>285328327.85377812</v>
      </c>
      <c r="N191" s="23">
        <f t="shared" ca="1" si="73"/>
        <v>372931836.08131653</v>
      </c>
      <c r="O191" s="23">
        <f t="shared" ca="1" si="73"/>
        <v>462916679.10996968</v>
      </c>
      <c r="P191" s="23">
        <f t="shared" ca="1" si="73"/>
        <v>563840855.99700809</v>
      </c>
      <c r="Q191" s="23">
        <f t="shared" ca="1" si="73"/>
        <v>690141207.74033797</v>
      </c>
      <c r="R191" s="23">
        <f t="shared" ca="1" si="73"/>
        <v>820952286.33164394</v>
      </c>
      <c r="S191" s="23">
        <f t="shared" ca="1" si="73"/>
        <v>961124025.2778697</v>
      </c>
      <c r="T191" s="23">
        <f t="shared" ca="1" si="73"/>
        <v>1116269933.926785</v>
      </c>
      <c r="U191" s="23">
        <f t="shared" ca="1" si="73"/>
        <v>1277012804.4122419</v>
      </c>
      <c r="V191" s="23">
        <f t="shared" ca="1" si="73"/>
        <v>1454317061.5537763</v>
      </c>
      <c r="W191" s="23">
        <f t="shared" ca="1" si="73"/>
        <v>1643762438.7795739</v>
      </c>
    </row>
    <row r="192" spans="1:23">
      <c r="A192" s="22" t="s">
        <v>9</v>
      </c>
      <c r="D192" s="23">
        <f t="shared" ref="D192:W192" ca="1" si="74">D75+D178</f>
        <v>0</v>
      </c>
      <c r="E192" s="23">
        <f t="shared" ca="1" si="74"/>
        <v>0</v>
      </c>
      <c r="F192" s="23">
        <f t="shared" ca="1" si="74"/>
        <v>2584101.7892204495</v>
      </c>
      <c r="G192" s="23">
        <f t="shared" ca="1" si="74"/>
        <v>14168922.898306817</v>
      </c>
      <c r="H192" s="23">
        <f t="shared" ca="1" si="74"/>
        <v>41022923.716037959</v>
      </c>
      <c r="I192" s="23">
        <f t="shared" ca="1" si="74"/>
        <v>85694542.05664517</v>
      </c>
      <c r="J192" s="23">
        <f t="shared" ca="1" si="74"/>
        <v>150822394.01969552</v>
      </c>
      <c r="K192" s="23">
        <f t="shared" ca="1" si="74"/>
        <v>238847827.62028143</v>
      </c>
      <c r="L192" s="23">
        <f t="shared" ca="1" si="74"/>
        <v>341088957.41356009</v>
      </c>
      <c r="M192" s="23">
        <f t="shared" ca="1" si="74"/>
        <v>462694585.7088294</v>
      </c>
      <c r="N192" s="23">
        <f t="shared" ca="1" si="74"/>
        <v>605512981.16428816</v>
      </c>
      <c r="O192" s="23">
        <f t="shared" ca="1" si="74"/>
        <v>746505275.32148254</v>
      </c>
      <c r="P192" s="23">
        <f t="shared" ca="1" si="74"/>
        <v>928168793.71815181</v>
      </c>
      <c r="Q192" s="23">
        <f t="shared" ca="1" si="74"/>
        <v>1118660258.2980642</v>
      </c>
      <c r="R192" s="23">
        <f t="shared" ca="1" si="74"/>
        <v>1322905969.9744205</v>
      </c>
      <c r="S192" s="23">
        <f t="shared" ca="1" si="74"/>
        <v>1541701482.1716082</v>
      </c>
      <c r="T192" s="23">
        <f t="shared" ca="1" si="74"/>
        <v>1775883985.7926121</v>
      </c>
      <c r="U192" s="23">
        <f t="shared" ca="1" si="74"/>
        <v>2036888192.161675</v>
      </c>
      <c r="V192" s="23">
        <f t="shared" ca="1" si="74"/>
        <v>2304955342.8399477</v>
      </c>
      <c r="W192" s="23">
        <f t="shared" ca="1" si="74"/>
        <v>2591208844.465023</v>
      </c>
    </row>
    <row r="193" spans="1:23">
      <c r="A193" s="22" t="s">
        <v>10</v>
      </c>
      <c r="D193" s="23">
        <f t="shared" ref="D193:W193" ca="1" si="75">D76+D179</f>
        <v>0</v>
      </c>
      <c r="E193" s="23">
        <f t="shared" ca="1" si="75"/>
        <v>2475342.1033529881</v>
      </c>
      <c r="F193" s="23">
        <f t="shared" ca="1" si="75"/>
        <v>7752305.3676613485</v>
      </c>
      <c r="G193" s="23">
        <f t="shared" ca="1" si="75"/>
        <v>31171630.376274996</v>
      </c>
      <c r="H193" s="23">
        <f t="shared" ca="1" si="75"/>
        <v>85201456.948694214</v>
      </c>
      <c r="I193" s="23">
        <f t="shared" ca="1" si="75"/>
        <v>174685028.03854594</v>
      </c>
      <c r="J193" s="23">
        <f t="shared" ca="1" si="75"/>
        <v>301644788.03939098</v>
      </c>
      <c r="K193" s="23">
        <f t="shared" ca="1" si="75"/>
        <v>463436083.4423371</v>
      </c>
      <c r="L193" s="23">
        <f t="shared" ca="1" si="75"/>
        <v>671055448.82450414</v>
      </c>
      <c r="M193" s="23">
        <f t="shared" ca="1" si="75"/>
        <v>902254442.13221741</v>
      </c>
      <c r="N193" s="23">
        <f t="shared" ca="1" si="75"/>
        <v>1166915745.1576676</v>
      </c>
      <c r="O193" s="23">
        <f t="shared" ca="1" si="75"/>
        <v>1480499289.0453985</v>
      </c>
      <c r="P193" s="23">
        <f t="shared" ca="1" si="75"/>
        <v>1817302451.2518954</v>
      </c>
      <c r="Q193" s="23">
        <f t="shared" ca="1" si="75"/>
        <v>2187702521.2683916</v>
      </c>
      <c r="R193" s="23">
        <f t="shared" ca="1" si="75"/>
        <v>2589518068.8860998</v>
      </c>
      <c r="S193" s="23">
        <f t="shared" ca="1" si="75"/>
        <v>3029736140.5967369</v>
      </c>
      <c r="T193" s="23">
        <f t="shared" ca="1" si="75"/>
        <v>3490880520.6437635</v>
      </c>
      <c r="U193" s="23">
        <f t="shared" ca="1" si="75"/>
        <v>3994622698.0994501</v>
      </c>
      <c r="V193" s="23">
        <f t="shared" ca="1" si="75"/>
        <v>4527590852.0070381</v>
      </c>
      <c r="W193" s="23">
        <f t="shared" ca="1" si="75"/>
        <v>5091097553.4422913</v>
      </c>
    </row>
    <row r="194" spans="1:23">
      <c r="A194" s="22" t="s">
        <v>11</v>
      </c>
      <c r="D194" s="23">
        <f t="shared" ref="D194:W194" ca="1" si="76">D77+D180</f>
        <v>0</v>
      </c>
      <c r="E194" s="23">
        <f t="shared" ca="1" si="76"/>
        <v>2475342.1033529881</v>
      </c>
      <c r="F194" s="23">
        <f t="shared" ca="1" si="76"/>
        <v>10336407.156881798</v>
      </c>
      <c r="G194" s="23">
        <f t="shared" ca="1" si="76"/>
        <v>42506768.69492045</v>
      </c>
      <c r="H194" s="23">
        <f t="shared" ca="1" si="76"/>
        <v>123068771.14811388</v>
      </c>
      <c r="I194" s="23">
        <f t="shared" ca="1" si="76"/>
        <v>247195794.39416876</v>
      </c>
      <c r="J194" s="23">
        <f t="shared" ca="1" si="76"/>
        <v>425044928.60096002</v>
      </c>
      <c r="K194" s="23">
        <f t="shared" ca="1" si="76"/>
        <v>652375409.76882839</v>
      </c>
      <c r="L194" s="23">
        <f t="shared" ca="1" si="76"/>
        <v>930579655.55221295</v>
      </c>
      <c r="M194" s="23">
        <f t="shared" ca="1" si="76"/>
        <v>1245419593.1995993</v>
      </c>
      <c r="N194" s="23">
        <f t="shared" ca="1" si="76"/>
        <v>1620047976.0951815</v>
      </c>
      <c r="O194" s="23">
        <f t="shared" ca="1" si="76"/>
        <v>2030994799.3383355</v>
      </c>
      <c r="P194" s="23">
        <f t="shared" ca="1" si="76"/>
        <v>2480899766.3868356</v>
      </c>
      <c r="Q194" s="23">
        <f t="shared" ca="1" si="76"/>
        <v>2968058265.9682508</v>
      </c>
      <c r="R194" s="23">
        <f t="shared" ca="1" si="76"/>
        <v>3499602317.7337508</v>
      </c>
      <c r="S194" s="23">
        <f t="shared" ca="1" si="76"/>
        <v>4073799802.5737114</v>
      </c>
      <c r="T194" s="23">
        <f t="shared" ca="1" si="76"/>
        <v>4683259768.2473745</v>
      </c>
      <c r="U194" s="23">
        <f t="shared" ca="1" si="76"/>
        <v>5340235363.9057379</v>
      </c>
      <c r="V194" s="23">
        <f t="shared" ca="1" si="76"/>
        <v>6036787802.6760521</v>
      </c>
      <c r="W194" s="23">
        <f t="shared" ca="1" si="76"/>
        <v>6791935076.9017115</v>
      </c>
    </row>
    <row r="195" spans="1:23">
      <c r="A195" s="22" t="s">
        <v>12</v>
      </c>
      <c r="D195" s="23">
        <f t="shared" ref="D195:W195" ca="1" si="77">D78+D181</f>
        <v>0</v>
      </c>
      <c r="E195" s="23">
        <f t="shared" ca="1" si="77"/>
        <v>2475342.1033529881</v>
      </c>
      <c r="F195" s="23">
        <f t="shared" ca="1" si="77"/>
        <v>12920508.946102247</v>
      </c>
      <c r="G195" s="23">
        <f t="shared" ca="1" si="77"/>
        <v>53841907.013565905</v>
      </c>
      <c r="H195" s="23">
        <f t="shared" ca="1" si="77"/>
        <v>148313647.28106031</v>
      </c>
      <c r="I195" s="23">
        <f t="shared" ca="1" si="77"/>
        <v>296634953.27300251</v>
      </c>
      <c r="J195" s="23">
        <f t="shared" ca="1" si="77"/>
        <v>503883907.29307365</v>
      </c>
      <c r="K195" s="23">
        <f t="shared" ca="1" si="77"/>
        <v>780711555.95286024</v>
      </c>
      <c r="L195" s="23">
        <f t="shared" ca="1" si="77"/>
        <v>1108539111.5940704</v>
      </c>
      <c r="M195" s="23">
        <f t="shared" ca="1" si="77"/>
        <v>1484478462.4824944</v>
      </c>
      <c r="N195" s="23">
        <f t="shared" ca="1" si="77"/>
        <v>1924809476.5487304</v>
      </c>
      <c r="O195" s="23">
        <f t="shared" ca="1" si="77"/>
        <v>2418843908.8629045</v>
      </c>
      <c r="P195" s="23">
        <f t="shared" ca="1" si="77"/>
        <v>2966670350.015027</v>
      </c>
      <c r="Q195" s="23">
        <f t="shared" ca="1" si="77"/>
        <v>3554452756.2051392</v>
      </c>
      <c r="R195" s="23">
        <f t="shared" ca="1" si="77"/>
        <v>4179819926.4085417</v>
      </c>
      <c r="S195" s="23">
        <f t="shared" ca="1" si="77"/>
        <v>4834892939.3419743</v>
      </c>
      <c r="T195" s="23">
        <f t="shared" ca="1" si="77"/>
        <v>5484944538.9766121</v>
      </c>
      <c r="U195" s="23">
        <f t="shared" ca="1" si="77"/>
        <v>6110664576.4850245</v>
      </c>
      <c r="V195" s="23">
        <f t="shared" ca="1" si="77"/>
        <v>6684370494.2358475</v>
      </c>
      <c r="W195" s="23">
        <f t="shared" ca="1" si="77"/>
        <v>7191460669.6606369</v>
      </c>
    </row>
    <row r="196" spans="1:23">
      <c r="A196" s="22" t="s">
        <v>13</v>
      </c>
      <c r="D196" s="23">
        <f t="shared" ref="D196:W196" ca="1" si="78">D79+D182</f>
        <v>0</v>
      </c>
      <c r="E196" s="23">
        <f t="shared" ca="1" si="78"/>
        <v>2475342.1033529881</v>
      </c>
      <c r="F196" s="23">
        <f t="shared" ca="1" si="78"/>
        <v>10336407.156881798</v>
      </c>
      <c r="G196" s="23">
        <f t="shared" ca="1" si="78"/>
        <v>45340553.274581812</v>
      </c>
      <c r="H196" s="23">
        <f t="shared" ca="1" si="78"/>
        <v>129379990.18135048</v>
      </c>
      <c r="I196" s="23">
        <f t="shared" ca="1" si="78"/>
        <v>260379570.09519112</v>
      </c>
      <c r="J196" s="23">
        <f t="shared" ca="1" si="78"/>
        <v>449039400.37682068</v>
      </c>
      <c r="K196" s="23">
        <f t="shared" ca="1" si="78"/>
        <v>677329660.41572344</v>
      </c>
      <c r="L196" s="23">
        <f t="shared" ca="1" si="78"/>
        <v>945409610.22236776</v>
      </c>
      <c r="M196" s="23">
        <f t="shared" ca="1" si="78"/>
        <v>1256986957.8423197</v>
      </c>
      <c r="N196" s="23">
        <f t="shared" ca="1" si="78"/>
        <v>1591977837.8955123</v>
      </c>
      <c r="O196" s="23">
        <f t="shared" ca="1" si="78"/>
        <v>1918393444.9602344</v>
      </c>
      <c r="P196" s="23">
        <f t="shared" ca="1" si="78"/>
        <v>2207653813.0959778</v>
      </c>
      <c r="Q196" s="23">
        <f t="shared" ca="1" si="78"/>
        <v>2453835405.2989798</v>
      </c>
      <c r="R196" s="23">
        <f t="shared" ca="1" si="78"/>
        <v>2641120784.0269461</v>
      </c>
      <c r="S196" s="23">
        <f t="shared" ca="1" si="78"/>
        <v>2761402021.8643365</v>
      </c>
      <c r="T196" s="23">
        <f t="shared" ca="1" si="78"/>
        <v>2816044606.0425706</v>
      </c>
      <c r="U196" s="23">
        <f t="shared" ca="1" si="78"/>
        <v>2786209755.081255</v>
      </c>
      <c r="V196" s="23">
        <f t="shared" ca="1" si="78"/>
        <v>2661674622.0889874</v>
      </c>
      <c r="W196" s="23">
        <f t="shared" ca="1" si="78"/>
        <v>2454228641.2333908</v>
      </c>
    </row>
    <row r="197" spans="1:23">
      <c r="A197" s="22" t="s">
        <v>14</v>
      </c>
      <c r="D197" s="23">
        <f t="shared" ref="D197:W197" ca="1" si="79">D80+D183</f>
        <v>0</v>
      </c>
      <c r="E197" s="23">
        <f t="shared" ca="1" si="79"/>
        <v>2475342.1033529881</v>
      </c>
      <c r="F197" s="23">
        <f t="shared" ca="1" si="79"/>
        <v>12920508.946102247</v>
      </c>
      <c r="G197" s="23">
        <f t="shared" ca="1" si="79"/>
        <v>51008122.433904536</v>
      </c>
      <c r="H197" s="23">
        <f t="shared" ca="1" si="79"/>
        <v>142002428.24782369</v>
      </c>
      <c r="I197" s="23">
        <f t="shared" ca="1" si="79"/>
        <v>273563345.79621339</v>
      </c>
      <c r="J197" s="23">
        <f t="shared" ca="1" si="79"/>
        <v>428472710.28322589</v>
      </c>
      <c r="K197" s="23">
        <f t="shared" ca="1" si="79"/>
        <v>581077550.77769959</v>
      </c>
      <c r="L197" s="23">
        <f t="shared" ca="1" si="79"/>
        <v>708130335.49989116</v>
      </c>
      <c r="M197" s="23">
        <f t="shared" ca="1" si="79"/>
        <v>825138677.84741235</v>
      </c>
      <c r="N197" s="23">
        <f t="shared" ca="1" si="79"/>
        <v>918294521.10345674</v>
      </c>
      <c r="O197" s="23">
        <f t="shared" ca="1" si="79"/>
        <v>1009241768.8703843</v>
      </c>
      <c r="P197" s="23">
        <f t="shared" ca="1" si="79"/>
        <v>1066960389.0404923</v>
      </c>
      <c r="Q197" s="23">
        <f t="shared" ca="1" si="79"/>
        <v>1118660258.2980642</v>
      </c>
      <c r="R197" s="23">
        <f t="shared" ca="1" si="79"/>
        <v>1163406668.629987</v>
      </c>
      <c r="S197" s="23">
        <f t="shared" ca="1" si="79"/>
        <v>1219700539.692728</v>
      </c>
      <c r="T197" s="23">
        <f t="shared" ca="1" si="79"/>
        <v>1263414607.0353153</v>
      </c>
      <c r="U197" s="23">
        <f t="shared" ca="1" si="79"/>
        <v>1308674278.9018016</v>
      </c>
      <c r="V197" s="23">
        <f t="shared" ca="1" si="79"/>
        <v>1350045272.2348261</v>
      </c>
      <c r="W197" s="23">
        <f t="shared" ca="1" si="79"/>
        <v>1404047083.1242194</v>
      </c>
    </row>
    <row r="198" spans="1:23">
      <c r="A198" s="22" t="s">
        <v>15</v>
      </c>
      <c r="D198" s="26">
        <f t="shared" ref="D198:W198" ca="1" si="80">D81+D184</f>
        <v>0</v>
      </c>
      <c r="E198" s="26">
        <f t="shared" ca="1" si="80"/>
        <v>0</v>
      </c>
      <c r="F198" s="26">
        <f t="shared" ca="1" si="80"/>
        <v>2584101.7892204495</v>
      </c>
      <c r="G198" s="26">
        <f t="shared" ca="1" si="80"/>
        <v>11335138.318645453</v>
      </c>
      <c r="H198" s="26">
        <f t="shared" ca="1" si="80"/>
        <v>31556095.166183043</v>
      </c>
      <c r="I198" s="26">
        <f t="shared" ca="1" si="80"/>
        <v>65918878.505111672</v>
      </c>
      <c r="J198" s="26">
        <f t="shared" ca="1" si="80"/>
        <v>106261232.15024</v>
      </c>
      <c r="K198" s="26">
        <f t="shared" ca="1" si="80"/>
        <v>156855289.78048331</v>
      </c>
      <c r="L198" s="26">
        <f t="shared" ca="1" si="80"/>
        <v>203911876.71462834</v>
      </c>
      <c r="M198" s="26">
        <f t="shared" ca="1" si="80"/>
        <v>269905174.99681711</v>
      </c>
      <c r="N198" s="26">
        <f t="shared" ca="1" si="80"/>
        <v>332831638.65321791</v>
      </c>
      <c r="O198" s="26">
        <f t="shared" ca="1" si="80"/>
        <v>412871632.71970272</v>
      </c>
      <c r="P198" s="26">
        <f t="shared" ca="1" si="80"/>
        <v>494445058.33583784</v>
      </c>
      <c r="Q198" s="26">
        <f t="shared" ca="1" si="80"/>
        <v>581883763.38891244</v>
      </c>
      <c r="R198" s="26">
        <f t="shared" ca="1" si="80"/>
        <v>670835296.83100045</v>
      </c>
      <c r="S198" s="26">
        <f t="shared" ca="1" si="80"/>
        <v>775729543.24457514</v>
      </c>
      <c r="T198" s="26">
        <f t="shared" ca="1" si="80"/>
        <v>882868038.65118444</v>
      </c>
      <c r="U198" s="26">
        <f t="shared" ca="1" si="80"/>
        <v>997336446.42113113</v>
      </c>
      <c r="V198" s="26">
        <f t="shared" ca="1" si="80"/>
        <v>1125037726.8623552</v>
      </c>
      <c r="W198" s="26">
        <f t="shared" ca="1" si="80"/>
        <v>1255651862.956619</v>
      </c>
    </row>
    <row r="199" spans="1:23">
      <c r="A199" s="22" t="s">
        <v>43</v>
      </c>
      <c r="D199" s="23">
        <f t="shared" ref="D199:W199" ca="1" si="81">SUM(D188:D198)</f>
        <v>0</v>
      </c>
      <c r="E199" s="23">
        <f t="shared" ca="1" si="81"/>
        <v>12376710.516764941</v>
      </c>
      <c r="F199" s="23">
        <f t="shared" ca="1" si="81"/>
        <v>62018442.941290781</v>
      </c>
      <c r="G199" s="23">
        <f t="shared" ca="1" si="81"/>
        <v>263541965.90850678</v>
      </c>
      <c r="H199" s="23">
        <f t="shared" ca="1" si="81"/>
        <v>747879455.43853807</v>
      </c>
      <c r="I199" s="23">
        <f t="shared" ca="1" si="81"/>
        <v>1506246373.8418016</v>
      </c>
      <c r="J199" s="23">
        <f t="shared" ca="1" si="81"/>
        <v>2543414008.2412286</v>
      </c>
      <c r="K199" s="23">
        <f t="shared" ca="1" si="81"/>
        <v>3832259920.7731719</v>
      </c>
      <c r="L199" s="23">
        <f t="shared" ca="1" si="81"/>
        <v>5320246237.9180298</v>
      </c>
      <c r="M199" s="23">
        <f t="shared" ca="1" si="81"/>
        <v>7025246126.345726</v>
      </c>
      <c r="N199" s="23">
        <f t="shared" ca="1" si="81"/>
        <v>8930313967.2375469</v>
      </c>
      <c r="O199" s="23">
        <f t="shared" ca="1" si="81"/>
        <v>10989058103.196125</v>
      </c>
      <c r="P199" s="23">
        <f t="shared" ca="1" si="81"/>
        <v>13159178131.499405</v>
      </c>
      <c r="Q199" s="23">
        <f t="shared" ca="1" si="81"/>
        <v>15431196546.926121</v>
      </c>
      <c r="R199" s="23">
        <f t="shared" ca="1" si="81"/>
        <v>17793554411.748146</v>
      </c>
      <c r="S199" s="23">
        <f t="shared" ca="1" si="81"/>
        <v>20266544167.53437</v>
      </c>
      <c r="T199" s="23">
        <f t="shared" ca="1" si="81"/>
        <v>22756684789.371048</v>
      </c>
      <c r="U199" s="23">
        <f t="shared" ca="1" si="81"/>
        <v>25276410467.498508</v>
      </c>
      <c r="V199" s="23">
        <f t="shared" ca="1" si="81"/>
        <v>27741783947.752224</v>
      </c>
      <c r="W199" s="23">
        <f t="shared" ca="1" si="81"/>
        <v>30238379863.382576</v>
      </c>
    </row>
    <row r="200" spans="1:23">
      <c r="A200" s="22"/>
      <c r="D200" s="23"/>
      <c r="E200" s="23"/>
      <c r="F200" s="23"/>
      <c r="G200" s="23"/>
      <c r="H200" s="23"/>
      <c r="I200" s="23"/>
      <c r="J200" s="23"/>
      <c r="K200" s="23"/>
      <c r="L200" s="23"/>
      <c r="M200" s="23"/>
      <c r="N200" s="23"/>
      <c r="O200" s="23"/>
      <c r="P200" s="23"/>
      <c r="Q200" s="23"/>
      <c r="R200" s="23"/>
      <c r="S200" s="23"/>
      <c r="T200" s="23"/>
      <c r="U200" s="23"/>
      <c r="V200" s="23"/>
      <c r="W200" s="23"/>
    </row>
    <row r="201" spans="1:23">
      <c r="A201" s="22"/>
      <c r="D201" s="23"/>
      <c r="E201" s="23"/>
      <c r="F201" s="23"/>
      <c r="G201" s="23"/>
      <c r="H201" s="23"/>
      <c r="I201" s="23"/>
      <c r="J201" s="23"/>
      <c r="K201" s="23"/>
      <c r="L201" s="23"/>
      <c r="M201" s="23"/>
      <c r="N201" s="23"/>
      <c r="O201" s="23"/>
      <c r="P201" s="23"/>
      <c r="Q201" s="23"/>
      <c r="R201" s="23"/>
      <c r="S201" s="23"/>
      <c r="T201" s="23"/>
      <c r="U201" s="23"/>
      <c r="V201" s="23"/>
      <c r="W201" s="23"/>
    </row>
    <row r="202" spans="1:23" hidden="1">
      <c r="A202" s="30" t="s">
        <v>85</v>
      </c>
      <c r="D202" s="32">
        <v>16000000</v>
      </c>
      <c r="E202" s="23"/>
      <c r="F202" s="23"/>
      <c r="G202" s="23"/>
      <c r="H202" s="23"/>
      <c r="I202" s="23"/>
      <c r="J202" s="23"/>
      <c r="K202" s="23"/>
      <c r="L202" s="23"/>
      <c r="M202" s="23"/>
      <c r="N202" s="23"/>
      <c r="O202" s="23"/>
      <c r="P202" s="23"/>
      <c r="Q202" s="23"/>
      <c r="R202" s="23"/>
      <c r="S202" s="23"/>
      <c r="T202" s="23"/>
      <c r="U202" s="23"/>
      <c r="V202" s="23"/>
      <c r="W202" s="23"/>
    </row>
    <row r="203" spans="1:23" hidden="1">
      <c r="A203" s="30" t="s">
        <v>87</v>
      </c>
      <c r="D203" s="13">
        <v>0.66</v>
      </c>
      <c r="E203" s="23"/>
      <c r="F203" s="23"/>
      <c r="G203" s="23"/>
      <c r="H203" s="23"/>
      <c r="I203" s="23"/>
      <c r="J203" s="23"/>
      <c r="K203" s="23"/>
      <c r="L203" s="23"/>
      <c r="M203" s="23"/>
      <c r="N203" s="23"/>
      <c r="O203" s="23"/>
      <c r="P203" s="23"/>
      <c r="Q203" s="23"/>
      <c r="R203" s="23"/>
      <c r="S203" s="23"/>
      <c r="T203" s="23"/>
      <c r="U203" s="23"/>
      <c r="V203" s="23"/>
      <c r="W203" s="23"/>
    </row>
    <row r="204" spans="1:23" hidden="1">
      <c r="A204" s="30" t="s">
        <v>88</v>
      </c>
      <c r="D204" s="33">
        <f>D202*D203</f>
        <v>10560000</v>
      </c>
      <c r="E204" s="23"/>
      <c r="F204" s="23"/>
      <c r="G204" s="23"/>
      <c r="H204" s="23"/>
      <c r="I204" s="23"/>
      <c r="J204" s="23"/>
      <c r="K204" s="23"/>
      <c r="L204" s="23"/>
      <c r="M204" s="23"/>
      <c r="N204" s="23"/>
      <c r="O204" s="23"/>
      <c r="P204" s="23"/>
      <c r="Q204" s="23"/>
      <c r="R204" s="23"/>
      <c r="S204" s="23"/>
      <c r="T204" s="23"/>
      <c r="U204" s="23"/>
      <c r="V204" s="23"/>
      <c r="W204" s="23"/>
    </row>
    <row r="205" spans="1:23" hidden="1">
      <c r="A205" s="30" t="s">
        <v>89</v>
      </c>
      <c r="D205" s="32">
        <f>10000000+7000000</f>
        <v>17000000</v>
      </c>
      <c r="E205" s="23"/>
      <c r="F205" s="23"/>
      <c r="G205" s="23"/>
      <c r="H205" s="23"/>
      <c r="I205" s="23"/>
      <c r="J205" s="23"/>
      <c r="K205" s="23"/>
      <c r="L205" s="23"/>
      <c r="M205" s="23"/>
      <c r="N205" s="23"/>
      <c r="O205" s="23"/>
      <c r="P205" s="23"/>
      <c r="Q205" s="23"/>
      <c r="R205" s="23"/>
      <c r="S205" s="23"/>
      <c r="T205" s="23"/>
      <c r="U205" s="23"/>
      <c r="V205" s="23"/>
      <c r="W205" s="23"/>
    </row>
    <row r="206" spans="1:23" hidden="1">
      <c r="A206" s="30" t="s">
        <v>90</v>
      </c>
      <c r="D206" s="32">
        <v>10000000</v>
      </c>
      <c r="E206" s="23"/>
      <c r="F206" s="23"/>
      <c r="G206" s="23"/>
      <c r="H206" s="23"/>
      <c r="I206" s="23"/>
      <c r="J206" s="23"/>
      <c r="K206" s="23"/>
      <c r="L206" s="23"/>
      <c r="M206" s="23"/>
      <c r="N206" s="23"/>
      <c r="O206" s="23"/>
      <c r="P206" s="23"/>
      <c r="Q206" s="23"/>
      <c r="R206" s="23"/>
      <c r="S206" s="23"/>
      <c r="T206" s="23"/>
      <c r="U206" s="23"/>
      <c r="V206" s="23"/>
      <c r="W206" s="23"/>
    </row>
    <row r="207" spans="1:23" hidden="1">
      <c r="A207" s="30" t="s">
        <v>87</v>
      </c>
      <c r="D207" s="13">
        <v>0.66</v>
      </c>
      <c r="E207" s="23"/>
      <c r="F207" s="23"/>
      <c r="G207" s="23"/>
      <c r="H207" s="23"/>
      <c r="I207" s="23"/>
      <c r="J207" s="23"/>
      <c r="K207" s="23"/>
      <c r="L207" s="23"/>
      <c r="M207" s="23"/>
      <c r="N207" s="23"/>
      <c r="O207" s="23"/>
      <c r="P207" s="23"/>
      <c r="Q207" s="23"/>
      <c r="R207" s="23"/>
      <c r="S207" s="23"/>
      <c r="T207" s="23"/>
      <c r="U207" s="23"/>
      <c r="V207" s="23"/>
      <c r="W207" s="23"/>
    </row>
    <row r="208" spans="1:23" hidden="1">
      <c r="A208" s="30" t="s">
        <v>91</v>
      </c>
      <c r="D208" s="33">
        <f>D206*D207</f>
        <v>6600000</v>
      </c>
      <c r="E208" s="23"/>
      <c r="F208" s="23"/>
      <c r="G208" s="23"/>
      <c r="H208" s="23"/>
      <c r="I208" s="23"/>
      <c r="J208" s="23"/>
      <c r="K208" s="23"/>
      <c r="L208" s="23"/>
      <c r="M208" s="23"/>
      <c r="N208" s="23"/>
      <c r="O208" s="23"/>
      <c r="P208" s="23"/>
      <c r="Q208" s="23"/>
      <c r="R208" s="23"/>
      <c r="S208" s="23"/>
      <c r="T208" s="23"/>
      <c r="U208" s="23"/>
      <c r="V208" s="23"/>
      <c r="W208" s="23"/>
    </row>
    <row r="209" spans="1:24" hidden="1">
      <c r="A209" s="30" t="s">
        <v>92</v>
      </c>
      <c r="D209" s="28">
        <f>0.45*3/12</f>
        <v>0.1125</v>
      </c>
      <c r="E209" s="28">
        <f>45%-D209</f>
        <v>0.33750000000000002</v>
      </c>
      <c r="F209" s="28">
        <v>0.28999999999999998</v>
      </c>
      <c r="G209" s="28">
        <v>0.18</v>
      </c>
      <c r="H209" s="28">
        <v>0.08</v>
      </c>
      <c r="I209" s="23"/>
      <c r="J209" s="23"/>
      <c r="K209" s="23"/>
      <c r="L209" s="23"/>
      <c r="M209" s="23"/>
      <c r="N209" s="23"/>
      <c r="O209" s="23"/>
      <c r="P209" s="23"/>
      <c r="Q209" s="23"/>
      <c r="R209" s="23"/>
      <c r="S209" s="23"/>
      <c r="T209" s="23"/>
      <c r="U209" s="23"/>
      <c r="V209" s="23"/>
      <c r="W209" s="23"/>
    </row>
    <row r="210" spans="1:24" hidden="1">
      <c r="A210" s="30" t="s">
        <v>93</v>
      </c>
      <c r="D210" s="33">
        <f>7000000</f>
        <v>7000000</v>
      </c>
      <c r="E210" s="28"/>
      <c r="F210" s="28"/>
      <c r="G210" s="28"/>
      <c r="H210" s="28"/>
      <c r="I210" s="23"/>
      <c r="J210" s="23"/>
      <c r="K210" s="23"/>
      <c r="L210" s="23"/>
      <c r="M210" s="23"/>
      <c r="N210" s="23"/>
      <c r="O210" s="23"/>
      <c r="P210" s="23"/>
      <c r="Q210" s="23"/>
      <c r="R210" s="23"/>
      <c r="S210" s="23"/>
      <c r="T210" s="23"/>
      <c r="U210" s="23"/>
      <c r="V210" s="23"/>
      <c r="W210" s="23"/>
    </row>
    <row r="211" spans="1:24" hidden="1">
      <c r="A211" s="30"/>
      <c r="D211" s="28">
        <f>0.05*3/12</f>
        <v>1.2500000000000002E-2</v>
      </c>
      <c r="E211" s="28">
        <f>5%-D211</f>
        <v>3.7499999999999999E-2</v>
      </c>
      <c r="F211" s="28">
        <v>0.54</v>
      </c>
      <c r="G211" s="28">
        <v>0.35</v>
      </c>
      <c r="H211" s="28">
        <v>0.06</v>
      </c>
      <c r="I211" s="23"/>
      <c r="J211" s="23"/>
      <c r="K211" s="23"/>
      <c r="L211" s="23"/>
      <c r="M211" s="23"/>
      <c r="N211" s="23"/>
      <c r="O211" s="23"/>
      <c r="P211" s="23"/>
      <c r="Q211" s="23"/>
      <c r="R211" s="23"/>
      <c r="S211" s="23"/>
      <c r="T211" s="23"/>
      <c r="U211" s="23"/>
      <c r="V211" s="23"/>
      <c r="W211" s="23"/>
    </row>
    <row r="212" spans="1:24" hidden="1">
      <c r="A212" s="30"/>
      <c r="D212" s="21">
        <v>1</v>
      </c>
      <c r="E212" s="34">
        <v>2</v>
      </c>
      <c r="F212" s="21">
        <v>3</v>
      </c>
      <c r="G212" s="34">
        <v>4</v>
      </c>
      <c r="H212" s="21">
        <v>5</v>
      </c>
      <c r="I212" s="34">
        <v>6</v>
      </c>
      <c r="J212" s="21">
        <v>7</v>
      </c>
      <c r="K212" s="34">
        <v>8</v>
      </c>
      <c r="L212" s="21">
        <v>9</v>
      </c>
      <c r="M212" s="34">
        <v>10</v>
      </c>
      <c r="N212" s="21">
        <v>11</v>
      </c>
      <c r="O212" s="34">
        <v>12</v>
      </c>
      <c r="P212" s="21">
        <v>13</v>
      </c>
      <c r="Q212" s="34">
        <v>14</v>
      </c>
      <c r="R212" s="21">
        <v>15</v>
      </c>
      <c r="S212" s="34">
        <v>16</v>
      </c>
      <c r="T212" s="21">
        <v>17</v>
      </c>
      <c r="U212" s="34">
        <v>18</v>
      </c>
      <c r="V212" s="21">
        <v>19</v>
      </c>
      <c r="W212" s="34">
        <v>20</v>
      </c>
    </row>
    <row r="213" spans="1:24">
      <c r="D213" s="221">
        <v>2009</v>
      </c>
      <c r="E213" s="221">
        <v>2010</v>
      </c>
      <c r="F213" s="221">
        <v>2011</v>
      </c>
      <c r="G213" s="221">
        <v>2012</v>
      </c>
      <c r="H213" s="221">
        <v>2013</v>
      </c>
      <c r="I213" s="221">
        <v>2014</v>
      </c>
      <c r="J213" s="221">
        <v>2015</v>
      </c>
      <c r="K213" s="221">
        <v>2016</v>
      </c>
      <c r="L213" s="221">
        <v>2017</v>
      </c>
      <c r="M213" s="221">
        <v>2018</v>
      </c>
      <c r="N213" s="221">
        <v>2019</v>
      </c>
      <c r="O213" s="221">
        <v>2020</v>
      </c>
      <c r="P213" s="221">
        <v>2021</v>
      </c>
      <c r="Q213" s="221">
        <v>2022</v>
      </c>
      <c r="R213" s="221">
        <v>2023</v>
      </c>
      <c r="S213" s="221">
        <v>2024</v>
      </c>
      <c r="T213" s="221">
        <v>2025</v>
      </c>
      <c r="U213" s="221">
        <v>2026</v>
      </c>
      <c r="V213" s="221">
        <v>2027</v>
      </c>
      <c r="W213" s="221">
        <v>2028</v>
      </c>
    </row>
    <row r="214" spans="1:24">
      <c r="A214" s="22" t="s">
        <v>84</v>
      </c>
      <c r="D214" s="23">
        <f ca="1">D199+'Cancer benefits'!D198+'Diabetes benefits '!D198</f>
        <v>0</v>
      </c>
      <c r="E214" s="23">
        <f ca="1">E199+'Cancer benefits'!E198+'Diabetes benefits '!E198</f>
        <v>12376710.516764941</v>
      </c>
      <c r="F214" s="23">
        <f ca="1">F199+'Cancer benefits'!F198+'Diabetes benefits '!F198</f>
        <v>62018442.941290781</v>
      </c>
      <c r="G214" s="23">
        <f ca="1">G199+'Cancer benefits'!G198+'Diabetes benefits '!G198</f>
        <v>263541965.90850678</v>
      </c>
      <c r="H214" s="23">
        <f ca="1">H199+'Cancer benefits'!H198+'Diabetes benefits '!H198</f>
        <v>776279941.08810282</v>
      </c>
      <c r="I214" s="23">
        <f ca="1">I199+'Cancer benefits'!I198+'Diabetes benefits '!I198</f>
        <v>1568869308.4216578</v>
      </c>
      <c r="J214" s="23">
        <f ca="1">J199+'Cancer benefits'!J198+'Diabetes benefits '!J198</f>
        <v>2659958585.4382658</v>
      </c>
      <c r="K214" s="23">
        <f ca="1">K199+'Cancer benefits'!K198+'Diabetes benefits '!K198</f>
        <v>4024764140.0492196</v>
      </c>
      <c r="L214" s="23">
        <f ca="1">L199+'Cancer benefits'!L198+'Diabetes benefits '!L198</f>
        <v>5609430353.9860487</v>
      </c>
      <c r="M214" s="23">
        <f ca="1">M199+'Cancer benefits'!M198+'Diabetes benefits '!M198</f>
        <v>7430103888.8409519</v>
      </c>
      <c r="N214" s="23">
        <f ca="1">N199+'Cancer benefits'!N198+'Diabetes benefits '!N198</f>
        <v>9459636573.2884483</v>
      </c>
      <c r="O214" s="23">
        <f ca="1">O199+'Cancer benefits'!O198+'Diabetes benefits '!O198</f>
        <v>11652154967.867163</v>
      </c>
      <c r="P214" s="23">
        <f ca="1">P199+'Cancer benefits'!P198+'Diabetes benefits '!P198</f>
        <v>13952892567.249039</v>
      </c>
      <c r="Q214" s="23">
        <f ca="1">Q199+'Cancer benefits'!Q198+'Diabetes benefits '!Q198</f>
        <v>16364917004.457165</v>
      </c>
      <c r="R214" s="23">
        <f ca="1">R199+'Cancer benefits'!R198+'Diabetes benefits '!R198</f>
        <v>18853755650.096439</v>
      </c>
      <c r="S214" s="23">
        <f ca="1">S199+'Cancer benefits'!S198+'Diabetes benefits '!S198</f>
        <v>21466729498.592014</v>
      </c>
      <c r="T214" s="23">
        <f ca="1">T199+'Cancer benefits'!T198+'Diabetes benefits '!T198</f>
        <v>24070838938.857582</v>
      </c>
      <c r="U214" s="23">
        <f ca="1">U199+'Cancer benefits'!U198+'Diabetes benefits '!U198</f>
        <v>26701176819.528698</v>
      </c>
      <c r="V214" s="23">
        <f ca="1">V199+'Cancer benefits'!V198+'Diabetes benefits '!V198</f>
        <v>29300372798.62495</v>
      </c>
      <c r="W214" s="23">
        <f ca="1">W199+'Cancer benefits'!W198+'Diabetes benefits '!W198</f>
        <v>31933509878.374012</v>
      </c>
    </row>
    <row r="215" spans="1:24">
      <c r="A215" s="134" t="s">
        <v>80</v>
      </c>
      <c r="B215" s="24"/>
      <c r="C215" s="24"/>
      <c r="D215" s="135">
        <f>+C269</f>
        <v>1360593878.2800002</v>
      </c>
      <c r="E215" s="135">
        <f>+D269</f>
        <v>8635493413.7389984</v>
      </c>
      <c r="F215" s="135">
        <f>+E269</f>
        <v>11233467760.395</v>
      </c>
      <c r="G215" s="135">
        <f>+F269</f>
        <v>13249219394.312</v>
      </c>
      <c r="H215" s="135">
        <f>+G269</f>
        <v>20414550986.375004</v>
      </c>
      <c r="I215" s="135"/>
      <c r="J215" s="135"/>
      <c r="K215" s="135"/>
      <c r="L215" s="135"/>
      <c r="M215" s="135"/>
      <c r="N215" s="135"/>
      <c r="O215" s="135"/>
      <c r="P215" s="135"/>
      <c r="Q215" s="135"/>
      <c r="R215" s="135"/>
      <c r="S215" s="135"/>
      <c r="T215" s="135"/>
      <c r="U215" s="135"/>
      <c r="V215" s="135"/>
      <c r="W215" s="135"/>
    </row>
    <row r="216" spans="1:24">
      <c r="A216" s="134" t="s">
        <v>96</v>
      </c>
      <c r="B216" s="24"/>
      <c r="C216" s="136"/>
      <c r="D216" s="329"/>
      <c r="E216" s="136"/>
      <c r="F216" s="136"/>
      <c r="G216" s="136"/>
      <c r="H216" s="136"/>
      <c r="I216" s="137">
        <f>1000000*$G$266</f>
        <v>1557500000</v>
      </c>
      <c r="J216" s="137">
        <f>1000000*$G$266</f>
        <v>1557500000</v>
      </c>
      <c r="K216" s="137">
        <f t="shared" ref="K216:W216" si="82">1000000*$G$266</f>
        <v>1557500000</v>
      </c>
      <c r="L216" s="137">
        <f t="shared" si="82"/>
        <v>1557500000</v>
      </c>
      <c r="M216" s="137">
        <f t="shared" si="82"/>
        <v>1557500000</v>
      </c>
      <c r="N216" s="137">
        <f t="shared" si="82"/>
        <v>1557500000</v>
      </c>
      <c r="O216" s="137">
        <f t="shared" si="82"/>
        <v>1557500000</v>
      </c>
      <c r="P216" s="137">
        <f t="shared" si="82"/>
        <v>1557500000</v>
      </c>
      <c r="Q216" s="137">
        <f t="shared" si="82"/>
        <v>1557500000</v>
      </c>
      <c r="R216" s="137">
        <f t="shared" si="82"/>
        <v>1557500000</v>
      </c>
      <c r="S216" s="137">
        <f t="shared" si="82"/>
        <v>1557500000</v>
      </c>
      <c r="T216" s="137">
        <f t="shared" si="82"/>
        <v>1557500000</v>
      </c>
      <c r="U216" s="137">
        <f t="shared" si="82"/>
        <v>1557500000</v>
      </c>
      <c r="V216" s="137">
        <f t="shared" si="82"/>
        <v>1557500000</v>
      </c>
      <c r="W216" s="137">
        <f t="shared" si="82"/>
        <v>1557500000</v>
      </c>
    </row>
    <row r="217" spans="1:24">
      <c r="A217" s="134" t="s">
        <v>506</v>
      </c>
      <c r="B217" s="24"/>
      <c r="C217" s="136"/>
      <c r="D217" s="136"/>
      <c r="E217" s="136"/>
      <c r="F217" s="136"/>
      <c r="G217" s="136"/>
      <c r="H217" s="136"/>
      <c r="I217" s="190"/>
      <c r="J217" s="190"/>
      <c r="K217" s="190">
        <f>+MultiyearDisb!N61</f>
        <v>424850400</v>
      </c>
      <c r="L217" s="190">
        <f>+MultiyearDisb!O61</f>
        <v>396091800</v>
      </c>
      <c r="M217" s="190">
        <f>+MultiyearDisb!P61</f>
        <v>0</v>
      </c>
      <c r="N217" s="190">
        <f>+MultiyearDisb!Q61</f>
        <v>0</v>
      </c>
      <c r="O217" s="190">
        <f>+MultiyearDisb!R61</f>
        <v>0</v>
      </c>
      <c r="P217" s="190">
        <f>+MultiyearDisb!S61</f>
        <v>0</v>
      </c>
      <c r="Q217" s="190">
        <f>+MultiyearDisb!T61</f>
        <v>5402663916</v>
      </c>
      <c r="R217" s="190">
        <f>+MultiyearDisb!U61</f>
        <v>14641896391.199999</v>
      </c>
      <c r="S217" s="190"/>
      <c r="T217" s="190"/>
      <c r="U217" s="190"/>
      <c r="V217" s="190"/>
      <c r="W217" s="190"/>
    </row>
    <row r="218" spans="1:24">
      <c r="A218" s="22" t="s">
        <v>81</v>
      </c>
      <c r="D218" s="23">
        <f ca="1">D214-D215-D216-D217</f>
        <v>-1360593878.2800002</v>
      </c>
      <c r="E218" s="23">
        <f ca="1">E214-E215-E216-E217</f>
        <v>-8623116703.2222328</v>
      </c>
      <c r="F218" s="23">
        <f t="shared" ref="F218:W218" ca="1" si="83">F214-F215-F216-F217</f>
        <v>-11171449317.453711</v>
      </c>
      <c r="G218" s="23">
        <f t="shared" ca="1" si="83"/>
        <v>-12985677428.403494</v>
      </c>
      <c r="H218" s="23">
        <f t="shared" ca="1" si="83"/>
        <v>-19638271045.2869</v>
      </c>
      <c r="I218" s="23">
        <f t="shared" ca="1" si="83"/>
        <v>11369308.421657801</v>
      </c>
      <c r="J218" s="23">
        <f t="shared" ca="1" si="83"/>
        <v>1102458585.4382658</v>
      </c>
      <c r="K218" s="23">
        <f t="shared" ca="1" si="83"/>
        <v>2042413740.0492196</v>
      </c>
      <c r="L218" s="23">
        <f t="shared" ca="1" si="83"/>
        <v>3655838553.9860487</v>
      </c>
      <c r="M218" s="23">
        <f t="shared" ca="1" si="83"/>
        <v>5872603888.8409519</v>
      </c>
      <c r="N218" s="23">
        <f t="shared" ca="1" si="83"/>
        <v>7902136573.2884483</v>
      </c>
      <c r="O218" s="23">
        <f t="shared" ca="1" si="83"/>
        <v>10094654967.867163</v>
      </c>
      <c r="P218" s="23">
        <f t="shared" ca="1" si="83"/>
        <v>12395392567.249039</v>
      </c>
      <c r="Q218" s="23">
        <f t="shared" ca="1" si="83"/>
        <v>9404753088.4571648</v>
      </c>
      <c r="R218" s="23">
        <f t="shared" ca="1" si="83"/>
        <v>2654359258.8964405</v>
      </c>
      <c r="S218" s="23">
        <f t="shared" ca="1" si="83"/>
        <v>19909229498.592014</v>
      </c>
      <c r="T218" s="23">
        <f t="shared" ca="1" si="83"/>
        <v>22513338938.857582</v>
      </c>
      <c r="U218" s="23">
        <f t="shared" ca="1" si="83"/>
        <v>25143676819.528698</v>
      </c>
      <c r="V218" s="23">
        <f t="shared" ca="1" si="83"/>
        <v>27742872798.62495</v>
      </c>
      <c r="W218" s="23">
        <f t="shared" ca="1" si="83"/>
        <v>30376009878.374012</v>
      </c>
      <c r="X218" s="23"/>
    </row>
    <row r="219" spans="1:24">
      <c r="B219" s="21" t="s">
        <v>82</v>
      </c>
      <c r="C219" s="158">
        <f ca="1">IRR(D218:W218,0.1)</f>
        <v>0.1063198455204033</v>
      </c>
      <c r="D219" s="21">
        <f ca="1">NPV(0.1,D218:W218)</f>
        <v>2568880600.6058741</v>
      </c>
      <c r="E219" s="21"/>
    </row>
    <row r="220" spans="1:24">
      <c r="A220" s="22" t="s">
        <v>143</v>
      </c>
      <c r="B220" t="s">
        <v>120</v>
      </c>
      <c r="C220" s="32">
        <f ca="1">NPV(0.1,D214:W214)-NPV(0.1,D216:W216)</f>
        <v>41910928818.532898</v>
      </c>
      <c r="D220" s="330">
        <f ca="1">D219/B16</f>
        <v>3411528.0220529535</v>
      </c>
      <c r="E220" s="330"/>
      <c r="F220" s="330"/>
      <c r="I220" s="23"/>
    </row>
    <row r="221" spans="1:24">
      <c r="A221" s="22" t="s">
        <v>118</v>
      </c>
      <c r="B221" t="s">
        <v>121</v>
      </c>
      <c r="C221" s="32">
        <f ca="1">C220/B16</f>
        <v>55658604.008675829</v>
      </c>
    </row>
    <row r="222" spans="1:24">
      <c r="A222" s="333" t="s">
        <v>94</v>
      </c>
      <c r="B222" s="334"/>
      <c r="C222" s="335">
        <f>SUM(D222:H222)</f>
        <v>35188029.123782694</v>
      </c>
      <c r="D222" s="33">
        <f>D215/exrate</f>
        <v>872175.56300000008</v>
      </c>
      <c r="E222" s="33">
        <f>E215/exrate</f>
        <v>5535572.701114743</v>
      </c>
      <c r="F222" s="33">
        <f>F215/exrate</f>
        <v>7200940.8720480772</v>
      </c>
      <c r="G222" s="33">
        <f>G215/exrate</f>
        <v>8493089.355328206</v>
      </c>
      <c r="H222" s="33">
        <f>H215/exrate</f>
        <v>13086250.632291669</v>
      </c>
    </row>
    <row r="223" spans="1:24">
      <c r="A223" s="22" t="s">
        <v>124</v>
      </c>
      <c r="C223" s="32">
        <f>NPV(0.1,D215:H215)/exrate</f>
        <v>24704340.16883029</v>
      </c>
      <c r="D223" s="13">
        <f ca="1">C221/C223</f>
        <v>2.2529888929760138</v>
      </c>
      <c r="E223" s="32"/>
      <c r="F223" s="32"/>
      <c r="G223" s="32"/>
    </row>
    <row r="224" spans="1:24">
      <c r="A224" t="s">
        <v>95</v>
      </c>
    </row>
    <row r="225" spans="1:23">
      <c r="A225" s="22" t="s">
        <v>125</v>
      </c>
      <c r="C225" s="21">
        <f ca="1">C221/B42</f>
        <v>1903.5090290244812</v>
      </c>
    </row>
    <row r="226" spans="1:23">
      <c r="A226" s="22"/>
      <c r="C226" s="330"/>
    </row>
    <row r="227" spans="1:23" hidden="1">
      <c r="A227" s="38" t="s">
        <v>137</v>
      </c>
      <c r="B227" s="39"/>
      <c r="C227" s="40"/>
      <c r="D227" s="39"/>
      <c r="E227" s="39"/>
      <c r="F227" s="39"/>
      <c r="G227" s="39"/>
      <c r="H227" s="39"/>
      <c r="I227" s="39"/>
      <c r="J227" s="39"/>
      <c r="K227" s="39"/>
      <c r="L227" s="39"/>
      <c r="M227" s="39"/>
      <c r="N227" s="39"/>
      <c r="O227" s="39"/>
      <c r="P227" s="39"/>
      <c r="Q227" s="39"/>
      <c r="R227" s="39"/>
      <c r="S227" s="39"/>
      <c r="T227" s="39"/>
      <c r="U227" s="39"/>
      <c r="V227" s="39"/>
      <c r="W227" s="41"/>
    </row>
    <row r="228" spans="1:23" hidden="1">
      <c r="A228" s="42" t="s">
        <v>101</v>
      </c>
      <c r="B228" s="43"/>
      <c r="C228" s="43"/>
      <c r="D228" s="43"/>
      <c r="E228" s="43"/>
      <c r="F228" s="43"/>
      <c r="G228" s="43"/>
      <c r="H228" s="43"/>
      <c r="I228" s="43"/>
      <c r="J228" s="43"/>
      <c r="K228" s="43"/>
      <c r="L228" s="43"/>
      <c r="M228" s="43"/>
      <c r="N228" s="43"/>
      <c r="O228" s="43"/>
      <c r="P228" s="43"/>
      <c r="Q228" s="43"/>
      <c r="R228" s="43"/>
      <c r="S228" s="43"/>
      <c r="T228" s="43"/>
      <c r="U228" s="43"/>
      <c r="V228" s="43"/>
      <c r="W228" s="44"/>
    </row>
    <row r="229" spans="1:23" hidden="1">
      <c r="A229" s="42" t="s">
        <v>123</v>
      </c>
      <c r="B229" s="45">
        <v>1.2E-2</v>
      </c>
      <c r="C229" s="43"/>
      <c r="D229" s="43"/>
      <c r="E229" s="43"/>
      <c r="F229" s="43"/>
      <c r="G229" s="43"/>
      <c r="H229" s="43"/>
      <c r="I229" s="43"/>
      <c r="J229" s="43"/>
      <c r="K229" s="43"/>
      <c r="L229" s="43"/>
      <c r="M229" s="43"/>
      <c r="N229" s="43"/>
      <c r="O229" s="43"/>
      <c r="P229" s="43"/>
      <c r="Q229" s="43"/>
      <c r="R229" s="43"/>
      <c r="S229" s="43"/>
      <c r="T229" s="43"/>
      <c r="U229" s="43"/>
      <c r="V229" s="43"/>
      <c r="W229" s="44"/>
    </row>
    <row r="230" spans="1:23" hidden="1">
      <c r="A230" s="42" t="s">
        <v>122</v>
      </c>
      <c r="B230" s="46">
        <f>B8*B229</f>
        <v>79087645669.687195</v>
      </c>
      <c r="C230" s="43"/>
      <c r="D230" s="43"/>
      <c r="E230" s="43"/>
      <c r="F230" s="43"/>
      <c r="G230" s="43"/>
      <c r="H230" s="43"/>
      <c r="I230" s="43"/>
      <c r="J230" s="43"/>
      <c r="K230" s="43"/>
      <c r="L230" s="43"/>
      <c r="M230" s="43"/>
      <c r="N230" s="43"/>
      <c r="O230" s="43"/>
      <c r="P230" s="43"/>
      <c r="Q230" s="43"/>
      <c r="R230" s="43"/>
      <c r="S230" s="43"/>
      <c r="T230" s="43"/>
      <c r="U230" s="43"/>
      <c r="V230" s="43"/>
      <c r="W230" s="44"/>
    </row>
    <row r="231" spans="1:23" hidden="1">
      <c r="A231" s="42" t="s">
        <v>97</v>
      </c>
      <c r="B231" s="47">
        <v>4700000000</v>
      </c>
      <c r="C231" s="43"/>
      <c r="D231" s="48">
        <v>0</v>
      </c>
      <c r="E231" s="48">
        <f>B231</f>
        <v>4700000000</v>
      </c>
      <c r="F231" s="48">
        <f t="shared" ref="F231:W231" si="84">E231*(1+popgrowth)</f>
        <v>4770500000</v>
      </c>
      <c r="G231" s="48">
        <f t="shared" si="84"/>
        <v>4842057500</v>
      </c>
      <c r="H231" s="48">
        <f t="shared" si="84"/>
        <v>4914688362.5</v>
      </c>
      <c r="I231" s="48">
        <f t="shared" si="84"/>
        <v>4988408687.937499</v>
      </c>
      <c r="J231" s="48">
        <f t="shared" si="84"/>
        <v>5063234818.2565613</v>
      </c>
      <c r="K231" s="48">
        <f t="shared" si="84"/>
        <v>5139183340.5304089</v>
      </c>
      <c r="L231" s="48">
        <f t="shared" si="84"/>
        <v>5216271090.6383648</v>
      </c>
      <c r="M231" s="48">
        <f t="shared" si="84"/>
        <v>5294515156.9979401</v>
      </c>
      <c r="N231" s="48">
        <f t="shared" si="84"/>
        <v>5373932884.3529091</v>
      </c>
      <c r="O231" s="48">
        <f t="shared" si="84"/>
        <v>5454541877.6182022</v>
      </c>
      <c r="P231" s="48">
        <f t="shared" si="84"/>
        <v>5536360005.7824745</v>
      </c>
      <c r="Q231" s="48">
        <f t="shared" si="84"/>
        <v>5619405405.8692112</v>
      </c>
      <c r="R231" s="48">
        <f t="shared" si="84"/>
        <v>5703696486.9572487</v>
      </c>
      <c r="S231" s="48">
        <f t="shared" si="84"/>
        <v>5789251934.2616072</v>
      </c>
      <c r="T231" s="48">
        <f t="shared" si="84"/>
        <v>5876090713.2755308</v>
      </c>
      <c r="U231" s="48">
        <f t="shared" si="84"/>
        <v>5964232073.9746628</v>
      </c>
      <c r="V231" s="48">
        <f t="shared" si="84"/>
        <v>6053695555.0842819</v>
      </c>
      <c r="W231" s="49">
        <f t="shared" si="84"/>
        <v>6144500988.4105453</v>
      </c>
    </row>
    <row r="232" spans="1:23" hidden="1">
      <c r="A232" s="42" t="s">
        <v>99</v>
      </c>
      <c r="B232" s="43">
        <v>0.03</v>
      </c>
      <c r="C232" s="43"/>
      <c r="D232" s="48"/>
      <c r="E232" s="48"/>
      <c r="F232" s="48"/>
      <c r="G232" s="48"/>
      <c r="H232" s="48"/>
      <c r="I232" s="48"/>
      <c r="J232" s="48"/>
      <c r="K232" s="48"/>
      <c r="L232" s="48"/>
      <c r="M232" s="48"/>
      <c r="N232" s="48"/>
      <c r="O232" s="48"/>
      <c r="P232" s="48"/>
      <c r="Q232" s="48"/>
      <c r="R232" s="48"/>
      <c r="S232" s="48"/>
      <c r="T232" s="48"/>
      <c r="U232" s="48"/>
      <c r="V232" s="48"/>
      <c r="W232" s="49"/>
    </row>
    <row r="233" spans="1:23" hidden="1">
      <c r="A233" s="42" t="s">
        <v>100</v>
      </c>
      <c r="B233" s="46">
        <f>NPV(B232,D231:W231)</f>
        <v>74000977265.117142</v>
      </c>
      <c r="C233" s="43"/>
      <c r="D233" s="48"/>
      <c r="E233" s="48"/>
      <c r="F233" s="48"/>
      <c r="G233" s="48"/>
      <c r="H233" s="48"/>
      <c r="I233" s="48"/>
      <c r="J233" s="48"/>
      <c r="K233" s="48"/>
      <c r="L233" s="48"/>
      <c r="M233" s="48"/>
      <c r="N233" s="48"/>
      <c r="O233" s="48"/>
      <c r="P233" s="48"/>
      <c r="Q233" s="48"/>
      <c r="R233" s="48"/>
      <c r="S233" s="48"/>
      <c r="T233" s="48"/>
      <c r="U233" s="48"/>
      <c r="V233" s="48"/>
      <c r="W233" s="49"/>
    </row>
    <row r="234" spans="1:23" hidden="1">
      <c r="A234" s="42"/>
      <c r="B234" s="43"/>
      <c r="C234" s="43"/>
      <c r="D234" s="48">
        <f>D231-D215-D216</f>
        <v>-1360593878.2800002</v>
      </c>
      <c r="E234" s="48">
        <f t="shared" ref="E234:W234" si="85">E231-E215-E216</f>
        <v>-3935493413.7389984</v>
      </c>
      <c r="F234" s="48">
        <f t="shared" si="85"/>
        <v>-6462967760.3950005</v>
      </c>
      <c r="G234" s="48">
        <f t="shared" si="85"/>
        <v>-8407161894.3120003</v>
      </c>
      <c r="H234" s="48">
        <f t="shared" si="85"/>
        <v>-15499862623.875004</v>
      </c>
      <c r="I234" s="48">
        <f t="shared" si="85"/>
        <v>3430908687.937499</v>
      </c>
      <c r="J234" s="48">
        <f t="shared" si="85"/>
        <v>3505734818.2565613</v>
      </c>
      <c r="K234" s="48">
        <f t="shared" si="85"/>
        <v>3581683340.5304089</v>
      </c>
      <c r="L234" s="48">
        <f t="shared" si="85"/>
        <v>3658771090.6383648</v>
      </c>
      <c r="M234" s="48">
        <f t="shared" si="85"/>
        <v>3737015156.9979401</v>
      </c>
      <c r="N234" s="48">
        <f t="shared" si="85"/>
        <v>3816432884.3529091</v>
      </c>
      <c r="O234" s="48">
        <f t="shared" si="85"/>
        <v>3897041877.6182022</v>
      </c>
      <c r="P234" s="48">
        <f t="shared" si="85"/>
        <v>3978860005.7824745</v>
      </c>
      <c r="Q234" s="48">
        <f t="shared" si="85"/>
        <v>4061905405.8692112</v>
      </c>
      <c r="R234" s="48">
        <f t="shared" si="85"/>
        <v>4146196486.9572487</v>
      </c>
      <c r="S234" s="48">
        <f t="shared" si="85"/>
        <v>4231751934.2616072</v>
      </c>
      <c r="T234" s="48">
        <f t="shared" si="85"/>
        <v>4318590713.2755308</v>
      </c>
      <c r="U234" s="48">
        <f t="shared" si="85"/>
        <v>4406732073.9746628</v>
      </c>
      <c r="V234" s="48">
        <f t="shared" si="85"/>
        <v>4496195555.0842819</v>
      </c>
      <c r="W234" s="49">
        <f t="shared" si="85"/>
        <v>4587000988.4105453</v>
      </c>
    </row>
    <row r="235" spans="1:23" hidden="1">
      <c r="A235" s="50"/>
      <c r="B235" s="51" t="s">
        <v>82</v>
      </c>
      <c r="C235" s="131">
        <f>IRR(D234:W234,0.1)</f>
        <v>5.9402928661260956E-2</v>
      </c>
      <c r="D235" s="3"/>
      <c r="E235" s="3"/>
      <c r="F235" s="3"/>
      <c r="G235" s="3"/>
      <c r="H235" s="3"/>
      <c r="I235" s="3"/>
      <c r="J235" s="3"/>
      <c r="K235" s="3"/>
      <c r="L235" s="3"/>
      <c r="M235" s="3"/>
      <c r="N235" s="3"/>
      <c r="O235" s="3"/>
      <c r="P235" s="3"/>
      <c r="Q235" s="3"/>
      <c r="R235" s="3"/>
      <c r="S235" s="3"/>
      <c r="T235" s="3"/>
      <c r="U235" s="3"/>
      <c r="V235" s="3"/>
      <c r="W235" s="53"/>
    </row>
    <row r="236" spans="1:23" hidden="1"/>
    <row r="237" spans="1:23" hidden="1"/>
    <row r="238" spans="1:23" hidden="1">
      <c r="A238" t="s">
        <v>108</v>
      </c>
    </row>
    <row r="239" spans="1:23" hidden="1">
      <c r="A239" t="s">
        <v>109</v>
      </c>
    </row>
    <row r="240" spans="1:23" hidden="1">
      <c r="D240">
        <v>2009</v>
      </c>
      <c r="E240">
        <v>2010</v>
      </c>
      <c r="F240">
        <v>2011</v>
      </c>
      <c r="G240">
        <v>2012</v>
      </c>
      <c r="H240">
        <v>2013</v>
      </c>
      <c r="I240">
        <v>2014</v>
      </c>
      <c r="J240">
        <v>2015</v>
      </c>
      <c r="K240">
        <v>2016</v>
      </c>
      <c r="L240">
        <v>2017</v>
      </c>
      <c r="M240">
        <v>2018</v>
      </c>
      <c r="N240">
        <v>2019</v>
      </c>
      <c r="O240">
        <v>2020</v>
      </c>
      <c r="P240">
        <v>2021</v>
      </c>
      <c r="Q240">
        <v>2022</v>
      </c>
      <c r="R240">
        <v>2023</v>
      </c>
      <c r="S240">
        <v>2024</v>
      </c>
      <c r="T240">
        <v>2025</v>
      </c>
      <c r="U240">
        <v>2026</v>
      </c>
      <c r="V240">
        <v>2027</v>
      </c>
      <c r="W240">
        <v>2028</v>
      </c>
    </row>
    <row r="241" spans="1:24" hidden="1">
      <c r="A241" t="s">
        <v>84</v>
      </c>
      <c r="D241" s="23">
        <f t="shared" ref="D241:W241" ca="1" si="86">D214/0.75</f>
        <v>0</v>
      </c>
      <c r="E241" s="23">
        <f t="shared" ca="1" si="86"/>
        <v>16502280.68901992</v>
      </c>
      <c r="F241" s="23">
        <f t="shared" ca="1" si="86"/>
        <v>82691257.25505437</v>
      </c>
      <c r="G241" s="23">
        <f t="shared" ca="1" si="86"/>
        <v>351389287.87800902</v>
      </c>
      <c r="H241" s="23">
        <f t="shared" ca="1" si="86"/>
        <v>1035039921.4508038</v>
      </c>
      <c r="I241" s="23">
        <f t="shared" ca="1" si="86"/>
        <v>2091825744.5622103</v>
      </c>
      <c r="J241" s="23">
        <f t="shared" ca="1" si="86"/>
        <v>3546611447.2510209</v>
      </c>
      <c r="K241" s="23">
        <f t="shared" ca="1" si="86"/>
        <v>5366352186.7322931</v>
      </c>
      <c r="L241" s="23">
        <f t="shared" ca="1" si="86"/>
        <v>7479240471.9813986</v>
      </c>
      <c r="M241" s="23">
        <f t="shared" ca="1" si="86"/>
        <v>9906805185.1212692</v>
      </c>
      <c r="N241" s="23">
        <f t="shared" ca="1" si="86"/>
        <v>12612848764.384598</v>
      </c>
      <c r="O241" s="23">
        <f t="shared" ca="1" si="86"/>
        <v>15536206623.822884</v>
      </c>
      <c r="P241" s="23">
        <f t="shared" ca="1" si="86"/>
        <v>18603856756.33205</v>
      </c>
      <c r="Q241" s="23">
        <f t="shared" ca="1" si="86"/>
        <v>21819889339.276218</v>
      </c>
      <c r="R241" s="23">
        <f t="shared" ca="1" si="86"/>
        <v>25138340866.795254</v>
      </c>
      <c r="S241" s="23">
        <f t="shared" ca="1" si="86"/>
        <v>28622305998.122684</v>
      </c>
      <c r="T241" s="23">
        <f t="shared" ca="1" si="86"/>
        <v>32094451918.476776</v>
      </c>
      <c r="U241" s="23">
        <f t="shared" ca="1" si="86"/>
        <v>35601569092.704933</v>
      </c>
      <c r="V241" s="23">
        <f t="shared" ca="1" si="86"/>
        <v>39067163731.499931</v>
      </c>
      <c r="W241" s="23">
        <f t="shared" ca="1" si="86"/>
        <v>42578013171.165352</v>
      </c>
      <c r="X241" s="23"/>
    </row>
    <row r="242" spans="1:24" hidden="1">
      <c r="A242" t="s">
        <v>110</v>
      </c>
      <c r="D242" s="23">
        <f>($D202/5+$D206*D209+$D210*D211)*exrate</f>
        <v>6883500000</v>
      </c>
      <c r="E242" s="23">
        <f>($D202/5+$D206*E209+$D210*E211)*exrate</f>
        <v>10666500000</v>
      </c>
      <c r="F242" s="23">
        <f>($D202/5+$D206*F209+$D210*F211)*exrate</f>
        <v>15412800000</v>
      </c>
      <c r="G242" s="23">
        <f>($D202/5+$D206*G209+$D210*G211)*exrate</f>
        <v>11622000000</v>
      </c>
      <c r="H242" s="23">
        <f>($D202/5+$D206*H209+$D210*H211)*exrate</f>
        <v>6895200000</v>
      </c>
      <c r="I242" s="23">
        <f>$D206*I209+$D210*I211+I216</f>
        <v>1557500000</v>
      </c>
      <c r="J242" s="23">
        <f t="shared" ref="J242:W242" si="87">$D206*J209+$D210*J211+J216</f>
        <v>1557500000</v>
      </c>
      <c r="K242" s="23">
        <f t="shared" si="87"/>
        <v>1557500000</v>
      </c>
      <c r="L242" s="23">
        <f t="shared" si="87"/>
        <v>1557500000</v>
      </c>
      <c r="M242" s="23">
        <f t="shared" si="87"/>
        <v>1557500000</v>
      </c>
      <c r="N242" s="23">
        <f t="shared" si="87"/>
        <v>1557500000</v>
      </c>
      <c r="O242" s="23">
        <f t="shared" si="87"/>
        <v>1557500000</v>
      </c>
      <c r="P242" s="23">
        <f t="shared" si="87"/>
        <v>1557500000</v>
      </c>
      <c r="Q242" s="23">
        <f t="shared" si="87"/>
        <v>1557500000</v>
      </c>
      <c r="R242" s="23">
        <f t="shared" si="87"/>
        <v>1557500000</v>
      </c>
      <c r="S242" s="23">
        <f t="shared" si="87"/>
        <v>1557500000</v>
      </c>
      <c r="T242" s="23">
        <f t="shared" si="87"/>
        <v>1557500000</v>
      </c>
      <c r="U242" s="23">
        <f t="shared" si="87"/>
        <v>1557500000</v>
      </c>
      <c r="V242" s="23">
        <f t="shared" si="87"/>
        <v>1557500000</v>
      </c>
      <c r="W242" s="23">
        <f t="shared" si="87"/>
        <v>1557500000</v>
      </c>
      <c r="X242" s="23"/>
    </row>
    <row r="243" spans="1:24" hidden="1">
      <c r="D243" s="23">
        <f t="shared" ref="D243:W243" ca="1" si="88">D241-D242</f>
        <v>-6883500000</v>
      </c>
      <c r="E243" s="23">
        <f t="shared" ca="1" si="88"/>
        <v>-10649997719.31098</v>
      </c>
      <c r="F243" s="23">
        <f t="shared" ca="1" si="88"/>
        <v>-15330108742.744946</v>
      </c>
      <c r="G243" s="23">
        <f t="shared" ca="1" si="88"/>
        <v>-11270610712.12199</v>
      </c>
      <c r="H243" s="23">
        <f t="shared" ca="1" si="88"/>
        <v>-5860160078.5491962</v>
      </c>
      <c r="I243" s="23">
        <f t="shared" ca="1" si="88"/>
        <v>534325744.56221032</v>
      </c>
      <c r="J243" s="23">
        <f t="shared" ca="1" si="88"/>
        <v>1989111447.2510209</v>
      </c>
      <c r="K243" s="23">
        <f t="shared" ca="1" si="88"/>
        <v>3808852186.7322931</v>
      </c>
      <c r="L243" s="23">
        <f t="shared" ca="1" si="88"/>
        <v>5921740471.9813986</v>
      </c>
      <c r="M243" s="23">
        <f t="shared" ca="1" si="88"/>
        <v>8349305185.1212692</v>
      </c>
      <c r="N243" s="23">
        <f t="shared" ca="1" si="88"/>
        <v>11055348764.384598</v>
      </c>
      <c r="O243" s="23">
        <f t="shared" ca="1" si="88"/>
        <v>13978706623.822884</v>
      </c>
      <c r="P243" s="23">
        <f t="shared" ca="1" si="88"/>
        <v>17046356756.33205</v>
      </c>
      <c r="Q243" s="23">
        <f t="shared" ca="1" si="88"/>
        <v>20262389339.276218</v>
      </c>
      <c r="R243" s="23">
        <f t="shared" ca="1" si="88"/>
        <v>23580840866.795254</v>
      </c>
      <c r="S243" s="23">
        <f t="shared" ca="1" si="88"/>
        <v>27064805998.122684</v>
      </c>
      <c r="T243" s="23">
        <f t="shared" ca="1" si="88"/>
        <v>30536951918.476776</v>
      </c>
      <c r="U243" s="23">
        <f t="shared" ca="1" si="88"/>
        <v>34044069092.704933</v>
      </c>
      <c r="V243" s="23">
        <f t="shared" ca="1" si="88"/>
        <v>37509663731.499931</v>
      </c>
      <c r="W243" s="23">
        <f t="shared" ca="1" si="88"/>
        <v>41020513171.165352</v>
      </c>
    </row>
    <row r="244" spans="1:24" hidden="1">
      <c r="B244" s="21" t="s">
        <v>82</v>
      </c>
      <c r="C244" s="4">
        <f ca="1">IRR(D243:W243,0.1)</f>
        <v>0.14892050390484379</v>
      </c>
    </row>
    <row r="245" spans="1:24" hidden="1"/>
    <row r="246" spans="1:24" hidden="1">
      <c r="A246" t="s">
        <v>113</v>
      </c>
      <c r="B246" s="3">
        <v>2009</v>
      </c>
      <c r="C246" s="3">
        <v>2029</v>
      </c>
    </row>
    <row r="247" spans="1:24" hidden="1">
      <c r="A247" t="s">
        <v>112</v>
      </c>
      <c r="B247">
        <f>pop*0.68*0.4</f>
        <v>729912.00000000012</v>
      </c>
      <c r="C247" s="21">
        <f>W45*0.68*0.4</f>
        <v>968557.27245415049</v>
      </c>
    </row>
    <row r="248" spans="1:24" hidden="1">
      <c r="A248" t="s">
        <v>114</v>
      </c>
      <c r="B248">
        <v>0.55000000000000004</v>
      </c>
      <c r="C248">
        <v>0.55000000000000004</v>
      </c>
    </row>
    <row r="249" spans="1:24" hidden="1">
      <c r="A249" t="s">
        <v>115</v>
      </c>
      <c r="B249">
        <v>0.42</v>
      </c>
      <c r="C249">
        <v>0.42</v>
      </c>
    </row>
    <row r="250" spans="1:24" hidden="1">
      <c r="A250" t="s">
        <v>117</v>
      </c>
      <c r="B250">
        <v>4120</v>
      </c>
      <c r="D250" t="s">
        <v>116</v>
      </c>
    </row>
    <row r="251" spans="1:24" hidden="1"/>
    <row r="252" spans="1:24" hidden="1"/>
    <row r="253" spans="1:24" hidden="1">
      <c r="B253" s="21">
        <f>29000/0.7</f>
        <v>41428.571428571435</v>
      </c>
    </row>
    <row r="254" spans="1:24" hidden="1">
      <c r="B254" s="21">
        <f>B253-29000</f>
        <v>12428.571428571435</v>
      </c>
    </row>
    <row r="255" spans="1:24" hidden="1">
      <c r="B255" s="21">
        <f>B254-B250</f>
        <v>8308.5714285714348</v>
      </c>
    </row>
    <row r="256" spans="1:24">
      <c r="B256" s="21"/>
    </row>
    <row r="257" spans="1:22">
      <c r="A257" s="37" t="s">
        <v>268</v>
      </c>
    </row>
    <row r="258" spans="1:22">
      <c r="A258" s="69"/>
      <c r="B258" s="70">
        <v>2008</v>
      </c>
      <c r="C258" s="70">
        <v>2009</v>
      </c>
      <c r="D258" s="70">
        <v>2010</v>
      </c>
      <c r="E258" s="70">
        <v>2011</v>
      </c>
      <c r="F258" s="70">
        <v>2012</v>
      </c>
      <c r="G258" s="70">
        <v>2013</v>
      </c>
      <c r="H258" s="41"/>
    </row>
    <row r="259" spans="1:22">
      <c r="A259" s="71"/>
      <c r="B259" s="72" t="s">
        <v>228</v>
      </c>
      <c r="C259" s="72" t="s">
        <v>229</v>
      </c>
      <c r="D259" s="72" t="s">
        <v>230</v>
      </c>
      <c r="E259" s="72" t="s">
        <v>231</v>
      </c>
      <c r="F259" s="72" t="s">
        <v>232</v>
      </c>
      <c r="G259" s="72" t="s">
        <v>233</v>
      </c>
      <c r="H259" s="73" t="s">
        <v>18</v>
      </c>
    </row>
    <row r="260" spans="1:22">
      <c r="A260" s="74" t="s">
        <v>223</v>
      </c>
      <c r="B260" s="75">
        <v>14040</v>
      </c>
      <c r="C260" s="75">
        <v>335960</v>
      </c>
      <c r="D260" s="75">
        <v>6539241</v>
      </c>
      <c r="E260" s="75">
        <v>5255423</v>
      </c>
      <c r="F260" s="75">
        <v>2415710</v>
      </c>
      <c r="G260" s="75">
        <v>1559744</v>
      </c>
      <c r="H260" s="76">
        <f>SUM(B260:G260)</f>
        <v>16120118</v>
      </c>
    </row>
    <row r="261" spans="1:22">
      <c r="A261" s="77" t="s">
        <v>224</v>
      </c>
      <c r="B261" s="78">
        <v>0</v>
      </c>
      <c r="C261" s="78">
        <v>400000</v>
      </c>
      <c r="D261" s="78">
        <v>1556490</v>
      </c>
      <c r="E261" s="78">
        <v>2171490</v>
      </c>
      <c r="F261" s="78">
        <v>2271490</v>
      </c>
      <c r="G261" s="78">
        <v>1503573</v>
      </c>
      <c r="H261" s="79">
        <f t="shared" ref="H261:H264" si="89">SUM(B261:G261)</f>
        <v>7903043</v>
      </c>
    </row>
    <row r="262" spans="1:22">
      <c r="A262" s="77" t="s">
        <v>226</v>
      </c>
      <c r="B262" s="78">
        <v>0</v>
      </c>
      <c r="C262" s="78">
        <v>500000</v>
      </c>
      <c r="D262" s="78">
        <v>1250476</v>
      </c>
      <c r="E262" s="78">
        <v>1560851</v>
      </c>
      <c r="F262" s="78">
        <v>1892116</v>
      </c>
      <c r="G262" s="78">
        <v>1004050</v>
      </c>
      <c r="H262" s="79">
        <f t="shared" si="89"/>
        <v>6207493</v>
      </c>
    </row>
    <row r="263" spans="1:22">
      <c r="A263" s="77" t="s">
        <v>225</v>
      </c>
      <c r="B263" s="78">
        <v>0</v>
      </c>
      <c r="C263" s="78">
        <v>800000</v>
      </c>
      <c r="D263" s="78">
        <v>900000</v>
      </c>
      <c r="E263" s="78">
        <v>2770000</v>
      </c>
      <c r="F263" s="78">
        <v>1330000</v>
      </c>
      <c r="G263" s="78">
        <v>173000</v>
      </c>
      <c r="H263" s="79">
        <f t="shared" si="89"/>
        <v>5973000</v>
      </c>
    </row>
    <row r="264" spans="1:22">
      <c r="A264" s="80" t="s">
        <v>227</v>
      </c>
      <c r="B264" s="81">
        <v>58792</v>
      </c>
      <c r="C264" s="81">
        <v>268708</v>
      </c>
      <c r="D264" s="81">
        <v>629980</v>
      </c>
      <c r="E264" s="81">
        <v>636501</v>
      </c>
      <c r="F264" s="81">
        <v>643250</v>
      </c>
      <c r="G264" s="81">
        <v>636234</v>
      </c>
      <c r="H264" s="82">
        <f t="shared" si="89"/>
        <v>2873465</v>
      </c>
    </row>
    <row r="265" spans="1:22">
      <c r="A265" s="83" t="s">
        <v>320</v>
      </c>
      <c r="B265" s="84">
        <f>SUM(B260:B264)</f>
        <v>72832</v>
      </c>
      <c r="C265" s="84">
        <f t="shared" ref="C265:H265" si="90">SUM(C260:C264)</f>
        <v>2304668</v>
      </c>
      <c r="D265" s="84">
        <f t="shared" si="90"/>
        <v>10876187</v>
      </c>
      <c r="E265" s="84">
        <f t="shared" si="90"/>
        <v>12394265</v>
      </c>
      <c r="F265" s="84">
        <f t="shared" si="90"/>
        <v>8552566</v>
      </c>
      <c r="G265" s="84">
        <f t="shared" si="90"/>
        <v>4876601</v>
      </c>
      <c r="H265" s="84">
        <f t="shared" si="90"/>
        <v>39077119</v>
      </c>
    </row>
    <row r="266" spans="1:22">
      <c r="A266" s="182" t="s">
        <v>269</v>
      </c>
      <c r="B266" s="39">
        <v>1165.8</v>
      </c>
      <c r="C266" s="39">
        <v>1437.8</v>
      </c>
      <c r="D266" s="75">
        <v>1357.1</v>
      </c>
      <c r="E266" s="39">
        <v>1265.5</v>
      </c>
      <c r="F266" s="39">
        <v>1357.6</v>
      </c>
      <c r="G266" s="39">
        <v>1557.5</v>
      </c>
      <c r="H266" s="41"/>
    </row>
    <row r="267" spans="1:22">
      <c r="A267" s="83" t="s">
        <v>319</v>
      </c>
      <c r="B267" s="181">
        <f t="shared" ref="B267:F267" si="91">+B266*B265</f>
        <v>84907545.599999994</v>
      </c>
      <c r="C267" s="181">
        <f t="shared" si="91"/>
        <v>3313651650.4000001</v>
      </c>
      <c r="D267" s="181">
        <f t="shared" si="91"/>
        <v>14760073377.699999</v>
      </c>
      <c r="E267" s="181">
        <f t="shared" si="91"/>
        <v>15684942357.5</v>
      </c>
      <c r="F267" s="181">
        <f t="shared" si="91"/>
        <v>11610963601.599998</v>
      </c>
      <c r="G267" s="181">
        <f>+G266*G265</f>
        <v>7595306057.5</v>
      </c>
      <c r="H267" s="183">
        <f>SUM(B267:G267)</f>
        <v>53049844590.299995</v>
      </c>
    </row>
    <row r="268" spans="1:22">
      <c r="A268" s="83" t="s">
        <v>491</v>
      </c>
      <c r="B268" s="43"/>
      <c r="C268" s="184">
        <f>+MultiyearDisb!D60</f>
        <v>946302.60000000009</v>
      </c>
      <c r="D268" s="184">
        <f>+MultiyearDisb!E60</f>
        <v>6363196.0899999999</v>
      </c>
      <c r="E268" s="184">
        <f>+MultiyearDisb!F60</f>
        <v>8876703.0899999999</v>
      </c>
      <c r="F268" s="184">
        <f>+MultiyearDisb!G60</f>
        <v>9759295.370000001</v>
      </c>
      <c r="G268" s="184">
        <f>+MultiyearDisb!H60</f>
        <v>13107255.850000001</v>
      </c>
      <c r="H268" s="185">
        <f>SUM(C268:G268)</f>
        <v>39052753</v>
      </c>
    </row>
    <row r="269" spans="1:22">
      <c r="A269" s="83" t="s">
        <v>492</v>
      </c>
      <c r="B269" s="2"/>
      <c r="C269" s="181">
        <f>+C268*C266</f>
        <v>1360593878.2800002</v>
      </c>
      <c r="D269" s="181">
        <f t="shared" ref="D269:G269" si="92">+D268*D266</f>
        <v>8635493413.7389984</v>
      </c>
      <c r="E269" s="181">
        <f t="shared" si="92"/>
        <v>11233467760.395</v>
      </c>
      <c r="F269" s="181">
        <f t="shared" si="92"/>
        <v>13249219394.312</v>
      </c>
      <c r="G269" s="181">
        <f t="shared" si="92"/>
        <v>20414550986.375004</v>
      </c>
      <c r="H269" s="183">
        <f>SUM(C269:G269)</f>
        <v>54893325433.100998</v>
      </c>
    </row>
    <row r="270" spans="1:22">
      <c r="A270" s="80" t="s">
        <v>493</v>
      </c>
      <c r="B270" s="43"/>
      <c r="C270" s="186"/>
      <c r="D270" s="186"/>
      <c r="E270" s="186"/>
      <c r="F270" s="186"/>
      <c r="G270" s="186"/>
      <c r="H270" s="186"/>
    </row>
    <row r="271" spans="1:22">
      <c r="A271" s="180"/>
      <c r="C271" s="70">
        <v>2009</v>
      </c>
      <c r="D271" s="70">
        <v>2010</v>
      </c>
      <c r="E271" s="70">
        <v>2011</v>
      </c>
      <c r="F271" s="70">
        <v>2012</v>
      </c>
      <c r="G271" s="70">
        <v>2013</v>
      </c>
      <c r="H271" s="70">
        <f>+G271+1</f>
        <v>2014</v>
      </c>
      <c r="I271" s="70">
        <f t="shared" ref="I271:V271" si="93">+H271+1</f>
        <v>2015</v>
      </c>
      <c r="J271" s="70">
        <f t="shared" si="93"/>
        <v>2016</v>
      </c>
      <c r="K271" s="70">
        <f t="shared" si="93"/>
        <v>2017</v>
      </c>
      <c r="L271" s="70">
        <f t="shared" si="93"/>
        <v>2018</v>
      </c>
      <c r="M271" s="70">
        <f t="shared" si="93"/>
        <v>2019</v>
      </c>
      <c r="N271" s="70">
        <f t="shared" si="93"/>
        <v>2020</v>
      </c>
      <c r="O271" s="70">
        <f t="shared" si="93"/>
        <v>2021</v>
      </c>
      <c r="P271" s="70">
        <f t="shared" si="93"/>
        <v>2022</v>
      </c>
      <c r="Q271" s="70">
        <f t="shared" si="93"/>
        <v>2023</v>
      </c>
      <c r="R271" s="70">
        <f t="shared" si="93"/>
        <v>2024</v>
      </c>
      <c r="S271" s="70">
        <f t="shared" si="93"/>
        <v>2025</v>
      </c>
      <c r="T271" s="70">
        <f t="shared" si="93"/>
        <v>2026</v>
      </c>
      <c r="U271" s="70">
        <f t="shared" si="93"/>
        <v>2027</v>
      </c>
      <c r="V271" s="70">
        <f t="shared" si="93"/>
        <v>2028</v>
      </c>
    </row>
    <row r="272" spans="1:22">
      <c r="A272" s="141" t="s">
        <v>334</v>
      </c>
      <c r="C272" s="132">
        <v>5623236708</v>
      </c>
      <c r="D272" s="132">
        <v>4583834427</v>
      </c>
      <c r="E272" s="132">
        <v>6200357070</v>
      </c>
      <c r="F272" s="132">
        <v>8761426371</v>
      </c>
      <c r="G272" s="132">
        <v>10271399281</v>
      </c>
      <c r="H272" s="132">
        <f>+G272*(1+I13)</f>
        <v>11462881597.596001</v>
      </c>
      <c r="I272" s="132">
        <f>+H272*(1+J13)</f>
        <v>12483078059.782043</v>
      </c>
      <c r="J272" s="132">
        <f t="shared" ref="J272:V272" si="94">+I272*(1+K13)</f>
        <v>13594072007.102646</v>
      </c>
      <c r="K272" s="132">
        <f t="shared" si="94"/>
        <v>14803944415.734781</v>
      </c>
      <c r="L272" s="132">
        <f t="shared" si="94"/>
        <v>16121495468.735176</v>
      </c>
      <c r="M272" s="132">
        <f t="shared" si="94"/>
        <v>17556308565.452606</v>
      </c>
      <c r="N272" s="132">
        <f t="shared" si="94"/>
        <v>19118820027.777889</v>
      </c>
      <c r="O272" s="132">
        <f t="shared" si="94"/>
        <v>20820395010.250122</v>
      </c>
      <c r="P272" s="132">
        <f t="shared" si="94"/>
        <v>22673410166.162384</v>
      </c>
      <c r="Q272" s="132">
        <f t="shared" si="94"/>
        <v>24691343670.950836</v>
      </c>
      <c r="R272" s="132">
        <f t="shared" si="94"/>
        <v>26888873257.665459</v>
      </c>
      <c r="S272" s="132">
        <f t="shared" si="94"/>
        <v>29281982977.597683</v>
      </c>
      <c r="T272" s="132">
        <f t="shared" si="94"/>
        <v>31888079462.603874</v>
      </c>
      <c r="U272" s="132">
        <f t="shared" si="94"/>
        <v>34726118534.77562</v>
      </c>
      <c r="V272" s="132">
        <f t="shared" si="94"/>
        <v>37816743084.370651</v>
      </c>
    </row>
    <row r="273" spans="1:22">
      <c r="A273" s="141" t="s">
        <v>335</v>
      </c>
      <c r="C273" s="132">
        <f>+(C272*B266)/1000</f>
        <v>6555569354.1863995</v>
      </c>
      <c r="D273" s="132">
        <f>+(D272*C266)/1000</f>
        <v>6590637139.1405993</v>
      </c>
      <c r="E273" s="132">
        <f>+(E272*D266)/1000</f>
        <v>8414504579.6969986</v>
      </c>
      <c r="F273" s="132">
        <f>+(F272*E266)/1000</f>
        <v>11087585072.5005</v>
      </c>
      <c r="G273" s="132">
        <f>+(G272*F266)/1000</f>
        <v>13944451663.885599</v>
      </c>
      <c r="H273" s="132">
        <f>+(H272*$B$14)/1000</f>
        <v>17882095292.249763</v>
      </c>
      <c r="I273" s="132">
        <f t="shared" ref="I273:V273" si="95">+(I272*$B$14)/1000</f>
        <v>19473601773.259987</v>
      </c>
      <c r="J273" s="132">
        <f t="shared" si="95"/>
        <v>21206752331.080128</v>
      </c>
      <c r="K273" s="132">
        <f t="shared" si="95"/>
        <v>23094153288.546257</v>
      </c>
      <c r="L273" s="132">
        <f t="shared" si="95"/>
        <v>25149532931.226875</v>
      </c>
      <c r="M273" s="132">
        <f t="shared" si="95"/>
        <v>27387841362.106068</v>
      </c>
      <c r="N273" s="132">
        <f t="shared" si="95"/>
        <v>29825359243.333508</v>
      </c>
      <c r="O273" s="132">
        <f t="shared" si="95"/>
        <v>32479816215.990192</v>
      </c>
      <c r="P273" s="132">
        <f t="shared" si="95"/>
        <v>35370519859.213318</v>
      </c>
      <c r="Q273" s="132">
        <f t="shared" si="95"/>
        <v>38518496126.683304</v>
      </c>
      <c r="R273" s="132">
        <f t="shared" si="95"/>
        <v>41946642281.958115</v>
      </c>
      <c r="S273" s="132">
        <f t="shared" si="95"/>
        <v>45679893445.052383</v>
      </c>
      <c r="T273" s="132">
        <f t="shared" si="95"/>
        <v>49745403961.662048</v>
      </c>
      <c r="U273" s="132">
        <f t="shared" si="95"/>
        <v>54172744914.249969</v>
      </c>
      <c r="V273" s="132">
        <f t="shared" si="95"/>
        <v>58994119211.618217</v>
      </c>
    </row>
    <row r="274" spans="1:22">
      <c r="A274" s="141" t="s">
        <v>105</v>
      </c>
      <c r="C274" s="132">
        <v>2683500</v>
      </c>
      <c r="D274" s="132">
        <v>2735500</v>
      </c>
      <c r="E274" s="132">
        <v>2780700</v>
      </c>
      <c r="F274" s="132">
        <v>2811600</v>
      </c>
      <c r="G274" s="222">
        <v>3179997</v>
      </c>
      <c r="H274" s="222">
        <f>+G274*1.92</f>
        <v>6105594.2400000002</v>
      </c>
      <c r="I274" s="222">
        <f>+H274*1.0192</f>
        <v>6222821.6494080005</v>
      </c>
      <c r="J274" s="222">
        <f t="shared" ref="J274:V274" si="96">+I274*1.0192</f>
        <v>6342299.825076635</v>
      </c>
      <c r="K274" s="222">
        <f t="shared" si="96"/>
        <v>6464071.9817181071</v>
      </c>
      <c r="L274" s="222">
        <f t="shared" si="96"/>
        <v>6588182.1637670957</v>
      </c>
      <c r="M274" s="222">
        <f t="shared" si="96"/>
        <v>6714675.2613114249</v>
      </c>
      <c r="N274" s="222">
        <f t="shared" si="96"/>
        <v>6843597.0263286047</v>
      </c>
      <c r="O274" s="222">
        <f t="shared" si="96"/>
        <v>6974994.0892341146</v>
      </c>
      <c r="P274" s="222">
        <f t="shared" si="96"/>
        <v>7108913.9757474102</v>
      </c>
      <c r="Q274" s="222">
        <f t="shared" si="96"/>
        <v>7245405.1240817616</v>
      </c>
      <c r="R274" s="222">
        <f t="shared" si="96"/>
        <v>7384516.9024641318</v>
      </c>
      <c r="S274" s="222">
        <f t="shared" si="96"/>
        <v>7526299.6269914443</v>
      </c>
      <c r="T274" s="222">
        <f t="shared" si="96"/>
        <v>7670804.5798296807</v>
      </c>
      <c r="U274" s="222">
        <f t="shared" si="96"/>
        <v>7818084.0277624112</v>
      </c>
      <c r="V274" s="222">
        <f t="shared" si="96"/>
        <v>7968191.2410954507</v>
      </c>
    </row>
    <row r="275" spans="1:22">
      <c r="A275" s="141" t="s">
        <v>336</v>
      </c>
      <c r="C275" s="133">
        <f>+C273/C274*1000</f>
        <v>2442917.5905296812</v>
      </c>
      <c r="D275" s="133">
        <f>+D273/D274*1000</f>
        <v>2409298.8993385485</v>
      </c>
      <c r="E275" s="133">
        <f t="shared" ref="E275:V275" si="97">+E273/E274*1000</f>
        <v>3026038.2564451392</v>
      </c>
      <c r="F275" s="133">
        <f t="shared" si="97"/>
        <v>3943514.3948287452</v>
      </c>
      <c r="G275" s="133">
        <f t="shared" si="97"/>
        <v>4385051.829887135</v>
      </c>
      <c r="H275" s="133">
        <f t="shared" si="97"/>
        <v>2928805.0580068948</v>
      </c>
      <c r="I275" s="133">
        <f t="shared" si="97"/>
        <v>3129384.5252840538</v>
      </c>
      <c r="J275" s="133">
        <f t="shared" si="97"/>
        <v>3343700.6946961679</v>
      </c>
      <c r="K275" s="133">
        <f t="shared" si="97"/>
        <v>3572694.3254750059</v>
      </c>
      <c r="L275" s="133">
        <f t="shared" si="97"/>
        <v>3817370.6048295535</v>
      </c>
      <c r="M275" s="133">
        <f t="shared" si="97"/>
        <v>4078803.560301593</v>
      </c>
      <c r="N275" s="133">
        <f t="shared" si="97"/>
        <v>4358140.7743018391</v>
      </c>
      <c r="O275" s="133">
        <f t="shared" si="97"/>
        <v>4656608.4215214895</v>
      </c>
      <c r="P275" s="133">
        <f t="shared" si="97"/>
        <v>4975516.65133134</v>
      </c>
      <c r="Q275" s="133">
        <f t="shared" si="97"/>
        <v>5316265.3387949653</v>
      </c>
      <c r="R275" s="133">
        <f t="shared" si="97"/>
        <v>5680350.229540538</v>
      </c>
      <c r="S275" s="133">
        <f t="shared" si="97"/>
        <v>6069369.5054647224</v>
      </c>
      <c r="T275" s="133">
        <f t="shared" si="97"/>
        <v>6485030.8000893667</v>
      </c>
      <c r="U275" s="133">
        <f t="shared" si="97"/>
        <v>6929158.6943655014</v>
      </c>
      <c r="V275" s="133">
        <f t="shared" si="97"/>
        <v>7403702.7258281298</v>
      </c>
    </row>
  </sheetData>
  <mergeCells count="16">
    <mergeCell ref="I18:I19"/>
    <mergeCell ref="D18:D19"/>
    <mergeCell ref="E18:E19"/>
    <mergeCell ref="F18:F19"/>
    <mergeCell ref="G18:G19"/>
    <mergeCell ref="H18:H19"/>
    <mergeCell ref="P18:P19"/>
    <mergeCell ref="Q18:Q19"/>
    <mergeCell ref="R18:R19"/>
    <mergeCell ref="S18:W18"/>
    <mergeCell ref="J18:J19"/>
    <mergeCell ref="K18:K19"/>
    <mergeCell ref="L18:L19"/>
    <mergeCell ref="M18:M19"/>
    <mergeCell ref="N18:N19"/>
    <mergeCell ref="O18:O1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1"/>
  <sheetViews>
    <sheetView workbookViewId="0">
      <selection activeCell="J18" sqref="J18"/>
    </sheetView>
  </sheetViews>
  <sheetFormatPr defaultRowHeight="15"/>
  <cols>
    <col min="4" max="4" width="7" customWidth="1"/>
    <col min="5" max="5" width="14.85546875" customWidth="1"/>
    <col min="6" max="6" width="12" bestFit="1" customWidth="1"/>
    <col min="16" max="16" width="13.140625" bestFit="1" customWidth="1"/>
  </cols>
  <sheetData>
    <row r="1" spans="1:36">
      <c r="E1" t="s">
        <v>59</v>
      </c>
      <c r="H1">
        <v>6.2</v>
      </c>
    </row>
    <row r="2" spans="1:36">
      <c r="E2" t="s">
        <v>60</v>
      </c>
      <c r="H2" s="21">
        <f>pop/1000*H1</f>
        <v>16702.8</v>
      </c>
      <c r="I2" t="s">
        <v>63</v>
      </c>
      <c r="J2">
        <f>SUM(F11:P11)</f>
        <v>13389</v>
      </c>
      <c r="K2" s="21">
        <f>H2-J2</f>
        <v>3313.7999999999993</v>
      </c>
      <c r="L2" s="21"/>
    </row>
    <row r="3" spans="1:36">
      <c r="E3" t="s">
        <v>157</v>
      </c>
      <c r="H3">
        <f>pop</f>
        <v>2694000</v>
      </c>
    </row>
    <row r="5" spans="1:36" ht="15.75" thickBot="1"/>
    <row r="6" spans="1:36" ht="16.5" thickBot="1">
      <c r="A6" s="57" t="s">
        <v>150</v>
      </c>
      <c r="B6" s="57"/>
      <c r="C6" s="57"/>
      <c r="D6" s="57"/>
      <c r="E6" s="5"/>
      <c r="F6" s="6" t="s">
        <v>5</v>
      </c>
      <c r="G6" s="6" t="s">
        <v>6</v>
      </c>
      <c r="H6" s="6" t="s">
        <v>7</v>
      </c>
      <c r="I6" s="6" t="s">
        <v>8</v>
      </c>
      <c r="J6" s="6" t="s">
        <v>9</v>
      </c>
      <c r="K6" s="6" t="s">
        <v>10</v>
      </c>
      <c r="L6" s="6" t="s">
        <v>11</v>
      </c>
      <c r="M6" s="6" t="s">
        <v>12</v>
      </c>
      <c r="N6" s="6" t="s">
        <v>13</v>
      </c>
      <c r="O6" s="6" t="s">
        <v>14</v>
      </c>
      <c r="P6" s="6" t="s">
        <v>15</v>
      </c>
      <c r="Q6">
        <v>66</v>
      </c>
      <c r="R6">
        <v>67</v>
      </c>
      <c r="S6">
        <v>68</v>
      </c>
      <c r="T6">
        <v>69</v>
      </c>
      <c r="U6">
        <v>70</v>
      </c>
    </row>
    <row r="7" spans="1:36" ht="32.25" thickBot="1">
      <c r="E7" s="7" t="s">
        <v>20</v>
      </c>
      <c r="F7" s="8">
        <v>11</v>
      </c>
      <c r="G7" s="8">
        <v>20</v>
      </c>
      <c r="H7" s="8">
        <v>50</v>
      </c>
      <c r="I7" s="8">
        <v>77</v>
      </c>
      <c r="J7" s="8">
        <v>135</v>
      </c>
      <c r="K7" s="8">
        <v>267</v>
      </c>
      <c r="L7" s="8">
        <v>393</v>
      </c>
      <c r="M7" s="8">
        <v>470</v>
      </c>
      <c r="N7" s="8">
        <v>412</v>
      </c>
      <c r="O7" s="8">
        <v>452</v>
      </c>
      <c r="P7" s="8">
        <v>3171</v>
      </c>
      <c r="Q7">
        <f>SUM(F7:P7)/(pop*0.68)</f>
        <v>2.9793877461897897E-3</v>
      </c>
    </row>
    <row r="8" spans="1:36" ht="16.5" thickBot="1">
      <c r="E8" s="7" t="s">
        <v>21</v>
      </c>
      <c r="F8" s="8">
        <v>13</v>
      </c>
      <c r="G8" s="8">
        <v>22</v>
      </c>
      <c r="H8" s="8">
        <v>20</v>
      </c>
      <c r="I8" s="8">
        <v>40</v>
      </c>
      <c r="J8" s="8">
        <v>72</v>
      </c>
      <c r="K8" s="8">
        <v>188</v>
      </c>
      <c r="L8" s="8">
        <v>261</v>
      </c>
      <c r="M8" s="8">
        <v>315</v>
      </c>
      <c r="N8" s="8">
        <v>326</v>
      </c>
      <c r="O8" s="8">
        <v>390</v>
      </c>
      <c r="P8">
        <f>+'Cancer benefits'!R19/2</f>
        <v>50</v>
      </c>
      <c r="Q8">
        <v>50</v>
      </c>
      <c r="R8">
        <v>75</v>
      </c>
      <c r="S8">
        <v>75</v>
      </c>
      <c r="T8">
        <v>75</v>
      </c>
      <c r="U8">
        <f>+'Cancer benefits'!W19/2</f>
        <v>100</v>
      </c>
      <c r="V8">
        <f>+'Cancer benefits'!X19/2</f>
        <v>100</v>
      </c>
      <c r="W8">
        <f>+'Cancer benefits'!Y19/2</f>
        <v>100</v>
      </c>
      <c r="X8">
        <f>+'Cancer benefits'!Z19/2</f>
        <v>100</v>
      </c>
      <c r="Y8">
        <f>+'Cancer benefits'!AA19/2</f>
        <v>100</v>
      </c>
      <c r="Z8">
        <f>+'Cancer benefits'!AB19/2</f>
        <v>100</v>
      </c>
      <c r="AA8">
        <f>+'Cancer benefits'!AC19/2</f>
        <v>100</v>
      </c>
      <c r="AB8">
        <f>+'Cancer benefits'!AD19/2</f>
        <v>100</v>
      </c>
      <c r="AC8">
        <f>+'Cancer benefits'!AE19/2</f>
        <v>100</v>
      </c>
      <c r="AD8">
        <f>+'Cancer benefits'!AF19/2</f>
        <v>100</v>
      </c>
      <c r="AE8">
        <f>+'Cancer benefits'!AG19/2-22</f>
        <v>78</v>
      </c>
      <c r="AF8">
        <f>+'Cancer benefits'!AH19/2</f>
        <v>50</v>
      </c>
      <c r="AG8">
        <f>SUM(P8:AF8)</f>
        <v>1453</v>
      </c>
      <c r="AH8">
        <f>SUM(F8:AF8)</f>
        <v>3100</v>
      </c>
      <c r="AJ8" s="8">
        <v>1453</v>
      </c>
    </row>
    <row r="9" spans="1:36" ht="32.25" thickBot="1">
      <c r="E9" s="9" t="s">
        <v>22</v>
      </c>
      <c r="F9" s="10">
        <v>126</v>
      </c>
      <c r="G9" s="10">
        <v>217</v>
      </c>
      <c r="H9" s="10">
        <v>266</v>
      </c>
      <c r="I9" s="10">
        <v>284</v>
      </c>
      <c r="J9" s="10">
        <v>290</v>
      </c>
      <c r="K9" s="10">
        <v>309</v>
      </c>
      <c r="L9" s="10">
        <v>275</v>
      </c>
      <c r="M9" s="10">
        <v>162</v>
      </c>
      <c r="N9" s="10">
        <v>97</v>
      </c>
      <c r="O9" s="10">
        <v>59</v>
      </c>
      <c r="P9" s="10">
        <v>92</v>
      </c>
    </row>
    <row r="10" spans="1:36" ht="16.5" thickBot="1">
      <c r="E10" s="11" t="s">
        <v>23</v>
      </c>
      <c r="F10" s="12">
        <f>F11-F7-F8-F9</f>
        <v>81</v>
      </c>
      <c r="G10" s="12">
        <f t="shared" ref="G10:O10" si="0">G11-G7-G8-G9</f>
        <v>118</v>
      </c>
      <c r="H10" s="12">
        <f t="shared" si="0"/>
        <v>135</v>
      </c>
      <c r="I10" s="12">
        <f t="shared" si="0"/>
        <v>138</v>
      </c>
      <c r="J10" s="12">
        <f t="shared" si="0"/>
        <v>178</v>
      </c>
      <c r="K10" s="12">
        <f t="shared" si="0"/>
        <v>242</v>
      </c>
      <c r="L10" s="12">
        <f t="shared" si="0"/>
        <v>256</v>
      </c>
      <c r="M10" s="12">
        <f t="shared" si="0"/>
        <v>240</v>
      </c>
      <c r="N10" s="12">
        <f t="shared" si="0"/>
        <v>182</v>
      </c>
      <c r="O10" s="12">
        <f t="shared" si="0"/>
        <v>185</v>
      </c>
      <c r="P10" s="143">
        <f>+$AJ$11*P8</f>
        <v>30.93599449415003</v>
      </c>
      <c r="Q10" s="143">
        <f t="shared" ref="Q10:AF10" si="1">+$AJ$11*Q8</f>
        <v>30.93599449415003</v>
      </c>
      <c r="R10" s="143">
        <f t="shared" si="1"/>
        <v>46.403991741225049</v>
      </c>
      <c r="S10" s="143">
        <f t="shared" si="1"/>
        <v>46.403991741225049</v>
      </c>
      <c r="T10" s="143">
        <f t="shared" si="1"/>
        <v>46.403991741225049</v>
      </c>
      <c r="U10" s="143">
        <f t="shared" si="1"/>
        <v>61.87198898830006</v>
      </c>
      <c r="V10" s="143">
        <f t="shared" si="1"/>
        <v>61.87198898830006</v>
      </c>
      <c r="W10" s="143">
        <f t="shared" si="1"/>
        <v>61.87198898830006</v>
      </c>
      <c r="X10" s="143">
        <f t="shared" si="1"/>
        <v>61.87198898830006</v>
      </c>
      <c r="Y10" s="143">
        <f t="shared" si="1"/>
        <v>61.87198898830006</v>
      </c>
      <c r="Z10" s="143">
        <f t="shared" si="1"/>
        <v>61.87198898830006</v>
      </c>
      <c r="AA10" s="143">
        <f t="shared" si="1"/>
        <v>61.87198898830006</v>
      </c>
      <c r="AB10" s="143">
        <f t="shared" si="1"/>
        <v>61.87198898830006</v>
      </c>
      <c r="AC10" s="143">
        <f t="shared" si="1"/>
        <v>61.87198898830006</v>
      </c>
      <c r="AD10" s="143">
        <f t="shared" si="1"/>
        <v>61.87198898830006</v>
      </c>
      <c r="AE10" s="143">
        <f t="shared" si="1"/>
        <v>48.260151410874052</v>
      </c>
      <c r="AF10" s="143">
        <f t="shared" si="1"/>
        <v>30.93599449415003</v>
      </c>
      <c r="AG10">
        <f>SUM(P10:AF10)</f>
        <v>898.99999999999977</v>
      </c>
      <c r="AH10">
        <f>SUM(F10:AF10)</f>
        <v>2654</v>
      </c>
      <c r="AJ10" s="12">
        <f>P11-P7-AJ8-P9</f>
        <v>899</v>
      </c>
    </row>
    <row r="11" spans="1:36" ht="16.5" thickBot="1">
      <c r="E11" s="7" t="s">
        <v>24</v>
      </c>
      <c r="F11" s="11">
        <v>231</v>
      </c>
      <c r="G11" s="12">
        <v>377</v>
      </c>
      <c r="H11" s="12">
        <v>471</v>
      </c>
      <c r="I11" s="12">
        <v>539</v>
      </c>
      <c r="J11" s="12">
        <v>675</v>
      </c>
      <c r="K11" s="12">
        <v>1006</v>
      </c>
      <c r="L11" s="12">
        <v>1185</v>
      </c>
      <c r="M11" s="12">
        <v>1187</v>
      </c>
      <c r="N11" s="12">
        <v>1017</v>
      </c>
      <c r="O11" s="12">
        <v>1086</v>
      </c>
      <c r="P11" s="12">
        <v>5615</v>
      </c>
      <c r="Q11">
        <f>P11-P12</f>
        <v>4529</v>
      </c>
      <c r="R11">
        <f>Q11-Q12</f>
        <v>3443</v>
      </c>
      <c r="S11">
        <f>R11-R12</f>
        <v>2357</v>
      </c>
      <c r="T11">
        <f>S11-S12</f>
        <v>1271</v>
      </c>
      <c r="U11">
        <f>T11-T12</f>
        <v>185</v>
      </c>
      <c r="AJ11">
        <f>+AJ10/AG8</f>
        <v>0.61871988988300064</v>
      </c>
    </row>
    <row r="12" spans="1:36">
      <c r="F12">
        <f>F11</f>
        <v>231</v>
      </c>
      <c r="G12">
        <f t="shared" ref="G12:O12" si="2">G11</f>
        <v>377</v>
      </c>
      <c r="H12">
        <f t="shared" si="2"/>
        <v>471</v>
      </c>
      <c r="I12">
        <f t="shared" si="2"/>
        <v>539</v>
      </c>
      <c r="J12">
        <f t="shared" si="2"/>
        <v>675</v>
      </c>
      <c r="K12">
        <f t="shared" si="2"/>
        <v>1006</v>
      </c>
      <c r="L12">
        <f t="shared" si="2"/>
        <v>1185</v>
      </c>
      <c r="M12">
        <f t="shared" si="2"/>
        <v>1187</v>
      </c>
      <c r="N12">
        <f t="shared" si="2"/>
        <v>1017</v>
      </c>
      <c r="O12">
        <f t="shared" si="2"/>
        <v>1086</v>
      </c>
      <c r="P12">
        <f>O12</f>
        <v>1086</v>
      </c>
      <c r="Q12">
        <f>P12</f>
        <v>1086</v>
      </c>
      <c r="R12">
        <f>Q12</f>
        <v>1086</v>
      </c>
      <c r="S12">
        <f>R12</f>
        <v>1086</v>
      </c>
      <c r="T12">
        <f>S12</f>
        <v>1086</v>
      </c>
      <c r="U12">
        <f>U11</f>
        <v>185</v>
      </c>
    </row>
    <row r="13" spans="1:36" ht="15.75">
      <c r="E13" s="142" t="s">
        <v>28</v>
      </c>
      <c r="F13" s="4">
        <f>+F8/$AH$8</f>
        <v>4.193548387096774E-3</v>
      </c>
      <c r="G13" s="4">
        <f t="shared" ref="G13:AF13" si="3">+G8/$AH$8</f>
        <v>7.0967741935483875E-3</v>
      </c>
      <c r="H13" s="4">
        <f t="shared" si="3"/>
        <v>6.4516129032258064E-3</v>
      </c>
      <c r="I13" s="4">
        <f t="shared" si="3"/>
        <v>1.2903225806451613E-2</v>
      </c>
      <c r="J13" s="4">
        <f t="shared" si="3"/>
        <v>2.3225806451612905E-2</v>
      </c>
      <c r="K13" s="4">
        <f t="shared" si="3"/>
        <v>6.0645161290322581E-2</v>
      </c>
      <c r="L13" s="4">
        <f t="shared" si="3"/>
        <v>8.4193548387096778E-2</v>
      </c>
      <c r="M13" s="4">
        <f t="shared" si="3"/>
        <v>0.10161290322580645</v>
      </c>
      <c r="N13" s="4">
        <f t="shared" si="3"/>
        <v>0.10516129032258065</v>
      </c>
      <c r="O13" s="4">
        <f t="shared" si="3"/>
        <v>0.12580645161290321</v>
      </c>
      <c r="P13" s="4">
        <f t="shared" si="3"/>
        <v>1.6129032258064516E-2</v>
      </c>
      <c r="Q13" s="4">
        <f t="shared" si="3"/>
        <v>1.6129032258064516E-2</v>
      </c>
      <c r="R13" s="4">
        <f t="shared" si="3"/>
        <v>2.4193548387096774E-2</v>
      </c>
      <c r="S13" s="4">
        <f t="shared" si="3"/>
        <v>2.4193548387096774E-2</v>
      </c>
      <c r="T13" s="4">
        <f t="shared" si="3"/>
        <v>2.4193548387096774E-2</v>
      </c>
      <c r="U13" s="4">
        <f t="shared" si="3"/>
        <v>3.2258064516129031E-2</v>
      </c>
      <c r="V13" s="4">
        <f t="shared" si="3"/>
        <v>3.2258064516129031E-2</v>
      </c>
      <c r="W13" s="4">
        <f t="shared" si="3"/>
        <v>3.2258064516129031E-2</v>
      </c>
      <c r="X13" s="4">
        <f t="shared" si="3"/>
        <v>3.2258064516129031E-2</v>
      </c>
      <c r="Y13" s="4">
        <f t="shared" si="3"/>
        <v>3.2258064516129031E-2</v>
      </c>
      <c r="Z13" s="4">
        <f t="shared" si="3"/>
        <v>3.2258064516129031E-2</v>
      </c>
      <c r="AA13" s="4">
        <f t="shared" si="3"/>
        <v>3.2258064516129031E-2</v>
      </c>
      <c r="AB13" s="4">
        <f t="shared" si="3"/>
        <v>3.2258064516129031E-2</v>
      </c>
      <c r="AC13" s="4">
        <f t="shared" si="3"/>
        <v>3.2258064516129031E-2</v>
      </c>
      <c r="AD13" s="4">
        <f t="shared" si="3"/>
        <v>3.2258064516129031E-2</v>
      </c>
      <c r="AE13" s="4">
        <f t="shared" si="3"/>
        <v>2.5161290322580646E-2</v>
      </c>
      <c r="AF13" s="4">
        <f t="shared" si="3"/>
        <v>1.6129032258064516E-2</v>
      </c>
      <c r="AG13" s="28">
        <f>SUM(P13:AF13)</f>
        <v>0.46870967741935465</v>
      </c>
      <c r="AH13" s="28">
        <f>SUM(F13:AF13)</f>
        <v>0.99999999999999956</v>
      </c>
    </row>
    <row r="14" spans="1:36" ht="15.75">
      <c r="E14" s="142" t="s">
        <v>337</v>
      </c>
      <c r="F14" s="4">
        <f>+F10/$AH$10</f>
        <v>3.0519969856819894E-2</v>
      </c>
      <c r="G14" s="4">
        <f t="shared" ref="G14:AG14" si="4">+G10/$AH$10</f>
        <v>4.4461190655614165E-2</v>
      </c>
      <c r="H14" s="4">
        <f t="shared" si="4"/>
        <v>5.0866616428033161E-2</v>
      </c>
      <c r="I14" s="4">
        <f t="shared" si="4"/>
        <v>5.1996985681989447E-2</v>
      </c>
      <c r="J14" s="4">
        <f t="shared" si="4"/>
        <v>6.706857573474001E-2</v>
      </c>
      <c r="K14" s="4">
        <f t="shared" si="4"/>
        <v>9.1183119819140915E-2</v>
      </c>
      <c r="L14" s="4">
        <f t="shared" si="4"/>
        <v>9.6458176337603618E-2</v>
      </c>
      <c r="M14" s="4">
        <f t="shared" si="4"/>
        <v>9.0429540316503396E-2</v>
      </c>
      <c r="N14" s="4">
        <f t="shared" si="4"/>
        <v>6.8575734740015076E-2</v>
      </c>
      <c r="O14" s="4">
        <f t="shared" si="4"/>
        <v>6.9706103993971369E-2</v>
      </c>
      <c r="P14" s="4">
        <f t="shared" si="4"/>
        <v>1.1656365672249445E-2</v>
      </c>
      <c r="Q14" s="4">
        <f t="shared" si="4"/>
        <v>1.1656365672249445E-2</v>
      </c>
      <c r="R14" s="4">
        <f t="shared" si="4"/>
        <v>1.7484548508374172E-2</v>
      </c>
      <c r="S14" s="4">
        <f t="shared" si="4"/>
        <v>1.7484548508374172E-2</v>
      </c>
      <c r="T14" s="4">
        <f t="shared" si="4"/>
        <v>1.7484548508374172E-2</v>
      </c>
      <c r="U14" s="4">
        <f t="shared" si="4"/>
        <v>2.3312731344498891E-2</v>
      </c>
      <c r="V14" s="4">
        <f t="shared" si="4"/>
        <v>2.3312731344498891E-2</v>
      </c>
      <c r="W14" s="4">
        <f t="shared" si="4"/>
        <v>2.3312731344498891E-2</v>
      </c>
      <c r="X14" s="4">
        <f t="shared" si="4"/>
        <v>2.3312731344498891E-2</v>
      </c>
      <c r="Y14" s="4">
        <f t="shared" si="4"/>
        <v>2.3312731344498891E-2</v>
      </c>
      <c r="Z14" s="4">
        <f t="shared" si="4"/>
        <v>2.3312731344498891E-2</v>
      </c>
      <c r="AA14" s="4">
        <f t="shared" si="4"/>
        <v>2.3312731344498891E-2</v>
      </c>
      <c r="AB14" s="4">
        <f t="shared" si="4"/>
        <v>2.3312731344498891E-2</v>
      </c>
      <c r="AC14" s="4">
        <f t="shared" si="4"/>
        <v>2.3312731344498891E-2</v>
      </c>
      <c r="AD14" s="4">
        <f t="shared" si="4"/>
        <v>2.3312731344498891E-2</v>
      </c>
      <c r="AE14" s="4">
        <f t="shared" si="4"/>
        <v>1.8183930448709137E-2</v>
      </c>
      <c r="AF14" s="4">
        <f t="shared" si="4"/>
        <v>1.1656365672249445E-2</v>
      </c>
      <c r="AG14" s="4">
        <f t="shared" si="4"/>
        <v>0.33873398643556885</v>
      </c>
      <c r="AH14" s="28">
        <f>SUM(F14:AF14)</f>
        <v>0.99999999999999978</v>
      </c>
    </row>
    <row r="15" spans="1:36" ht="15.75">
      <c r="E15" s="14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28"/>
    </row>
    <row r="16" spans="1:36" ht="15.75">
      <c r="E16" s="19" t="s">
        <v>31</v>
      </c>
    </row>
    <row r="17" spans="3:21" ht="15.75">
      <c r="E17" s="19" t="s">
        <v>27</v>
      </c>
      <c r="F17" s="13">
        <f>F7/F$11</f>
        <v>4.7619047619047616E-2</v>
      </c>
      <c r="G17" s="13">
        <f t="shared" ref="G17:P17" si="5">G7/G$11</f>
        <v>5.3050397877984087E-2</v>
      </c>
      <c r="H17" s="13">
        <f t="shared" si="5"/>
        <v>0.10615711252653928</v>
      </c>
      <c r="I17" s="13">
        <f t="shared" si="5"/>
        <v>0.14285714285714285</v>
      </c>
      <c r="J17" s="13">
        <f t="shared" si="5"/>
        <v>0.2</v>
      </c>
      <c r="K17" s="13">
        <f t="shared" si="5"/>
        <v>0.26540755467196819</v>
      </c>
      <c r="L17" s="13">
        <f t="shared" si="5"/>
        <v>0.33164556962025316</v>
      </c>
      <c r="M17" s="13">
        <f t="shared" si="5"/>
        <v>0.39595619208087618</v>
      </c>
      <c r="N17" s="13">
        <f t="shared" si="5"/>
        <v>0.40511307767944937</v>
      </c>
      <c r="O17" s="13">
        <f t="shared" si="5"/>
        <v>0.41620626151012891</v>
      </c>
      <c r="P17" s="13">
        <f t="shared" si="5"/>
        <v>0.56473731077471057</v>
      </c>
      <c r="R17" s="13">
        <f>13389/SUM(F25:P25)</f>
        <v>7.0428054657093904E-3</v>
      </c>
    </row>
    <row r="18" spans="3:21" ht="15.75">
      <c r="E18" s="19" t="s">
        <v>28</v>
      </c>
      <c r="F18" s="13">
        <f t="shared" ref="F18:P20" si="6">F8/F$11</f>
        <v>5.627705627705628E-2</v>
      </c>
      <c r="G18" s="13">
        <f t="shared" si="6"/>
        <v>5.8355437665782495E-2</v>
      </c>
      <c r="H18" s="13">
        <f t="shared" si="6"/>
        <v>4.2462845010615709E-2</v>
      </c>
      <c r="I18" s="13">
        <f t="shared" si="6"/>
        <v>7.4211502782931357E-2</v>
      </c>
      <c r="J18" s="13">
        <f t="shared" si="6"/>
        <v>0.10666666666666667</v>
      </c>
      <c r="K18" s="13">
        <f t="shared" si="6"/>
        <v>0.18687872763419483</v>
      </c>
      <c r="L18" s="13">
        <f t="shared" si="6"/>
        <v>0.22025316455696203</v>
      </c>
      <c r="M18" s="13">
        <f t="shared" si="6"/>
        <v>0.26537489469250208</v>
      </c>
      <c r="N18" s="13">
        <f t="shared" si="6"/>
        <v>0.32055063913470994</v>
      </c>
      <c r="O18" s="13">
        <f t="shared" si="6"/>
        <v>0.35911602209944754</v>
      </c>
      <c r="P18" s="13">
        <f>AJ8/P$11</f>
        <v>0.25877114870881568</v>
      </c>
    </row>
    <row r="19" spans="3:21" ht="15.75">
      <c r="E19" s="19" t="s">
        <v>29</v>
      </c>
      <c r="F19" s="13">
        <f t="shared" si="6"/>
        <v>0.54545454545454541</v>
      </c>
      <c r="G19" s="13">
        <f t="shared" si="6"/>
        <v>0.5755968169761273</v>
      </c>
      <c r="H19" s="13">
        <f t="shared" si="6"/>
        <v>0.56475583864118895</v>
      </c>
      <c r="I19" s="13">
        <f t="shared" si="6"/>
        <v>0.52690166975881259</v>
      </c>
      <c r="J19" s="13">
        <f t="shared" si="6"/>
        <v>0.42962962962962964</v>
      </c>
      <c r="K19" s="13">
        <f t="shared" si="6"/>
        <v>0.30715705765407553</v>
      </c>
      <c r="L19" s="13">
        <f t="shared" si="6"/>
        <v>0.2320675105485232</v>
      </c>
      <c r="M19" s="13">
        <f t="shared" si="6"/>
        <v>0.13647851727042964</v>
      </c>
      <c r="N19" s="13">
        <f t="shared" si="6"/>
        <v>9.5378564405113081E-2</v>
      </c>
      <c r="O19" s="13">
        <f t="shared" si="6"/>
        <v>5.432780847145488E-2</v>
      </c>
      <c r="P19" s="13">
        <f t="shared" si="6"/>
        <v>1.6384683882457701E-2</v>
      </c>
    </row>
    <row r="20" spans="3:21" ht="15.75">
      <c r="E20" s="19" t="s">
        <v>30</v>
      </c>
      <c r="F20" s="13">
        <f t="shared" si="6"/>
        <v>0.35064935064935066</v>
      </c>
      <c r="G20" s="13">
        <f t="shared" si="6"/>
        <v>0.3129973474801061</v>
      </c>
      <c r="H20" s="13">
        <f t="shared" si="6"/>
        <v>0.28662420382165604</v>
      </c>
      <c r="I20" s="13">
        <f t="shared" si="6"/>
        <v>0.25602968460111319</v>
      </c>
      <c r="J20" s="13">
        <f t="shared" si="6"/>
        <v>0.26370370370370372</v>
      </c>
      <c r="K20" s="13">
        <f t="shared" si="6"/>
        <v>0.24055666003976142</v>
      </c>
      <c r="L20" s="13">
        <f t="shared" si="6"/>
        <v>0.21603375527426161</v>
      </c>
      <c r="M20" s="13">
        <f t="shared" si="6"/>
        <v>0.20219039595619209</v>
      </c>
      <c r="N20" s="13">
        <f t="shared" si="6"/>
        <v>0.17895771878072764</v>
      </c>
      <c r="O20" s="13">
        <f t="shared" si="6"/>
        <v>0.1703499079189687</v>
      </c>
      <c r="P20" s="13">
        <f>AJ10/P$11</f>
        <v>0.16010685663401603</v>
      </c>
    </row>
    <row r="21" spans="3:21" ht="15.75" thickBot="1"/>
    <row r="22" spans="3:21" ht="16.5" thickBot="1">
      <c r="E22" s="5"/>
      <c r="F22" s="6" t="s">
        <v>5</v>
      </c>
      <c r="G22" s="14" t="s">
        <v>6</v>
      </c>
      <c r="H22" s="14" t="s">
        <v>7</v>
      </c>
      <c r="I22" s="6" t="s">
        <v>8</v>
      </c>
      <c r="J22" s="14" t="s">
        <v>9</v>
      </c>
      <c r="K22" s="6" t="s">
        <v>10</v>
      </c>
      <c r="L22" s="14" t="s">
        <v>11</v>
      </c>
      <c r="M22" s="14" t="s">
        <v>12</v>
      </c>
      <c r="N22" s="6" t="s">
        <v>13</v>
      </c>
      <c r="O22" s="14" t="s">
        <v>14</v>
      </c>
      <c r="P22" s="6" t="s">
        <v>15</v>
      </c>
      <c r="Q22">
        <v>66</v>
      </c>
      <c r="R22">
        <v>67</v>
      </c>
      <c r="S22">
        <v>68</v>
      </c>
      <c r="T22">
        <v>69</v>
      </c>
      <c r="U22">
        <v>70</v>
      </c>
    </row>
    <row r="23" spans="3:21" ht="16.5" thickBot="1">
      <c r="C23">
        <f>D23/D25</f>
        <v>0.48117368518780551</v>
      </c>
      <c r="D23">
        <f>SUM(F23:P23)</f>
        <v>914754</v>
      </c>
      <c r="E23" s="7" t="s">
        <v>25</v>
      </c>
      <c r="F23" s="15">
        <v>147848</v>
      </c>
      <c r="G23" s="16">
        <v>135819</v>
      </c>
      <c r="H23" s="16">
        <v>114472</v>
      </c>
      <c r="I23" s="17">
        <v>106175</v>
      </c>
      <c r="J23" s="16">
        <v>94653</v>
      </c>
      <c r="K23" s="17">
        <v>85087</v>
      </c>
      <c r="L23" s="16">
        <v>73677</v>
      </c>
      <c r="M23" s="16">
        <v>52606</v>
      </c>
      <c r="N23" s="17">
        <v>33906</v>
      </c>
      <c r="O23" s="16">
        <v>23520</v>
      </c>
      <c r="P23" s="8">
        <v>46991</v>
      </c>
    </row>
    <row r="24" spans="3:21" ht="16.5" thickBot="1">
      <c r="C24">
        <f>D24/D25</f>
        <v>0.51882631481219443</v>
      </c>
      <c r="D24">
        <f>SUM(F24:P24)</f>
        <v>986335</v>
      </c>
      <c r="E24" s="7" t="s">
        <v>26</v>
      </c>
      <c r="F24" s="8">
        <v>147859</v>
      </c>
      <c r="G24" s="18">
        <v>142957</v>
      </c>
      <c r="H24" s="16">
        <v>122003</v>
      </c>
      <c r="I24" s="16">
        <v>112440</v>
      </c>
      <c r="J24" s="18">
        <v>101692</v>
      </c>
      <c r="K24" s="16">
        <v>92362</v>
      </c>
      <c r="L24" s="18">
        <v>80982</v>
      </c>
      <c r="M24" s="16">
        <v>58231</v>
      </c>
      <c r="N24" s="18">
        <v>38010</v>
      </c>
      <c r="O24" s="16">
        <v>27647</v>
      </c>
      <c r="P24" s="8">
        <v>62152</v>
      </c>
    </row>
    <row r="25" spans="3:21" ht="16.5" thickBot="1">
      <c r="D25">
        <f>SUM(D23:D24)</f>
        <v>1901089</v>
      </c>
      <c r="E25" s="9" t="s">
        <v>24</v>
      </c>
      <c r="F25" s="10">
        <f>SUM(F23:F24)</f>
        <v>295707</v>
      </c>
      <c r="G25" s="10">
        <f t="shared" ref="G25:P25" si="7">SUM(G23:G24)</f>
        <v>278776</v>
      </c>
      <c r="H25" s="10">
        <f t="shared" si="7"/>
        <v>236475</v>
      </c>
      <c r="I25" s="10">
        <f t="shared" si="7"/>
        <v>218615</v>
      </c>
      <c r="J25" s="10">
        <f t="shared" si="7"/>
        <v>196345</v>
      </c>
      <c r="K25" s="10">
        <f t="shared" si="7"/>
        <v>177449</v>
      </c>
      <c r="L25" s="10">
        <f t="shared" si="7"/>
        <v>154659</v>
      </c>
      <c r="M25" s="10">
        <f t="shared" si="7"/>
        <v>110837</v>
      </c>
      <c r="N25" s="10">
        <f t="shared" si="7"/>
        <v>71916</v>
      </c>
      <c r="O25" s="10">
        <f t="shared" si="7"/>
        <v>51167</v>
      </c>
      <c r="P25" s="10">
        <f t="shared" si="7"/>
        <v>109143</v>
      </c>
      <c r="Q25" s="21">
        <f>P25-P26</f>
        <v>72738.557469825901</v>
      </c>
      <c r="R25" s="21">
        <f>Q25-Q26</f>
        <v>46837.421270073159</v>
      </c>
      <c r="S25" s="21">
        <f>R25-R26</f>
        <v>28409.207299152244</v>
      </c>
      <c r="T25" s="21">
        <f>S25-S26</f>
        <v>15297.849266863037</v>
      </c>
      <c r="U25" s="21">
        <f>T25-T26</f>
        <v>5969.3430034704415</v>
      </c>
    </row>
    <row r="26" spans="3:21" ht="32.25" thickBot="1">
      <c r="E26" s="9" t="s">
        <v>154</v>
      </c>
      <c r="F26" s="9">
        <f>F25</f>
        <v>295707</v>
      </c>
      <c r="G26" s="9">
        <f t="shared" ref="G26:O26" si="8">G25</f>
        <v>278776</v>
      </c>
      <c r="H26" s="9">
        <f t="shared" si="8"/>
        <v>236475</v>
      </c>
      <c r="I26" s="9">
        <f t="shared" si="8"/>
        <v>218615</v>
      </c>
      <c r="J26" s="9">
        <f t="shared" si="8"/>
        <v>196345</v>
      </c>
      <c r="K26" s="9">
        <f t="shared" si="8"/>
        <v>177449</v>
      </c>
      <c r="L26" s="9">
        <f t="shared" si="8"/>
        <v>154659</v>
      </c>
      <c r="M26" s="9">
        <f t="shared" si="8"/>
        <v>110837</v>
      </c>
      <c r="N26" s="9">
        <f t="shared" si="8"/>
        <v>71916</v>
      </c>
      <c r="O26" s="9">
        <f t="shared" si="8"/>
        <v>51167</v>
      </c>
      <c r="P26" s="9">
        <f>O26*(1-(N26-O26)/N26)</f>
        <v>36404.442530174092</v>
      </c>
      <c r="Q26" s="9">
        <f t="shared" ref="Q26:S26" si="9">P26*(1-(O26-P26)/O26)</f>
        <v>25901.136199752738</v>
      </c>
      <c r="R26" s="9">
        <f t="shared" si="9"/>
        <v>18428.213970920915</v>
      </c>
      <c r="S26" s="9">
        <f t="shared" si="9"/>
        <v>13111.358032289207</v>
      </c>
      <c r="T26" s="9">
        <f>S26*(1-(R26-S26)/R26)</f>
        <v>9328.5062633925954</v>
      </c>
      <c r="U26" s="9">
        <f>U25</f>
        <v>5969.3430034704415</v>
      </c>
    </row>
    <row r="27" spans="3:21">
      <c r="G27" s="21">
        <f>(F26-G26)/10</f>
        <v>1693.1</v>
      </c>
      <c r="H27" s="21">
        <f t="shared" ref="H27:P27" si="10">(G26-H26)/10</f>
        <v>4230.1000000000004</v>
      </c>
      <c r="I27" s="21">
        <f t="shared" si="10"/>
        <v>1786</v>
      </c>
      <c r="J27" s="21">
        <f t="shared" si="10"/>
        <v>2227</v>
      </c>
      <c r="K27" s="21">
        <f t="shared" si="10"/>
        <v>1889.6</v>
      </c>
      <c r="L27" s="21">
        <f t="shared" si="10"/>
        <v>2279</v>
      </c>
      <c r="M27" s="21">
        <f t="shared" si="10"/>
        <v>4382.2</v>
      </c>
      <c r="N27" s="21">
        <f t="shared" si="10"/>
        <v>3892.1</v>
      </c>
      <c r="O27" s="21">
        <f t="shared" si="10"/>
        <v>2074.9</v>
      </c>
      <c r="P27" s="21">
        <f t="shared" si="10"/>
        <v>1476.2557469825908</v>
      </c>
      <c r="Q27" s="21"/>
      <c r="R27" s="21"/>
      <c r="S27" s="21"/>
      <c r="T27" s="21"/>
      <c r="U27" s="21"/>
    </row>
    <row r="28" spans="3:21">
      <c r="G28">
        <f>G27/F26</f>
        <v>5.7256000027053802E-3</v>
      </c>
      <c r="H28">
        <f t="shared" ref="H28:P28" si="11">H27/G26</f>
        <v>1.5173831319769279E-2</v>
      </c>
      <c r="I28">
        <f t="shared" si="11"/>
        <v>7.5525954117771433E-3</v>
      </c>
      <c r="J28">
        <f t="shared" si="11"/>
        <v>1.0186858175331062E-2</v>
      </c>
      <c r="K28">
        <f t="shared" si="11"/>
        <v>9.6238763401156127E-3</v>
      </c>
      <c r="L28">
        <f t="shared" si="11"/>
        <v>1.2843126757547238E-2</v>
      </c>
      <c r="M28">
        <f t="shared" si="11"/>
        <v>2.8334594171693855E-2</v>
      </c>
      <c r="N28">
        <f t="shared" si="11"/>
        <v>3.5115530012540939E-2</v>
      </c>
      <c r="O28">
        <f t="shared" si="11"/>
        <v>2.8851715890761444E-2</v>
      </c>
      <c r="P28">
        <f t="shared" si="11"/>
        <v>2.8851715890761444E-2</v>
      </c>
      <c r="Q28" s="21"/>
      <c r="R28" s="21">
        <f>O26/5</f>
        <v>10233.4</v>
      </c>
      <c r="S28" s="21"/>
      <c r="T28" s="21"/>
      <c r="U28" s="21"/>
    </row>
    <row r="29" spans="3:21">
      <c r="P29" s="21"/>
      <c r="Q29" s="21"/>
      <c r="R29" s="21"/>
      <c r="S29" s="21"/>
      <c r="T29" s="21"/>
      <c r="U29" s="21"/>
    </row>
    <row r="30" spans="3:21" ht="15.75">
      <c r="E30" s="19" t="s">
        <v>54</v>
      </c>
      <c r="F30">
        <f>F25/SUM($F25:$P25)</f>
        <v>0.15554611067656485</v>
      </c>
      <c r="G30">
        <f t="shared" ref="G30:P30" si="12">G25/SUM($F25:$P25)</f>
        <v>0.14664016255945933</v>
      </c>
      <c r="H30">
        <f t="shared" si="12"/>
        <v>0.12438923164565152</v>
      </c>
      <c r="I30">
        <f t="shared" si="12"/>
        <v>0.1149946162436372</v>
      </c>
      <c r="J30">
        <f t="shared" si="12"/>
        <v>0.10328027777763166</v>
      </c>
      <c r="K30">
        <f t="shared" si="12"/>
        <v>9.3340711560584488E-2</v>
      </c>
      <c r="L30">
        <f>L25/SUM($F25:$P25)</f>
        <v>8.135284565846207E-2</v>
      </c>
      <c r="M30">
        <f t="shared" si="12"/>
        <v>5.8301846994012377E-2</v>
      </c>
      <c r="N30">
        <f t="shared" si="12"/>
        <v>3.7828844414964265E-2</v>
      </c>
      <c r="O30">
        <f t="shared" si="12"/>
        <v>2.6914573699600597E-2</v>
      </c>
      <c r="P30">
        <f t="shared" si="12"/>
        <v>5.7410778769431625E-2</v>
      </c>
      <c r="Q30" s="21"/>
      <c r="R30" s="21"/>
      <c r="S30" s="21"/>
      <c r="T30" s="21"/>
      <c r="U30" s="21"/>
    </row>
    <row r="31" spans="3:21" ht="15.75">
      <c r="E31" s="19" t="s">
        <v>55</v>
      </c>
      <c r="F31">
        <f>F25/pop</f>
        <v>0.10976503340757238</v>
      </c>
      <c r="G31">
        <f t="shared" ref="G31:P31" si="13">G25/pop</f>
        <v>0.10348032665181886</v>
      </c>
      <c r="H31">
        <f t="shared" si="13"/>
        <v>8.7778396436525616E-2</v>
      </c>
      <c r="I31">
        <f t="shared" si="13"/>
        <v>8.1148849294729028E-2</v>
      </c>
      <c r="J31">
        <f t="shared" si="13"/>
        <v>7.2882331106161838E-2</v>
      </c>
      <c r="K31">
        <f t="shared" si="13"/>
        <v>6.5868225686711204E-2</v>
      </c>
      <c r="L31">
        <f t="shared" si="13"/>
        <v>5.7408685968819602E-2</v>
      </c>
      <c r="M31">
        <f t="shared" si="13"/>
        <v>4.1142167780252412E-2</v>
      </c>
      <c r="N31">
        <f t="shared" si="13"/>
        <v>2.669487750556793E-2</v>
      </c>
      <c r="O31">
        <f t="shared" si="13"/>
        <v>1.8992947290274686E-2</v>
      </c>
      <c r="P31">
        <f t="shared" si="13"/>
        <v>4.0513363028953232E-2</v>
      </c>
      <c r="Q31" s="21"/>
      <c r="R31" s="21"/>
      <c r="S31" s="21"/>
      <c r="T31" s="21"/>
      <c r="U31" s="21"/>
    </row>
    <row r="32" spans="3:21" ht="15.75">
      <c r="E32" s="19" t="s">
        <v>155</v>
      </c>
      <c r="F32">
        <f>F26/pop</f>
        <v>0.10976503340757238</v>
      </c>
      <c r="G32">
        <f t="shared" ref="G32:P32" si="14">G26/pop</f>
        <v>0.10348032665181886</v>
      </c>
      <c r="H32">
        <f t="shared" si="14"/>
        <v>8.7778396436525616E-2</v>
      </c>
      <c r="I32">
        <f t="shared" si="14"/>
        <v>8.1148849294729028E-2</v>
      </c>
      <c r="J32">
        <f t="shared" si="14"/>
        <v>7.2882331106161838E-2</v>
      </c>
      <c r="K32">
        <f t="shared" si="14"/>
        <v>6.5868225686711204E-2</v>
      </c>
      <c r="L32">
        <f t="shared" si="14"/>
        <v>5.7408685968819602E-2</v>
      </c>
      <c r="M32">
        <f t="shared" si="14"/>
        <v>4.1142167780252412E-2</v>
      </c>
      <c r="N32">
        <f t="shared" si="14"/>
        <v>2.669487750556793E-2</v>
      </c>
      <c r="O32">
        <f t="shared" si="14"/>
        <v>1.8992947290274686E-2</v>
      </c>
      <c r="P32">
        <f t="shared" si="14"/>
        <v>1.3513156098802558E-2</v>
      </c>
      <c r="Q32">
        <f>Q26/pop</f>
        <v>9.6143786933009425E-3</v>
      </c>
      <c r="R32">
        <f>R26/pop</f>
        <v>6.8404654680478526E-3</v>
      </c>
      <c r="S32">
        <f>S26/pop</f>
        <v>4.8668738056010415E-3</v>
      </c>
      <c r="T32">
        <f>T26/pop</f>
        <v>3.46269720244714E-3</v>
      </c>
      <c r="U32">
        <f>U26/pop</f>
        <v>2.2157917607536905E-3</v>
      </c>
    </row>
    <row r="33" spans="3:21" ht="15.75">
      <c r="E33" s="19"/>
    </row>
    <row r="34" spans="3:21" ht="15.75">
      <c r="E34" s="19" t="s">
        <v>156</v>
      </c>
      <c r="F34" s="20">
        <f t="shared" ref="F34:P34" si="15">F9/(pop*0.68)</f>
        <v>6.8780296082798364E-5</v>
      </c>
      <c r="G34" s="20">
        <f t="shared" si="15"/>
        <v>1.1845495436481941E-4</v>
      </c>
      <c r="H34" s="20">
        <f t="shared" si="15"/>
        <v>1.4520284728590765E-4</v>
      </c>
      <c r="I34" s="20">
        <f t="shared" si="15"/>
        <v>1.5502860386916456E-4</v>
      </c>
      <c r="J34" s="20">
        <f t="shared" si="15"/>
        <v>1.5830385606358354E-4</v>
      </c>
      <c r="K34" s="20">
        <f t="shared" si="15"/>
        <v>1.6867548801257696E-4</v>
      </c>
      <c r="L34" s="20">
        <f t="shared" si="15"/>
        <v>1.501157255775361E-4</v>
      </c>
      <c r="M34" s="20">
        <f t="shared" si="15"/>
        <v>8.8431809249312182E-5</v>
      </c>
      <c r="N34" s="20">
        <f t="shared" si="15"/>
        <v>5.2949910476440014E-5</v>
      </c>
      <c r="O34" s="20">
        <f t="shared" si="15"/>
        <v>3.2206646578453203E-5</v>
      </c>
      <c r="P34" s="20">
        <f t="shared" si="15"/>
        <v>5.0220533647757538E-5</v>
      </c>
    </row>
    <row r="35" spans="3:21" ht="15.75">
      <c r="E35" s="19"/>
    </row>
    <row r="36" spans="3:21" ht="15.75">
      <c r="E36" s="19"/>
      <c r="F36">
        <v>0</v>
      </c>
      <c r="G36">
        <v>1</v>
      </c>
      <c r="H36">
        <v>2</v>
      </c>
      <c r="I36">
        <v>3</v>
      </c>
      <c r="J36">
        <v>4</v>
      </c>
      <c r="K36">
        <v>5</v>
      </c>
      <c r="L36">
        <v>6</v>
      </c>
      <c r="M36">
        <v>7</v>
      </c>
      <c r="N36">
        <v>8</v>
      </c>
      <c r="O36">
        <v>9</v>
      </c>
      <c r="P36">
        <v>10</v>
      </c>
      <c r="Q36">
        <v>11</v>
      </c>
      <c r="R36">
        <v>12</v>
      </c>
      <c r="S36">
        <v>13</v>
      </c>
      <c r="T36">
        <v>14</v>
      </c>
      <c r="U36">
        <v>15</v>
      </c>
    </row>
    <row r="37" spans="3:21" ht="15.75">
      <c r="E37" s="19" t="s">
        <v>57</v>
      </c>
      <c r="F37">
        <f>1</f>
        <v>1</v>
      </c>
      <c r="G37">
        <f>G32/$F32</f>
        <v>0.94274399997294633</v>
      </c>
      <c r="H37">
        <f t="shared" ref="H37:U37" si="16">H32/$F32</f>
        <v>0.79969361563980568</v>
      </c>
      <c r="I37">
        <f t="shared" si="16"/>
        <v>0.73929599231671894</v>
      </c>
      <c r="J37">
        <f t="shared" si="16"/>
        <v>0.66398495808350833</v>
      </c>
      <c r="K37">
        <f t="shared" si="16"/>
        <v>0.60008386680058301</v>
      </c>
      <c r="L37">
        <f t="shared" si="16"/>
        <v>0.52301433513579321</v>
      </c>
      <c r="M37">
        <f t="shared" si="16"/>
        <v>0.3748203458152834</v>
      </c>
      <c r="N37">
        <f t="shared" si="16"/>
        <v>0.24320019478740784</v>
      </c>
      <c r="O37">
        <f t="shared" si="16"/>
        <v>0.17303276554156652</v>
      </c>
      <c r="P37">
        <f t="shared" si="16"/>
        <v>0.12310984362958637</v>
      </c>
      <c r="Q37">
        <f t="shared" si="16"/>
        <v>8.7590541312017434E-2</v>
      </c>
      <c r="R37">
        <f t="shared" si="16"/>
        <v>6.2319167185494143E-2</v>
      </c>
      <c r="S37">
        <f t="shared" si="16"/>
        <v>4.433901812364674E-2</v>
      </c>
      <c r="T37">
        <f t="shared" si="16"/>
        <v>3.1546450585858962E-2</v>
      </c>
      <c r="U37">
        <f t="shared" si="16"/>
        <v>2.0186681422727368E-2</v>
      </c>
    </row>
    <row r="38" spans="3:21">
      <c r="C38" s="57" t="s">
        <v>151</v>
      </c>
      <c r="D38" s="57"/>
      <c r="E38" t="s">
        <v>58</v>
      </c>
      <c r="G38">
        <f t="shared" ref="G38:O38" si="17">0.092/G37</f>
        <v>9.7587468074726652E-2</v>
      </c>
      <c r="H38">
        <f t="shared" si="17"/>
        <v>0.11504405962575324</v>
      </c>
      <c r="I38">
        <f t="shared" si="17"/>
        <v>0.1244427143608627</v>
      </c>
      <c r="J38">
        <f t="shared" si="17"/>
        <v>0.13855735567495989</v>
      </c>
      <c r="K38">
        <f t="shared" si="17"/>
        <v>0.15331190370190872</v>
      </c>
      <c r="L38">
        <f t="shared" si="17"/>
        <v>0.17590340038407076</v>
      </c>
      <c r="M38">
        <f t="shared" si="17"/>
        <v>0.2454509234280971</v>
      </c>
      <c r="N38">
        <f t="shared" si="17"/>
        <v>0.37828917069914897</v>
      </c>
      <c r="O38">
        <f t="shared" si="17"/>
        <v>0.53169120722340557</v>
      </c>
      <c r="P38">
        <f>0.092/(P25/F25)</f>
        <v>0.24926054808828785</v>
      </c>
    </row>
    <row r="39" spans="3:21" ht="15.75">
      <c r="E39" s="19" t="s">
        <v>62</v>
      </c>
      <c r="G39">
        <f>G38/10</f>
        <v>9.7587468074726656E-3</v>
      </c>
      <c r="H39">
        <f t="shared" ref="H39:P39" si="18">H38/10</f>
        <v>1.1504405962575324E-2</v>
      </c>
      <c r="I39">
        <f t="shared" si="18"/>
        <v>1.2444271436086269E-2</v>
      </c>
      <c r="J39">
        <f t="shared" si="18"/>
        <v>1.3855735567495989E-2</v>
      </c>
      <c r="K39">
        <f t="shared" si="18"/>
        <v>1.5331190370190872E-2</v>
      </c>
      <c r="L39">
        <f t="shared" si="18"/>
        <v>1.7590340038407076E-2</v>
      </c>
      <c r="M39">
        <f t="shared" si="18"/>
        <v>2.4545092342809709E-2</v>
      </c>
      <c r="N39">
        <f t="shared" si="18"/>
        <v>3.7828917069914897E-2</v>
      </c>
      <c r="O39">
        <f t="shared" si="18"/>
        <v>5.3169120722340556E-2</v>
      </c>
      <c r="P39">
        <f t="shared" si="18"/>
        <v>2.4926054808828785E-2</v>
      </c>
    </row>
    <row r="40" spans="3:21" ht="15.75">
      <c r="E40" s="19"/>
      <c r="Q40" s="21"/>
      <c r="R40" s="21"/>
      <c r="S40" s="21"/>
      <c r="T40" s="21"/>
      <c r="U40" s="21"/>
    </row>
    <row r="41" spans="3:21" ht="15.75">
      <c r="E41" s="19" t="s">
        <v>52</v>
      </c>
      <c r="F41">
        <v>0</v>
      </c>
      <c r="G41">
        <v>1</v>
      </c>
      <c r="H41">
        <v>2</v>
      </c>
      <c r="I41">
        <v>3</v>
      </c>
      <c r="J41">
        <v>4</v>
      </c>
      <c r="K41">
        <v>5</v>
      </c>
      <c r="L41">
        <v>6</v>
      </c>
      <c r="M41">
        <v>7</v>
      </c>
      <c r="N41">
        <v>8</v>
      </c>
      <c r="O41">
        <v>9</v>
      </c>
      <c r="P41">
        <v>10</v>
      </c>
      <c r="R41">
        <f>N26-O26</f>
        <v>20749</v>
      </c>
    </row>
    <row r="42" spans="3:21" ht="15.75">
      <c r="E42" s="19" t="s">
        <v>27</v>
      </c>
      <c r="F42" s="20">
        <f>F7/F$25</f>
        <v>3.7198984129560679E-5</v>
      </c>
      <c r="G42" s="20">
        <f t="shared" ref="G42:P42" si="19">G7/G$25</f>
        <v>7.1742187275805668E-5</v>
      </c>
      <c r="H42" s="20">
        <f t="shared" si="19"/>
        <v>2.1143884131514959E-4</v>
      </c>
      <c r="I42" s="20">
        <f t="shared" si="19"/>
        <v>3.5221736843309013E-4</v>
      </c>
      <c r="J42" s="20">
        <f t="shared" si="19"/>
        <v>6.8756525503577885E-4</v>
      </c>
      <c r="K42" s="20">
        <f t="shared" si="19"/>
        <v>1.504657676290089E-3</v>
      </c>
      <c r="L42" s="20">
        <f t="shared" si="19"/>
        <v>2.5410742342831649E-3</v>
      </c>
      <c r="M42" s="20">
        <f t="shared" si="19"/>
        <v>4.2404612178243723E-3</v>
      </c>
      <c r="N42" s="20">
        <f t="shared" si="19"/>
        <v>5.7289059458256854E-3</v>
      </c>
      <c r="O42" s="20">
        <f t="shared" si="19"/>
        <v>8.83381867219106E-3</v>
      </c>
      <c r="P42" s="20">
        <f t="shared" si="19"/>
        <v>2.9053626893158518E-2</v>
      </c>
      <c r="R42" s="20">
        <f>R41/N26</f>
        <v>0.28851715890761442</v>
      </c>
    </row>
    <row r="43" spans="3:21" ht="15.75">
      <c r="E43" s="19" t="s">
        <v>61</v>
      </c>
      <c r="F43" s="20">
        <f t="shared" ref="F43:O43" si="20">F8/F$25</f>
        <v>4.3962435789480806E-5</v>
      </c>
      <c r="G43" s="20">
        <f t="shared" si="20"/>
        <v>7.8916406003386226E-5</v>
      </c>
      <c r="H43" s="20">
        <f t="shared" si="20"/>
        <v>8.4575536526059836E-5</v>
      </c>
      <c r="I43" s="20">
        <f t="shared" si="20"/>
        <v>1.8297006152368319E-4</v>
      </c>
      <c r="J43" s="20">
        <f t="shared" si="20"/>
        <v>3.6670146935241537E-4</v>
      </c>
      <c r="K43" s="20">
        <f t="shared" si="20"/>
        <v>1.0594593376124972E-3</v>
      </c>
      <c r="L43" s="20">
        <f t="shared" si="20"/>
        <v>1.6875836517758424E-3</v>
      </c>
      <c r="M43" s="20">
        <f t="shared" si="20"/>
        <v>2.8420112417333562E-3</v>
      </c>
      <c r="N43" s="20">
        <f t="shared" si="20"/>
        <v>4.5330663551921687E-3</v>
      </c>
      <c r="O43" s="20">
        <f t="shared" si="20"/>
        <v>7.6221001817577735E-3</v>
      </c>
      <c r="P43" s="20">
        <f>AJ8/P$25</f>
        <v>1.3312809799987172E-2</v>
      </c>
    </row>
    <row r="44" spans="3:21" ht="15.75">
      <c r="E44" s="19" t="s">
        <v>29</v>
      </c>
      <c r="F44" s="20">
        <f t="shared" ref="F44:P44" si="21">F9/F$25</f>
        <v>4.2609745457496779E-4</v>
      </c>
      <c r="G44" s="20">
        <f t="shared" si="21"/>
        <v>7.7840273194249151E-4</v>
      </c>
      <c r="H44" s="20">
        <f t="shared" si="21"/>
        <v>1.1248546357965959E-3</v>
      </c>
      <c r="I44" s="20">
        <f t="shared" si="21"/>
        <v>1.2990874368181506E-3</v>
      </c>
      <c r="J44" s="20">
        <f t="shared" si="21"/>
        <v>1.4769920293361176E-3</v>
      </c>
      <c r="K44" s="20">
        <f t="shared" si="21"/>
        <v>1.7413454006503276E-3</v>
      </c>
      <c r="L44" s="20">
        <f t="shared" si="21"/>
        <v>1.7781053802235886E-3</v>
      </c>
      <c r="M44" s="20">
        <f t="shared" si="21"/>
        <v>1.461605781462869E-3</v>
      </c>
      <c r="N44" s="20">
        <f t="shared" si="21"/>
        <v>1.3487958173424551E-3</v>
      </c>
      <c r="O44" s="20">
        <f t="shared" si="21"/>
        <v>1.1530869505736118E-3</v>
      </c>
      <c r="P44" s="20">
        <f t="shared" si="21"/>
        <v>8.4293083386016514E-4</v>
      </c>
    </row>
    <row r="45" spans="3:21" ht="15.75">
      <c r="E45" s="19" t="s">
        <v>30</v>
      </c>
      <c r="F45" s="20">
        <f t="shared" ref="F45:O45" si="22">F10/F$25</f>
        <v>2.73919792226765E-4</v>
      </c>
      <c r="G45" s="20">
        <f t="shared" si="22"/>
        <v>4.2327890492725343E-4</v>
      </c>
      <c r="H45" s="20">
        <f t="shared" si="22"/>
        <v>5.7088487155090395E-4</v>
      </c>
      <c r="I45" s="20">
        <f t="shared" si="22"/>
        <v>6.3124671225670698E-4</v>
      </c>
      <c r="J45" s="20">
        <f t="shared" si="22"/>
        <v>9.0656752145458247E-4</v>
      </c>
      <c r="K45" s="20">
        <f t="shared" si="22"/>
        <v>1.3637721260756613E-3</v>
      </c>
      <c r="L45" s="20">
        <f t="shared" si="22"/>
        <v>1.6552544630445043E-3</v>
      </c>
      <c r="M45" s="20">
        <f t="shared" si="22"/>
        <v>2.1653418984635096E-3</v>
      </c>
      <c r="N45" s="20">
        <f t="shared" si="22"/>
        <v>2.5307302964569776E-3</v>
      </c>
      <c r="O45" s="20">
        <f t="shared" si="22"/>
        <v>3.6156116246799696E-3</v>
      </c>
      <c r="P45" s="20">
        <f>AJ10/P$25</f>
        <v>8.2369002134813959E-3</v>
      </c>
    </row>
    <row r="46" spans="3:21" ht="15.75">
      <c r="E46" s="19" t="s">
        <v>24</v>
      </c>
      <c r="F46" s="20">
        <f t="shared" ref="F46:U46" si="23">F12/F26</f>
        <v>7.8117866672077429E-4</v>
      </c>
      <c r="G46" s="20">
        <f t="shared" si="23"/>
        <v>1.3523402301489369E-3</v>
      </c>
      <c r="H46" s="20">
        <f t="shared" si="23"/>
        <v>1.991753885188709E-3</v>
      </c>
      <c r="I46" s="20">
        <f t="shared" si="23"/>
        <v>2.4655215790316308E-3</v>
      </c>
      <c r="J46" s="20">
        <f t="shared" si="23"/>
        <v>3.4378262751788942E-3</v>
      </c>
      <c r="K46" s="20">
        <f t="shared" si="23"/>
        <v>5.6692345406285753E-3</v>
      </c>
      <c r="L46" s="20">
        <f t="shared" si="23"/>
        <v>7.6620177293271006E-3</v>
      </c>
      <c r="M46" s="20">
        <f t="shared" si="23"/>
        <v>1.0709420139484107E-2</v>
      </c>
      <c r="N46" s="20">
        <f t="shared" si="23"/>
        <v>1.4141498414817287E-2</v>
      </c>
      <c r="O46" s="20">
        <f t="shared" si="23"/>
        <v>2.1224617429202414E-2</v>
      </c>
      <c r="P46" s="20">
        <f t="shared" si="23"/>
        <v>2.9831523971280725E-2</v>
      </c>
      <c r="Q46" s="20">
        <f t="shared" si="23"/>
        <v>4.192866257389772E-2</v>
      </c>
      <c r="R46" s="20">
        <f t="shared" si="23"/>
        <v>5.8931375645717508E-2</v>
      </c>
      <c r="S46" s="20">
        <f t="shared" si="23"/>
        <v>8.2828948559372645E-2</v>
      </c>
      <c r="T46" s="20">
        <f t="shared" si="23"/>
        <v>0.11641735228948037</v>
      </c>
      <c r="U46" s="20">
        <f t="shared" si="23"/>
        <v>3.0991685331609387E-2</v>
      </c>
    </row>
    <row r="47" spans="3:21" ht="15.75">
      <c r="E47" s="19"/>
      <c r="F47" s="20">
        <f>SUM(F43:F45)</f>
        <v>7.4397968259121367E-4</v>
      </c>
      <c r="G47" s="20">
        <f t="shared" ref="G47:P47" si="24">SUM(G43:G45)</f>
        <v>1.2805980428731312E-3</v>
      </c>
      <c r="H47" s="20">
        <f t="shared" si="24"/>
        <v>1.7803150438735597E-3</v>
      </c>
      <c r="I47" s="20">
        <f t="shared" si="24"/>
        <v>2.1133042105985411E-3</v>
      </c>
      <c r="J47" s="20">
        <f t="shared" si="24"/>
        <v>2.7502610201431154E-3</v>
      </c>
      <c r="K47" s="20">
        <f t="shared" si="24"/>
        <v>4.1645768643384859E-3</v>
      </c>
      <c r="L47" s="20">
        <f t="shared" si="24"/>
        <v>5.1209434950439357E-3</v>
      </c>
      <c r="M47" s="20">
        <f t="shared" si="24"/>
        <v>6.468958921659735E-3</v>
      </c>
      <c r="N47" s="20">
        <f t="shared" si="24"/>
        <v>8.4125924689916007E-3</v>
      </c>
      <c r="O47" s="20">
        <f t="shared" si="24"/>
        <v>1.2390798757011354E-2</v>
      </c>
      <c r="P47" s="20">
        <f t="shared" si="24"/>
        <v>2.2392640847328733E-2</v>
      </c>
      <c r="Q47" s="20"/>
      <c r="R47" s="20"/>
      <c r="S47" s="20"/>
      <c r="T47" s="20"/>
      <c r="U47" s="20"/>
    </row>
    <row r="48" spans="3:21" ht="15.75">
      <c r="E48" s="19"/>
      <c r="F48" s="24">
        <f>0.1075*EXP(-86.68*F47)</f>
        <v>0.10078632569837546</v>
      </c>
      <c r="G48" s="24">
        <f t="shared" ref="G48:P48" si="25">0.1075*EXP(-86.68*G47)</f>
        <v>9.6205700167000252E-2</v>
      </c>
      <c r="H48" s="24">
        <f t="shared" si="25"/>
        <v>9.2127467974772725E-2</v>
      </c>
      <c r="I48" s="24">
        <f t="shared" si="25"/>
        <v>8.9506355917118946E-2</v>
      </c>
      <c r="J48" s="24">
        <f t="shared" si="25"/>
        <v>8.4698527984701039E-2</v>
      </c>
      <c r="K48" s="24">
        <f t="shared" si="25"/>
        <v>7.4926327065679782E-2</v>
      </c>
      <c r="L48" s="24">
        <f t="shared" si="25"/>
        <v>6.8965574887037931E-2</v>
      </c>
      <c r="M48" s="24">
        <f t="shared" si="25"/>
        <v>6.136020440149928E-2</v>
      </c>
      <c r="N48" s="24">
        <f t="shared" si="25"/>
        <v>5.1846494938183933E-2</v>
      </c>
      <c r="O48" s="24">
        <f t="shared" si="25"/>
        <v>3.6724951862738983E-2</v>
      </c>
      <c r="P48" s="24">
        <f t="shared" si="25"/>
        <v>1.5432825067976065E-2</v>
      </c>
      <c r="Q48" s="20"/>
      <c r="R48" s="20"/>
      <c r="S48" s="20"/>
      <c r="T48" s="20"/>
      <c r="U48" s="20"/>
    </row>
    <row r="49" spans="5:21" ht="15.75">
      <c r="E49" s="19"/>
      <c r="F49" s="19"/>
      <c r="G49" s="20"/>
      <c r="H49" s="20"/>
      <c r="I49" s="20"/>
      <c r="J49" s="20"/>
      <c r="K49" s="20"/>
      <c r="L49" s="20"/>
      <c r="M49" s="20"/>
      <c r="N49" s="20"/>
      <c r="O49" s="20"/>
      <c r="P49" s="20"/>
      <c r="Q49" s="20"/>
      <c r="R49" s="20"/>
      <c r="S49" s="20"/>
      <c r="T49" s="20"/>
      <c r="U49" s="20"/>
    </row>
    <row r="50" spans="5:21" ht="15.75">
      <c r="E50" s="19" t="s">
        <v>152</v>
      </c>
      <c r="F50" s="20">
        <f t="shared" ref="F50:P50" si="26">AVERAGE(F43:F45)</f>
        <v>2.4799322753040457E-4</v>
      </c>
      <c r="G50" s="20">
        <f t="shared" si="26"/>
        <v>4.2686601429104375E-4</v>
      </c>
      <c r="H50" s="20">
        <f t="shared" si="26"/>
        <v>5.9343834795785324E-4</v>
      </c>
      <c r="I50" s="20">
        <f t="shared" si="26"/>
        <v>7.0443473686618036E-4</v>
      </c>
      <c r="J50" s="20">
        <f t="shared" si="26"/>
        <v>9.1675367338103851E-4</v>
      </c>
      <c r="K50" s="20">
        <f t="shared" si="26"/>
        <v>1.3881922881128286E-3</v>
      </c>
      <c r="L50" s="20">
        <f t="shared" si="26"/>
        <v>1.7069811650146452E-3</v>
      </c>
      <c r="M50" s="20">
        <f t="shared" si="26"/>
        <v>2.1563196405532449E-3</v>
      </c>
      <c r="N50" s="20">
        <f t="shared" si="26"/>
        <v>2.8041974896638668E-3</v>
      </c>
      <c r="O50" s="20">
        <f t="shared" si="26"/>
        <v>4.1302662523371178E-3</v>
      </c>
      <c r="P50" s="20">
        <f t="shared" si="26"/>
        <v>7.4642136157762442E-3</v>
      </c>
    </row>
    <row r="51" spans="5:21" ht="15.75">
      <c r="E51" s="19"/>
      <c r="F51" s="19"/>
    </row>
    <row r="52" spans="5:21" ht="15.75">
      <c r="E52" s="19" t="s">
        <v>153</v>
      </c>
      <c r="F52" s="20">
        <f t="shared" ref="F52:P52" si="27">SUM(F43:F45)</f>
        <v>7.4397968259121367E-4</v>
      </c>
      <c r="G52" s="20">
        <f t="shared" si="27"/>
        <v>1.2805980428731312E-3</v>
      </c>
      <c r="H52" s="20">
        <f t="shared" si="27"/>
        <v>1.7803150438735597E-3</v>
      </c>
      <c r="I52" s="20">
        <f t="shared" si="27"/>
        <v>2.1133042105985411E-3</v>
      </c>
      <c r="J52" s="20">
        <f t="shared" si="27"/>
        <v>2.7502610201431154E-3</v>
      </c>
      <c r="K52" s="20">
        <f t="shared" si="27"/>
        <v>4.1645768643384859E-3</v>
      </c>
      <c r="L52" s="20">
        <f t="shared" si="27"/>
        <v>5.1209434950439357E-3</v>
      </c>
      <c r="M52" s="20">
        <f t="shared" si="27"/>
        <v>6.468958921659735E-3</v>
      </c>
      <c r="N52" s="20">
        <f t="shared" si="27"/>
        <v>8.4125924689916007E-3</v>
      </c>
      <c r="O52" s="20">
        <f t="shared" si="27"/>
        <v>1.2390798757011354E-2</v>
      </c>
      <c r="P52" s="20">
        <f t="shared" si="27"/>
        <v>2.2392640847328733E-2</v>
      </c>
    </row>
    <row r="55" spans="5:21">
      <c r="F55">
        <v>1E-4</v>
      </c>
    </row>
    <row r="56" spans="5:21">
      <c r="F56" t="s">
        <v>44</v>
      </c>
      <c r="G56" s="20">
        <f>(F52-F55)</f>
        <v>6.4397968259121362E-4</v>
      </c>
    </row>
    <row r="58" spans="5:21">
      <c r="F58" t="s">
        <v>45</v>
      </c>
    </row>
    <row r="59" spans="5:21">
      <c r="F59" t="s">
        <v>46</v>
      </c>
      <c r="G59" s="24">
        <v>0</v>
      </c>
      <c r="H59" s="25">
        <f>F52</f>
        <v>7.4397968259121367E-4</v>
      </c>
    </row>
    <row r="60" spans="5:21">
      <c r="F60" t="s">
        <v>47</v>
      </c>
      <c r="G60" s="24">
        <v>12</v>
      </c>
      <c r="H60">
        <v>1</v>
      </c>
    </row>
    <row r="61" spans="5:21">
      <c r="F61" t="s">
        <v>48</v>
      </c>
      <c r="G61" s="24">
        <v>1E-4</v>
      </c>
    </row>
    <row r="63" spans="5:21">
      <c r="F63" t="s">
        <v>49</v>
      </c>
    </row>
    <row r="64" spans="5:21">
      <c r="F64" t="s">
        <v>50</v>
      </c>
      <c r="G64">
        <f>(LN(H60-G61)-LN(H59-G61))/(G60-G59)</f>
        <v>0.61231194801072231</v>
      </c>
    </row>
    <row r="65" spans="6:16">
      <c r="F65" t="s">
        <v>44</v>
      </c>
      <c r="G65">
        <f>LN(H59-G61)-G59*G64</f>
        <v>-7.3478433811290005</v>
      </c>
    </row>
    <row r="66" spans="6:16">
      <c r="F66" t="s">
        <v>51</v>
      </c>
      <c r="G66">
        <f>EXP(G65)</f>
        <v>6.4397968259121384E-4</v>
      </c>
    </row>
    <row r="68" spans="6:16">
      <c r="F68">
        <f t="shared" ref="F68:P68" si="28">$G61+$G66*EXP($G64*F41)</f>
        <v>7.4397968259121388E-4</v>
      </c>
      <c r="G68">
        <f t="shared" si="28"/>
        <v>1.2879437197421573E-3</v>
      </c>
      <c r="H68">
        <f t="shared" si="28"/>
        <v>2.2913894481833247E-3</v>
      </c>
      <c r="I68">
        <f t="shared" si="28"/>
        <v>4.1424370564049377E-3</v>
      </c>
      <c r="J68">
        <f t="shared" si="28"/>
        <v>7.5570484806079773E-3</v>
      </c>
      <c r="K68">
        <f t="shared" si="28"/>
        <v>1.3855952477734123E-2</v>
      </c>
      <c r="L68">
        <f t="shared" si="28"/>
        <v>2.5475485899248404E-2</v>
      </c>
      <c r="M68">
        <f t="shared" si="28"/>
        <v>4.6909938146065817E-2</v>
      </c>
      <c r="N68">
        <f t="shared" si="28"/>
        <v>8.6449885788922279E-2</v>
      </c>
      <c r="O68">
        <f t="shared" si="28"/>
        <v>0.15938888332416201</v>
      </c>
      <c r="P68">
        <f t="shared" si="28"/>
        <v>0.29393881772213731</v>
      </c>
    </row>
    <row r="84" spans="6:73">
      <c r="BD84">
        <f>P25</f>
        <v>109143</v>
      </c>
      <c r="BF84">
        <f>SUM(BE86:BT86)</f>
        <v>109168</v>
      </c>
    </row>
    <row r="85" spans="6:73">
      <c r="BD85" t="s">
        <v>64</v>
      </c>
      <c r="BE85">
        <v>262</v>
      </c>
    </row>
    <row r="86" spans="6:73">
      <c r="BE86">
        <f>BD89-$BE85</f>
        <v>8788</v>
      </c>
      <c r="BF86">
        <f>BE86-$BE85</f>
        <v>8526</v>
      </c>
      <c r="BG86">
        <f t="shared" ref="BG86:BR86" si="29">BF86-$BE85</f>
        <v>8264</v>
      </c>
      <c r="BH86">
        <f t="shared" si="29"/>
        <v>8002</v>
      </c>
      <c r="BI86">
        <f t="shared" si="29"/>
        <v>7740</v>
      </c>
      <c r="BJ86">
        <f t="shared" si="29"/>
        <v>7478</v>
      </c>
      <c r="BK86">
        <f t="shared" si="29"/>
        <v>7216</v>
      </c>
      <c r="BL86">
        <f t="shared" si="29"/>
        <v>6954</v>
      </c>
      <c r="BM86">
        <f t="shared" si="29"/>
        <v>6692</v>
      </c>
      <c r="BN86">
        <f t="shared" si="29"/>
        <v>6430</v>
      </c>
      <c r="BO86">
        <f t="shared" si="29"/>
        <v>6168</v>
      </c>
      <c r="BP86">
        <f t="shared" si="29"/>
        <v>5906</v>
      </c>
      <c r="BQ86">
        <f t="shared" si="29"/>
        <v>5644</v>
      </c>
      <c r="BR86">
        <f t="shared" si="29"/>
        <v>5382</v>
      </c>
      <c r="BS86">
        <f>BR86-$BE85</f>
        <v>5120</v>
      </c>
      <c r="BT86">
        <f t="shared" ref="BT86" si="30">BS86-$BE85</f>
        <v>4858</v>
      </c>
      <c r="BU86">
        <f t="shared" ref="BU86" si="31">BT89-$BE85</f>
        <v>4596</v>
      </c>
    </row>
    <row r="87" spans="6:73">
      <c r="S87">
        <f>G26-H26</f>
        <v>42301</v>
      </c>
      <c r="T87">
        <f>S87/5</f>
        <v>8460.2000000000007</v>
      </c>
    </row>
    <row r="88" spans="6:73">
      <c r="G88">
        <v>15</v>
      </c>
      <c r="H88">
        <v>16</v>
      </c>
      <c r="I88">
        <v>17</v>
      </c>
      <c r="J88">
        <v>18</v>
      </c>
      <c r="K88">
        <v>19</v>
      </c>
      <c r="L88">
        <v>20</v>
      </c>
      <c r="M88">
        <v>21</v>
      </c>
      <c r="N88">
        <v>22</v>
      </c>
      <c r="O88">
        <v>23</v>
      </c>
      <c r="P88">
        <v>24</v>
      </c>
      <c r="Q88">
        <v>25</v>
      </c>
      <c r="R88">
        <v>26</v>
      </c>
      <c r="S88">
        <v>27</v>
      </c>
      <c r="T88">
        <v>28</v>
      </c>
      <c r="U88">
        <v>29</v>
      </c>
      <c r="V88">
        <v>30</v>
      </c>
      <c r="W88">
        <v>31</v>
      </c>
      <c r="X88">
        <v>32</v>
      </c>
      <c r="Y88">
        <v>33</v>
      </c>
      <c r="Z88">
        <v>34</v>
      </c>
      <c r="AA88">
        <v>35</v>
      </c>
      <c r="AB88">
        <v>36</v>
      </c>
      <c r="AC88">
        <v>37</v>
      </c>
      <c r="AD88">
        <v>38</v>
      </c>
      <c r="AE88">
        <v>39</v>
      </c>
      <c r="AF88">
        <v>40</v>
      </c>
      <c r="AG88">
        <v>41</v>
      </c>
      <c r="AH88">
        <v>42</v>
      </c>
      <c r="AI88">
        <v>43</v>
      </c>
      <c r="AJ88">
        <v>44</v>
      </c>
      <c r="AK88">
        <v>45</v>
      </c>
      <c r="AL88">
        <v>46</v>
      </c>
      <c r="AM88">
        <v>47</v>
      </c>
      <c r="AN88">
        <v>48</v>
      </c>
      <c r="AO88">
        <v>49</v>
      </c>
      <c r="AP88">
        <v>50</v>
      </c>
      <c r="AQ88">
        <v>51</v>
      </c>
      <c r="AR88">
        <v>52</v>
      </c>
      <c r="AS88">
        <v>53</v>
      </c>
      <c r="AT88">
        <v>54</v>
      </c>
      <c r="AU88">
        <v>55</v>
      </c>
      <c r="AV88">
        <v>56</v>
      </c>
      <c r="AW88">
        <v>57</v>
      </c>
      <c r="AX88">
        <v>58</v>
      </c>
      <c r="AY88">
        <v>59</v>
      </c>
      <c r="AZ88">
        <v>60</v>
      </c>
      <c r="BA88">
        <v>61</v>
      </c>
      <c r="BB88">
        <v>62</v>
      </c>
      <c r="BC88">
        <v>63</v>
      </c>
      <c r="BD88">
        <v>64</v>
      </c>
      <c r="BE88">
        <v>65</v>
      </c>
      <c r="BF88">
        <v>66</v>
      </c>
      <c r="BG88">
        <v>67</v>
      </c>
      <c r="BH88">
        <v>68</v>
      </c>
      <c r="BI88">
        <v>69</v>
      </c>
      <c r="BJ88">
        <v>70</v>
      </c>
      <c r="BK88">
        <v>71</v>
      </c>
      <c r="BL88">
        <v>72</v>
      </c>
      <c r="BM88">
        <v>73</v>
      </c>
      <c r="BN88">
        <v>74</v>
      </c>
      <c r="BO88">
        <v>75</v>
      </c>
      <c r="BP88">
        <v>76</v>
      </c>
      <c r="BQ88">
        <v>77</v>
      </c>
      <c r="BR88">
        <v>78</v>
      </c>
      <c r="BS88">
        <v>79</v>
      </c>
      <c r="BT88">
        <v>80</v>
      </c>
      <c r="BU88">
        <v>81</v>
      </c>
    </row>
    <row r="89" spans="6:73">
      <c r="G89">
        <f>ROUND((F26+15*(F11/5))/5-F11/5,0)</f>
        <v>59234</v>
      </c>
      <c r="H89">
        <f>ROUND(G89-$F12/5,0)</f>
        <v>59188</v>
      </c>
      <c r="I89">
        <f>ROUND(H89-$F12/5,0)</f>
        <v>59142</v>
      </c>
      <c r="J89">
        <f>ROUND(I89-$F12/5,0)</f>
        <v>59096</v>
      </c>
      <c r="K89">
        <f>ROUND(J89-$F12/5,0)</f>
        <v>59050</v>
      </c>
      <c r="L89">
        <f>ROUND(K89-($K89*5-$G25)/15,0)</f>
        <v>57952</v>
      </c>
      <c r="M89">
        <f>ROUND(L89-($K89*5-$G25)/15,0)</f>
        <v>56854</v>
      </c>
      <c r="N89">
        <f>ROUND(M89-($K89*5-$G25)/15,0)</f>
        <v>55756</v>
      </c>
      <c r="O89">
        <f>ROUND(N89-($K89*5-$G25)/15,0)</f>
        <v>54658</v>
      </c>
      <c r="P89">
        <f>ROUND(O89-($K89*5-$G25)/15,0)</f>
        <v>53560</v>
      </c>
      <c r="Q89">
        <f>ROUND(P89-($P89*5-$H25)/15,0)</f>
        <v>51472</v>
      </c>
      <c r="R89">
        <f>ROUND(Q89-($P89*5-$H25)/15,0)</f>
        <v>49384</v>
      </c>
      <c r="S89">
        <f>ROUND(R89-($P89*5-$H25)/15,0)</f>
        <v>47296</v>
      </c>
      <c r="T89">
        <f>ROUND(S89-($P89*5-$H25)/15,0)</f>
        <v>45208</v>
      </c>
      <c r="U89">
        <f>ROUND(T89-($P89*5-$H25)/15,0)</f>
        <v>43120</v>
      </c>
      <c r="V89">
        <f>ROUND(U89-ABS($U89*5-215000)/15,0)</f>
        <v>43080</v>
      </c>
      <c r="W89">
        <f t="shared" ref="W89:Z89" si="32">ROUND(V89-ABS($U89*5-215000)/15,0)</f>
        <v>43040</v>
      </c>
      <c r="X89">
        <f t="shared" si="32"/>
        <v>43000</v>
      </c>
      <c r="Y89">
        <f>ROUND(X89-ABS($U89*5-215000)/15,0)</f>
        <v>42960</v>
      </c>
      <c r="Z89">
        <f t="shared" si="32"/>
        <v>42920</v>
      </c>
      <c r="AA89">
        <f>ROUND(Z89-($Z89*5-$J25)/15,0)</f>
        <v>41703</v>
      </c>
      <c r="AB89">
        <f>ROUND(AA89-($Z89*5-$J25)/15,0)</f>
        <v>40486</v>
      </c>
      <c r="AC89">
        <f>ROUND(AB89-($Z89*5-$J25)/15,0)</f>
        <v>39269</v>
      </c>
      <c r="AD89">
        <f>ROUND(AC89-($Z89*5-$J25)/15,0)</f>
        <v>38052</v>
      </c>
      <c r="AE89">
        <f>ROUND(AD89-($Z89*5-$J25)/15,0)</f>
        <v>36835</v>
      </c>
      <c r="AF89">
        <f>ROUND(AE89-($AE89*5-$K25)/15,0)</f>
        <v>36387</v>
      </c>
      <c r="AG89">
        <f>ROUND(AF89-($AE89*5-$K25)/15,0)</f>
        <v>35939</v>
      </c>
      <c r="AH89">
        <f>ROUND(AG89-($AE89*5-$K25)/15,0)</f>
        <v>35491</v>
      </c>
      <c r="AI89">
        <f>ROUND(AH89-($AE89*5-$K25)/15,0)</f>
        <v>35043</v>
      </c>
      <c r="AJ89">
        <f>ROUND(AI89-($AE89*5-$K25)/15,0)</f>
        <v>34595</v>
      </c>
      <c r="AK89">
        <f>ROUND(AJ89-($AJ89*5-$L25)/15,0)</f>
        <v>33374</v>
      </c>
      <c r="AL89">
        <f>ROUND(AK89-($AJ89*5-$L25)/15,0)</f>
        <v>32153</v>
      </c>
      <c r="AM89">
        <f>ROUND(AL89-($AJ89*5-$L25)/15,0)</f>
        <v>30932</v>
      </c>
      <c r="AN89">
        <f>ROUND(AM89-($AJ89*5-$L25)/15,0)</f>
        <v>29711</v>
      </c>
      <c r="AO89">
        <f>ROUND(AN89-($AJ89*5-$L25)/15,0)</f>
        <v>28490</v>
      </c>
      <c r="AP89">
        <f>ROUND(AO89-($AO89*5-$M25)/15,0)</f>
        <v>26382</v>
      </c>
      <c r="AQ89">
        <f>ROUND(AP89-($AO89*5-$M25)/15,0)</f>
        <v>24274</v>
      </c>
      <c r="AR89">
        <f>ROUND(AQ89-($AO89*5-$M25)/15,0)</f>
        <v>22166</v>
      </c>
      <c r="AS89">
        <f>ROUND(AR89-($AO89*5-$M25)/15,0)</f>
        <v>20058</v>
      </c>
      <c r="AT89">
        <f>ROUND(AS89-($AO89*5-$M25)/15,0)</f>
        <v>17950</v>
      </c>
      <c r="AU89">
        <f>ROUND(AT89-($AT89*5-$N25)/15,0)</f>
        <v>16761</v>
      </c>
      <c r="AV89">
        <f>ROUND(AU89-($AT89*5-$N25)/15,0)</f>
        <v>15572</v>
      </c>
      <c r="AW89">
        <f>ROUND(AV89-($AT89*5-$N25)/15,0)</f>
        <v>14383</v>
      </c>
      <c r="AX89">
        <f>ROUND(AW89-($AT89*5-$N25)/15,0)</f>
        <v>13194</v>
      </c>
      <c r="AY89">
        <f>ROUND(AX89-($AT89*5-$N25)/15,0)</f>
        <v>12005</v>
      </c>
      <c r="AZ89">
        <f>ROUND(AY89-($AY89*5-$O25)/15,0)</f>
        <v>11414</v>
      </c>
      <c r="BA89">
        <f>ROUND(AZ89-($AY89*5-$O25)/15,0)</f>
        <v>10823</v>
      </c>
      <c r="BB89">
        <f>ROUND(BA89-($AY89*5-$O25)/15,0)</f>
        <v>10232</v>
      </c>
      <c r="BC89">
        <f>ROUND(BB89-($AY89*5-$O25)/15,0)</f>
        <v>9641</v>
      </c>
      <c r="BD89">
        <f>ROUND(BC89-($AY89*5-$O25)/15,0)</f>
        <v>9050</v>
      </c>
      <c r="BE89">
        <f>BD89-$BE85</f>
        <v>8788</v>
      </c>
      <c r="BF89">
        <f t="shared" ref="BF89:BT89" si="33">BE89-$BE85</f>
        <v>8526</v>
      </c>
      <c r="BG89">
        <f t="shared" si="33"/>
        <v>8264</v>
      </c>
      <c r="BH89">
        <f t="shared" si="33"/>
        <v>8002</v>
      </c>
      <c r="BI89">
        <f t="shared" si="33"/>
        <v>7740</v>
      </c>
      <c r="BJ89">
        <f t="shared" si="33"/>
        <v>7478</v>
      </c>
      <c r="BK89">
        <f t="shared" si="33"/>
        <v>7216</v>
      </c>
      <c r="BL89">
        <f t="shared" si="33"/>
        <v>6954</v>
      </c>
      <c r="BM89">
        <f t="shared" si="33"/>
        <v>6692</v>
      </c>
      <c r="BN89">
        <f t="shared" si="33"/>
        <v>6430</v>
      </c>
      <c r="BO89">
        <f t="shared" si="33"/>
        <v>6168</v>
      </c>
      <c r="BP89">
        <f t="shared" si="33"/>
        <v>5906</v>
      </c>
      <c r="BQ89">
        <f t="shared" si="33"/>
        <v>5644</v>
      </c>
      <c r="BR89">
        <f>BQ89-$BE85</f>
        <v>5382</v>
      </c>
      <c r="BS89">
        <f t="shared" si="33"/>
        <v>5120</v>
      </c>
      <c r="BT89">
        <f t="shared" si="33"/>
        <v>4858</v>
      </c>
    </row>
    <row r="90" spans="6:73">
      <c r="F90" t="s">
        <v>56</v>
      </c>
      <c r="G90">
        <v>1</v>
      </c>
      <c r="H90">
        <f>1-(G89-H89)/G89</f>
        <v>0.99922341898234124</v>
      </c>
      <c r="I90">
        <f t="shared" ref="I90:P90" si="34">1-(H89-I89)/H89</f>
        <v>0.99922281543556124</v>
      </c>
      <c r="J90">
        <f t="shared" si="34"/>
        <v>0.99922221094991714</v>
      </c>
      <c r="K90">
        <f t="shared" si="34"/>
        <v>0.99922160552321648</v>
      </c>
      <c r="L90">
        <f t="shared" si="34"/>
        <v>0.98140558848433535</v>
      </c>
      <c r="M90">
        <f t="shared" si="34"/>
        <v>0.98105328547763671</v>
      </c>
      <c r="N90">
        <f t="shared" si="34"/>
        <v>0.98068737467900235</v>
      </c>
      <c r="O90">
        <f t="shared" si="34"/>
        <v>0.98030705215582181</v>
      </c>
      <c r="P90">
        <f t="shared" si="34"/>
        <v>0.97991144937612062</v>
      </c>
      <c r="Q90">
        <f t="shared" ref="Q90" si="35">1-(P89-Q89)/P89</f>
        <v>0.96101568334578047</v>
      </c>
      <c r="R90">
        <f t="shared" ref="R90" si="36">1-(Q89-R89)/Q89</f>
        <v>0.9594342555175629</v>
      </c>
      <c r="S90">
        <f t="shared" ref="S90" si="37">1-(R89-S89)/R89</f>
        <v>0.95771909930341814</v>
      </c>
      <c r="T90">
        <f t="shared" ref="T90" si="38">1-(S89-T89)/S89</f>
        <v>0.95585250338294991</v>
      </c>
      <c r="U90">
        <f t="shared" ref="U90" si="39">1-(T89-U89)/T89</f>
        <v>0.953813484339055</v>
      </c>
      <c r="V90">
        <f t="shared" ref="V90" si="40">1-(U89-V89)/U89</f>
        <v>0.9990723562152134</v>
      </c>
      <c r="W90">
        <f t="shared" ref="W90" si="41">1-(V89-W89)/V89</f>
        <v>0.99907149489322189</v>
      </c>
      <c r="X90">
        <f t="shared" ref="X90" si="42">1-(W89-X89)/W89</f>
        <v>0.99907063197026025</v>
      </c>
      <c r="Y90">
        <f t="shared" ref="Y90" si="43">1-(X89-Y89)/X89</f>
        <v>0.99906976744186049</v>
      </c>
      <c r="Z90">
        <f t="shared" ref="Z90" si="44">1-(Y89-Z89)/Y89</f>
        <v>0.9990689013035382</v>
      </c>
      <c r="AA90">
        <f t="shared" ref="AA90" si="45">1-(Z89-AA89)/Z89</f>
        <v>0.97164492078285181</v>
      </c>
      <c r="AB90">
        <f t="shared" ref="AB90" si="46">1-(AA89-AB89)/AA89</f>
        <v>0.97081744718605378</v>
      </c>
      <c r="AC90">
        <f t="shared" ref="AC90" si="47">1-(AB89-AC89)/AB89</f>
        <v>0.9699402262510497</v>
      </c>
      <c r="AD90">
        <f t="shared" ref="AD90" si="48">1-(AC89-AD89)/AC89</f>
        <v>0.9690086327637577</v>
      </c>
      <c r="AE90">
        <f t="shared" ref="AE90" si="49">1-(AD89-AE89)/AD89</f>
        <v>0.96801744980552928</v>
      </c>
      <c r="AF90">
        <f t="shared" ref="AF90" si="50">1-(AE89-AF89)/AE89</f>
        <v>0.98783765440477811</v>
      </c>
      <c r="AG90">
        <f t="shared" ref="AG90" si="51">1-(AF89-AG89)/AF89</f>
        <v>0.9876879105174925</v>
      </c>
      <c r="AH90">
        <f t="shared" ref="AH90" si="52">1-(AG89-AH89)/AG89</f>
        <v>0.98753443334539082</v>
      </c>
      <c r="AI90">
        <f t="shared" ref="AI90" si="53">1-(AH89-AI89)/AH89</f>
        <v>0.98737708151362313</v>
      </c>
      <c r="AJ90">
        <f t="shared" ref="AJ90" si="54">1-(AI89-AJ89)/AI89</f>
        <v>0.98721570641782952</v>
      </c>
      <c r="AK90">
        <f t="shared" ref="AK90" si="55">1-(AJ89-AK89)/AJ89</f>
        <v>0.96470588235294119</v>
      </c>
      <c r="AL90">
        <f t="shared" ref="AL90" si="56">1-(AK89-AL89)/AK89</f>
        <v>0.96341463414634143</v>
      </c>
      <c r="AM90">
        <f t="shared" ref="AM90" si="57">1-(AL89-AM89)/AL89</f>
        <v>0.96202531645569622</v>
      </c>
      <c r="AN90">
        <f t="shared" ref="AN90" si="58">1-(AM89-AN89)/AM89</f>
        <v>0.96052631578947367</v>
      </c>
      <c r="AO90">
        <f t="shared" ref="AO90" si="59">1-(AN89-AO89)/AN89</f>
        <v>0.95890410958904115</v>
      </c>
      <c r="AP90">
        <f t="shared" ref="AP90" si="60">1-(AO89-AP89)/AO89</f>
        <v>0.92600912600912599</v>
      </c>
      <c r="AQ90">
        <f t="shared" ref="AQ90" si="61">1-(AP89-AQ89)/AP89</f>
        <v>0.9200970358577818</v>
      </c>
      <c r="AR90">
        <f t="shared" ref="AR90" si="62">1-(AQ89-AR89)/AQ89</f>
        <v>0.91315811155969351</v>
      </c>
      <c r="AS90">
        <f t="shared" ref="AS90" si="63">1-(AR89-AS89)/AR89</f>
        <v>0.90489939547054044</v>
      </c>
      <c r="AT90">
        <f t="shared" ref="AT90" si="64">1-(AS89-AT89)/AS89</f>
        <v>0.89490477614916741</v>
      </c>
      <c r="AU90">
        <f t="shared" ref="AU90" si="65">1-(AT89-AU89)/AT89</f>
        <v>0.93376044568245131</v>
      </c>
      <c r="AV90">
        <f t="shared" ref="AV90" si="66">1-(AU89-AV89)/AU89</f>
        <v>0.92906151184296881</v>
      </c>
      <c r="AW90">
        <f t="shared" ref="AW90" si="67">1-(AV89-AW89)/AV89</f>
        <v>0.92364500385306958</v>
      </c>
      <c r="AX90">
        <f t="shared" ref="AX90" si="68">1-(AW89-AX89)/AW89</f>
        <v>0.91733296252520335</v>
      </c>
      <c r="AY90">
        <f t="shared" ref="AY90" si="69">1-(AX89-AY89)/AX89</f>
        <v>0.90988328027891463</v>
      </c>
      <c r="AZ90">
        <f t="shared" ref="AZ90" si="70">1-(AY89-AZ89)/AY89</f>
        <v>0.9507705122865473</v>
      </c>
      <c r="BA90">
        <f t="shared" ref="BA90" si="71">1-(AZ89-BA89)/AZ89</f>
        <v>0.94822148239004733</v>
      </c>
      <c r="BB90">
        <f t="shared" ref="BB90" si="72">1-(BA89-BB89)/BA89</f>
        <v>0.94539406818811789</v>
      </c>
      <c r="BC90">
        <f t="shared" ref="BC90" si="73">1-(BB89-BC89)/BB89</f>
        <v>0.94224003127443312</v>
      </c>
      <c r="BD90">
        <f>1-(BC89-BD89)/BC89</f>
        <v>0.93869930505134325</v>
      </c>
      <c r="BE90">
        <f t="shared" ref="BE90:BT90" si="74">1-(BD89-BE89)/BD89</f>
        <v>0.97104972375690612</v>
      </c>
      <c r="BF90">
        <f t="shared" si="74"/>
        <v>0.97018661811561224</v>
      </c>
      <c r="BG90">
        <f t="shared" si="74"/>
        <v>0.96927046680741258</v>
      </c>
      <c r="BH90">
        <f t="shared" si="74"/>
        <v>0.968296224588577</v>
      </c>
      <c r="BI90">
        <f t="shared" si="74"/>
        <v>0.96725818545363662</v>
      </c>
      <c r="BJ90">
        <f t="shared" si="74"/>
        <v>0.96614987080103365</v>
      </c>
      <c r="BK90">
        <f t="shared" si="74"/>
        <v>0.9649638940893287</v>
      </c>
      <c r="BL90">
        <f t="shared" si="74"/>
        <v>0.96369179600886923</v>
      </c>
      <c r="BM90">
        <f t="shared" si="74"/>
        <v>0.96232384239286739</v>
      </c>
      <c r="BN90">
        <f t="shared" si="74"/>
        <v>0.96084877465630603</v>
      </c>
      <c r="BO90">
        <f t="shared" si="74"/>
        <v>0.959253499222395</v>
      </c>
      <c r="BP90">
        <f t="shared" si="74"/>
        <v>0.95752269779507138</v>
      </c>
      <c r="BQ90">
        <f t="shared" si="74"/>
        <v>0.95563833389773112</v>
      </c>
      <c r="BR90">
        <f t="shared" si="74"/>
        <v>0.95357902197023392</v>
      </c>
      <c r="BS90">
        <f t="shared" si="74"/>
        <v>0.95131921218877746</v>
      </c>
      <c r="BT90">
        <f t="shared" si="74"/>
        <v>0.94882812500000002</v>
      </c>
    </row>
    <row r="91" spans="6:73">
      <c r="G91">
        <f t="shared" ref="G91:AL91" si="75">G89/pop</f>
        <v>2.1987379361544171E-2</v>
      </c>
      <c r="H91">
        <f t="shared" si="75"/>
        <v>2.1970304380103934E-2</v>
      </c>
      <c r="I91">
        <f t="shared" si="75"/>
        <v>2.1953229398663697E-2</v>
      </c>
      <c r="J91">
        <f t="shared" si="75"/>
        <v>2.193615441722346E-2</v>
      </c>
      <c r="K91">
        <f t="shared" si="75"/>
        <v>2.1919079435783223E-2</v>
      </c>
      <c r="L91">
        <f t="shared" si="75"/>
        <v>2.1511507052709725E-2</v>
      </c>
      <c r="M91">
        <f t="shared" si="75"/>
        <v>2.110393466963623E-2</v>
      </c>
      <c r="N91">
        <f t="shared" si="75"/>
        <v>2.0696362286562731E-2</v>
      </c>
      <c r="O91">
        <f t="shared" si="75"/>
        <v>2.0288789903489236E-2</v>
      </c>
      <c r="P91">
        <f t="shared" si="75"/>
        <v>1.9881217520415738E-2</v>
      </c>
      <c r="Q91">
        <f t="shared" si="75"/>
        <v>1.9106161841128434E-2</v>
      </c>
      <c r="R91">
        <f t="shared" si="75"/>
        <v>1.8331106161841127E-2</v>
      </c>
      <c r="S91">
        <f t="shared" si="75"/>
        <v>1.7556050482553823E-2</v>
      </c>
      <c r="T91">
        <f t="shared" si="75"/>
        <v>1.678099480326652E-2</v>
      </c>
      <c r="U91">
        <f t="shared" si="75"/>
        <v>1.6005939123979213E-2</v>
      </c>
      <c r="V91">
        <f t="shared" si="75"/>
        <v>1.5991091314031182E-2</v>
      </c>
      <c r="W91">
        <f t="shared" si="75"/>
        <v>1.5976243504083148E-2</v>
      </c>
      <c r="X91">
        <f t="shared" si="75"/>
        <v>1.5961395694135114E-2</v>
      </c>
      <c r="Y91">
        <f t="shared" si="75"/>
        <v>1.5946547884187083E-2</v>
      </c>
      <c r="Z91">
        <f t="shared" si="75"/>
        <v>1.5931700074239049E-2</v>
      </c>
      <c r="AA91">
        <f t="shared" si="75"/>
        <v>1.5479955456570155E-2</v>
      </c>
      <c r="AB91">
        <f t="shared" si="75"/>
        <v>1.5028210838901263E-2</v>
      </c>
      <c r="AC91">
        <f t="shared" si="75"/>
        <v>1.4576466221232369E-2</v>
      </c>
      <c r="AD91">
        <f t="shared" si="75"/>
        <v>1.4124721603563475E-2</v>
      </c>
      <c r="AE91">
        <f t="shared" si="75"/>
        <v>1.3672976985894581E-2</v>
      </c>
      <c r="AF91">
        <f t="shared" si="75"/>
        <v>1.3506681514476615E-2</v>
      </c>
      <c r="AG91">
        <f t="shared" si="75"/>
        <v>1.334038604305865E-2</v>
      </c>
      <c r="AH91">
        <f t="shared" si="75"/>
        <v>1.3174090571640684E-2</v>
      </c>
      <c r="AI91">
        <f t="shared" si="75"/>
        <v>1.3007795100222716E-2</v>
      </c>
      <c r="AJ91">
        <f t="shared" si="75"/>
        <v>1.2841499628804751E-2</v>
      </c>
      <c r="AK91">
        <f t="shared" si="75"/>
        <v>1.2388270230141054E-2</v>
      </c>
      <c r="AL91">
        <f t="shared" si="75"/>
        <v>1.1935040831477357E-2</v>
      </c>
      <c r="AM91">
        <f t="shared" ref="AM91:BT91" si="76">AM89/pop</f>
        <v>1.148181143281366E-2</v>
      </c>
      <c r="AN91">
        <f t="shared" si="76"/>
        <v>1.1028582034149963E-2</v>
      </c>
      <c r="AO91">
        <f t="shared" si="76"/>
        <v>1.0575352635486266E-2</v>
      </c>
      <c r="AP91">
        <f t="shared" si="76"/>
        <v>9.792873051224945E-3</v>
      </c>
      <c r="AQ91">
        <f t="shared" si="76"/>
        <v>9.0103934669636225E-3</v>
      </c>
      <c r="AR91">
        <f t="shared" si="76"/>
        <v>8.2279138827023018E-3</v>
      </c>
      <c r="AS91">
        <f t="shared" si="76"/>
        <v>7.4454342984409802E-3</v>
      </c>
      <c r="AT91">
        <f t="shared" si="76"/>
        <v>6.6629547141796586E-3</v>
      </c>
      <c r="AU91">
        <f t="shared" si="76"/>
        <v>6.2216035634743878E-3</v>
      </c>
      <c r="AV91">
        <f t="shared" si="76"/>
        <v>5.7802524127691162E-3</v>
      </c>
      <c r="AW91">
        <f t="shared" si="76"/>
        <v>5.3389012620638455E-3</v>
      </c>
      <c r="AX91">
        <f t="shared" si="76"/>
        <v>4.8975501113585748E-3</v>
      </c>
      <c r="AY91">
        <f t="shared" si="76"/>
        <v>4.4561989606533041E-3</v>
      </c>
      <c r="AZ91">
        <f t="shared" si="76"/>
        <v>4.2368225686711209E-3</v>
      </c>
      <c r="BA91">
        <f t="shared" si="76"/>
        <v>4.0174461766889387E-3</v>
      </c>
      <c r="BB91">
        <f t="shared" si="76"/>
        <v>3.7980697847067556E-3</v>
      </c>
      <c r="BC91">
        <f t="shared" si="76"/>
        <v>3.5786933927245733E-3</v>
      </c>
      <c r="BD91">
        <f t="shared" si="76"/>
        <v>3.3593170007423906E-3</v>
      </c>
      <c r="BE91">
        <f t="shared" si="76"/>
        <v>3.2620638455827765E-3</v>
      </c>
      <c r="BF91">
        <f t="shared" si="76"/>
        <v>3.1648106904231628E-3</v>
      </c>
      <c r="BG91">
        <f t="shared" si="76"/>
        <v>3.0675575352635486E-3</v>
      </c>
      <c r="BH91">
        <f t="shared" si="76"/>
        <v>2.9703043801039349E-3</v>
      </c>
      <c r="BI91">
        <f t="shared" si="76"/>
        <v>2.8730512249443207E-3</v>
      </c>
      <c r="BJ91">
        <f t="shared" si="76"/>
        <v>2.7757980697847066E-3</v>
      </c>
      <c r="BK91">
        <f t="shared" si="76"/>
        <v>2.6785449146250928E-3</v>
      </c>
      <c r="BL91">
        <f t="shared" si="76"/>
        <v>2.5812917594654787E-3</v>
      </c>
      <c r="BM91">
        <f t="shared" si="76"/>
        <v>2.4840386043058649E-3</v>
      </c>
      <c r="BN91">
        <f t="shared" si="76"/>
        <v>2.3867854491462508E-3</v>
      </c>
      <c r="BO91">
        <f t="shared" si="76"/>
        <v>2.2895322939866371E-3</v>
      </c>
      <c r="BP91">
        <f t="shared" si="76"/>
        <v>2.1922791388270229E-3</v>
      </c>
      <c r="BQ91">
        <f t="shared" si="76"/>
        <v>2.0950259836674092E-3</v>
      </c>
      <c r="BR91">
        <f t="shared" si="76"/>
        <v>1.997772828507795E-3</v>
      </c>
      <c r="BS91">
        <f t="shared" si="76"/>
        <v>1.9005196733481811E-3</v>
      </c>
      <c r="BT91">
        <f t="shared" si="76"/>
        <v>1.8032665181885671E-3</v>
      </c>
    </row>
    <row r="92" spans="6:73">
      <c r="G92">
        <f>G91/SUM($G91:$BT91)</f>
        <v>3.1216814940477036E-2</v>
      </c>
      <c r="H92">
        <f t="shared" ref="H92:BS92" si="77">H91/SUM($G91:$BT91)</f>
        <v>3.1192572554562495E-2</v>
      </c>
      <c r="I92">
        <f t="shared" si="77"/>
        <v>3.1168330168647954E-2</v>
      </c>
      <c r="J92">
        <f t="shared" si="77"/>
        <v>3.1144087782733414E-2</v>
      </c>
      <c r="K92">
        <f t="shared" si="77"/>
        <v>3.1119845396818873E-2</v>
      </c>
      <c r="L92">
        <f t="shared" si="77"/>
        <v>3.0541190185206558E-2</v>
      </c>
      <c r="M92">
        <f t="shared" si="77"/>
        <v>2.9962534973594246E-2</v>
      </c>
      <c r="N92">
        <f t="shared" si="77"/>
        <v>2.9383879761981931E-2</v>
      </c>
      <c r="O92">
        <f t="shared" si="77"/>
        <v>2.8805224550369619E-2</v>
      </c>
      <c r="P92">
        <f t="shared" si="77"/>
        <v>2.8226569338757303E-2</v>
      </c>
      <c r="Q92">
        <f t="shared" si="77"/>
        <v>2.7126175821592904E-2</v>
      </c>
      <c r="R92">
        <f t="shared" si="77"/>
        <v>2.6025782304428504E-2</v>
      </c>
      <c r="S92">
        <f t="shared" si="77"/>
        <v>2.4925388787264104E-2</v>
      </c>
      <c r="T92">
        <f t="shared" si="77"/>
        <v>2.3824995270099708E-2</v>
      </c>
      <c r="U92">
        <f t="shared" si="77"/>
        <v>2.2724601752935305E-2</v>
      </c>
      <c r="V92">
        <f t="shared" si="77"/>
        <v>2.2703521417357445E-2</v>
      </c>
      <c r="W92">
        <f t="shared" si="77"/>
        <v>2.2682441081779581E-2</v>
      </c>
      <c r="X92">
        <f t="shared" si="77"/>
        <v>2.2661360746201717E-2</v>
      </c>
      <c r="Y92">
        <f t="shared" si="77"/>
        <v>2.2640280410623857E-2</v>
      </c>
      <c r="Z92">
        <f t="shared" si="77"/>
        <v>2.2619200075045993E-2</v>
      </c>
      <c r="AA92">
        <f t="shared" si="77"/>
        <v>2.1977830865089542E-2</v>
      </c>
      <c r="AB92">
        <f t="shared" si="77"/>
        <v>2.1336461655133091E-2</v>
      </c>
      <c r="AC92">
        <f t="shared" si="77"/>
        <v>2.0695092445176637E-2</v>
      </c>
      <c r="AD92">
        <f t="shared" si="77"/>
        <v>2.0053723235220183E-2</v>
      </c>
      <c r="AE92">
        <f t="shared" si="77"/>
        <v>1.9412354025263728E-2</v>
      </c>
      <c r="AF92">
        <f t="shared" si="77"/>
        <v>1.9176254266791676E-2</v>
      </c>
      <c r="AG92">
        <f t="shared" si="77"/>
        <v>1.894015450831962E-2</v>
      </c>
      <c r="AH92">
        <f t="shared" si="77"/>
        <v>1.8704054749847564E-2</v>
      </c>
      <c r="AI92">
        <f t="shared" si="77"/>
        <v>1.8467954991375508E-2</v>
      </c>
      <c r="AJ92">
        <f t="shared" si="77"/>
        <v>1.8231855232903452E-2</v>
      </c>
      <c r="AK92">
        <f t="shared" si="77"/>
        <v>1.7588377989389212E-2</v>
      </c>
      <c r="AL92">
        <f t="shared" si="77"/>
        <v>1.6944900745874972E-2</v>
      </c>
      <c r="AM92">
        <f t="shared" si="77"/>
        <v>1.6301423502360735E-2</v>
      </c>
      <c r="AN92">
        <f t="shared" si="77"/>
        <v>1.5657946258846495E-2</v>
      </c>
      <c r="AO92">
        <f t="shared" si="77"/>
        <v>1.5014469015332255E-2</v>
      </c>
      <c r="AP92">
        <f t="shared" si="77"/>
        <v>1.3903535330378925E-2</v>
      </c>
      <c r="AQ92">
        <f t="shared" si="77"/>
        <v>1.2792601645425594E-2</v>
      </c>
      <c r="AR92">
        <f t="shared" si="77"/>
        <v>1.1681667960472264E-2</v>
      </c>
      <c r="AS92">
        <f t="shared" si="77"/>
        <v>1.0570734275518932E-2</v>
      </c>
      <c r="AT92">
        <f t="shared" si="77"/>
        <v>9.4598005905656007E-3</v>
      </c>
      <c r="AU92">
        <f t="shared" si="77"/>
        <v>8.8331876155136515E-3</v>
      </c>
      <c r="AV92">
        <f t="shared" si="77"/>
        <v>8.2065746404617005E-3</v>
      </c>
      <c r="AW92">
        <f t="shared" si="77"/>
        <v>7.5799616654097512E-3</v>
      </c>
      <c r="AX92">
        <f t="shared" si="77"/>
        <v>6.953348690357802E-3</v>
      </c>
      <c r="AY92">
        <f t="shared" si="77"/>
        <v>6.3267357153058527E-3</v>
      </c>
      <c r="AZ92">
        <f t="shared" si="77"/>
        <v>6.0152737571429402E-3</v>
      </c>
      <c r="BA92">
        <f t="shared" si="77"/>
        <v>5.7038117989800284E-3</v>
      </c>
      <c r="BB92">
        <f t="shared" si="77"/>
        <v>5.3923498408171159E-3</v>
      </c>
      <c r="BC92">
        <f t="shared" si="77"/>
        <v>5.0808878826542041E-3</v>
      </c>
      <c r="BD92">
        <f t="shared" si="77"/>
        <v>4.7694259244912924E-3</v>
      </c>
      <c r="BE92">
        <f t="shared" si="77"/>
        <v>4.6313497264562952E-3</v>
      </c>
      <c r="BF92">
        <f t="shared" si="77"/>
        <v>4.4932735284212997E-3</v>
      </c>
      <c r="BG92">
        <f t="shared" si="77"/>
        <v>4.3551973303863024E-3</v>
      </c>
      <c r="BH92">
        <f t="shared" si="77"/>
        <v>4.217121132351306E-3</v>
      </c>
      <c r="BI92">
        <f t="shared" si="77"/>
        <v>4.0790449343163096E-3</v>
      </c>
      <c r="BJ92">
        <f t="shared" si="77"/>
        <v>3.9409687362813124E-3</v>
      </c>
      <c r="BK92">
        <f t="shared" si="77"/>
        <v>3.8028925382463164E-3</v>
      </c>
      <c r="BL92">
        <f t="shared" si="77"/>
        <v>3.6648163402113196E-3</v>
      </c>
      <c r="BM92">
        <f t="shared" si="77"/>
        <v>3.5267401421763232E-3</v>
      </c>
      <c r="BN92">
        <f t="shared" si="77"/>
        <v>3.3886639441413264E-3</v>
      </c>
      <c r="BO92">
        <f t="shared" si="77"/>
        <v>3.2505877461063305E-3</v>
      </c>
      <c r="BP92">
        <f t="shared" si="77"/>
        <v>3.1125115480713336E-3</v>
      </c>
      <c r="BQ92">
        <f t="shared" si="77"/>
        <v>2.9744353500363373E-3</v>
      </c>
      <c r="BR92">
        <f t="shared" si="77"/>
        <v>2.8363591520013404E-3</v>
      </c>
      <c r="BS92">
        <f t="shared" si="77"/>
        <v>2.6982829539663441E-3</v>
      </c>
      <c r="BT92">
        <f t="shared" ref="BT92" si="78">BT91/SUM($G91:$BT91)</f>
        <v>2.5602067559313477E-3</v>
      </c>
    </row>
    <row r="93" spans="6:73">
      <c r="F93" t="s">
        <v>67</v>
      </c>
      <c r="G93">
        <f>ROUND($F11/5,0)</f>
        <v>46</v>
      </c>
      <c r="H93">
        <f>ROUND($F11/5,0)</f>
        <v>46</v>
      </c>
      <c r="I93">
        <f>ROUND($F11/5,0)</f>
        <v>46</v>
      </c>
      <c r="J93">
        <f>ROUND($F11/5,0)</f>
        <v>46</v>
      </c>
      <c r="K93">
        <f>ROUND($F11/5,0)</f>
        <v>46</v>
      </c>
      <c r="L93">
        <f>ROUND($G11/5,0)</f>
        <v>75</v>
      </c>
      <c r="M93">
        <f>ROUND($G11/5,0)</f>
        <v>75</v>
      </c>
      <c r="N93">
        <f>ROUND($G11/5,0)</f>
        <v>75</v>
      </c>
      <c r="O93">
        <f>ROUND($G11/5,0)</f>
        <v>75</v>
      </c>
      <c r="P93">
        <f>ROUND($G11/5,0)</f>
        <v>75</v>
      </c>
      <c r="Q93">
        <f>ROUND($H11/5,0)</f>
        <v>94</v>
      </c>
      <c r="R93">
        <f>ROUND($H11/5,0)</f>
        <v>94</v>
      </c>
      <c r="S93">
        <f>ROUND($H11/5,0)</f>
        <v>94</v>
      </c>
      <c r="T93">
        <f>ROUND($H11/5,0)</f>
        <v>94</v>
      </c>
      <c r="U93">
        <f>ROUND($H11/5,0)</f>
        <v>94</v>
      </c>
      <c r="V93">
        <f>ROUND($I11/5,0)</f>
        <v>108</v>
      </c>
      <c r="W93">
        <f>ROUND($I11/5,0)</f>
        <v>108</v>
      </c>
      <c r="X93">
        <f>ROUND($I11/5,0)</f>
        <v>108</v>
      </c>
      <c r="Y93">
        <f>ROUND($I11/5,0)</f>
        <v>108</v>
      </c>
      <c r="Z93">
        <f>ROUND($I11/5,0)</f>
        <v>108</v>
      </c>
      <c r="AA93">
        <f>ROUND($J11/5,0)</f>
        <v>135</v>
      </c>
      <c r="AB93">
        <f>ROUND($J11/5,0)</f>
        <v>135</v>
      </c>
      <c r="AC93">
        <f>ROUND($J11/5,0)</f>
        <v>135</v>
      </c>
      <c r="AD93">
        <f>ROUND($J11/5,0)</f>
        <v>135</v>
      </c>
      <c r="AE93">
        <f>ROUND($J11/5,0)</f>
        <v>135</v>
      </c>
      <c r="AF93">
        <f>ROUND($K11/5,0)</f>
        <v>201</v>
      </c>
      <c r="AG93">
        <f>ROUND($K11/5,0)</f>
        <v>201</v>
      </c>
      <c r="AH93">
        <f>ROUND($K11/5,0)</f>
        <v>201</v>
      </c>
      <c r="AI93">
        <f>ROUND($K11/5,0)</f>
        <v>201</v>
      </c>
      <c r="AJ93">
        <f>ROUND($K11/5,0)</f>
        <v>201</v>
      </c>
      <c r="AK93">
        <f>ROUND($L11/5,0)</f>
        <v>237</v>
      </c>
      <c r="AL93">
        <f>ROUND($L11/5,0)</f>
        <v>237</v>
      </c>
      <c r="AM93">
        <f>ROUND($L11/5,0)</f>
        <v>237</v>
      </c>
      <c r="AN93">
        <f>ROUND($L11/5,0)</f>
        <v>237</v>
      </c>
      <c r="AO93">
        <f>ROUND($L11/5,0)</f>
        <v>237</v>
      </c>
      <c r="AP93">
        <f>ROUND($M11/5,0)</f>
        <v>237</v>
      </c>
      <c r="AQ93">
        <f>ROUND($M11/5,0)</f>
        <v>237</v>
      </c>
      <c r="AR93">
        <f>ROUND($M11/5,0)</f>
        <v>237</v>
      </c>
      <c r="AS93">
        <f>ROUND($M11/5,0)</f>
        <v>237</v>
      </c>
      <c r="AT93">
        <f>ROUND($M11/5,0)</f>
        <v>237</v>
      </c>
      <c r="AU93">
        <f>ROUND($N11/15,0)</f>
        <v>68</v>
      </c>
      <c r="AV93">
        <f>ROUND($N11/15,0)</f>
        <v>68</v>
      </c>
      <c r="AW93">
        <f>ROUND($N11/15,0)</f>
        <v>68</v>
      </c>
      <c r="AX93">
        <f>ROUND($N11/15,0)</f>
        <v>68</v>
      </c>
      <c r="AY93">
        <f>ROUND($N11/15,0)</f>
        <v>68</v>
      </c>
      <c r="AZ93">
        <f>ROUND($O11/5,0)</f>
        <v>217</v>
      </c>
      <c r="BA93">
        <f>ROUND($O11/5,0)</f>
        <v>217</v>
      </c>
      <c r="BB93">
        <f>ROUND($O11/5,0)</f>
        <v>217</v>
      </c>
      <c r="BC93">
        <f>ROUND($O11/5,0)</f>
        <v>217</v>
      </c>
      <c r="BD93">
        <f>ROUND($O11/5,0)</f>
        <v>217</v>
      </c>
      <c r="BE93">
        <f t="shared" ref="BE93:BT93" si="79">BD89-BE89</f>
        <v>262</v>
      </c>
      <c r="BF93">
        <f t="shared" si="79"/>
        <v>262</v>
      </c>
      <c r="BG93">
        <f t="shared" si="79"/>
        <v>262</v>
      </c>
      <c r="BH93">
        <f t="shared" si="79"/>
        <v>262</v>
      </c>
      <c r="BI93">
        <f t="shared" si="79"/>
        <v>262</v>
      </c>
      <c r="BJ93">
        <f t="shared" si="79"/>
        <v>262</v>
      </c>
      <c r="BK93">
        <f t="shared" si="79"/>
        <v>262</v>
      </c>
      <c r="BL93">
        <f t="shared" si="79"/>
        <v>262</v>
      </c>
      <c r="BM93">
        <f t="shared" si="79"/>
        <v>262</v>
      </c>
      <c r="BN93">
        <f t="shared" si="79"/>
        <v>262</v>
      </c>
      <c r="BO93">
        <f t="shared" si="79"/>
        <v>262</v>
      </c>
      <c r="BP93">
        <f t="shared" si="79"/>
        <v>262</v>
      </c>
      <c r="BQ93">
        <f t="shared" si="79"/>
        <v>262</v>
      </c>
      <c r="BR93">
        <f t="shared" si="79"/>
        <v>262</v>
      </c>
      <c r="BS93">
        <f t="shared" si="79"/>
        <v>262</v>
      </c>
      <c r="BT93">
        <f t="shared" si="79"/>
        <v>262</v>
      </c>
    </row>
    <row r="94" spans="6:73">
      <c r="F94" t="s">
        <v>69</v>
      </c>
      <c r="L94">
        <f>K89-L89-L93</f>
        <v>1023</v>
      </c>
      <c r="M94">
        <f t="shared" ref="M94:P94" si="80">L89-M89-M93</f>
        <v>1023</v>
      </c>
      <c r="N94">
        <f t="shared" si="80"/>
        <v>1023</v>
      </c>
      <c r="O94">
        <f t="shared" si="80"/>
        <v>1023</v>
      </c>
      <c r="P94">
        <f t="shared" si="80"/>
        <v>1023</v>
      </c>
      <c r="Q94">
        <f>P89-Q89-Q93</f>
        <v>1994</v>
      </c>
      <c r="R94">
        <f t="shared" ref="R94:U94" si="81">Q89-R89-R93</f>
        <v>1994</v>
      </c>
      <c r="S94">
        <f t="shared" si="81"/>
        <v>1994</v>
      </c>
      <c r="T94">
        <f t="shared" si="81"/>
        <v>1994</v>
      </c>
      <c r="U94">
        <f t="shared" si="81"/>
        <v>1994</v>
      </c>
      <c r="AA94">
        <f>Z89-AA89</f>
        <v>1217</v>
      </c>
      <c r="AB94">
        <f t="shared" ref="AB94:AE94" si="82">AA89-AB89</f>
        <v>1217</v>
      </c>
      <c r="AC94">
        <f t="shared" si="82"/>
        <v>1217</v>
      </c>
      <c r="AD94">
        <f t="shared" si="82"/>
        <v>1217</v>
      </c>
      <c r="AE94">
        <f t="shared" si="82"/>
        <v>1217</v>
      </c>
      <c r="AF94">
        <f>AE89-AF89-AF93</f>
        <v>247</v>
      </c>
      <c r="AG94">
        <f t="shared" ref="AG94:AJ94" si="83">AF89-AG89-AG93</f>
        <v>247</v>
      </c>
      <c r="AH94">
        <f t="shared" si="83"/>
        <v>247</v>
      </c>
      <c r="AI94">
        <f t="shared" si="83"/>
        <v>247</v>
      </c>
      <c r="AJ94">
        <f t="shared" si="83"/>
        <v>247</v>
      </c>
      <c r="AK94">
        <f>AJ89-AK89-AK93</f>
        <v>984</v>
      </c>
      <c r="AL94">
        <f t="shared" ref="AL94:AO94" si="84">AK89-AL89-AL93</f>
        <v>984</v>
      </c>
      <c r="AM94">
        <f t="shared" si="84"/>
        <v>984</v>
      </c>
      <c r="AN94">
        <f t="shared" si="84"/>
        <v>984</v>
      </c>
      <c r="AO94">
        <f t="shared" si="84"/>
        <v>984</v>
      </c>
      <c r="AP94">
        <f>AO89-AP89-AP93</f>
        <v>1871</v>
      </c>
      <c r="AQ94">
        <f t="shared" ref="AQ94:AT94" si="85">AP89-AQ89-AQ93</f>
        <v>1871</v>
      </c>
      <c r="AR94">
        <f t="shared" si="85"/>
        <v>1871</v>
      </c>
      <c r="AS94">
        <f t="shared" si="85"/>
        <v>1871</v>
      </c>
      <c r="AT94">
        <f t="shared" si="85"/>
        <v>1871</v>
      </c>
      <c r="AU94">
        <f>AT89-AU89-AU93</f>
        <v>1121</v>
      </c>
      <c r="AV94">
        <f t="shared" ref="AV94:AY94" si="86">AU89-AV89-AV93</f>
        <v>1121</v>
      </c>
      <c r="AW94">
        <f t="shared" si="86"/>
        <v>1121</v>
      </c>
      <c r="AX94">
        <f t="shared" si="86"/>
        <v>1121</v>
      </c>
      <c r="AY94">
        <f t="shared" si="86"/>
        <v>1121</v>
      </c>
      <c r="AZ94">
        <f>AY89-AZ89-AZ93</f>
        <v>374</v>
      </c>
      <c r="BA94">
        <f t="shared" ref="BA94:BB94" si="87">AZ89-BA89-BA93</f>
        <v>374</v>
      </c>
      <c r="BB94">
        <f t="shared" si="87"/>
        <v>374</v>
      </c>
      <c r="BC94">
        <f t="shared" ref="BC94" si="88">BB89-BC89-BC93</f>
        <v>374</v>
      </c>
      <c r="BD94">
        <f t="shared" ref="BD94" si="89">BC89-BD89-BD93</f>
        <v>374</v>
      </c>
    </row>
    <row r="95" spans="6:73">
      <c r="G95">
        <f t="shared" ref="G95" si="90">G93/SUM($G93:$BT93)</f>
        <v>4.0772912604148202E-3</v>
      </c>
      <c r="H95">
        <f t="shared" ref="H95" si="91">H93/SUM($G93:$BT93)</f>
        <v>4.0772912604148202E-3</v>
      </c>
      <c r="I95">
        <f t="shared" ref="I95" si="92">I93/SUM($G93:$BT93)</f>
        <v>4.0772912604148202E-3</v>
      </c>
      <c r="J95">
        <f t="shared" ref="J95" si="93">J93/SUM($G93:$BT93)</f>
        <v>4.0772912604148202E-3</v>
      </c>
      <c r="K95">
        <f t="shared" ref="K95" si="94">K93/SUM($G93:$BT93)</f>
        <v>4.0772912604148202E-3</v>
      </c>
      <c r="L95">
        <f t="shared" ref="L95" si="95">L93/SUM($G93:$BT93)</f>
        <v>6.6477574898067722E-3</v>
      </c>
      <c r="M95">
        <f t="shared" ref="M95" si="96">M93/SUM($G93:$BT93)</f>
        <v>6.6477574898067722E-3</v>
      </c>
      <c r="N95">
        <f t="shared" ref="N95" si="97">N93/SUM($G93:$BT93)</f>
        <v>6.6477574898067722E-3</v>
      </c>
      <c r="O95">
        <f t="shared" ref="O95" si="98">O93/SUM($G93:$BT93)</f>
        <v>6.6477574898067722E-3</v>
      </c>
      <c r="P95">
        <f t="shared" ref="P95" si="99">P93/SUM($G93:$BT93)</f>
        <v>6.6477574898067722E-3</v>
      </c>
      <c r="Q95">
        <f t="shared" ref="Q95" si="100">Q93/SUM($G93:$BT93)</f>
        <v>8.331856053891154E-3</v>
      </c>
      <c r="R95">
        <f t="shared" ref="R95" si="101">R93/SUM($G93:$BT93)</f>
        <v>8.331856053891154E-3</v>
      </c>
      <c r="S95">
        <f t="shared" ref="S95" si="102">S93/SUM($G93:$BT93)</f>
        <v>8.331856053891154E-3</v>
      </c>
      <c r="T95">
        <f t="shared" ref="T95" si="103">T93/SUM($G93:$BT93)</f>
        <v>8.331856053891154E-3</v>
      </c>
      <c r="U95">
        <f t="shared" ref="U95" si="104">U93/SUM($G93:$BT93)</f>
        <v>8.331856053891154E-3</v>
      </c>
      <c r="V95">
        <f t="shared" ref="V95" si="105">V93/SUM($G93:$BT93)</f>
        <v>9.5727707853217516E-3</v>
      </c>
      <c r="W95">
        <f t="shared" ref="W95" si="106">W93/SUM($G93:$BT93)</f>
        <v>9.5727707853217516E-3</v>
      </c>
      <c r="X95">
        <f t="shared" ref="X95" si="107">X93/SUM($G93:$BT93)</f>
        <v>9.5727707853217516E-3</v>
      </c>
      <c r="Y95">
        <f t="shared" ref="Y95" si="108">Y93/SUM($G93:$BT93)</f>
        <v>9.5727707853217516E-3</v>
      </c>
      <c r="Z95">
        <f t="shared" ref="Z95" si="109">Z93/SUM($G93:$BT93)</f>
        <v>9.5727707853217516E-3</v>
      </c>
      <c r="AA95">
        <f t="shared" ref="AA95" si="110">AA93/SUM($G93:$BT93)</f>
        <v>1.196596348165219E-2</v>
      </c>
      <c r="AB95">
        <f t="shared" ref="AB95" si="111">AB93/SUM($G93:$BT93)</f>
        <v>1.196596348165219E-2</v>
      </c>
      <c r="AC95">
        <f t="shared" ref="AC95" si="112">AC93/SUM($G93:$BT93)</f>
        <v>1.196596348165219E-2</v>
      </c>
      <c r="AD95">
        <f t="shared" ref="AD95" si="113">AD93/SUM($G93:$BT93)</f>
        <v>1.196596348165219E-2</v>
      </c>
      <c r="AE95">
        <f t="shared" ref="AE95" si="114">AE93/SUM($G93:$BT93)</f>
        <v>1.196596348165219E-2</v>
      </c>
      <c r="AF95">
        <f t="shared" ref="AF95" si="115">AF93/SUM($G93:$BT93)</f>
        <v>1.7815990072682149E-2</v>
      </c>
      <c r="AG95">
        <f t="shared" ref="AG95" si="116">AG93/SUM($G93:$BT93)</f>
        <v>1.7815990072682149E-2</v>
      </c>
      <c r="AH95">
        <f t="shared" ref="AH95" si="117">AH93/SUM($G93:$BT93)</f>
        <v>1.7815990072682149E-2</v>
      </c>
      <c r="AI95">
        <f t="shared" ref="AI95" si="118">AI93/SUM($G93:$BT93)</f>
        <v>1.7815990072682149E-2</v>
      </c>
      <c r="AJ95">
        <f t="shared" ref="AJ95" si="119">AJ93/SUM($G93:$BT93)</f>
        <v>1.7815990072682149E-2</v>
      </c>
      <c r="AK95">
        <f t="shared" ref="AK95" si="120">AK93/SUM($G93:$BT93)</f>
        <v>2.1006913667789399E-2</v>
      </c>
      <c r="AL95">
        <f t="shared" ref="AL95" si="121">AL93/SUM($G93:$BT93)</f>
        <v>2.1006913667789399E-2</v>
      </c>
      <c r="AM95">
        <f t="shared" ref="AM95" si="122">AM93/SUM($G93:$BT93)</f>
        <v>2.1006913667789399E-2</v>
      </c>
      <c r="AN95">
        <f t="shared" ref="AN95" si="123">AN93/SUM($G93:$BT93)</f>
        <v>2.1006913667789399E-2</v>
      </c>
      <c r="AO95">
        <f t="shared" ref="AO95" si="124">AO93/SUM($G93:$BT93)</f>
        <v>2.1006913667789399E-2</v>
      </c>
      <c r="AP95">
        <f t="shared" ref="AP95" si="125">AP93/SUM($G93:$BT93)</f>
        <v>2.1006913667789399E-2</v>
      </c>
      <c r="AQ95">
        <f t="shared" ref="AQ95" si="126">AQ93/SUM($G93:$BT93)</f>
        <v>2.1006913667789399E-2</v>
      </c>
      <c r="AR95">
        <f t="shared" ref="AR95" si="127">AR93/SUM($G93:$BT93)</f>
        <v>2.1006913667789399E-2</v>
      </c>
      <c r="AS95">
        <f t="shared" ref="AS95" si="128">AS93/SUM($G93:$BT93)</f>
        <v>2.1006913667789399E-2</v>
      </c>
      <c r="AT95">
        <f t="shared" ref="AT95" si="129">AT93/SUM($G93:$BT93)</f>
        <v>2.1006913667789399E-2</v>
      </c>
      <c r="AU95">
        <f t="shared" ref="AU95" si="130">AU93/SUM($G93:$BT93)</f>
        <v>6.0273001240914734E-3</v>
      </c>
      <c r="AV95">
        <f t="shared" ref="AV95" si="131">AV93/SUM($G93:$BT93)</f>
        <v>6.0273001240914734E-3</v>
      </c>
      <c r="AW95">
        <f t="shared" ref="AW95" si="132">AW93/SUM($G93:$BT93)</f>
        <v>6.0273001240914734E-3</v>
      </c>
      <c r="AX95">
        <f t="shared" ref="AX95" si="133">AX93/SUM($G93:$BT93)</f>
        <v>6.0273001240914734E-3</v>
      </c>
      <c r="AY95">
        <f t="shared" ref="AY95" si="134">AY93/SUM($G93:$BT93)</f>
        <v>6.0273001240914734E-3</v>
      </c>
      <c r="AZ95">
        <f t="shared" ref="AZ95" si="135">AZ93/SUM($G93:$BT93)</f>
        <v>1.9234178337174258E-2</v>
      </c>
      <c r="BA95">
        <f t="shared" ref="BA95" si="136">BA93/SUM($G93:$BT93)</f>
        <v>1.9234178337174258E-2</v>
      </c>
      <c r="BB95">
        <f t="shared" ref="BB95" si="137">BB93/SUM($G93:$BT93)</f>
        <v>1.9234178337174258E-2</v>
      </c>
      <c r="BC95">
        <f t="shared" ref="BC95" si="138">BC93/SUM($G93:$BT93)</f>
        <v>1.9234178337174258E-2</v>
      </c>
      <c r="BD95">
        <f t="shared" ref="BD95" si="139">BD93/SUM($G93:$BT93)</f>
        <v>1.9234178337174258E-2</v>
      </c>
      <c r="BE95">
        <f t="shared" ref="BE95" si="140">BE93/SUM($G93:$BT93)</f>
        <v>2.3222832831058322E-2</v>
      </c>
      <c r="BF95">
        <f t="shared" ref="BF95" si="141">BF93/SUM($G93:$BT93)</f>
        <v>2.3222832831058322E-2</v>
      </c>
      <c r="BG95">
        <f t="shared" ref="BG95" si="142">BG93/SUM($G93:$BT93)</f>
        <v>2.3222832831058322E-2</v>
      </c>
      <c r="BH95">
        <f t="shared" ref="BH95" si="143">BH93/SUM($G93:$BT93)</f>
        <v>2.3222832831058322E-2</v>
      </c>
      <c r="BI95">
        <f t="shared" ref="BI95" si="144">BI93/SUM($G93:$BT93)</f>
        <v>2.3222832831058322E-2</v>
      </c>
      <c r="BJ95">
        <f t="shared" ref="BJ95" si="145">BJ93/SUM($G93:$BT93)</f>
        <v>2.3222832831058322E-2</v>
      </c>
      <c r="BK95">
        <f t="shared" ref="BK95" si="146">BK93/SUM($G93:$BT93)</f>
        <v>2.3222832831058322E-2</v>
      </c>
      <c r="BL95">
        <f t="shared" ref="BL95" si="147">BL93/SUM($G93:$BT93)</f>
        <v>2.3222832831058322E-2</v>
      </c>
      <c r="BM95">
        <f t="shared" ref="BM95" si="148">BM93/SUM($G93:$BT93)</f>
        <v>2.3222832831058322E-2</v>
      </c>
      <c r="BN95">
        <f t="shared" ref="BN95" si="149">BN93/SUM($G93:$BT93)</f>
        <v>2.3222832831058322E-2</v>
      </c>
      <c r="BO95">
        <f t="shared" ref="BO95" si="150">BO93/SUM($G93:$BT93)</f>
        <v>2.3222832831058322E-2</v>
      </c>
      <c r="BP95">
        <f t="shared" ref="BP95" si="151">BP93/SUM($G93:$BT93)</f>
        <v>2.3222832831058322E-2</v>
      </c>
      <c r="BQ95">
        <f t="shared" ref="BQ95" si="152">BQ93/SUM($G93:$BT93)</f>
        <v>2.3222832831058322E-2</v>
      </c>
      <c r="BR95">
        <f t="shared" ref="BR95" si="153">BR93/SUM($G93:$BT93)</f>
        <v>2.3222832831058322E-2</v>
      </c>
      <c r="BS95">
        <f t="shared" ref="BS95" si="154">BS93/SUM($G93:$BT93)</f>
        <v>2.3222832831058322E-2</v>
      </c>
      <c r="BT95">
        <f t="shared" ref="BT95" si="155">BT93/SUM($G93:$BT93)</f>
        <v>2.3222832831058322E-2</v>
      </c>
    </row>
    <row r="96" spans="6:73">
      <c r="F96" s="22" t="s">
        <v>66</v>
      </c>
      <c r="G96">
        <f>SUMPRODUCT(G88:BT88,G92:BT92)</f>
        <v>35.399922951373462</v>
      </c>
    </row>
    <row r="97" spans="6:72">
      <c r="F97" s="22" t="s">
        <v>68</v>
      </c>
      <c r="G97">
        <f>SUMPRODUCT(G88:BT88,G95:BT95)</f>
        <v>54.706612302783199</v>
      </c>
    </row>
    <row r="98" spans="6:72">
      <c r="F98" s="22"/>
    </row>
    <row r="99" spans="6:72">
      <c r="G99">
        <v>1</v>
      </c>
      <c r="H99">
        <f>G99*H90</f>
        <v>0.99922341898234124</v>
      </c>
      <c r="I99">
        <f t="shared" ref="I99:BT99" si="156">H99*I90</f>
        <v>0.99844683796468248</v>
      </c>
      <c r="J99">
        <f t="shared" si="156"/>
        <v>0.99767025694702371</v>
      </c>
      <c r="K99">
        <f t="shared" si="156"/>
        <v>0.99689367592936495</v>
      </c>
      <c r="L99">
        <f t="shared" si="156"/>
        <v>0.97835702468177066</v>
      </c>
      <c r="M99">
        <f t="shared" si="156"/>
        <v>0.95982037343417637</v>
      </c>
      <c r="N99">
        <f t="shared" si="156"/>
        <v>0.94128372218658207</v>
      </c>
      <c r="O99">
        <f t="shared" si="156"/>
        <v>0.92274707093898778</v>
      </c>
      <c r="P99">
        <f t="shared" si="156"/>
        <v>0.90421041969139349</v>
      </c>
      <c r="Q99">
        <f t="shared" si="156"/>
        <v>0.86896039436809946</v>
      </c>
      <c r="R99">
        <f t="shared" si="156"/>
        <v>0.83371036904480533</v>
      </c>
      <c r="S99">
        <f t="shared" si="156"/>
        <v>0.79846034372151131</v>
      </c>
      <c r="T99">
        <f t="shared" si="156"/>
        <v>0.76321031839821729</v>
      </c>
      <c r="U99">
        <f t="shared" si="156"/>
        <v>0.72796029307492316</v>
      </c>
      <c r="V99">
        <f t="shared" si="156"/>
        <v>0.72728500523348072</v>
      </c>
      <c r="W99">
        <f t="shared" si="156"/>
        <v>0.72660971739203828</v>
      </c>
      <c r="X99">
        <f t="shared" si="156"/>
        <v>0.72593442955059584</v>
      </c>
      <c r="Y99">
        <f t="shared" si="156"/>
        <v>0.7252591417091534</v>
      </c>
      <c r="Z99">
        <f t="shared" si="156"/>
        <v>0.72458385386771096</v>
      </c>
      <c r="AA99">
        <f t="shared" si="156"/>
        <v>0.70403822129182547</v>
      </c>
      <c r="AB99">
        <f t="shared" si="156"/>
        <v>0.68349258871593999</v>
      </c>
      <c r="AC99">
        <f t="shared" si="156"/>
        <v>0.6629469561400545</v>
      </c>
      <c r="AD99">
        <f t="shared" si="156"/>
        <v>0.64240132356416901</v>
      </c>
      <c r="AE99">
        <f t="shared" si="156"/>
        <v>0.62185569098828353</v>
      </c>
      <c r="AF99">
        <f t="shared" si="156"/>
        <v>0.61429246716412855</v>
      </c>
      <c r="AG99">
        <f t="shared" si="156"/>
        <v>0.60672924333997347</v>
      </c>
      <c r="AH99">
        <f t="shared" si="156"/>
        <v>0.59916601951581838</v>
      </c>
      <c r="AI99">
        <f t="shared" si="156"/>
        <v>0.5916027956916633</v>
      </c>
      <c r="AJ99">
        <f t="shared" si="156"/>
        <v>0.58403957186750821</v>
      </c>
      <c r="AK99">
        <f t="shared" si="156"/>
        <v>0.56342641050747855</v>
      </c>
      <c r="AL99">
        <f t="shared" si="156"/>
        <v>0.54281324914744877</v>
      </c>
      <c r="AM99">
        <f t="shared" si="156"/>
        <v>0.52220008778741911</v>
      </c>
      <c r="AN99">
        <f t="shared" si="156"/>
        <v>0.50158692642738945</v>
      </c>
      <c r="AO99">
        <f t="shared" si="156"/>
        <v>0.48097376506735978</v>
      </c>
      <c r="AP99">
        <f t="shared" si="156"/>
        <v>0.44538609582334454</v>
      </c>
      <c r="AQ99">
        <f t="shared" si="156"/>
        <v>0.4097984265793293</v>
      </c>
      <c r="AR99">
        <f t="shared" si="156"/>
        <v>0.37421075733531406</v>
      </c>
      <c r="AS99">
        <f t="shared" si="156"/>
        <v>0.33862308809129882</v>
      </c>
      <c r="AT99">
        <f t="shared" si="156"/>
        <v>0.30303541884728358</v>
      </c>
      <c r="AU99">
        <f t="shared" si="156"/>
        <v>0.28296248776040783</v>
      </c>
      <c r="AV99">
        <f t="shared" si="156"/>
        <v>0.26288955667353203</v>
      </c>
      <c r="AW99">
        <f t="shared" si="156"/>
        <v>0.24281662558665626</v>
      </c>
      <c r="AX99">
        <f t="shared" si="156"/>
        <v>0.22274369449978049</v>
      </c>
      <c r="AY99">
        <f t="shared" si="156"/>
        <v>0.20267076341290471</v>
      </c>
      <c r="AZ99">
        <f t="shared" si="156"/>
        <v>0.19269338555559304</v>
      </c>
      <c r="BA99">
        <f t="shared" si="156"/>
        <v>0.18271600769828136</v>
      </c>
      <c r="BB99">
        <f t="shared" si="156"/>
        <v>0.17273862984096969</v>
      </c>
      <c r="BC99">
        <f t="shared" si="156"/>
        <v>0.16276125198365801</v>
      </c>
      <c r="BD99">
        <f t="shared" si="156"/>
        <v>0.15278387412634634</v>
      </c>
      <c r="BE99">
        <f t="shared" si="156"/>
        <v>0.14836073876489853</v>
      </c>
      <c r="BF99">
        <f t="shared" si="156"/>
        <v>0.14393760340345071</v>
      </c>
      <c r="BG99">
        <f t="shared" si="156"/>
        <v>0.1395144680420029</v>
      </c>
      <c r="BH99">
        <f t="shared" si="156"/>
        <v>0.13509133268055509</v>
      </c>
      <c r="BI99">
        <f t="shared" si="156"/>
        <v>0.13066819731910728</v>
      </c>
      <c r="BJ99">
        <f t="shared" si="156"/>
        <v>0.12624506195765947</v>
      </c>
      <c r="BK99">
        <f t="shared" si="156"/>
        <v>0.12182192659621166</v>
      </c>
      <c r="BL99">
        <f t="shared" si="156"/>
        <v>0.11739879123476385</v>
      </c>
      <c r="BM99">
        <f t="shared" si="156"/>
        <v>0.11297565587331602</v>
      </c>
      <c r="BN99">
        <f t="shared" si="156"/>
        <v>0.1085525205118682</v>
      </c>
      <c r="BO99">
        <f t="shared" si="156"/>
        <v>0.10412938515042038</v>
      </c>
      <c r="BP99">
        <f t="shared" si="156"/>
        <v>9.9706249788972565E-2</v>
      </c>
      <c r="BQ99">
        <f t="shared" si="156"/>
        <v>9.528311442752474E-2</v>
      </c>
      <c r="BR99">
        <f t="shared" si="156"/>
        <v>9.0859979066076929E-2</v>
      </c>
      <c r="BS99">
        <f t="shared" si="156"/>
        <v>8.6436843704629118E-2</v>
      </c>
      <c r="BT99">
        <f t="shared" si="156"/>
        <v>8.2013708343181307E-2</v>
      </c>
    </row>
    <row r="101" spans="6:72">
      <c r="F101" t="s">
        <v>65</v>
      </c>
      <c r="G101">
        <f>0.0162/G90</f>
        <v>1.6199999999999999E-2</v>
      </c>
      <c r="H101">
        <f>0.0162/H90</f>
        <v>1.6212590389943906E-2</v>
      </c>
      <c r="I101">
        <f t="shared" ref="I101:BT101" si="157">0.0162/I90</f>
        <v>1.6212600182611343E-2</v>
      </c>
      <c r="J101">
        <f t="shared" si="157"/>
        <v>1.6212609990523891E-2</v>
      </c>
      <c r="K101">
        <f t="shared" si="157"/>
        <v>1.6212619813717188E-2</v>
      </c>
      <c r="L101">
        <f t="shared" si="157"/>
        <v>1.6506936775262285E-2</v>
      </c>
      <c r="M101">
        <f t="shared" si="157"/>
        <v>1.651286453020016E-2</v>
      </c>
      <c r="N101">
        <f t="shared" si="157"/>
        <v>1.6519025755075686E-2</v>
      </c>
      <c r="O101">
        <f t="shared" si="157"/>
        <v>1.6525434520106845E-2</v>
      </c>
      <c r="P101">
        <f t="shared" si="157"/>
        <v>1.6532106049290514E-2</v>
      </c>
      <c r="Q101">
        <f t="shared" si="157"/>
        <v>1.6857165060615478E-2</v>
      </c>
      <c r="R101">
        <f t="shared" si="157"/>
        <v>1.6884950591284628E-2</v>
      </c>
      <c r="S101">
        <f t="shared" si="157"/>
        <v>1.691518944519621E-2</v>
      </c>
      <c r="T101">
        <f t="shared" si="157"/>
        <v>1.6948221553707309E-2</v>
      </c>
      <c r="U101">
        <f t="shared" si="157"/>
        <v>1.6984452690166976E-2</v>
      </c>
      <c r="V101">
        <f t="shared" si="157"/>
        <v>1.6215041782729804E-2</v>
      </c>
      <c r="W101">
        <f t="shared" si="157"/>
        <v>1.6215055762081782E-2</v>
      </c>
      <c r="X101">
        <f t="shared" si="157"/>
        <v>1.6215069767441859E-2</v>
      </c>
      <c r="Y101">
        <f t="shared" si="157"/>
        <v>1.621508379888268E-2</v>
      </c>
      <c r="Z101">
        <f t="shared" si="157"/>
        <v>1.6215097856477165E-2</v>
      </c>
      <c r="AA101">
        <f t="shared" si="157"/>
        <v>1.6672757355585929E-2</v>
      </c>
      <c r="AB101">
        <f t="shared" si="157"/>
        <v>1.6686968334732991E-2</v>
      </c>
      <c r="AC101">
        <f t="shared" si="157"/>
        <v>1.6702060149227125E-2</v>
      </c>
      <c r="AD101">
        <f t="shared" si="157"/>
        <v>1.6718117313150423E-2</v>
      </c>
      <c r="AE101">
        <f t="shared" si="157"/>
        <v>1.6735235509705442E-2</v>
      </c>
      <c r="AF101">
        <f t="shared" si="157"/>
        <v>1.639945584961662E-2</v>
      </c>
      <c r="AG101">
        <f t="shared" si="157"/>
        <v>1.6401942179804667E-2</v>
      </c>
      <c r="AH101">
        <f t="shared" si="157"/>
        <v>1.6404491279479304E-2</v>
      </c>
      <c r="AI101">
        <f t="shared" si="157"/>
        <v>1.640710555603116E-2</v>
      </c>
      <c r="AJ101">
        <f t="shared" si="157"/>
        <v>1.6409787541552246E-2</v>
      </c>
      <c r="AK101">
        <f t="shared" si="157"/>
        <v>1.6792682926829266E-2</v>
      </c>
      <c r="AL101">
        <f t="shared" si="157"/>
        <v>1.6815189873417721E-2</v>
      </c>
      <c r="AM101">
        <f t="shared" si="157"/>
        <v>1.6839473684210526E-2</v>
      </c>
      <c r="AN101">
        <f t="shared" si="157"/>
        <v>1.6865753424657532E-2</v>
      </c>
      <c r="AO101">
        <f t="shared" si="157"/>
        <v>1.6894285714285712E-2</v>
      </c>
      <c r="AP101">
        <f t="shared" si="157"/>
        <v>1.7494428019103933E-2</v>
      </c>
      <c r="AQ101">
        <f t="shared" si="157"/>
        <v>1.7606838592732967E-2</v>
      </c>
      <c r="AR101">
        <f t="shared" si="157"/>
        <v>1.7740629793377243E-2</v>
      </c>
      <c r="AS101">
        <f t="shared" si="157"/>
        <v>1.7902542626383487E-2</v>
      </c>
      <c r="AT101">
        <f t="shared" si="157"/>
        <v>1.8102484679665739E-2</v>
      </c>
      <c r="AU101">
        <f t="shared" si="157"/>
        <v>1.7349203508143902E-2</v>
      </c>
      <c r="AV101">
        <f t="shared" si="157"/>
        <v>1.743695093758027E-2</v>
      </c>
      <c r="AW101">
        <f t="shared" si="157"/>
        <v>1.7539206007091704E-2</v>
      </c>
      <c r="AX101">
        <f t="shared" si="157"/>
        <v>1.7659890859481581E-2</v>
      </c>
      <c r="AY101">
        <f t="shared" si="157"/>
        <v>1.7804481466055809E-2</v>
      </c>
      <c r="AZ101">
        <f t="shared" si="157"/>
        <v>1.7038811985281233E-2</v>
      </c>
      <c r="BA101">
        <f t="shared" si="157"/>
        <v>1.708461609535249E-2</v>
      </c>
      <c r="BB101">
        <f t="shared" si="157"/>
        <v>1.7135711493354182E-2</v>
      </c>
      <c r="BC101">
        <f t="shared" si="157"/>
        <v>1.7193071258168241E-2</v>
      </c>
      <c r="BD101">
        <f t="shared" si="157"/>
        <v>1.72579226519337E-2</v>
      </c>
      <c r="BE101">
        <f t="shared" si="157"/>
        <v>1.6682976786527082E-2</v>
      </c>
      <c r="BF101">
        <f t="shared" si="157"/>
        <v>1.6697818437719916E-2</v>
      </c>
      <c r="BG101">
        <f t="shared" si="157"/>
        <v>1.6713601161665054E-2</v>
      </c>
      <c r="BH101">
        <f t="shared" si="157"/>
        <v>1.6730417395651086E-2</v>
      </c>
      <c r="BI101">
        <f t="shared" si="157"/>
        <v>1.6748372093023253E-2</v>
      </c>
      <c r="BJ101">
        <f t="shared" si="157"/>
        <v>1.6767584915752875E-2</v>
      </c>
      <c r="BK101">
        <f t="shared" si="157"/>
        <v>1.6788192904656319E-2</v>
      </c>
      <c r="BL101">
        <f t="shared" si="157"/>
        <v>1.6810353753235547E-2</v>
      </c>
      <c r="BM101">
        <f t="shared" si="157"/>
        <v>1.6834249850567841E-2</v>
      </c>
      <c r="BN101">
        <f t="shared" si="157"/>
        <v>1.6860093312597201E-2</v>
      </c>
      <c r="BO101">
        <f t="shared" si="157"/>
        <v>1.6888132295719845E-2</v>
      </c>
      <c r="BP101">
        <f t="shared" si="157"/>
        <v>1.6918658990856754E-2</v>
      </c>
      <c r="BQ101">
        <f t="shared" si="157"/>
        <v>1.6952019844082209E-2</v>
      </c>
      <c r="BR101">
        <f t="shared" si="157"/>
        <v>1.6988628762541803E-2</v>
      </c>
      <c r="BS101">
        <f t="shared" si="157"/>
        <v>1.7028984374999997E-2</v>
      </c>
      <c r="BT101">
        <f t="shared" si="157"/>
        <v>1.7073692877727458E-2</v>
      </c>
    </row>
  </sheetData>
  <pageMargins left="0.7" right="0.7" top="0.75" bottom="0.75" header="0.3" footer="0.3"/>
  <pageSetup orientation="portrait" r:id="rId1"/>
  <ignoredErrors>
    <ignoredError sqref="G96:G97"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59"/>
  <sheetViews>
    <sheetView topLeftCell="A9" workbookViewId="0">
      <selection activeCell="B33" sqref="B33"/>
    </sheetView>
  </sheetViews>
  <sheetFormatPr defaultRowHeight="15"/>
  <cols>
    <col min="1" max="1" width="32" customWidth="1"/>
    <col min="2" max="2" width="12" bestFit="1" customWidth="1"/>
    <col min="3" max="3" width="11" customWidth="1"/>
    <col min="4" max="4" width="11.5703125" bestFit="1" customWidth="1"/>
    <col min="5" max="5" width="9.28515625" bestFit="1" customWidth="1"/>
    <col min="6" max="6" width="10.28515625" customWidth="1"/>
    <col min="7" max="7" width="9.28515625" bestFit="1" customWidth="1"/>
    <col min="8" max="8" width="10" customWidth="1"/>
    <col min="9" max="9" width="10.5703125" customWidth="1"/>
    <col min="10" max="20" width="9.28515625" bestFit="1" customWidth="1"/>
    <col min="21" max="23" width="9.5703125" bestFit="1" customWidth="1"/>
  </cols>
  <sheetData>
    <row r="1" spans="1:23">
      <c r="A1" t="s">
        <v>0</v>
      </c>
    </row>
    <row r="2" spans="1:23">
      <c r="A2" t="s">
        <v>141</v>
      </c>
    </row>
    <row r="3" spans="1:23">
      <c r="A3" t="s">
        <v>140</v>
      </c>
    </row>
    <row r="4" spans="1:23">
      <c r="A4" t="s">
        <v>142</v>
      </c>
    </row>
    <row r="6" spans="1:23">
      <c r="A6" t="s">
        <v>40</v>
      </c>
    </row>
    <row r="7" spans="1:23">
      <c r="A7" t="s">
        <v>138</v>
      </c>
      <c r="D7" t="s">
        <v>33</v>
      </c>
    </row>
    <row r="8" spans="1:23">
      <c r="A8" t="s">
        <v>83</v>
      </c>
      <c r="B8" s="29">
        <v>6130000000000</v>
      </c>
    </row>
    <row r="9" spans="1:23">
      <c r="A9" t="s">
        <v>53</v>
      </c>
      <c r="B9">
        <v>2694000</v>
      </c>
      <c r="D9">
        <v>1</v>
      </c>
      <c r="E9">
        <v>2</v>
      </c>
      <c r="F9">
        <v>3</v>
      </c>
      <c r="G9">
        <v>4</v>
      </c>
      <c r="H9">
        <v>5</v>
      </c>
      <c r="I9">
        <v>6</v>
      </c>
      <c r="J9">
        <v>7</v>
      </c>
      <c r="K9">
        <v>8</v>
      </c>
      <c r="L9">
        <v>9</v>
      </c>
      <c r="M9">
        <v>10</v>
      </c>
      <c r="N9">
        <v>11</v>
      </c>
      <c r="O9">
        <v>12</v>
      </c>
      <c r="P9">
        <v>13</v>
      </c>
      <c r="Q9">
        <v>14</v>
      </c>
      <c r="R9">
        <v>15</v>
      </c>
      <c r="S9">
        <v>16</v>
      </c>
      <c r="T9">
        <v>17</v>
      </c>
      <c r="U9">
        <v>18</v>
      </c>
      <c r="V9">
        <v>19</v>
      </c>
      <c r="W9">
        <v>20</v>
      </c>
    </row>
    <row r="10" spans="1:23">
      <c r="A10" t="s">
        <v>39</v>
      </c>
      <c r="B10" s="21">
        <f>B8/pop</f>
        <v>2275426.8745360058</v>
      </c>
      <c r="C10" s="35" t="s">
        <v>107</v>
      </c>
      <c r="D10">
        <v>2009</v>
      </c>
      <c r="E10">
        <v>2010</v>
      </c>
      <c r="F10">
        <v>2011</v>
      </c>
      <c r="G10">
        <v>2012</v>
      </c>
      <c r="H10">
        <v>2013</v>
      </c>
    </row>
    <row r="11" spans="1:23" hidden="1">
      <c r="A11" t="s">
        <v>106</v>
      </c>
      <c r="B11" s="21">
        <f>B8/(pop*0.68)</f>
        <v>3346215.9919647141</v>
      </c>
      <c r="C11" s="35" t="s">
        <v>146</v>
      </c>
    </row>
    <row r="12" spans="1:23">
      <c r="A12" t="s">
        <v>368</v>
      </c>
      <c r="D12" s="4"/>
      <c r="E12" s="4">
        <v>2.7411793543993753E-2</v>
      </c>
      <c r="F12" s="4">
        <v>4.3937234259515179E-2</v>
      </c>
      <c r="G12" s="4">
        <v>9.6622660718111889E-2</v>
      </c>
      <c r="H12" s="4">
        <v>0.11356718477005716</v>
      </c>
      <c r="I12" s="4">
        <v>4.4471411275140323E-2</v>
      </c>
      <c r="J12" s="4">
        <v>0.04</v>
      </c>
      <c r="K12" s="4">
        <v>0.04</v>
      </c>
      <c r="L12" s="4">
        <v>0.04</v>
      </c>
      <c r="M12" s="4">
        <v>0.04</v>
      </c>
      <c r="N12" s="4">
        <v>0.04</v>
      </c>
      <c r="O12" s="4">
        <v>0.04</v>
      </c>
      <c r="P12" s="4">
        <v>0.04</v>
      </c>
      <c r="Q12" s="4">
        <v>0.04</v>
      </c>
      <c r="R12" s="4">
        <v>0.04</v>
      </c>
      <c r="S12" s="4">
        <v>0.04</v>
      </c>
      <c r="T12" s="4">
        <v>0.04</v>
      </c>
      <c r="U12" s="4">
        <v>0.04</v>
      </c>
      <c r="V12" s="4">
        <v>0.04</v>
      </c>
      <c r="W12" s="4">
        <v>0.04</v>
      </c>
    </row>
    <row r="13" spans="1:23">
      <c r="A13" s="27" t="s">
        <v>145</v>
      </c>
      <c r="B13" s="27">
        <v>1560</v>
      </c>
      <c r="D13" s="21">
        <f>B10*(1+D12)</f>
        <v>2275426.8745360058</v>
      </c>
      <c r="E13" s="21">
        <f>D13*(1+E12)</f>
        <v>2337800.4062452414</v>
      </c>
      <c r="F13" s="21">
        <f t="shared" ref="F13:W13" si="0">E13*(1+F12)</f>
        <v>2440516.8903464284</v>
      </c>
      <c r="G13" s="21">
        <f t="shared" si="0"/>
        <v>2676326.1258191932</v>
      </c>
      <c r="H13" s="21">
        <f t="shared" si="0"/>
        <v>2980268.9494550331</v>
      </c>
      <c r="I13" s="21">
        <f t="shared" si="0"/>
        <v>3112805.715616778</v>
      </c>
      <c r="J13" s="21">
        <f t="shared" si="0"/>
        <v>3237317.9442414492</v>
      </c>
      <c r="K13" s="21">
        <f t="shared" si="0"/>
        <v>3366810.6620111074</v>
      </c>
      <c r="L13" s="21">
        <f t="shared" si="0"/>
        <v>3501483.088491552</v>
      </c>
      <c r="M13" s="21">
        <f t="shared" si="0"/>
        <v>3641542.4120312142</v>
      </c>
      <c r="N13" s="21">
        <f t="shared" si="0"/>
        <v>3787204.108512463</v>
      </c>
      <c r="O13" s="21">
        <f t="shared" si="0"/>
        <v>3938692.2728529619</v>
      </c>
      <c r="P13" s="21">
        <f t="shared" si="0"/>
        <v>4096239.9637670806</v>
      </c>
      <c r="Q13" s="21">
        <f t="shared" si="0"/>
        <v>4260089.5623177644</v>
      </c>
      <c r="R13" s="21">
        <f t="shared" si="0"/>
        <v>4430493.1448104754</v>
      </c>
      <c r="S13" s="21">
        <f t="shared" si="0"/>
        <v>4607712.8706028946</v>
      </c>
      <c r="T13" s="21">
        <f t="shared" si="0"/>
        <v>4792021.3854270102</v>
      </c>
      <c r="U13" s="21">
        <f t="shared" si="0"/>
        <v>4983702.2408440905</v>
      </c>
      <c r="V13" s="21">
        <f t="shared" si="0"/>
        <v>5183050.3304778542</v>
      </c>
      <c r="W13" s="21">
        <f t="shared" si="0"/>
        <v>5390372.3436969686</v>
      </c>
    </row>
    <row r="14" spans="1:23">
      <c r="A14" t="s">
        <v>98</v>
      </c>
      <c r="B14" s="4">
        <v>1.4999999999999999E-2</v>
      </c>
    </row>
    <row r="15" spans="1:23">
      <c r="A15" t="s">
        <v>119</v>
      </c>
      <c r="B15" s="24">
        <v>753</v>
      </c>
    </row>
    <row r="16" spans="1:23">
      <c r="A16" t="s">
        <v>126</v>
      </c>
      <c r="B16" s="21">
        <f>B10/B15</f>
        <v>3021.8152384276304</v>
      </c>
      <c r="D16" t="s">
        <v>132</v>
      </c>
      <c r="S16" s="3"/>
      <c r="T16" s="3"/>
      <c r="U16" s="3"/>
      <c r="V16" s="3"/>
      <c r="W16" s="3"/>
    </row>
    <row r="17" spans="1:35">
      <c r="D17" s="399" t="s">
        <v>1</v>
      </c>
      <c r="E17" s="400" t="s">
        <v>2</v>
      </c>
      <c r="F17" s="401" t="s">
        <v>3</v>
      </c>
      <c r="G17" s="401" t="s">
        <v>4</v>
      </c>
      <c r="H17" s="401" t="s">
        <v>5</v>
      </c>
      <c r="I17" s="396" t="s">
        <v>6</v>
      </c>
      <c r="J17" s="396" t="s">
        <v>7</v>
      </c>
      <c r="K17" s="396" t="s">
        <v>8</v>
      </c>
      <c r="L17" s="396" t="s">
        <v>9</v>
      </c>
      <c r="M17" s="396" t="s">
        <v>10</v>
      </c>
      <c r="N17" s="396" t="s">
        <v>11</v>
      </c>
      <c r="O17" s="396" t="s">
        <v>12</v>
      </c>
      <c r="P17" s="396" t="s">
        <v>13</v>
      </c>
      <c r="Q17" s="396" t="s">
        <v>14</v>
      </c>
      <c r="R17" s="396" t="s">
        <v>15</v>
      </c>
      <c r="S17" s="397" t="s">
        <v>17</v>
      </c>
      <c r="T17" s="398"/>
      <c r="U17" s="398"/>
      <c r="V17" s="398"/>
      <c r="W17" s="398"/>
    </row>
    <row r="18" spans="1:35">
      <c r="D18" s="399"/>
      <c r="E18" s="400"/>
      <c r="F18" s="401"/>
      <c r="G18" s="401"/>
      <c r="H18" s="401"/>
      <c r="I18" s="396"/>
      <c r="J18" s="396"/>
      <c r="K18" s="396"/>
      <c r="L18" s="396"/>
      <c r="M18" s="396"/>
      <c r="N18" s="396"/>
      <c r="O18" s="396"/>
      <c r="P18" s="396"/>
      <c r="Q18" s="396"/>
      <c r="R18" s="396"/>
      <c r="S18" s="1">
        <v>66</v>
      </c>
      <c r="T18" s="2">
        <v>67</v>
      </c>
      <c r="U18" s="2">
        <v>68</v>
      </c>
      <c r="V18" s="2">
        <v>69</v>
      </c>
      <c r="W18" s="2">
        <v>70</v>
      </c>
      <c r="X18" s="2">
        <v>71</v>
      </c>
      <c r="Y18" s="2">
        <v>72</v>
      </c>
      <c r="Z18" s="2">
        <v>73</v>
      </c>
      <c r="AA18" s="2">
        <v>74</v>
      </c>
      <c r="AB18" s="2">
        <v>75</v>
      </c>
      <c r="AC18" s="2">
        <v>76</v>
      </c>
      <c r="AD18" s="2">
        <v>77</v>
      </c>
      <c r="AE18" s="2">
        <v>78</v>
      </c>
      <c r="AF18" s="2">
        <v>79</v>
      </c>
      <c r="AG18" s="2">
        <v>80</v>
      </c>
      <c r="AH18" s="2">
        <v>81</v>
      </c>
      <c r="AI18" s="2">
        <v>82</v>
      </c>
    </row>
    <row r="19" spans="1:35">
      <c r="A19" t="s">
        <v>16</v>
      </c>
      <c r="B19">
        <f>SUM(D19:AH19)</f>
        <v>5438</v>
      </c>
      <c r="C19" t="s">
        <v>18</v>
      </c>
      <c r="D19">
        <v>0</v>
      </c>
      <c r="E19">
        <v>0</v>
      </c>
      <c r="F19">
        <v>0</v>
      </c>
      <c r="G19">
        <v>1</v>
      </c>
      <c r="H19">
        <f>Scratch!F7</f>
        <v>11</v>
      </c>
      <c r="I19">
        <f>Scratch!G7</f>
        <v>20</v>
      </c>
      <c r="J19">
        <f>Scratch!H7</f>
        <v>50</v>
      </c>
      <c r="K19">
        <f>Scratch!I7</f>
        <v>77</v>
      </c>
      <c r="L19">
        <f>Scratch!J7</f>
        <v>135</v>
      </c>
      <c r="M19">
        <f>Scratch!K7</f>
        <v>267</v>
      </c>
      <c r="N19">
        <f>Scratch!L7</f>
        <v>393</v>
      </c>
      <c r="O19">
        <f>Scratch!M7</f>
        <v>470</v>
      </c>
      <c r="P19">
        <f>Scratch!N7</f>
        <v>412</v>
      </c>
      <c r="Q19">
        <f>Scratch!O7</f>
        <v>452</v>
      </c>
      <c r="R19">
        <v>100</v>
      </c>
      <c r="S19">
        <v>150</v>
      </c>
      <c r="T19">
        <v>200</v>
      </c>
      <c r="U19">
        <f t="shared" ref="U19:W19" si="1">T19</f>
        <v>200</v>
      </c>
      <c r="V19">
        <f t="shared" si="1"/>
        <v>200</v>
      </c>
      <c r="W19">
        <f t="shared" si="1"/>
        <v>200</v>
      </c>
      <c r="X19">
        <f t="shared" ref="X19:Y19" si="2">W19</f>
        <v>200</v>
      </c>
      <c r="Y19">
        <f t="shared" si="2"/>
        <v>200</v>
      </c>
      <c r="Z19">
        <f t="shared" ref="Z19:AG19" si="3">Y19</f>
        <v>200</v>
      </c>
      <c r="AA19">
        <f t="shared" si="3"/>
        <v>200</v>
      </c>
      <c r="AB19">
        <f t="shared" si="3"/>
        <v>200</v>
      </c>
      <c r="AC19">
        <f t="shared" si="3"/>
        <v>200</v>
      </c>
      <c r="AD19">
        <f t="shared" si="3"/>
        <v>200</v>
      </c>
      <c r="AE19">
        <f t="shared" si="3"/>
        <v>200</v>
      </c>
      <c r="AF19">
        <f t="shared" si="3"/>
        <v>200</v>
      </c>
      <c r="AG19">
        <f t="shared" si="3"/>
        <v>200</v>
      </c>
      <c r="AH19">
        <v>100</v>
      </c>
    </row>
    <row r="20" spans="1:35">
      <c r="B20" t="s">
        <v>19</v>
      </c>
      <c r="G20" s="4">
        <f>G19/$B19</f>
        <v>1.8389113644722325E-4</v>
      </c>
      <c r="H20" s="4">
        <f t="shared" ref="H20:W20" si="4">H19/$B19</f>
        <v>2.0228025009194558E-3</v>
      </c>
      <c r="I20" s="4">
        <f t="shared" si="4"/>
        <v>3.677822728944465E-3</v>
      </c>
      <c r="J20" s="4">
        <f t="shared" si="4"/>
        <v>9.1945568223611614E-3</v>
      </c>
      <c r="K20" s="4">
        <f t="shared" si="4"/>
        <v>1.4159617506436189E-2</v>
      </c>
      <c r="L20" s="4">
        <f t="shared" si="4"/>
        <v>2.4825303420375137E-2</v>
      </c>
      <c r="M20" s="4">
        <f t="shared" si="4"/>
        <v>4.9098933431408608E-2</v>
      </c>
      <c r="N20" s="4">
        <f t="shared" si="4"/>
        <v>7.2269216623758736E-2</v>
      </c>
      <c r="O20" s="4">
        <f t="shared" si="4"/>
        <v>8.642883413019492E-2</v>
      </c>
      <c r="P20" s="4">
        <f t="shared" si="4"/>
        <v>7.5763148216255974E-2</v>
      </c>
      <c r="Q20" s="4">
        <f t="shared" si="4"/>
        <v>8.3118793674144903E-2</v>
      </c>
      <c r="R20" s="4">
        <f t="shared" si="4"/>
        <v>1.8389113644722323E-2</v>
      </c>
      <c r="S20" s="4">
        <f t="shared" si="4"/>
        <v>2.7583670467083488E-2</v>
      </c>
      <c r="T20" s="4">
        <f t="shared" si="4"/>
        <v>3.6778227289444645E-2</v>
      </c>
      <c r="U20" s="4">
        <f t="shared" si="4"/>
        <v>3.6778227289444645E-2</v>
      </c>
      <c r="V20" s="4">
        <f t="shared" si="4"/>
        <v>3.6778227289444645E-2</v>
      </c>
      <c r="W20" s="4">
        <f t="shared" si="4"/>
        <v>3.6778227289444645E-2</v>
      </c>
      <c r="X20" s="4">
        <f t="shared" ref="X20:Y20" si="5">X19/$B19</f>
        <v>3.6778227289444645E-2</v>
      </c>
      <c r="Y20" s="4">
        <f t="shared" si="5"/>
        <v>3.6778227289444645E-2</v>
      </c>
      <c r="Z20" s="4">
        <f t="shared" ref="Z20:AG20" si="6">Z19/$B19</f>
        <v>3.6778227289444645E-2</v>
      </c>
      <c r="AA20" s="4">
        <f t="shared" si="6"/>
        <v>3.6778227289444645E-2</v>
      </c>
      <c r="AB20" s="4">
        <f t="shared" si="6"/>
        <v>3.6778227289444645E-2</v>
      </c>
      <c r="AC20" s="4">
        <f t="shared" si="6"/>
        <v>3.6778227289444645E-2</v>
      </c>
      <c r="AD20" s="4">
        <f t="shared" si="6"/>
        <v>3.6778227289444645E-2</v>
      </c>
      <c r="AE20" s="4">
        <f t="shared" si="6"/>
        <v>3.6778227289444645E-2</v>
      </c>
      <c r="AF20" s="4">
        <f t="shared" si="6"/>
        <v>3.6778227289444645E-2</v>
      </c>
      <c r="AG20" s="4">
        <f t="shared" si="6"/>
        <v>3.6778227289444645E-2</v>
      </c>
      <c r="AH20" s="4">
        <f t="shared" ref="AH20" si="7">AH19/$B19</f>
        <v>1.8389113644722323E-2</v>
      </c>
    </row>
    <row r="21" spans="1:35" hidden="1">
      <c r="A21" t="s">
        <v>148</v>
      </c>
      <c r="B21" s="57"/>
      <c r="C21" t="s">
        <v>18</v>
      </c>
      <c r="D21" s="57"/>
      <c r="E21" s="57"/>
      <c r="F21" s="57"/>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7"/>
    </row>
    <row r="22" spans="1:35" hidden="1">
      <c r="A22" t="s">
        <v>149</v>
      </c>
      <c r="B22" t="s">
        <v>19</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5" hidden="1">
      <c r="A23" t="s">
        <v>147</v>
      </c>
      <c r="B23" s="57"/>
      <c r="C23" t="s">
        <v>18</v>
      </c>
      <c r="D23" s="57"/>
      <c r="E23" s="57"/>
      <c r="F23" s="57"/>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7"/>
    </row>
    <row r="24" spans="1:35" hidden="1">
      <c r="B24" t="s">
        <v>19</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5" hidden="1">
      <c r="G25" s="4"/>
      <c r="H25" s="4"/>
      <c r="I25" s="4"/>
      <c r="J25" s="4"/>
      <c r="K25" s="4"/>
      <c r="L25" s="4"/>
      <c r="M25" s="4"/>
      <c r="N25" s="4"/>
      <c r="O25" s="4"/>
      <c r="P25" s="4"/>
      <c r="Q25" s="4"/>
      <c r="R25" s="4"/>
      <c r="S25" s="4"/>
      <c r="T25" s="4"/>
      <c r="U25" s="4"/>
      <c r="V25" s="4"/>
      <c r="W25" s="4"/>
    </row>
    <row r="26" spans="1:35" hidden="1">
      <c r="A26" s="24" t="s">
        <v>127</v>
      </c>
      <c r="B26" s="24"/>
      <c r="D26" s="24" t="s">
        <v>128</v>
      </c>
      <c r="E26" s="24"/>
      <c r="F26" s="24"/>
      <c r="G26" s="36"/>
      <c r="H26" s="36"/>
      <c r="I26" s="36"/>
      <c r="J26" s="4"/>
      <c r="K26" s="4"/>
      <c r="L26" s="4"/>
      <c r="M26" s="4"/>
      <c r="N26" s="4"/>
      <c r="O26" s="4"/>
      <c r="P26" s="4"/>
      <c r="Q26" s="4"/>
      <c r="R26" s="4"/>
      <c r="S26" s="4"/>
      <c r="T26" s="4"/>
      <c r="U26" s="4"/>
      <c r="V26" s="4"/>
      <c r="W26" s="4"/>
    </row>
    <row r="27" spans="1:35" hidden="1">
      <c r="A27" t="s">
        <v>34</v>
      </c>
      <c r="B27">
        <v>10</v>
      </c>
      <c r="G27" s="4"/>
      <c r="H27" s="4"/>
      <c r="I27" s="4"/>
      <c r="J27" s="4"/>
      <c r="K27" s="4"/>
      <c r="L27" s="4"/>
      <c r="M27" s="4"/>
      <c r="N27" s="4"/>
      <c r="O27" s="4"/>
      <c r="P27" s="4"/>
      <c r="Q27" s="4"/>
      <c r="R27" s="4"/>
      <c r="S27" s="4"/>
      <c r="T27" s="4"/>
      <c r="U27" s="4"/>
      <c r="V27" s="4"/>
      <c r="W27" s="4"/>
    </row>
    <row r="28" spans="1:35" hidden="1">
      <c r="A28" t="s">
        <v>35</v>
      </c>
      <c r="B28">
        <v>0.66</v>
      </c>
      <c r="G28" s="4"/>
      <c r="H28" s="4"/>
      <c r="I28" s="4"/>
      <c r="J28" s="4"/>
      <c r="K28" s="4"/>
      <c r="L28" s="4"/>
      <c r="M28" s="4"/>
      <c r="N28" s="4"/>
      <c r="O28" s="4"/>
      <c r="P28" s="4"/>
      <c r="Q28" s="4"/>
      <c r="R28" s="4"/>
      <c r="S28" s="4"/>
      <c r="T28" s="4"/>
      <c r="U28" s="4"/>
      <c r="V28" s="4"/>
      <c r="W28" s="4"/>
    </row>
    <row r="29" spans="1:35" hidden="1">
      <c r="A29" t="s">
        <v>36</v>
      </c>
      <c r="B29">
        <f>LN(B28)/10</f>
        <v>-4.1551544396166581E-2</v>
      </c>
      <c r="E29" t="s">
        <v>38</v>
      </c>
      <c r="G29" s="4"/>
      <c r="H29" s="4"/>
      <c r="I29" s="4"/>
      <c r="J29" s="4"/>
      <c r="K29" s="4"/>
      <c r="L29" s="4"/>
      <c r="M29" s="4"/>
      <c r="N29" s="4"/>
      <c r="O29" s="4"/>
      <c r="P29" s="4"/>
      <c r="Q29" s="4"/>
      <c r="R29" s="4"/>
      <c r="S29" s="4"/>
      <c r="T29" s="4"/>
      <c r="U29" s="4"/>
      <c r="V29" s="4"/>
      <c r="W29" s="4"/>
    </row>
    <row r="30" spans="1:35" hidden="1">
      <c r="D30">
        <v>0</v>
      </c>
      <c r="E30">
        <v>1</v>
      </c>
      <c r="F30">
        <v>2</v>
      </c>
      <c r="G30">
        <v>3</v>
      </c>
      <c r="H30">
        <v>4</v>
      </c>
      <c r="I30">
        <v>5</v>
      </c>
      <c r="J30">
        <v>6</v>
      </c>
      <c r="K30">
        <v>7</v>
      </c>
      <c r="L30">
        <v>8</v>
      </c>
      <c r="M30">
        <v>9</v>
      </c>
      <c r="N30">
        <v>10</v>
      </c>
      <c r="O30" s="4"/>
      <c r="P30" s="4"/>
      <c r="Q30" s="4"/>
      <c r="R30" s="4"/>
      <c r="S30" s="4"/>
      <c r="T30" s="4"/>
      <c r="U30" s="4"/>
      <c r="V30" s="4"/>
      <c r="W30" s="4"/>
    </row>
    <row r="31" spans="1:35" hidden="1">
      <c r="A31" t="s">
        <v>37</v>
      </c>
      <c r="D31">
        <f>EXP($B29*D30)</f>
        <v>1</v>
      </c>
      <c r="E31">
        <f t="shared" ref="E31:M31" si="8">EXP($B29*E30)</f>
        <v>0.95929988753365902</v>
      </c>
      <c r="F31">
        <f t="shared" si="8"/>
        <v>0.92025627422209078</v>
      </c>
      <c r="G31">
        <f t="shared" si="8"/>
        <v>0.88280174036339565</v>
      </c>
      <c r="H31">
        <f t="shared" si="8"/>
        <v>0.84687161024512392</v>
      </c>
      <c r="I31">
        <f t="shared" si="8"/>
        <v>0.81240384046359604</v>
      </c>
      <c r="J31">
        <f t="shared" si="8"/>
        <v>0.77933891278864031</v>
      </c>
      <c r="K31">
        <f t="shared" si="8"/>
        <v>0.74761973138874671</v>
      </c>
      <c r="L31">
        <f t="shared" si="8"/>
        <v>0.7171915242391691</v>
      </c>
      <c r="M31">
        <f t="shared" si="8"/>
        <v>0.68800174854272833</v>
      </c>
      <c r="N31">
        <f>EXP($B29*N30)</f>
        <v>0.66</v>
      </c>
      <c r="O31" s="4"/>
      <c r="P31" s="4"/>
      <c r="Q31" s="4"/>
      <c r="R31" s="4"/>
      <c r="S31" s="4"/>
      <c r="T31" s="4"/>
      <c r="U31" s="4"/>
      <c r="V31" s="4"/>
      <c r="W31" s="4"/>
    </row>
    <row r="32" spans="1:35">
      <c r="O32" s="4"/>
      <c r="P32" s="4"/>
      <c r="Q32" s="4"/>
      <c r="R32" s="4"/>
      <c r="S32" s="4"/>
      <c r="T32" s="4"/>
      <c r="U32" s="4"/>
      <c r="V32" s="4"/>
      <c r="W32" s="4"/>
    </row>
    <row r="33" spans="1:24">
      <c r="A33" s="37" t="s">
        <v>129</v>
      </c>
      <c r="O33" s="4"/>
      <c r="P33" s="4"/>
      <c r="Q33" s="4"/>
      <c r="R33" s="4"/>
      <c r="S33" s="4"/>
      <c r="T33" s="4"/>
      <c r="U33" s="4"/>
      <c r="V33" s="4"/>
      <c r="W33" s="4"/>
    </row>
    <row r="34" spans="1:24">
      <c r="A34" t="s">
        <v>102</v>
      </c>
      <c r="C34" s="36">
        <f>popgrowth</f>
        <v>1.4999999999999999E-2</v>
      </c>
      <c r="D34" t="s">
        <v>103</v>
      </c>
      <c r="O34" s="4"/>
      <c r="P34" s="4"/>
      <c r="Q34" s="4"/>
      <c r="R34" s="4"/>
      <c r="S34" s="4"/>
      <c r="T34" s="4"/>
      <c r="U34" s="4"/>
      <c r="V34" s="4"/>
      <c r="W34" s="4"/>
    </row>
    <row r="35" spans="1:24">
      <c r="G35" s="4"/>
      <c r="H35" s="4"/>
      <c r="I35" s="4"/>
      <c r="J35" s="4"/>
      <c r="K35" s="4"/>
      <c r="L35" s="4"/>
      <c r="M35" s="4"/>
      <c r="N35" s="4"/>
      <c r="O35" s="4"/>
      <c r="P35" s="4"/>
      <c r="Q35" s="4"/>
      <c r="R35" s="4"/>
      <c r="S35" s="4"/>
      <c r="T35" s="4"/>
      <c r="U35" s="4"/>
      <c r="V35" s="4"/>
      <c r="W35" s="4"/>
    </row>
    <row r="36" spans="1:24">
      <c r="A36" s="37" t="s">
        <v>112</v>
      </c>
      <c r="D36" t="s">
        <v>33</v>
      </c>
    </row>
    <row r="37" spans="1:24" s="57" customFormat="1">
      <c r="A37" s="157" t="s">
        <v>130</v>
      </c>
      <c r="B37" s="157"/>
      <c r="C37" s="157"/>
      <c r="D37" s="157"/>
      <c r="E37" s="159">
        <v>2.5000000000000001E-3</v>
      </c>
      <c r="F37" s="159">
        <v>5.0000000000000001E-3</v>
      </c>
      <c r="G37" s="159">
        <v>0.02</v>
      </c>
      <c r="H37" s="159">
        <v>0.03</v>
      </c>
      <c r="I37" s="159">
        <v>3.5000000000000003E-2</v>
      </c>
      <c r="J37" s="159">
        <v>3.5000000000000003E-2</v>
      </c>
      <c r="K37" s="159">
        <v>3.5000000000000003E-2</v>
      </c>
      <c r="L37" s="159">
        <v>3.5000000000000003E-2</v>
      </c>
      <c r="M37" s="159">
        <v>3.5000000000000003E-2</v>
      </c>
      <c r="N37" s="159">
        <v>3.5000000000000003E-2</v>
      </c>
      <c r="O37" s="159">
        <v>3.5000000000000003E-2</v>
      </c>
      <c r="P37" s="159">
        <v>3.5000000000000003E-2</v>
      </c>
      <c r="Q37" s="159">
        <v>3.5000000000000003E-2</v>
      </c>
      <c r="R37" s="159">
        <v>3.5000000000000003E-2</v>
      </c>
      <c r="S37" s="159">
        <v>3.5000000000000003E-2</v>
      </c>
      <c r="T37" s="159">
        <v>3.5000000000000003E-2</v>
      </c>
      <c r="U37" s="159">
        <v>3.5000000000000003E-2</v>
      </c>
      <c r="V37" s="159">
        <v>3.5000000000000003E-2</v>
      </c>
      <c r="W37" s="159">
        <v>3.5000000000000003E-2</v>
      </c>
    </row>
    <row r="38" spans="1:24">
      <c r="A38" t="s">
        <v>32</v>
      </c>
      <c r="D38">
        <v>1</v>
      </c>
      <c r="E38">
        <v>2</v>
      </c>
      <c r="F38">
        <v>3</v>
      </c>
      <c r="G38">
        <v>4</v>
      </c>
      <c r="H38">
        <v>5</v>
      </c>
      <c r="I38">
        <v>6</v>
      </c>
      <c r="J38">
        <v>7</v>
      </c>
      <c r="K38">
        <v>8</v>
      </c>
      <c r="L38">
        <v>9</v>
      </c>
      <c r="M38">
        <v>10</v>
      </c>
      <c r="N38">
        <v>11</v>
      </c>
      <c r="O38">
        <v>12</v>
      </c>
      <c r="P38">
        <v>13</v>
      </c>
      <c r="Q38">
        <v>14</v>
      </c>
      <c r="R38">
        <v>15</v>
      </c>
      <c r="S38">
        <v>16</v>
      </c>
      <c r="T38">
        <v>17</v>
      </c>
      <c r="U38">
        <v>18</v>
      </c>
      <c r="V38">
        <v>19</v>
      </c>
      <c r="W38">
        <v>20</v>
      </c>
    </row>
    <row r="39" spans="1:24">
      <c r="A39" t="s">
        <v>104</v>
      </c>
      <c r="D39">
        <f>ROUND(B19*(1+popgrowth),0)</f>
        <v>5520</v>
      </c>
      <c r="E39">
        <f t="shared" ref="E39:W39" si="9">ROUND(D39*(1+popgrowth),0)</f>
        <v>5603</v>
      </c>
      <c r="F39">
        <f t="shared" si="9"/>
        <v>5687</v>
      </c>
      <c r="G39">
        <f t="shared" si="9"/>
        <v>5772</v>
      </c>
      <c r="H39">
        <f t="shared" si="9"/>
        <v>5859</v>
      </c>
      <c r="I39">
        <f t="shared" si="9"/>
        <v>5947</v>
      </c>
      <c r="J39">
        <f t="shared" si="9"/>
        <v>6036</v>
      </c>
      <c r="K39">
        <f t="shared" si="9"/>
        <v>6127</v>
      </c>
      <c r="L39">
        <f t="shared" si="9"/>
        <v>6219</v>
      </c>
      <c r="M39">
        <f t="shared" si="9"/>
        <v>6312</v>
      </c>
      <c r="N39">
        <f t="shared" si="9"/>
        <v>6407</v>
      </c>
      <c r="O39">
        <f t="shared" si="9"/>
        <v>6503</v>
      </c>
      <c r="P39">
        <f t="shared" si="9"/>
        <v>6601</v>
      </c>
      <c r="Q39">
        <f t="shared" si="9"/>
        <v>6700</v>
      </c>
      <c r="R39">
        <f t="shared" si="9"/>
        <v>6801</v>
      </c>
      <c r="S39">
        <f t="shared" si="9"/>
        <v>6903</v>
      </c>
      <c r="T39">
        <f t="shared" si="9"/>
        <v>7007</v>
      </c>
      <c r="U39">
        <f t="shared" si="9"/>
        <v>7112</v>
      </c>
      <c r="V39">
        <f t="shared" si="9"/>
        <v>7219</v>
      </c>
      <c r="W39">
        <f t="shared" si="9"/>
        <v>7327</v>
      </c>
    </row>
    <row r="40" spans="1:24" s="57" customFormat="1">
      <c r="A40" s="57" t="s">
        <v>158</v>
      </c>
      <c r="D40" s="59">
        <f>ROUND(B19*(1+C34),0)</f>
        <v>5520</v>
      </c>
      <c r="E40" s="57">
        <f t="shared" ref="E40:X40" si="10">ROUND((D40*(1+popgrowth))*(1-E37),0)</f>
        <v>5589</v>
      </c>
      <c r="F40" s="57">
        <f t="shared" si="10"/>
        <v>5644</v>
      </c>
      <c r="G40" s="57">
        <f t="shared" si="10"/>
        <v>5614</v>
      </c>
      <c r="H40" s="57">
        <f t="shared" si="10"/>
        <v>5527</v>
      </c>
      <c r="I40" s="57">
        <f t="shared" si="10"/>
        <v>5414</v>
      </c>
      <c r="J40" s="57">
        <f t="shared" si="10"/>
        <v>5303</v>
      </c>
      <c r="K40" s="57">
        <f t="shared" si="10"/>
        <v>5194</v>
      </c>
      <c r="L40" s="57">
        <f t="shared" si="10"/>
        <v>5087</v>
      </c>
      <c r="M40" s="57">
        <f t="shared" si="10"/>
        <v>4983</v>
      </c>
      <c r="N40" s="57">
        <f t="shared" si="10"/>
        <v>4881</v>
      </c>
      <c r="O40" s="57">
        <f t="shared" si="10"/>
        <v>4781</v>
      </c>
      <c r="P40" s="57">
        <f t="shared" si="10"/>
        <v>4683</v>
      </c>
      <c r="Q40" s="57">
        <f t="shared" si="10"/>
        <v>4587</v>
      </c>
      <c r="R40" s="57">
        <f t="shared" si="10"/>
        <v>4493</v>
      </c>
      <c r="S40" s="57">
        <f t="shared" si="10"/>
        <v>4401</v>
      </c>
      <c r="T40" s="57">
        <f t="shared" si="10"/>
        <v>4311</v>
      </c>
      <c r="U40" s="57">
        <f t="shared" si="10"/>
        <v>4223</v>
      </c>
      <c r="V40" s="57">
        <f t="shared" si="10"/>
        <v>4136</v>
      </c>
      <c r="W40" s="57">
        <f t="shared" si="10"/>
        <v>4051</v>
      </c>
      <c r="X40" s="57">
        <f t="shared" si="10"/>
        <v>4112</v>
      </c>
    </row>
    <row r="41" spans="1:24">
      <c r="A41" t="s">
        <v>131</v>
      </c>
      <c r="B41">
        <f>SUM(D41:W41)</f>
        <v>29240</v>
      </c>
      <c r="C41" t="s">
        <v>18</v>
      </c>
      <c r="D41" s="21">
        <f>$D40-D40</f>
        <v>0</v>
      </c>
      <c r="E41">
        <f>E39-E40</f>
        <v>14</v>
      </c>
      <c r="F41">
        <f>F39-F40</f>
        <v>43</v>
      </c>
      <c r="G41">
        <f t="shared" ref="G41:W41" si="11">G39-G40</f>
        <v>158</v>
      </c>
      <c r="H41">
        <f t="shared" si="11"/>
        <v>332</v>
      </c>
      <c r="I41">
        <f t="shared" si="11"/>
        <v>533</v>
      </c>
      <c r="J41">
        <f t="shared" si="11"/>
        <v>733</v>
      </c>
      <c r="K41">
        <f t="shared" si="11"/>
        <v>933</v>
      </c>
      <c r="L41">
        <f t="shared" si="11"/>
        <v>1132</v>
      </c>
      <c r="M41">
        <f t="shared" si="11"/>
        <v>1329</v>
      </c>
      <c r="N41">
        <f t="shared" si="11"/>
        <v>1526</v>
      </c>
      <c r="O41">
        <f t="shared" si="11"/>
        <v>1722</v>
      </c>
      <c r="P41">
        <f t="shared" si="11"/>
        <v>1918</v>
      </c>
      <c r="Q41">
        <f t="shared" si="11"/>
        <v>2113</v>
      </c>
      <c r="R41">
        <f t="shared" si="11"/>
        <v>2308</v>
      </c>
      <c r="S41">
        <f t="shared" si="11"/>
        <v>2502</v>
      </c>
      <c r="T41">
        <f t="shared" si="11"/>
        <v>2696</v>
      </c>
      <c r="U41">
        <f t="shared" si="11"/>
        <v>2889</v>
      </c>
      <c r="V41">
        <f t="shared" si="11"/>
        <v>3083</v>
      </c>
      <c r="W41">
        <f t="shared" si="11"/>
        <v>3276</v>
      </c>
      <c r="X41">
        <f>38/X40</f>
        <v>9.2412451361867706E-3</v>
      </c>
    </row>
    <row r="42" spans="1:24">
      <c r="A42" t="s">
        <v>215</v>
      </c>
      <c r="B42" t="s">
        <v>216</v>
      </c>
      <c r="D42" s="21"/>
    </row>
    <row r="43" spans="1:24">
      <c r="D43" s="21"/>
    </row>
    <row r="44" spans="1:24">
      <c r="A44" t="s">
        <v>105</v>
      </c>
      <c r="B44">
        <f>B41/20</f>
        <v>1462</v>
      </c>
      <c r="D44">
        <f>pop</f>
        <v>2694000</v>
      </c>
      <c r="E44">
        <f t="shared" ref="E44:W44" si="12">D44*(1+popgrowth)</f>
        <v>2734409.9999999995</v>
      </c>
      <c r="F44">
        <f t="shared" si="12"/>
        <v>2775426.1499999994</v>
      </c>
      <c r="G44">
        <f t="shared" si="12"/>
        <v>2817057.542249999</v>
      </c>
      <c r="H44">
        <f t="shared" si="12"/>
        <v>2859313.4053837489</v>
      </c>
      <c r="I44" s="21">
        <f t="shared" si="12"/>
        <v>2902203.1064645047</v>
      </c>
      <c r="J44">
        <f t="shared" si="12"/>
        <v>2945736.1530614719</v>
      </c>
      <c r="K44">
        <f t="shared" si="12"/>
        <v>2989922.1953573935</v>
      </c>
      <c r="L44">
        <f t="shared" si="12"/>
        <v>3034771.0282877539</v>
      </c>
      <c r="M44">
        <f t="shared" si="12"/>
        <v>3080292.59371207</v>
      </c>
      <c r="N44">
        <f t="shared" si="12"/>
        <v>3126496.9826177508</v>
      </c>
      <c r="O44">
        <f t="shared" si="12"/>
        <v>3173394.4373570168</v>
      </c>
      <c r="P44">
        <f t="shared" si="12"/>
        <v>3220995.3539173719</v>
      </c>
      <c r="Q44">
        <f t="shared" si="12"/>
        <v>3269310.2842261321</v>
      </c>
      <c r="R44">
        <f t="shared" si="12"/>
        <v>3318349.9384895237</v>
      </c>
      <c r="S44">
        <f t="shared" si="12"/>
        <v>3368125.1875668662</v>
      </c>
      <c r="T44">
        <f t="shared" si="12"/>
        <v>3418647.0653803688</v>
      </c>
      <c r="U44">
        <f t="shared" si="12"/>
        <v>3469926.7713610739</v>
      </c>
      <c r="V44">
        <f t="shared" si="12"/>
        <v>3521975.6729314895</v>
      </c>
      <c r="W44">
        <f t="shared" si="12"/>
        <v>3574805.3080254616</v>
      </c>
      <c r="X44">
        <f>X41*2</f>
        <v>1.8482490272373541E-2</v>
      </c>
    </row>
    <row r="45" spans="1:24">
      <c r="D45" s="21">
        <f>D40/(D44*0.68)*100000</f>
        <v>301.32320188654523</v>
      </c>
    </row>
    <row r="46" spans="1:24">
      <c r="D46" s="21" t="s">
        <v>144</v>
      </c>
    </row>
    <row r="47" spans="1:24">
      <c r="D47" s="54">
        <v>1</v>
      </c>
      <c r="E47" s="54">
        <v>2</v>
      </c>
      <c r="F47" s="54">
        <v>3</v>
      </c>
      <c r="G47" s="54">
        <v>4</v>
      </c>
      <c r="H47" s="54">
        <v>5</v>
      </c>
    </row>
    <row r="48" spans="1:24">
      <c r="D48" s="55">
        <f t="shared" ref="D48:I48" si="13">+D40*1000000/D44</f>
        <v>2048.997772828508</v>
      </c>
      <c r="E48" s="55">
        <f t="shared" si="13"/>
        <v>2043.9509802845955</v>
      </c>
      <c r="F48" s="55">
        <f t="shared" si="13"/>
        <v>2033.5615847678027</v>
      </c>
      <c r="G48" s="55">
        <f t="shared" si="13"/>
        <v>1992.8595407802952</v>
      </c>
      <c r="H48" s="55">
        <f t="shared" si="13"/>
        <v>1932.9815296194229</v>
      </c>
      <c r="I48" s="55">
        <f t="shared" si="13"/>
        <v>1865.4793621923288</v>
      </c>
    </row>
    <row r="49" spans="1:23">
      <c r="A49" t="s">
        <v>133</v>
      </c>
      <c r="B49" t="s">
        <v>111</v>
      </c>
      <c r="H49" s="4">
        <f t="shared" ref="H49:W49" si="14">(G40-H40)/G40</f>
        <v>1.5496971856074101E-2</v>
      </c>
      <c r="I49" s="4">
        <f t="shared" si="14"/>
        <v>2.0445087751040349E-2</v>
      </c>
      <c r="J49" s="4">
        <f t="shared" si="14"/>
        <v>2.050240118212043E-2</v>
      </c>
      <c r="K49" s="4">
        <f t="shared" si="14"/>
        <v>2.0554403168018102E-2</v>
      </c>
      <c r="L49" s="4">
        <f t="shared" si="14"/>
        <v>2.0600693107431654E-2</v>
      </c>
      <c r="M49" s="4">
        <f t="shared" si="14"/>
        <v>2.0444269707096521E-2</v>
      </c>
      <c r="N49" s="4">
        <f t="shared" si="14"/>
        <v>2.0469596628537028E-2</v>
      </c>
      <c r="O49" s="4">
        <f t="shared" si="14"/>
        <v>2.0487604998975621E-2</v>
      </c>
      <c r="P49" s="4">
        <f t="shared" si="14"/>
        <v>2.0497803806734993E-2</v>
      </c>
      <c r="Q49" s="4">
        <f t="shared" si="14"/>
        <v>2.0499679692504803E-2</v>
      </c>
      <c r="R49" s="4">
        <f t="shared" si="14"/>
        <v>2.0492696751689559E-2</v>
      </c>
      <c r="S49" s="4">
        <f t="shared" si="14"/>
        <v>2.0476296461161808E-2</v>
      </c>
      <c r="T49" s="4">
        <f t="shared" si="14"/>
        <v>2.0449897750511249E-2</v>
      </c>
      <c r="U49" s="4">
        <f t="shared" si="14"/>
        <v>2.0412897239619577E-2</v>
      </c>
      <c r="V49" s="4">
        <f t="shared" si="14"/>
        <v>2.0601468150603836E-2</v>
      </c>
      <c r="W49" s="4">
        <f t="shared" si="14"/>
        <v>2.0551257253384914E-2</v>
      </c>
    </row>
    <row r="51" spans="1:23">
      <c r="A51" s="22" t="s">
        <v>41</v>
      </c>
      <c r="D51" s="3">
        <v>1</v>
      </c>
      <c r="E51" s="3">
        <v>2</v>
      </c>
      <c r="F51" s="3">
        <v>3</v>
      </c>
      <c r="G51" s="3">
        <v>4</v>
      </c>
      <c r="H51" s="3">
        <v>5</v>
      </c>
      <c r="I51" s="3">
        <v>6</v>
      </c>
      <c r="J51" s="3">
        <v>7</v>
      </c>
      <c r="K51" s="3">
        <v>8</v>
      </c>
      <c r="L51" s="3">
        <v>9</v>
      </c>
      <c r="M51" s="3">
        <v>10</v>
      </c>
      <c r="N51" s="3">
        <v>11</v>
      </c>
      <c r="O51" s="3">
        <v>12</v>
      </c>
      <c r="P51" s="3">
        <v>13</v>
      </c>
      <c r="Q51" s="3">
        <v>14</v>
      </c>
      <c r="R51" s="3">
        <v>15</v>
      </c>
      <c r="S51" s="3">
        <v>16</v>
      </c>
      <c r="T51" s="3">
        <v>17</v>
      </c>
      <c r="U51" s="3">
        <v>18</v>
      </c>
      <c r="V51" s="3">
        <v>19</v>
      </c>
      <c r="W51" s="3">
        <v>20</v>
      </c>
    </row>
    <row r="52" spans="1:23">
      <c r="A52" s="22" t="s">
        <v>5</v>
      </c>
      <c r="D52">
        <v>0</v>
      </c>
      <c r="E52">
        <f>ROUND($E$41*H$20,0)</f>
        <v>0</v>
      </c>
      <c r="F52">
        <f>ROUND($F$41*H$20,0)</f>
        <v>0</v>
      </c>
      <c r="G52">
        <f>ROUND($G$41*H$20,0)</f>
        <v>0</v>
      </c>
      <c r="H52">
        <f>ROUND($H$41*H$20,0)</f>
        <v>1</v>
      </c>
      <c r="I52">
        <f>ROUND($I$41*H$20,0)</f>
        <v>1</v>
      </c>
      <c r="J52">
        <f>ROUND($J$41*H$20,0)</f>
        <v>1</v>
      </c>
      <c r="K52">
        <f>ROUND($K$41*H$20,0)</f>
        <v>2</v>
      </c>
      <c r="L52">
        <f>ROUND($L$41*H$20,0)</f>
        <v>2</v>
      </c>
      <c r="M52">
        <f>ROUND($M$41*H$20,0)</f>
        <v>3</v>
      </c>
      <c r="N52">
        <f>ROUND($N$41*H$20,0)</f>
        <v>3</v>
      </c>
      <c r="O52">
        <f>ROUND($O$41*H$20,0)</f>
        <v>3</v>
      </c>
      <c r="P52">
        <f>ROUND($P$41*H$20,0)</f>
        <v>4</v>
      </c>
      <c r="Q52">
        <f>ROUND($Q$41*H$20,0)</f>
        <v>4</v>
      </c>
      <c r="R52">
        <f>ROUND($R$41*H$20,0)</f>
        <v>5</v>
      </c>
      <c r="S52">
        <f>ROUND($S$41*H$20,0)</f>
        <v>5</v>
      </c>
      <c r="T52">
        <f>ROUND($T$41*H$20,0)</f>
        <v>5</v>
      </c>
      <c r="U52">
        <f>ROUND($U$41*H$20,0)</f>
        <v>6</v>
      </c>
      <c r="V52">
        <f>ROUND($V$41*H$20,0)</f>
        <v>6</v>
      </c>
      <c r="W52">
        <f>ROUND($W$41*H$20,0)</f>
        <v>7</v>
      </c>
    </row>
    <row r="53" spans="1:23">
      <c r="A53" s="22" t="s">
        <v>6</v>
      </c>
      <c r="D53">
        <v>0</v>
      </c>
      <c r="E53">
        <f>ROUND($E$41*I$20,0)</f>
        <v>0</v>
      </c>
      <c r="F53">
        <f>ROUND($F$41*I$20,0)</f>
        <v>0</v>
      </c>
      <c r="G53">
        <f>ROUND($G$41*I$20,0)</f>
        <v>1</v>
      </c>
      <c r="H53">
        <f>ROUND($H$41*I$20,0)</f>
        <v>1</v>
      </c>
      <c r="I53">
        <f>ROUND($I$41*I$20,0)</f>
        <v>2</v>
      </c>
      <c r="J53">
        <f>ROUND($J$41*I$20,0)</f>
        <v>3</v>
      </c>
      <c r="K53">
        <f>ROUND($K$41*I$20,0)</f>
        <v>3</v>
      </c>
      <c r="L53">
        <f>ROUND($L$41*I$20,0)</f>
        <v>4</v>
      </c>
      <c r="M53">
        <f>ROUND($M$41*I$20,0)</f>
        <v>5</v>
      </c>
      <c r="N53">
        <f>ROUND($N$41*I$20,0)</f>
        <v>6</v>
      </c>
      <c r="O53">
        <f>ROUND($O$41*I$20,0)</f>
        <v>6</v>
      </c>
      <c r="P53">
        <f>ROUND($P$41*I$20,0)</f>
        <v>7</v>
      </c>
      <c r="Q53">
        <f>ROUND($Q$41*I$20,0)</f>
        <v>8</v>
      </c>
      <c r="R53">
        <f>ROUND($R$41*I$20,0)</f>
        <v>8</v>
      </c>
      <c r="S53">
        <f>ROUND($S$41*I$20,0)</f>
        <v>9</v>
      </c>
      <c r="T53">
        <f>ROUND($T$41*I$20,0)</f>
        <v>10</v>
      </c>
      <c r="U53">
        <f>ROUND($U$41*I$20,0)</f>
        <v>11</v>
      </c>
      <c r="V53">
        <f>ROUND($V$41*I$20,0)</f>
        <v>11</v>
      </c>
      <c r="W53">
        <f>ROUND($W$41*I$20,0)</f>
        <v>12</v>
      </c>
    </row>
    <row r="54" spans="1:23">
      <c r="A54" s="22" t="s">
        <v>7</v>
      </c>
      <c r="D54">
        <v>0</v>
      </c>
      <c r="E54">
        <f>ROUND($E$41*J$20,0)</f>
        <v>0</v>
      </c>
      <c r="F54">
        <f>ROUND($F$41*J$20,0)</f>
        <v>0</v>
      </c>
      <c r="G54">
        <f>ROUND($G$41*J$20,0)</f>
        <v>1</v>
      </c>
      <c r="H54">
        <f>ROUND($H$41*J$20,0)</f>
        <v>3</v>
      </c>
      <c r="I54">
        <f>ROUND($I$41*J$20,0)</f>
        <v>5</v>
      </c>
      <c r="J54">
        <f>ROUND($J$41*J$20,0)</f>
        <v>7</v>
      </c>
      <c r="K54">
        <f>ROUND($K$41*J$20,0)</f>
        <v>9</v>
      </c>
      <c r="L54">
        <f>ROUND($L$41*J$20,0)</f>
        <v>10</v>
      </c>
      <c r="M54">
        <f>ROUND($M$41*J$20,0)</f>
        <v>12</v>
      </c>
      <c r="N54">
        <f>ROUND($N$41*J$20,0)</f>
        <v>14</v>
      </c>
      <c r="O54">
        <f>ROUND($O$41*J$20,0)</f>
        <v>16</v>
      </c>
      <c r="P54">
        <f>ROUND($P$41*J$20,0)</f>
        <v>18</v>
      </c>
      <c r="Q54">
        <f>ROUND($Q$41*J$20,0)</f>
        <v>19</v>
      </c>
      <c r="R54">
        <f>ROUND($R$41*J$20,0)</f>
        <v>21</v>
      </c>
      <c r="S54">
        <f>ROUND($S$41*J$20,0)</f>
        <v>23</v>
      </c>
      <c r="T54">
        <f>ROUND($T$41*J$20,0)</f>
        <v>25</v>
      </c>
      <c r="U54">
        <f>ROUND($U$41*J$20,0)</f>
        <v>27</v>
      </c>
      <c r="V54">
        <f>ROUND($V$41*J$20,0)</f>
        <v>28</v>
      </c>
      <c r="W54">
        <f>ROUND($W$41*J$20,0)</f>
        <v>30</v>
      </c>
    </row>
    <row r="55" spans="1:23">
      <c r="A55" s="22" t="s">
        <v>8</v>
      </c>
      <c r="D55">
        <v>0</v>
      </c>
      <c r="E55">
        <f>ROUND($E$41*K$20,0)</f>
        <v>0</v>
      </c>
      <c r="F55">
        <f>ROUND($F$41*K$20,0)</f>
        <v>1</v>
      </c>
      <c r="G55">
        <f>ROUND($G$41*K$20,0)</f>
        <v>2</v>
      </c>
      <c r="H55">
        <f>ROUND($H$41*K$20,0)</f>
        <v>5</v>
      </c>
      <c r="I55">
        <f>ROUND($I$41*K$20,0)</f>
        <v>8</v>
      </c>
      <c r="J55">
        <f>ROUND($J$41*K$20,0)</f>
        <v>10</v>
      </c>
      <c r="K55">
        <f>ROUND($K$41*K$20,0)</f>
        <v>13</v>
      </c>
      <c r="L55">
        <f>ROUND($L$41*K$20,0)</f>
        <v>16</v>
      </c>
      <c r="M55">
        <f>ROUND($M$41*K$20,0)</f>
        <v>19</v>
      </c>
      <c r="N55">
        <f>ROUND($N$41*K$20,0)</f>
        <v>22</v>
      </c>
      <c r="O55">
        <f>ROUND($O$41*K$20,0)</f>
        <v>24</v>
      </c>
      <c r="P55">
        <f>ROUND($P$41*K$20,0)</f>
        <v>27</v>
      </c>
      <c r="Q55">
        <f>ROUND($Q$41*K$20,0)</f>
        <v>30</v>
      </c>
      <c r="R55">
        <f>ROUND($R$41*K$20,0)</f>
        <v>33</v>
      </c>
      <c r="S55">
        <f>ROUND($S$41*K$20,0)</f>
        <v>35</v>
      </c>
      <c r="T55">
        <f>ROUND($T$41*K$20,0)</f>
        <v>38</v>
      </c>
      <c r="U55">
        <f>ROUND($U$41*K$20,0)</f>
        <v>41</v>
      </c>
      <c r="V55">
        <f>ROUND($V$41*K$20,0)</f>
        <v>44</v>
      </c>
      <c r="W55">
        <f>ROUND($W$41*K$20,0)</f>
        <v>46</v>
      </c>
    </row>
    <row r="56" spans="1:23">
      <c r="A56" s="22" t="s">
        <v>9</v>
      </c>
      <c r="D56">
        <v>0</v>
      </c>
      <c r="E56">
        <f>ROUND($E$41*L$20,0)</f>
        <v>0</v>
      </c>
      <c r="F56">
        <f>ROUND($F$41*L$20,0)</f>
        <v>1</v>
      </c>
      <c r="G56">
        <f>ROUND($G$41*L$20,0)</f>
        <v>4</v>
      </c>
      <c r="H56">
        <f>ROUND($H$41*L$20,0)</f>
        <v>8</v>
      </c>
      <c r="I56">
        <f>ROUND($I$41*L$20,0)</f>
        <v>13</v>
      </c>
      <c r="J56">
        <f>ROUND($J$41*L$20,0)</f>
        <v>18</v>
      </c>
      <c r="K56">
        <f>ROUND($K$41*L$20,0)</f>
        <v>23</v>
      </c>
      <c r="L56">
        <f>ROUND($L$41*L$20,0)</f>
        <v>28</v>
      </c>
      <c r="M56">
        <f>ROUND($M$41*L$20,0)</f>
        <v>33</v>
      </c>
      <c r="N56">
        <f>ROUND($N$41*L$20,0)</f>
        <v>38</v>
      </c>
      <c r="O56">
        <f>ROUND($O$41*L$20,0)</f>
        <v>43</v>
      </c>
      <c r="P56">
        <f>ROUND($P$41*L$20,0)</f>
        <v>48</v>
      </c>
      <c r="Q56">
        <f>ROUND($Q$41*L$20,0)</f>
        <v>52</v>
      </c>
      <c r="R56">
        <f>ROUND($R$41*L$20,0)</f>
        <v>57</v>
      </c>
      <c r="S56">
        <f>ROUND($S$41*L$20,0)</f>
        <v>62</v>
      </c>
      <c r="T56">
        <f>ROUND($T$41*L$20,0)</f>
        <v>67</v>
      </c>
      <c r="U56">
        <f>ROUND($U$41*L$20,0)</f>
        <v>72</v>
      </c>
      <c r="V56">
        <f>ROUND($V$41*L$20,0)</f>
        <v>77</v>
      </c>
      <c r="W56">
        <f>ROUND($W$41*L$20,0)</f>
        <v>81</v>
      </c>
    </row>
    <row r="57" spans="1:23">
      <c r="A57" s="22" t="s">
        <v>10</v>
      </c>
      <c r="D57">
        <v>0</v>
      </c>
      <c r="E57">
        <f>ROUND($E$41*M$20,0)</f>
        <v>1</v>
      </c>
      <c r="F57">
        <f>ROUND($F$41*M$20,0)</f>
        <v>2</v>
      </c>
      <c r="G57">
        <f>ROUND($G$41*M$20,0)</f>
        <v>8</v>
      </c>
      <c r="H57">
        <f>ROUND($H$41*M$20,0)</f>
        <v>16</v>
      </c>
      <c r="I57">
        <f>ROUND($I$41*M$20,0)</f>
        <v>26</v>
      </c>
      <c r="J57">
        <f>ROUND($J$41*M$20,0)</f>
        <v>36</v>
      </c>
      <c r="K57">
        <f>ROUND($K$41*M$20,0)</f>
        <v>46</v>
      </c>
      <c r="L57">
        <f>ROUND($L$41*M$20,0)</f>
        <v>56</v>
      </c>
      <c r="M57">
        <f>ROUND($M$41*M$20,0)</f>
        <v>65</v>
      </c>
      <c r="N57">
        <f>ROUND($N$41*M$20,0)</f>
        <v>75</v>
      </c>
      <c r="O57">
        <f>ROUND($O$41*M$20,0)</f>
        <v>85</v>
      </c>
      <c r="P57">
        <f>ROUND($P$41*M$20,0)</f>
        <v>94</v>
      </c>
      <c r="Q57">
        <f>ROUND($Q$41*M$20,0)</f>
        <v>104</v>
      </c>
      <c r="R57">
        <f>ROUND($R$41*M$20,0)</f>
        <v>113</v>
      </c>
      <c r="S57">
        <f>ROUND($S$41*M$20,0)</f>
        <v>123</v>
      </c>
      <c r="T57">
        <f>ROUND($T$41*M$20,0)</f>
        <v>132</v>
      </c>
      <c r="U57">
        <f>ROUND($U$41*M$20,0)</f>
        <v>142</v>
      </c>
      <c r="V57">
        <f>ROUND($V$41*M$20,0)</f>
        <v>151</v>
      </c>
      <c r="W57">
        <f>ROUND($W$41*M$20,0)</f>
        <v>161</v>
      </c>
    </row>
    <row r="58" spans="1:23">
      <c r="A58" s="22" t="s">
        <v>11</v>
      </c>
      <c r="D58">
        <v>0</v>
      </c>
      <c r="E58">
        <f>ROUND($E$41*N$20,0)</f>
        <v>1</v>
      </c>
      <c r="F58">
        <f>ROUND($F$41*N$20,0)</f>
        <v>3</v>
      </c>
      <c r="G58">
        <f>ROUND($G$41*N$20,0)</f>
        <v>11</v>
      </c>
      <c r="H58">
        <f>ROUND($H$41*N$20,0)</f>
        <v>24</v>
      </c>
      <c r="I58">
        <f>ROUND($I$41*N$20,0)</f>
        <v>39</v>
      </c>
      <c r="J58">
        <f>ROUND($J$41*N$20,0)</f>
        <v>53</v>
      </c>
      <c r="K58">
        <f>ROUND($K$41*N$20,0)</f>
        <v>67</v>
      </c>
      <c r="L58">
        <f>ROUND($L$41*N$20,0)</f>
        <v>82</v>
      </c>
      <c r="M58">
        <f>ROUND($M$41*N$20,0)</f>
        <v>96</v>
      </c>
      <c r="N58">
        <f>ROUND($N$41*N$20,0)</f>
        <v>110</v>
      </c>
      <c r="O58">
        <f>ROUND($O$41*N$20,0)</f>
        <v>124</v>
      </c>
      <c r="P58">
        <f>ROUND($P$41*N$20,0)</f>
        <v>139</v>
      </c>
      <c r="Q58">
        <f>ROUND($Q$41*N$20,0)</f>
        <v>153</v>
      </c>
      <c r="R58">
        <f>ROUND($R$41*N$20,0)</f>
        <v>167</v>
      </c>
      <c r="S58">
        <f>ROUND($S$41*N$20,0)</f>
        <v>181</v>
      </c>
      <c r="T58">
        <f>ROUND($T$41*N$20,0)</f>
        <v>195</v>
      </c>
      <c r="U58">
        <f>ROUND($U$41*N$20,0)</f>
        <v>209</v>
      </c>
      <c r="V58">
        <f>ROUND($V$41*N$20,0)</f>
        <v>223</v>
      </c>
      <c r="W58">
        <f>ROUND($W$41*N$20,0)</f>
        <v>237</v>
      </c>
    </row>
    <row r="59" spans="1:23">
      <c r="A59" s="22" t="s">
        <v>12</v>
      </c>
      <c r="D59">
        <v>0</v>
      </c>
      <c r="E59">
        <f>ROUND($E$41*O$20,0)</f>
        <v>1</v>
      </c>
      <c r="F59">
        <f>ROUND($F$41*O$20,0)</f>
        <v>4</v>
      </c>
      <c r="G59">
        <f>ROUND($G$41*O$20,0)</f>
        <v>14</v>
      </c>
      <c r="H59">
        <f>ROUND($H$41*O$20,0)</f>
        <v>29</v>
      </c>
      <c r="I59">
        <f>ROUND($I$41*O$20,0)</f>
        <v>46</v>
      </c>
      <c r="J59">
        <f>ROUND($J$41*O$20,0)</f>
        <v>63</v>
      </c>
      <c r="K59">
        <f>ROUND($K$41*O$20,0)</f>
        <v>81</v>
      </c>
      <c r="L59">
        <f>ROUND($L$41*O$20,0)</f>
        <v>98</v>
      </c>
      <c r="M59">
        <f>ROUND($M$41*O$20,0)</f>
        <v>115</v>
      </c>
      <c r="N59">
        <f>ROUND($N$41*O$20,0)</f>
        <v>132</v>
      </c>
      <c r="O59">
        <f>ROUND($O$41*O$20,0)</f>
        <v>149</v>
      </c>
      <c r="P59">
        <f>ROUND($P$41*O$20,0)</f>
        <v>166</v>
      </c>
      <c r="Q59">
        <f>ROUND($Q$41*O$20,0)</f>
        <v>183</v>
      </c>
      <c r="R59">
        <f>ROUND($R$41*O$20,0)</f>
        <v>199</v>
      </c>
      <c r="S59">
        <f>ROUND($S$41*O$20,0)</f>
        <v>216</v>
      </c>
      <c r="T59">
        <f>ROUND($T$41*O$20,0)</f>
        <v>233</v>
      </c>
      <c r="U59">
        <f>ROUND($U$41*O$20,0)</f>
        <v>250</v>
      </c>
      <c r="V59">
        <f>ROUND($V$41*O$20,0)</f>
        <v>266</v>
      </c>
      <c r="W59">
        <f>ROUND($W$41*O$20,0)</f>
        <v>283</v>
      </c>
    </row>
    <row r="60" spans="1:23">
      <c r="A60" s="22" t="s">
        <v>13</v>
      </c>
      <c r="D60">
        <v>0</v>
      </c>
      <c r="E60">
        <f>ROUND($E$41*P$20,0)</f>
        <v>1</v>
      </c>
      <c r="F60">
        <f>ROUND($F$41*P$20,0)</f>
        <v>3</v>
      </c>
      <c r="G60">
        <f>ROUND($G$41*P$20,0)</f>
        <v>12</v>
      </c>
      <c r="H60">
        <f>ROUND($H$41*P$20,0)</f>
        <v>25</v>
      </c>
      <c r="I60">
        <f>ROUND($I$41*P$20,0)</f>
        <v>40</v>
      </c>
      <c r="J60">
        <f>ROUND($J$41*P$20,0)</f>
        <v>56</v>
      </c>
      <c r="K60">
        <f>ROUND($K$41*P$20,0)</f>
        <v>71</v>
      </c>
      <c r="L60">
        <f>ROUND($L$41*P$20,0)</f>
        <v>86</v>
      </c>
      <c r="M60">
        <f>ROUND($M$41*P$20,0)</f>
        <v>101</v>
      </c>
      <c r="N60">
        <f>ROUND($N$41*P$20,0)</f>
        <v>116</v>
      </c>
      <c r="O60">
        <f>ROUND($O$41*P$20,0)</f>
        <v>130</v>
      </c>
      <c r="P60">
        <f>ROUND($P$41*P$20,0)</f>
        <v>145</v>
      </c>
      <c r="Q60">
        <f>ROUND($Q$41*P$20,0)</f>
        <v>160</v>
      </c>
      <c r="R60">
        <f>ROUND($R$41*P$20,0)</f>
        <v>175</v>
      </c>
      <c r="S60">
        <f>ROUND($S$41*P$20,0)</f>
        <v>190</v>
      </c>
      <c r="T60">
        <f>ROUND($T$41*P$20,0)</f>
        <v>204</v>
      </c>
      <c r="U60">
        <f>ROUND($U$41*P$20,0)</f>
        <v>219</v>
      </c>
      <c r="V60">
        <f>ROUND($V$41*P$20,0)</f>
        <v>234</v>
      </c>
      <c r="W60">
        <f>ROUND($W$41*P$20,0)</f>
        <v>248</v>
      </c>
    </row>
    <row r="61" spans="1:23">
      <c r="A61" s="22" t="s">
        <v>14</v>
      </c>
      <c r="D61">
        <v>0</v>
      </c>
      <c r="E61">
        <f>ROUND($E$41*Q$20,0)</f>
        <v>1</v>
      </c>
      <c r="F61">
        <f>ROUND($F$41*Q$20,0)</f>
        <v>4</v>
      </c>
      <c r="G61">
        <f>ROUND($G$41*Q$20,0)</f>
        <v>13</v>
      </c>
      <c r="H61">
        <f>ROUND($H$41*Q$20,0)</f>
        <v>28</v>
      </c>
      <c r="I61">
        <f>ROUND($I$41*Q$20,0)</f>
        <v>44</v>
      </c>
      <c r="J61">
        <f>ROUND($J$41*Q$20,0)</f>
        <v>61</v>
      </c>
      <c r="K61">
        <f>ROUND($K$41*Q$20,0)</f>
        <v>78</v>
      </c>
      <c r="L61">
        <f>ROUND($L$41*Q$20,0)</f>
        <v>94</v>
      </c>
      <c r="M61">
        <f>ROUND($M$41*Q$20,0)</f>
        <v>110</v>
      </c>
      <c r="N61">
        <f>ROUND($N$41*Q$20,0)</f>
        <v>127</v>
      </c>
      <c r="O61">
        <f>ROUND($O$41*Q$20,0)</f>
        <v>143</v>
      </c>
      <c r="P61">
        <f>ROUND($P$41*Q$20,0)</f>
        <v>159</v>
      </c>
      <c r="Q61">
        <f>ROUND($Q$41*Q$20,0)</f>
        <v>176</v>
      </c>
      <c r="R61">
        <f>ROUND($R$41*Q$20,0)</f>
        <v>192</v>
      </c>
      <c r="S61">
        <f>ROUND($S$41*Q$20,0)</f>
        <v>208</v>
      </c>
      <c r="T61">
        <f>ROUND($T$41*Q$20,0)</f>
        <v>224</v>
      </c>
      <c r="U61">
        <f>ROUND($U$41*Q$20,0)</f>
        <v>240</v>
      </c>
      <c r="V61">
        <f>ROUND($V$41*Q$20,0)</f>
        <v>256</v>
      </c>
      <c r="W61">
        <f>ROUND($W$41*Q$20,0)</f>
        <v>272</v>
      </c>
    </row>
    <row r="62" spans="1:23">
      <c r="A62" s="22" t="s">
        <v>15</v>
      </c>
      <c r="D62">
        <v>0</v>
      </c>
      <c r="E62">
        <f>ROUND($E$41*R$20,0)</f>
        <v>0</v>
      </c>
      <c r="F62">
        <f>ROUND($F$41*R$20,0)</f>
        <v>1</v>
      </c>
      <c r="G62">
        <f>ROUND($G$41*R$20,0)</f>
        <v>3</v>
      </c>
      <c r="H62">
        <f>ROUND($H$41*R$20,0)</f>
        <v>6</v>
      </c>
      <c r="I62">
        <f>ROUND($I$41*R$20,0)</f>
        <v>10</v>
      </c>
      <c r="J62">
        <f>ROUND($J$41*R$20,0)</f>
        <v>13</v>
      </c>
      <c r="K62">
        <f>ROUND($K$41*R$20,0)</f>
        <v>17</v>
      </c>
      <c r="L62">
        <f>ROUND($L$41*R$20,0)</f>
        <v>21</v>
      </c>
      <c r="M62">
        <f>ROUND($M$41*R$20,0)</f>
        <v>24</v>
      </c>
      <c r="N62">
        <f>ROUND($N$41*R$20,0)</f>
        <v>28</v>
      </c>
      <c r="O62">
        <f>ROUND($O$41*R$20,0)</f>
        <v>32</v>
      </c>
      <c r="P62">
        <f>ROUND($P$41*R$20,0)</f>
        <v>35</v>
      </c>
      <c r="Q62">
        <f>ROUND($Q$41*R$20,0)</f>
        <v>39</v>
      </c>
      <c r="R62">
        <f>ROUND($R$41*R$20,0)</f>
        <v>42</v>
      </c>
      <c r="S62">
        <f>ROUND($S$41*R$20,0)</f>
        <v>46</v>
      </c>
      <c r="T62">
        <f>ROUND($T$41*R$20,0)</f>
        <v>50</v>
      </c>
      <c r="U62">
        <f>ROUND($U$41*R$20,0)</f>
        <v>53</v>
      </c>
      <c r="V62">
        <f>ROUND($V$41*R$20,0)</f>
        <v>57</v>
      </c>
      <c r="W62">
        <f>ROUND($W$41*R$20,0)</f>
        <v>60</v>
      </c>
    </row>
    <row r="63" spans="1:23">
      <c r="A63">
        <v>66</v>
      </c>
      <c r="D63">
        <v>0</v>
      </c>
      <c r="E63">
        <f>ROUND($E$41*S$20,0)</f>
        <v>0</v>
      </c>
      <c r="F63">
        <f>ROUND($F$41*S$20,0)</f>
        <v>1</v>
      </c>
      <c r="G63">
        <f>ROUND($G$41*S$20,0)</f>
        <v>4</v>
      </c>
      <c r="H63">
        <f>ROUND($H$41*S$20,0)</f>
        <v>9</v>
      </c>
      <c r="I63">
        <f>ROUND($I$41*S$20,0)</f>
        <v>15</v>
      </c>
      <c r="J63">
        <f>ROUND($J$41*S$20,0)</f>
        <v>20</v>
      </c>
      <c r="K63">
        <f>ROUND($K$41*S$20,0)</f>
        <v>26</v>
      </c>
      <c r="L63">
        <f>ROUND($L$41*S$20,0)</f>
        <v>31</v>
      </c>
      <c r="M63">
        <f>ROUND($M$41*S$20,0)</f>
        <v>37</v>
      </c>
      <c r="N63">
        <f>ROUND($N$41*S$20,0)</f>
        <v>42</v>
      </c>
      <c r="O63">
        <f>ROUND($O$41*S$20,0)</f>
        <v>47</v>
      </c>
      <c r="P63">
        <f>ROUND($P$41*S$20,0)</f>
        <v>53</v>
      </c>
      <c r="Q63">
        <f>ROUND($Q$41*S$20,0)</f>
        <v>58</v>
      </c>
      <c r="R63">
        <f>ROUND($R$41*S$20,0)</f>
        <v>64</v>
      </c>
      <c r="S63">
        <f>ROUND($S$41*S$20,0)</f>
        <v>69</v>
      </c>
      <c r="T63">
        <f>ROUND($T$41*S$20,0)</f>
        <v>74</v>
      </c>
      <c r="U63">
        <f>ROUND($U$41*S$20,0)</f>
        <v>80</v>
      </c>
      <c r="V63">
        <f>ROUND($V$41*S$20,0)</f>
        <v>85</v>
      </c>
      <c r="W63">
        <f>ROUND($W$41*S$20,0)</f>
        <v>90</v>
      </c>
    </row>
    <row r="64" spans="1:23">
      <c r="A64">
        <v>67</v>
      </c>
      <c r="D64">
        <v>0</v>
      </c>
      <c r="E64">
        <f>ROUND($E$41*T$20,0)</f>
        <v>1</v>
      </c>
      <c r="F64">
        <f>ROUND($F$41*T$20,0)</f>
        <v>2</v>
      </c>
      <c r="G64">
        <f>ROUND($G$41*T$20,0)</f>
        <v>6</v>
      </c>
      <c r="H64">
        <f>ROUND($H$41*T$20,0)</f>
        <v>12</v>
      </c>
      <c r="I64">
        <f>ROUND($I$41*T$20,0)</f>
        <v>20</v>
      </c>
      <c r="J64">
        <f>ROUND($J$41*T$20,0)</f>
        <v>27</v>
      </c>
      <c r="K64">
        <f>ROUND($K$41*T$20,0)</f>
        <v>34</v>
      </c>
      <c r="L64">
        <f>ROUND($L$41*T$20,0)</f>
        <v>42</v>
      </c>
      <c r="M64">
        <f>ROUND($M$41*T$20,0)</f>
        <v>49</v>
      </c>
      <c r="N64">
        <f>ROUND($N$41*T$20,0)</f>
        <v>56</v>
      </c>
      <c r="O64">
        <f>ROUND($O$41*T$20,0)</f>
        <v>63</v>
      </c>
      <c r="P64">
        <f>ROUND($P$41*T$20,0)</f>
        <v>71</v>
      </c>
      <c r="Q64">
        <f>ROUND($Q$41*T$20,0)</f>
        <v>78</v>
      </c>
      <c r="R64">
        <f>ROUND($R$41*T$20,0)</f>
        <v>85</v>
      </c>
      <c r="S64">
        <f>ROUND($S$41*T$20,0)</f>
        <v>92</v>
      </c>
      <c r="T64">
        <f>ROUND($T$41*T$20,0)</f>
        <v>99</v>
      </c>
      <c r="U64">
        <f>ROUND($U$41*T$20,0)</f>
        <v>106</v>
      </c>
      <c r="V64">
        <f>ROUND($V$41*T$20,0)</f>
        <v>113</v>
      </c>
      <c r="W64">
        <f>ROUND($W$41*T$20,0)</f>
        <v>120</v>
      </c>
    </row>
    <row r="65" spans="1:23">
      <c r="A65">
        <v>68</v>
      </c>
      <c r="D65">
        <v>0</v>
      </c>
      <c r="E65">
        <f>ROUND($E$41*U$20,0)</f>
        <v>1</v>
      </c>
      <c r="F65">
        <f>ROUND($F$41*U$20,0)</f>
        <v>2</v>
      </c>
      <c r="G65">
        <f>ROUND($G$41*U$20,0)</f>
        <v>6</v>
      </c>
      <c r="H65">
        <f>ROUND($H$41*U$20,0)</f>
        <v>12</v>
      </c>
      <c r="I65">
        <f>ROUND($I$41*U$20,0)</f>
        <v>20</v>
      </c>
      <c r="J65">
        <f>ROUND($J$41*U$20,0)</f>
        <v>27</v>
      </c>
      <c r="K65">
        <f>ROUND($K$41*U$20,0)</f>
        <v>34</v>
      </c>
      <c r="L65">
        <f>ROUND($L$41*U$20,0)</f>
        <v>42</v>
      </c>
      <c r="M65">
        <f>ROUND($M$41*U$20,0)</f>
        <v>49</v>
      </c>
      <c r="N65">
        <f>ROUND($N$41*U$20,0)</f>
        <v>56</v>
      </c>
      <c r="O65">
        <f>ROUND($O$41*U$20,0)</f>
        <v>63</v>
      </c>
      <c r="P65">
        <f>ROUND($P$41*U$20,0)</f>
        <v>71</v>
      </c>
      <c r="Q65">
        <f>ROUND($Q$41*U$20,0)</f>
        <v>78</v>
      </c>
      <c r="R65">
        <f>ROUND($R$41*U$20,0)</f>
        <v>85</v>
      </c>
      <c r="S65">
        <f>ROUND($S$41*U$20,0)</f>
        <v>92</v>
      </c>
      <c r="T65">
        <f>ROUND($T$41*U$20,0)</f>
        <v>99</v>
      </c>
      <c r="U65">
        <f>ROUND($U$41*U$20,0)</f>
        <v>106</v>
      </c>
      <c r="V65">
        <f>ROUND($V$41*U$20,0)</f>
        <v>113</v>
      </c>
      <c r="W65">
        <f>ROUND($W$41*U$20,0)</f>
        <v>120</v>
      </c>
    </row>
    <row r="66" spans="1:23">
      <c r="A66">
        <v>69</v>
      </c>
      <c r="D66">
        <v>0</v>
      </c>
      <c r="E66">
        <f>ROUND($E$41*V$20,0)</f>
        <v>1</v>
      </c>
      <c r="F66">
        <f>ROUND($F$41*V$20,0)</f>
        <v>2</v>
      </c>
      <c r="G66">
        <f>ROUND($G$41*V$20,0)</f>
        <v>6</v>
      </c>
      <c r="H66">
        <f>ROUND($H$41*V$20,0)</f>
        <v>12</v>
      </c>
      <c r="I66">
        <f>ROUND($I$41*V$20,0)</f>
        <v>20</v>
      </c>
      <c r="J66">
        <f>ROUND($J$41*V$20,0)</f>
        <v>27</v>
      </c>
      <c r="K66">
        <f>ROUND($K$41*V$20,0)</f>
        <v>34</v>
      </c>
      <c r="L66">
        <f>ROUND($L$41*V$20,0)</f>
        <v>42</v>
      </c>
      <c r="M66">
        <f>ROUND($M$41*V$20,0)</f>
        <v>49</v>
      </c>
      <c r="N66">
        <f>ROUND($N$41*V$20,0)</f>
        <v>56</v>
      </c>
      <c r="O66">
        <f>ROUND($O$41*V$20,0)</f>
        <v>63</v>
      </c>
      <c r="P66">
        <f>ROUND($P$41*V$20,0)</f>
        <v>71</v>
      </c>
      <c r="Q66">
        <f>ROUND($Q$41*V$20,0)</f>
        <v>78</v>
      </c>
      <c r="R66">
        <f>ROUND($R$41*V$20,0)</f>
        <v>85</v>
      </c>
      <c r="S66">
        <f>ROUND($S$41*V$20,0)</f>
        <v>92</v>
      </c>
      <c r="T66">
        <f>ROUND($T$41*V$20,0)</f>
        <v>99</v>
      </c>
      <c r="U66">
        <f>ROUND($U$41*V$20,0)</f>
        <v>106</v>
      </c>
      <c r="V66">
        <f>ROUND($V$41*V$20,0)</f>
        <v>113</v>
      </c>
      <c r="W66">
        <f>ROUND($W$41*V$20,0)</f>
        <v>120</v>
      </c>
    </row>
    <row r="67" spans="1:23">
      <c r="A67">
        <v>70</v>
      </c>
      <c r="D67">
        <v>0</v>
      </c>
      <c r="E67">
        <f>ROUND($E$41*W$20,0)</f>
        <v>1</v>
      </c>
      <c r="F67">
        <f>ROUND($F$41*W$20,0)</f>
        <v>2</v>
      </c>
      <c r="G67">
        <f>ROUND($G$41*W$20,0)</f>
        <v>6</v>
      </c>
      <c r="H67">
        <f>ROUND($H$41*W$20,0)</f>
        <v>12</v>
      </c>
      <c r="I67">
        <f>ROUND($I$41*W$20,0)</f>
        <v>20</v>
      </c>
      <c r="J67">
        <f>ROUND($J$41*W$20,0)</f>
        <v>27</v>
      </c>
      <c r="K67">
        <f>ROUND($K$41*W$20,0)</f>
        <v>34</v>
      </c>
      <c r="L67">
        <f>ROUND($L$41*W$20,0)</f>
        <v>42</v>
      </c>
      <c r="M67">
        <f>ROUND($M$41*W$20,0)</f>
        <v>49</v>
      </c>
      <c r="N67">
        <f>ROUND($N$41*W$20,0)</f>
        <v>56</v>
      </c>
      <c r="O67">
        <f>ROUND($O$41*W$20,0)</f>
        <v>63</v>
      </c>
      <c r="P67">
        <f>ROUND($P$41*W$20,0)</f>
        <v>71</v>
      </c>
      <c r="Q67">
        <f>ROUND($Q$41*W$20,0)</f>
        <v>78</v>
      </c>
      <c r="R67">
        <f>ROUND($R$41*W$20,0)</f>
        <v>85</v>
      </c>
      <c r="S67">
        <f>ROUND($S$41*W$20,0)</f>
        <v>92</v>
      </c>
      <c r="T67">
        <f>ROUND($T$41*W$20,0)</f>
        <v>99</v>
      </c>
      <c r="U67">
        <f>ROUND($U$41*W$20,0)</f>
        <v>106</v>
      </c>
      <c r="V67">
        <f>ROUND($V$41*W$20,0)</f>
        <v>113</v>
      </c>
      <c r="W67">
        <f>ROUND($W$41*W$20,0)</f>
        <v>120</v>
      </c>
    </row>
    <row r="69" spans="1:23">
      <c r="A69" s="31" t="s">
        <v>134</v>
      </c>
      <c r="H69" t="s">
        <v>42</v>
      </c>
    </row>
    <row r="70" spans="1:23">
      <c r="A70" s="22" t="s">
        <v>5</v>
      </c>
      <c r="D70" s="23">
        <f>$D52*D$13</f>
        <v>0</v>
      </c>
      <c r="E70" s="23">
        <f>(SUM($E52:E52))*E$13</f>
        <v>0</v>
      </c>
      <c r="F70" s="23">
        <f>(SUM($E52:F52))*F$13</f>
        <v>0</v>
      </c>
      <c r="G70" s="23">
        <f>(SUM($E52:G52))*G$13</f>
        <v>0</v>
      </c>
      <c r="H70" s="23">
        <f>(SUM($E52:H52))*H$13</f>
        <v>2980268.9494550331</v>
      </c>
      <c r="I70" s="23">
        <f>(SUM($E52:I52))*I$13</f>
        <v>6225611.431233556</v>
      </c>
      <c r="J70" s="23">
        <f>(SUM($E52:J52))*J$13</f>
        <v>9711953.8327243477</v>
      </c>
      <c r="K70" s="23">
        <f>(SUM($E52:K52))*K$13</f>
        <v>16834053.310055539</v>
      </c>
      <c r="L70" s="23">
        <f>(SUM($E52:L52))*L$13</f>
        <v>24510381.619440865</v>
      </c>
      <c r="M70" s="23">
        <f>(SUM($E52:M52))*M$13</f>
        <v>36415424.120312139</v>
      </c>
      <c r="N70" s="23">
        <f>(SUM($E52:N52))*N$13</f>
        <v>49233653.410662018</v>
      </c>
      <c r="O70" s="23">
        <f>(SUM($E52:O52))*O$13</f>
        <v>63019076.36564739</v>
      </c>
      <c r="P70" s="23">
        <f>(SUM($E52:P52))*P$13</f>
        <v>81924799.275341615</v>
      </c>
      <c r="Q70" s="23">
        <f>(SUM($E52:Q52))*Q$13</f>
        <v>102242149.49562635</v>
      </c>
      <c r="R70" s="23">
        <f>(SUM($E52:R52))*R$13</f>
        <v>128484301.19950378</v>
      </c>
      <c r="S70" s="23">
        <f>(SUM($E52:S52))*S$13</f>
        <v>156662237.60049841</v>
      </c>
      <c r="T70" s="23">
        <f>(SUM($E52:T52))*T$13</f>
        <v>186888834.0316534</v>
      </c>
      <c r="U70" s="23">
        <f>(SUM($E52:U52))*U$13</f>
        <v>224266600.83798409</v>
      </c>
      <c r="V70" s="23">
        <f>(SUM($E52:V52))*V$13</f>
        <v>264335566.85437056</v>
      </c>
      <c r="W70" s="23">
        <f>(SUM($E52:W52))*W$13</f>
        <v>312641595.93442416</v>
      </c>
    </row>
    <row r="71" spans="1:23">
      <c r="A71" s="22" t="s">
        <v>6</v>
      </c>
      <c r="D71" s="23">
        <f>$D53*D$13</f>
        <v>0</v>
      </c>
      <c r="E71" s="23">
        <f>(SUM($E53:E53))*E$13</f>
        <v>0</v>
      </c>
      <c r="F71" s="23">
        <f>(SUM($E53:F53))*F$13</f>
        <v>0</v>
      </c>
      <c r="G71" s="23">
        <f>(SUM($E53:G53))*G$13</f>
        <v>2676326.1258191932</v>
      </c>
      <c r="H71" s="23">
        <f>(SUM($E53:H53))*H$13</f>
        <v>5960537.8989100661</v>
      </c>
      <c r="I71" s="23">
        <f>(SUM($E53:I53))*I$13</f>
        <v>12451222.862467112</v>
      </c>
      <c r="J71" s="23">
        <f>(SUM($E53:J53))*J$13</f>
        <v>22661225.609690145</v>
      </c>
      <c r="K71" s="23">
        <f>(SUM($E53:K53))*K$13</f>
        <v>33668106.620111078</v>
      </c>
      <c r="L71" s="23">
        <f>(SUM($E53:L53))*L$13</f>
        <v>49020763.23888173</v>
      </c>
      <c r="M71" s="23">
        <f>(SUM($E53:M53))*M$13</f>
        <v>69189305.828593075</v>
      </c>
      <c r="N71" s="23">
        <f>(SUM($E53:N53))*N$13</f>
        <v>94680102.712811574</v>
      </c>
      <c r="O71" s="23">
        <f>(SUM($E53:O53))*O$13</f>
        <v>122099460.45844182</v>
      </c>
      <c r="P71" s="23">
        <f>(SUM($E53:P53))*P$13</f>
        <v>155657118.62314907</v>
      </c>
      <c r="Q71" s="23">
        <f>(SUM($E53:Q53))*Q$13</f>
        <v>195964119.86661717</v>
      </c>
      <c r="R71" s="23">
        <f>(SUM($E53:R53))*R$13</f>
        <v>239246629.81976569</v>
      </c>
      <c r="S71" s="23">
        <f>(SUM($E53:S53))*S$13</f>
        <v>290285910.84798235</v>
      </c>
      <c r="T71" s="23">
        <f>(SUM($E53:T53))*T$13</f>
        <v>349817561.13617176</v>
      </c>
      <c r="U71" s="23">
        <f>(SUM($E53:U53))*U$13</f>
        <v>418630988.23090363</v>
      </c>
      <c r="V71" s="23">
        <f>(SUM($E53:V53))*V$13</f>
        <v>492389781.39539617</v>
      </c>
      <c r="W71" s="23">
        <f>(SUM($E53:W53))*W$13</f>
        <v>576769840.77557564</v>
      </c>
    </row>
    <row r="72" spans="1:23">
      <c r="A72" s="22" t="s">
        <v>7</v>
      </c>
      <c r="D72" s="23">
        <f t="shared" ref="D72:D80" si="15">$D54*D$13</f>
        <v>0</v>
      </c>
      <c r="E72" s="23">
        <f>(SUM($E54:E54))*E$13</f>
        <v>0</v>
      </c>
      <c r="F72" s="23">
        <f>(SUM($E54:F54))*F$13</f>
        <v>0</v>
      </c>
      <c r="G72" s="23">
        <f>(SUM($E54:G54))*G$13</f>
        <v>2676326.1258191932</v>
      </c>
      <c r="H72" s="23">
        <f>(SUM($E54:H54))*H$13</f>
        <v>11921075.797820132</v>
      </c>
      <c r="I72" s="23">
        <f>(SUM($E54:I54))*I$13</f>
        <v>28015251.440551002</v>
      </c>
      <c r="J72" s="23">
        <f>(SUM($E54:J54))*J$13</f>
        <v>51797087.107863188</v>
      </c>
      <c r="K72" s="23">
        <f>(SUM($E54:K54))*K$13</f>
        <v>84170266.55027768</v>
      </c>
      <c r="L72" s="23">
        <f>(SUM($E54:L54))*L$13</f>
        <v>122551908.09720433</v>
      </c>
      <c r="M72" s="23">
        <f>(SUM($E54:M54))*M$13</f>
        <v>171152493.36546707</v>
      </c>
      <c r="N72" s="23">
        <f>(SUM($E54:N54))*N$13</f>
        <v>231019450.61926025</v>
      </c>
      <c r="O72" s="23">
        <f>(SUM($E54:O54))*O$13</f>
        <v>303279305.00967807</v>
      </c>
      <c r="P72" s="23">
        <f>(SUM($E54:P54))*P$13</f>
        <v>389142796.55787265</v>
      </c>
      <c r="Q72" s="23">
        <f>(SUM($E54:Q54))*Q$13</f>
        <v>485650210.10422516</v>
      </c>
      <c r="R72" s="23">
        <f>(SUM($E54:R54))*R$13</f>
        <v>598116574.54941416</v>
      </c>
      <c r="S72" s="23">
        <f>(SUM($E54:S54))*S$13</f>
        <v>728018633.55525732</v>
      </c>
      <c r="T72" s="23">
        <f>(SUM($E54:T54))*T$13</f>
        <v>876939913.53314292</v>
      </c>
      <c r="U72" s="23">
        <f>(SUM($E54:U54))*U$13</f>
        <v>1046577470.5772589</v>
      </c>
      <c r="V72" s="23">
        <f>(SUM($E54:V54))*V$13</f>
        <v>1233565978.6537292</v>
      </c>
      <c r="W72" s="23">
        <f>(SUM($E54:W54))*W$13</f>
        <v>1444619788.1107876</v>
      </c>
    </row>
    <row r="73" spans="1:23">
      <c r="A73" s="22" t="s">
        <v>8</v>
      </c>
      <c r="D73" s="23">
        <f t="shared" si="15"/>
        <v>0</v>
      </c>
      <c r="E73" s="23">
        <f>(SUM($E55:E55))*E$13</f>
        <v>0</v>
      </c>
      <c r="F73" s="23">
        <f>(SUM($E55:F55))*F$13</f>
        <v>2440516.8903464284</v>
      </c>
      <c r="G73" s="23">
        <f>(SUM($E55:G55))*G$13</f>
        <v>8028978.3774575796</v>
      </c>
      <c r="H73" s="23">
        <f>(SUM($E55:H55))*H$13</f>
        <v>23842151.595640264</v>
      </c>
      <c r="I73" s="23">
        <f>(SUM($E55:I55))*I$13</f>
        <v>49804891.449868448</v>
      </c>
      <c r="J73" s="23">
        <f>(SUM($E55:J55))*J$13</f>
        <v>84170266.55027768</v>
      </c>
      <c r="K73" s="23">
        <f>(SUM($E55:K55))*K$13</f>
        <v>131305615.8184332</v>
      </c>
      <c r="L73" s="23">
        <f>(SUM($E55:L55))*L$13</f>
        <v>192581569.86703536</v>
      </c>
      <c r="M73" s="23">
        <f>(SUM($E55:M55))*M$13</f>
        <v>269474138.49030983</v>
      </c>
      <c r="N73" s="23">
        <f>(SUM($E55:N55))*N$13</f>
        <v>363571594.41719645</v>
      </c>
      <c r="O73" s="23">
        <f>(SUM($E55:O55))*O$13</f>
        <v>472643072.74235541</v>
      </c>
      <c r="P73" s="23">
        <f>(SUM($E55:P55))*P$13</f>
        <v>602147274.67376089</v>
      </c>
      <c r="Q73" s="23">
        <f>(SUM($E55:Q55))*Q$13</f>
        <v>754035852.53024435</v>
      </c>
      <c r="R73" s="23">
        <f>(SUM($E55:R55))*R$13</f>
        <v>930403560.41019988</v>
      </c>
      <c r="S73" s="23">
        <f>(SUM($E55:S55))*S$13</f>
        <v>1128889653.2977092</v>
      </c>
      <c r="T73" s="23">
        <f>(SUM($E55:T55))*T$13</f>
        <v>1356142052.0758438</v>
      </c>
      <c r="U73" s="23">
        <f>(SUM($E55:U55))*U$13</f>
        <v>1614719526.0334854</v>
      </c>
      <c r="V73" s="23">
        <f>(SUM($E55:V55))*V$13</f>
        <v>1907362521.6158504</v>
      </c>
      <c r="W73" s="23">
        <f>(SUM($E55:W55))*W$13</f>
        <v>2231614150.290545</v>
      </c>
    </row>
    <row r="74" spans="1:23">
      <c r="A74" s="22" t="s">
        <v>9</v>
      </c>
      <c r="D74" s="23">
        <f t="shared" si="15"/>
        <v>0</v>
      </c>
      <c r="E74" s="23">
        <f>(SUM($E56:E56))*E$13</f>
        <v>0</v>
      </c>
      <c r="F74" s="23">
        <f>(SUM($E56:F56))*F$13</f>
        <v>2440516.8903464284</v>
      </c>
      <c r="G74" s="23">
        <f>(SUM($E56:G56))*G$13</f>
        <v>13381630.629095966</v>
      </c>
      <c r="H74" s="23">
        <f>(SUM($E56:H56))*H$13</f>
        <v>38743496.342915431</v>
      </c>
      <c r="I74" s="23">
        <f>(SUM($E56:I56))*I$13</f>
        <v>80932948.606036231</v>
      </c>
      <c r="J74" s="23">
        <f>(SUM($E56:J56))*J$13</f>
        <v>142441989.54662377</v>
      </c>
      <c r="K74" s="23">
        <f>(SUM($E56:K56))*K$13</f>
        <v>225576314.3547442</v>
      </c>
      <c r="L74" s="23">
        <f>(SUM($E56:L56))*L$13</f>
        <v>332640893.40669745</v>
      </c>
      <c r="M74" s="23">
        <f>(SUM($E56:M56))*M$13</f>
        <v>466117428.73999542</v>
      </c>
      <c r="N74" s="23">
        <f>(SUM($E56:N56))*N$13</f>
        <v>628675882.01306891</v>
      </c>
      <c r="O74" s="23">
        <f>(SUM($E56:O56))*O$13</f>
        <v>823186685.02626908</v>
      </c>
      <c r="P74" s="23">
        <f>(SUM($E56:P56))*P$13</f>
        <v>1052733670.6881397</v>
      </c>
      <c r="Q74" s="23">
        <f>(SUM($E56:Q56))*Q$13</f>
        <v>1316367674.7561891</v>
      </c>
      <c r="R74" s="23">
        <f>(SUM($E56:R56))*R$13</f>
        <v>1621560491.000634</v>
      </c>
      <c r="S74" s="23">
        <f>(SUM($E56:S56))*S$13</f>
        <v>1972101108.6180389</v>
      </c>
      <c r="T74" s="23">
        <f>(SUM($E56:T56))*T$13</f>
        <v>2372050585.7863703</v>
      </c>
      <c r="U74" s="23">
        <f>(SUM($E56:U56))*U$13</f>
        <v>2825759170.5585995</v>
      </c>
      <c r="V74" s="23">
        <f>(SUM($E56:V56))*V$13</f>
        <v>3337884412.8277383</v>
      </c>
      <c r="W74" s="23">
        <f>(SUM($E56:W56))*W$13</f>
        <v>3908019949.1803021</v>
      </c>
    </row>
    <row r="75" spans="1:23">
      <c r="A75" s="22" t="s">
        <v>10</v>
      </c>
      <c r="D75" s="23">
        <f t="shared" si="15"/>
        <v>0</v>
      </c>
      <c r="E75" s="23">
        <f>(SUM($E57:E57))*E$13</f>
        <v>2337800.4062452414</v>
      </c>
      <c r="F75" s="23">
        <f>(SUM($D57:F57))*F$13</f>
        <v>7321550.6710392851</v>
      </c>
      <c r="G75" s="23">
        <f>(SUM($D57:G57))*G$13</f>
        <v>29439587.384011127</v>
      </c>
      <c r="H75" s="23">
        <f>(SUM($D57:H57))*H$13</f>
        <v>80467261.635285899</v>
      </c>
      <c r="I75" s="23">
        <f>(SUM($D57:I57))*I$13</f>
        <v>164978702.92768922</v>
      </c>
      <c r="J75" s="23">
        <f>(SUM($D57:J57))*J$13</f>
        <v>288121297.037489</v>
      </c>
      <c r="K75" s="23">
        <f>(SUM($D57:K57))*K$13</f>
        <v>454519439.37149948</v>
      </c>
      <c r="L75" s="23">
        <f>(SUM($D57:L57))*L$13</f>
        <v>668783269.90188646</v>
      </c>
      <c r="M75" s="23">
        <f>(SUM($D57:M57))*M$13</f>
        <v>932234857.47999084</v>
      </c>
      <c r="N75" s="23">
        <f>(SUM($D57:N57))*N$13</f>
        <v>1253564559.9176252</v>
      </c>
      <c r="O75" s="23">
        <f>(SUM($D57:O57))*O$13</f>
        <v>1638495985.5068321</v>
      </c>
      <c r="P75" s="23">
        <f>(SUM($D57:P57))*P$13</f>
        <v>2089082381.5212111</v>
      </c>
      <c r="Q75" s="23">
        <f>(SUM($D57:Q57))*Q$13</f>
        <v>2615694991.2631073</v>
      </c>
      <c r="R75" s="23">
        <f>(SUM($D57:R57))*R$13</f>
        <v>3220968516.2772155</v>
      </c>
      <c r="S75" s="23">
        <f>(SUM($D57:S57))*S$13</f>
        <v>3916555940.0124602</v>
      </c>
      <c r="T75" s="23">
        <f>(SUM($D57:T57))*T$13</f>
        <v>4705765000.4893236</v>
      </c>
      <c r="U75" s="23">
        <f>(SUM($D57:U57))*U$13</f>
        <v>5601681318.7087574</v>
      </c>
      <c r="V75" s="23">
        <f>(SUM($D57:V57))*V$13</f>
        <v>6608389171.3592644</v>
      </c>
      <c r="W75" s="23">
        <f>(SUM($D57:W57))*W$13</f>
        <v>7740574685.5488472</v>
      </c>
    </row>
    <row r="76" spans="1:23">
      <c r="A76" s="22" t="s">
        <v>11</v>
      </c>
      <c r="D76" s="23">
        <f t="shared" si="15"/>
        <v>0</v>
      </c>
      <c r="E76" s="23">
        <f>(SUM($E58:E58))*E$13</f>
        <v>2337800.4062452414</v>
      </c>
      <c r="F76" s="23">
        <f>(SUM($E58:F58))*F$13</f>
        <v>9762067.5613857135</v>
      </c>
      <c r="G76" s="23">
        <f>(SUM($E58:G58))*G$13</f>
        <v>40144891.8872879</v>
      </c>
      <c r="H76" s="23">
        <f>(SUM($E58:H58))*H$13</f>
        <v>116230489.02874629</v>
      </c>
      <c r="I76" s="23">
        <f>(SUM($E58:I58))*I$13</f>
        <v>242798845.81810868</v>
      </c>
      <c r="J76" s="23">
        <f>(SUM($E58:J58))*J$13</f>
        <v>424088650.69562984</v>
      </c>
      <c r="K76" s="23">
        <f>(SUM($E58:K58))*K$13</f>
        <v>666628511.07819927</v>
      </c>
      <c r="L76" s="23">
        <f>(SUM($E58:L58))*L$13</f>
        <v>980415264.77763462</v>
      </c>
      <c r="M76" s="23">
        <f>(SUM($E58:M58))*M$13</f>
        <v>1369219946.9237366</v>
      </c>
      <c r="N76" s="23">
        <f>(SUM($E58:N58))*N$13</f>
        <v>1840581196.737057</v>
      </c>
      <c r="O76" s="23">
        <f>(SUM($E58:O58))*O$13</f>
        <v>2402602286.4403067</v>
      </c>
      <c r="P76" s="23">
        <f>(SUM($E58:P58))*P$13</f>
        <v>3068083732.8615432</v>
      </c>
      <c r="Q76" s="23">
        <f>(SUM($E58:Q58))*Q$13</f>
        <v>3842600785.2106233</v>
      </c>
      <c r="R76" s="23">
        <f>(SUM($E58:R58))*R$13</f>
        <v>4736197171.8023987</v>
      </c>
      <c r="S76" s="23">
        <f>(SUM($E58:S58))*S$13</f>
        <v>5759641088.2536182</v>
      </c>
      <c r="T76" s="23">
        <f>(SUM($E58:T58))*T$13</f>
        <v>6924470901.94203</v>
      </c>
      <c r="U76" s="23">
        <f>(SUM($E58:U58))*U$13</f>
        <v>8243043506.3561258</v>
      </c>
      <c r="V76" s="23">
        <f>(SUM($E58:V58))*V$13</f>
        <v>9728585470.3069324</v>
      </c>
      <c r="W76" s="23">
        <f>(SUM($F58:W58))*W$13</f>
        <v>11389856762.231695</v>
      </c>
    </row>
    <row r="77" spans="1:23">
      <c r="A77" s="22" t="s">
        <v>12</v>
      </c>
      <c r="D77" s="23">
        <f t="shared" si="15"/>
        <v>0</v>
      </c>
      <c r="E77" s="23">
        <f>(SUM($E59:E59))*E$13</f>
        <v>2337800.4062452414</v>
      </c>
      <c r="F77" s="23">
        <f>(SUM($E59:F59))*F$13</f>
        <v>12202584.451732142</v>
      </c>
      <c r="G77" s="23">
        <f>(SUM($E59:G59))*G$13</f>
        <v>50850196.390564673</v>
      </c>
      <c r="H77" s="23">
        <f>(SUM($E59:H59))*H$13</f>
        <v>143052909.57384157</v>
      </c>
      <c r="I77" s="23">
        <f>(SUM($E59:I59))*I$13</f>
        <v>292603737.26797712</v>
      </c>
      <c r="J77" s="23">
        <f>(SUM($E59:J59))*J$13</f>
        <v>508258917.24590755</v>
      </c>
      <c r="K77" s="23">
        <f>(SUM($E59:K59))*K$13</f>
        <v>801300937.55864358</v>
      </c>
      <c r="L77" s="23">
        <f>(SUM($E59:L59))*L$13</f>
        <v>1176498317.7331614</v>
      </c>
      <c r="M77" s="23">
        <f>(SUM($E59:M59))*M$13</f>
        <v>1642335627.8260777</v>
      </c>
      <c r="N77" s="23">
        <f>(SUM($E59:N59))*N$13</f>
        <v>2207939995.2627659</v>
      </c>
      <c r="O77" s="23">
        <f>(SUM($E59:O59))*O$13</f>
        <v>2883122743.7283683</v>
      </c>
      <c r="P77" s="23">
        <f>(SUM($E59:P59))*P$13</f>
        <v>3678423487.4628382</v>
      </c>
      <c r="Q77" s="23">
        <f>(SUM($E59:Q59))*Q$13</f>
        <v>4605156816.8655033</v>
      </c>
      <c r="R77" s="23">
        <f>(SUM(F59:R59))*R$13</f>
        <v>5666600732.2125978</v>
      </c>
      <c r="S77" s="23">
        <f t="shared" ref="S77:W77" si="16">(SUM(G59:S59))*S$13</f>
        <v>6870099890.0689154</v>
      </c>
      <c r="T77" s="23">
        <f t="shared" si="16"/>
        <v>8194356569.0801878</v>
      </c>
      <c r="U77" s="23">
        <f t="shared" si="16"/>
        <v>9623529027.0699387</v>
      </c>
      <c r="V77" s="23">
        <f t="shared" si="16"/>
        <v>11148741260.857864</v>
      </c>
      <c r="W77" s="23">
        <f t="shared" si="16"/>
        <v>12780572826.905512</v>
      </c>
    </row>
    <row r="78" spans="1:23">
      <c r="A78" s="22" t="s">
        <v>13</v>
      </c>
      <c r="D78" s="23">
        <f t="shared" si="15"/>
        <v>0</v>
      </c>
      <c r="E78" s="23">
        <f>(SUM($E60:E60))*E$13</f>
        <v>2337800.4062452414</v>
      </c>
      <c r="F78" s="23">
        <f>(SUM($E60:F60))*F$13</f>
        <v>9762067.5613857135</v>
      </c>
      <c r="G78" s="23">
        <f>(SUM($E60:G60))*G$13</f>
        <v>42821218.013107091</v>
      </c>
      <c r="H78" s="23">
        <f>(SUM($E60:H60))*H$13</f>
        <v>122191026.92765635</v>
      </c>
      <c r="I78" s="23">
        <f>(SUM($E60:I60))*I$13</f>
        <v>252137262.96495903</v>
      </c>
      <c r="J78" s="23">
        <f>(SUM($E60:J60))*J$13</f>
        <v>443512558.36107856</v>
      </c>
      <c r="K78" s="23">
        <f>(SUM($E60:K60))*K$13</f>
        <v>700296617.69831038</v>
      </c>
      <c r="L78" s="23">
        <f>(SUM($E60:L60))*L$13</f>
        <v>1029436028.0165163</v>
      </c>
      <c r="M78" s="23">
        <f>(SUM(F60:M60))*M$13</f>
        <v>1434767710.3402984</v>
      </c>
      <c r="N78" s="23">
        <f t="shared" ref="N78:W78" si="17">(SUM(G60:N60))*N$13</f>
        <v>1920112483.0158188</v>
      </c>
      <c r="O78" s="23">
        <f t="shared" si="17"/>
        <v>2461682670.5331011</v>
      </c>
      <c r="P78" s="23">
        <f t="shared" si="17"/>
        <v>3051698773.006475</v>
      </c>
      <c r="Q78" s="23">
        <f t="shared" si="17"/>
        <v>3684977471.4048662</v>
      </c>
      <c r="R78" s="23">
        <f t="shared" si="17"/>
        <v>4359605254.4935074</v>
      </c>
      <c r="S78" s="23">
        <f t="shared" si="17"/>
        <v>5082307296.2749929</v>
      </c>
      <c r="T78" s="23">
        <f t="shared" si="17"/>
        <v>5851058111.6063795</v>
      </c>
      <c r="U78" s="23">
        <f t="shared" si="17"/>
        <v>6673177300.4902372</v>
      </c>
      <c r="V78" s="23">
        <f t="shared" si="17"/>
        <v>7551704331.5062332</v>
      </c>
      <c r="W78" s="23">
        <f t="shared" si="17"/>
        <v>8489836441.3227253</v>
      </c>
    </row>
    <row r="79" spans="1:23">
      <c r="A79" s="22" t="s">
        <v>14</v>
      </c>
      <c r="D79" s="23">
        <f t="shared" si="15"/>
        <v>0</v>
      </c>
      <c r="E79" s="23">
        <f>(SUM($E61:E61))*E$13</f>
        <v>2337800.4062452414</v>
      </c>
      <c r="F79" s="23">
        <f>(SUM($E61:F61))*F$13</f>
        <v>12202584.451732142</v>
      </c>
      <c r="G79" s="23">
        <f>(SUM($E61:G61))*G$13</f>
        <v>48173870.264745474</v>
      </c>
      <c r="H79" s="23">
        <f>(SUM(F61:H61))*H$13</f>
        <v>134112102.72547649</v>
      </c>
      <c r="I79" s="23">
        <f t="shared" ref="I79:W79" si="18">(SUM(G61:I61))*I$13</f>
        <v>264588485.82742614</v>
      </c>
      <c r="J79" s="23">
        <f t="shared" si="18"/>
        <v>430563286.58411276</v>
      </c>
      <c r="K79" s="23">
        <f t="shared" si="18"/>
        <v>616126351.14803267</v>
      </c>
      <c r="L79" s="23">
        <f t="shared" si="18"/>
        <v>815845559.61853158</v>
      </c>
      <c r="M79" s="23">
        <f t="shared" si="18"/>
        <v>1026914960.1928024</v>
      </c>
      <c r="N79" s="23">
        <f t="shared" si="18"/>
        <v>1253564559.9176252</v>
      </c>
      <c r="O79" s="23">
        <f t="shared" si="18"/>
        <v>1496703063.6841254</v>
      </c>
      <c r="P79" s="23">
        <f t="shared" si="18"/>
        <v>1757286944.4560776</v>
      </c>
      <c r="Q79" s="23">
        <f t="shared" si="18"/>
        <v>2036322810.7878914</v>
      </c>
      <c r="R79" s="23">
        <f t="shared" si="18"/>
        <v>2334869887.3151207</v>
      </c>
      <c r="S79" s="23">
        <f t="shared" si="18"/>
        <v>2654042613.467267</v>
      </c>
      <c r="T79" s="23">
        <f t="shared" si="18"/>
        <v>2990221344.5064545</v>
      </c>
      <c r="U79" s="23">
        <f t="shared" si="18"/>
        <v>3349047905.847229</v>
      </c>
      <c r="V79" s="23">
        <f t="shared" si="18"/>
        <v>3731796237.9440551</v>
      </c>
      <c r="W79" s="23">
        <f t="shared" si="18"/>
        <v>4139805959.9592719</v>
      </c>
    </row>
    <row r="80" spans="1:23">
      <c r="A80" s="22" t="s">
        <v>15</v>
      </c>
      <c r="D80" s="23">
        <f t="shared" si="15"/>
        <v>0</v>
      </c>
      <c r="E80" s="23">
        <f>(SUM($D62:E62))*E$13</f>
        <v>0</v>
      </c>
      <c r="F80" s="23">
        <f>(SUM($D62:F62))*F$13</f>
        <v>2440516.8903464284</v>
      </c>
      <c r="G80" s="23">
        <f>(SUM($D62:G62))*G$13</f>
        <v>10705304.503276773</v>
      </c>
      <c r="H80" s="23">
        <f>(SUM($D62:H62))*H$13</f>
        <v>29802689.494550332</v>
      </c>
      <c r="I80" s="23">
        <f>(SUM($D62:I62))*I$13</f>
        <v>62256114.312335558</v>
      </c>
      <c r="J80" s="23">
        <f>(SUM($D62:J62))*J$13</f>
        <v>106831492.15996782</v>
      </c>
      <c r="K80" s="23">
        <f>(SUM($D62:K62))*K$13</f>
        <v>168340533.10055536</v>
      </c>
      <c r="L80" s="23">
        <f>(SUM($D62:L62))*L$13</f>
        <v>248605299.28290018</v>
      </c>
      <c r="M80" s="23">
        <f>(SUM($D62:M62))*M$13</f>
        <v>345946529.14296538</v>
      </c>
      <c r="N80" s="23">
        <f>(SUM($D62:N62))*N$13</f>
        <v>465826105.34703296</v>
      </c>
      <c r="O80" s="23">
        <f>(SUM($D62:O62))*O$13</f>
        <v>610497302.29220915</v>
      </c>
      <c r="P80" s="23">
        <f>(SUM($D62:P62))*P$13</f>
        <v>778285593.11574531</v>
      </c>
      <c r="Q80" s="23">
        <f>(SUM($D62:Q62))*Q$13</f>
        <v>975560509.77076805</v>
      </c>
      <c r="R80" s="23">
        <f>(SUM($D62:R62))*R$13</f>
        <v>1200663642.2436388</v>
      </c>
      <c r="S80" s="23">
        <f>(SUM($D62:S62))*S$13</f>
        <v>1460644979.9811175</v>
      </c>
      <c r="T80" s="23">
        <f>(SUM($D62:T62))*T$13</f>
        <v>1758671848.4517128</v>
      </c>
      <c r="U80" s="23">
        <f>(SUM($D62:U62))*U$13</f>
        <v>2093154941.1545179</v>
      </c>
      <c r="V80" s="23">
        <f>(SUM($D62:V62))*V$13</f>
        <v>2472315007.6379366</v>
      </c>
      <c r="W80" s="23">
        <f>(SUM($D62:W62))*W$13</f>
        <v>2894629948.5652723</v>
      </c>
    </row>
    <row r="81" spans="1:23">
      <c r="A81">
        <v>66</v>
      </c>
      <c r="D81" s="23"/>
      <c r="E81" s="23"/>
      <c r="F81" s="23"/>
      <c r="G81" s="23"/>
      <c r="H81" s="23"/>
      <c r="I81" s="23"/>
      <c r="J81" s="23"/>
      <c r="K81" s="23"/>
      <c r="L81" s="23"/>
      <c r="M81" s="23"/>
      <c r="N81" s="23"/>
      <c r="O81" s="23"/>
      <c r="P81" s="23"/>
      <c r="Q81" s="23"/>
      <c r="R81" s="23"/>
      <c r="S81" s="23"/>
      <c r="T81" s="23"/>
      <c r="U81" s="23"/>
      <c r="V81" s="23"/>
      <c r="W81" s="23"/>
    </row>
    <row r="82" spans="1:23">
      <c r="A82">
        <v>67</v>
      </c>
    </row>
    <row r="83" spans="1:23">
      <c r="A83">
        <v>68</v>
      </c>
    </row>
    <row r="84" spans="1:23">
      <c r="A84">
        <v>69</v>
      </c>
    </row>
    <row r="85" spans="1:23">
      <c r="A85">
        <v>70</v>
      </c>
      <c r="D85" s="3"/>
      <c r="E85" s="3"/>
      <c r="F85" s="3"/>
      <c r="G85" s="3"/>
      <c r="H85" s="3"/>
      <c r="I85" s="3"/>
      <c r="J85" s="3"/>
      <c r="K85" s="3"/>
      <c r="L85" s="3"/>
      <c r="M85" s="3"/>
      <c r="N85" s="3"/>
      <c r="O85" s="3"/>
      <c r="P85" s="3"/>
      <c r="Q85" s="3"/>
      <c r="R85" s="3"/>
      <c r="S85" s="3"/>
      <c r="T85" s="3"/>
      <c r="U85" s="3"/>
      <c r="V85" s="3"/>
      <c r="W85" s="3"/>
    </row>
    <row r="86" spans="1:23">
      <c r="A86" s="22" t="s">
        <v>43</v>
      </c>
      <c r="D86" s="23">
        <f>SUM(D70:D85)</f>
        <v>0</v>
      </c>
      <c r="E86" s="23">
        <f t="shared" ref="E86:W86" si="19">SUM(E70:E85)</f>
        <v>11689002.031226207</v>
      </c>
      <c r="F86" s="23">
        <f t="shared" si="19"/>
        <v>58572405.368314289</v>
      </c>
      <c r="G86" s="23">
        <f t="shared" si="19"/>
        <v>248898329.70118496</v>
      </c>
      <c r="H86" s="23">
        <f t="shared" si="19"/>
        <v>709304009.97029793</v>
      </c>
      <c r="I86" s="23">
        <f t="shared" si="19"/>
        <v>1456793074.9086521</v>
      </c>
      <c r="J86" s="23">
        <f t="shared" si="19"/>
        <v>2512158724.7313647</v>
      </c>
      <c r="K86" s="23">
        <f t="shared" si="19"/>
        <v>3898766746.6088629</v>
      </c>
      <c r="L86" s="23">
        <f t="shared" si="19"/>
        <v>5640889255.5598898</v>
      </c>
      <c r="M86" s="23">
        <f t="shared" si="19"/>
        <v>7763768422.4505491</v>
      </c>
      <c r="N86" s="23">
        <f t="shared" si="19"/>
        <v>10308769583.370924</v>
      </c>
      <c r="O86" s="23">
        <f t="shared" si="19"/>
        <v>13277331651.787336</v>
      </c>
      <c r="P86" s="23">
        <f t="shared" si="19"/>
        <v>16704466572.242155</v>
      </c>
      <c r="Q86" s="23">
        <f t="shared" si="19"/>
        <v>20614573392.05566</v>
      </c>
      <c r="R86" s="23">
        <f t="shared" si="19"/>
        <v>25036716761.323994</v>
      </c>
      <c r="S86" s="23">
        <f t="shared" si="19"/>
        <v>30019249351.977856</v>
      </c>
      <c r="T86" s="23">
        <f t="shared" si="19"/>
        <v>35566382722.639267</v>
      </c>
      <c r="U86" s="23">
        <f t="shared" si="19"/>
        <v>41713587755.865036</v>
      </c>
      <c r="V86" s="23">
        <f t="shared" si="19"/>
        <v>48477069740.959373</v>
      </c>
      <c r="W86" s="23">
        <f t="shared" si="19"/>
        <v>55908941948.824951</v>
      </c>
    </row>
    <row r="87" spans="1:23">
      <c r="A87" s="22"/>
      <c r="D87" s="23"/>
      <c r="E87" s="23"/>
      <c r="F87" s="23"/>
      <c r="G87" s="23"/>
      <c r="H87" s="23"/>
      <c r="I87" s="23"/>
      <c r="J87" s="23"/>
      <c r="K87" s="23"/>
      <c r="L87" s="23"/>
      <c r="M87" s="23"/>
      <c r="N87" s="23"/>
      <c r="O87" s="23"/>
      <c r="P87" s="23"/>
      <c r="Q87" s="23"/>
      <c r="R87" s="23"/>
      <c r="S87" s="23"/>
      <c r="T87" s="23"/>
      <c r="U87" s="23"/>
      <c r="V87" s="23"/>
      <c r="W87" s="23"/>
    </row>
    <row r="88" spans="1:23">
      <c r="A88" t="s">
        <v>135</v>
      </c>
      <c r="D88" s="23"/>
      <c r="E88" s="23"/>
      <c r="F88" s="23"/>
      <c r="G88" s="23"/>
      <c r="H88" s="23"/>
      <c r="I88" s="23"/>
      <c r="J88" s="23"/>
      <c r="K88" s="21"/>
      <c r="L88" s="23"/>
      <c r="M88" s="23"/>
      <c r="N88" s="23"/>
      <c r="O88" s="23"/>
      <c r="P88" s="23"/>
      <c r="Q88" s="23"/>
      <c r="R88" s="23"/>
      <c r="S88" s="23"/>
      <c r="T88" s="23"/>
      <c r="U88" s="23"/>
      <c r="V88" s="23"/>
      <c r="W88" s="23"/>
    </row>
    <row r="89" spans="1:23">
      <c r="A89" t="s">
        <v>70</v>
      </c>
    </row>
    <row r="90" spans="1:23">
      <c r="B90" t="s">
        <v>71</v>
      </c>
      <c r="C90" t="s">
        <v>72</v>
      </c>
      <c r="D90">
        <v>1</v>
      </c>
      <c r="E90">
        <v>2</v>
      </c>
      <c r="F90">
        <v>3</v>
      </c>
      <c r="G90">
        <v>4</v>
      </c>
      <c r="H90">
        <v>5</v>
      </c>
      <c r="I90">
        <v>6</v>
      </c>
      <c r="J90">
        <v>7</v>
      </c>
      <c r="K90">
        <v>8</v>
      </c>
      <c r="L90">
        <v>9</v>
      </c>
      <c r="M90">
        <v>10</v>
      </c>
      <c r="N90">
        <v>11</v>
      </c>
      <c r="O90">
        <v>12</v>
      </c>
      <c r="P90">
        <v>13</v>
      </c>
      <c r="Q90">
        <v>14</v>
      </c>
      <c r="R90">
        <v>15</v>
      </c>
      <c r="S90">
        <v>16</v>
      </c>
      <c r="T90">
        <v>17</v>
      </c>
      <c r="U90">
        <v>18</v>
      </c>
      <c r="V90">
        <v>19</v>
      </c>
      <c r="W90">
        <v>20</v>
      </c>
    </row>
    <row r="91" spans="1:23">
      <c r="A91" s="22" t="s">
        <v>5</v>
      </c>
      <c r="B91">
        <v>10</v>
      </c>
      <c r="C91">
        <v>3</v>
      </c>
      <c r="D91">
        <f>NORMDIST(D$90,$B91,$C91,)</f>
        <v>1.4772828039793357E-3</v>
      </c>
      <c r="E91">
        <f t="shared" ref="E91:W101" si="20">NORMDIST(E$90,$B91,$C91,)</f>
        <v>3.798662007932481E-3</v>
      </c>
      <c r="F91">
        <f t="shared" si="20"/>
        <v>8.7406296979031604E-3</v>
      </c>
      <c r="G91">
        <f t="shared" si="20"/>
        <v>1.7996988837729353E-2</v>
      </c>
      <c r="H91">
        <f t="shared" si="20"/>
        <v>3.3159046264249557E-2</v>
      </c>
      <c r="I91">
        <f t="shared" si="20"/>
        <v>5.4670024891997876E-2</v>
      </c>
      <c r="J91">
        <f t="shared" si="20"/>
        <v>8.0656908173047798E-2</v>
      </c>
      <c r="K91">
        <f t="shared" si="20"/>
        <v>0.10648266850745074</v>
      </c>
      <c r="L91">
        <f t="shared" si="20"/>
        <v>0.12579440923099772</v>
      </c>
      <c r="M91">
        <f t="shared" si="20"/>
        <v>0.13298076013381088</v>
      </c>
      <c r="N91">
        <f t="shared" si="20"/>
        <v>0.12579440923099772</v>
      </c>
      <c r="O91">
        <f t="shared" si="20"/>
        <v>0.10648266850745074</v>
      </c>
      <c r="P91">
        <f t="shared" si="20"/>
        <v>8.0656908173047798E-2</v>
      </c>
      <c r="Q91">
        <f t="shared" si="20"/>
        <v>5.4670024891997876E-2</v>
      </c>
      <c r="R91">
        <f t="shared" si="20"/>
        <v>3.3159046264249557E-2</v>
      </c>
      <c r="S91">
        <f t="shared" si="20"/>
        <v>1.7996988837729353E-2</v>
      </c>
      <c r="T91">
        <f t="shared" si="20"/>
        <v>8.7406296979031604E-3</v>
      </c>
      <c r="U91">
        <f t="shared" si="20"/>
        <v>3.798662007932481E-3</v>
      </c>
      <c r="V91">
        <f t="shared" si="20"/>
        <v>1.4772828039793357E-3</v>
      </c>
      <c r="W91">
        <f t="shared" si="20"/>
        <v>5.140929987637018E-4</v>
      </c>
    </row>
    <row r="92" spans="1:23">
      <c r="A92" s="22" t="s">
        <v>6</v>
      </c>
      <c r="B92">
        <v>10</v>
      </c>
      <c r="C92">
        <v>3</v>
      </c>
      <c r="D92">
        <f t="shared" ref="D92:D101" si="21">NORMDIST(D$90,$B92,$C92,)</f>
        <v>1.4772828039793357E-3</v>
      </c>
      <c r="E92">
        <f t="shared" si="20"/>
        <v>3.798662007932481E-3</v>
      </c>
      <c r="F92">
        <f t="shared" si="20"/>
        <v>8.7406296979031604E-3</v>
      </c>
      <c r="G92">
        <f t="shared" si="20"/>
        <v>1.7996988837729353E-2</v>
      </c>
      <c r="H92">
        <f t="shared" si="20"/>
        <v>3.3159046264249557E-2</v>
      </c>
      <c r="I92">
        <f t="shared" si="20"/>
        <v>5.4670024891997876E-2</v>
      </c>
      <c r="J92">
        <f t="shared" si="20"/>
        <v>8.0656908173047798E-2</v>
      </c>
      <c r="K92">
        <f t="shared" si="20"/>
        <v>0.10648266850745074</v>
      </c>
      <c r="L92">
        <f t="shared" si="20"/>
        <v>0.12579440923099772</v>
      </c>
      <c r="M92">
        <f t="shared" si="20"/>
        <v>0.13298076013381088</v>
      </c>
      <c r="N92">
        <f t="shared" si="20"/>
        <v>0.12579440923099772</v>
      </c>
      <c r="O92">
        <f t="shared" si="20"/>
        <v>0.10648266850745074</v>
      </c>
      <c r="P92">
        <f t="shared" si="20"/>
        <v>8.0656908173047798E-2</v>
      </c>
      <c r="Q92">
        <f t="shared" si="20"/>
        <v>5.4670024891997876E-2</v>
      </c>
      <c r="R92">
        <f t="shared" si="20"/>
        <v>3.3159046264249557E-2</v>
      </c>
      <c r="S92">
        <f t="shared" si="20"/>
        <v>1.7996988837729353E-2</v>
      </c>
      <c r="T92">
        <f t="shared" si="20"/>
        <v>8.7406296979031604E-3</v>
      </c>
      <c r="U92">
        <f t="shared" si="20"/>
        <v>3.798662007932481E-3</v>
      </c>
      <c r="V92">
        <f t="shared" si="20"/>
        <v>1.4772828039793357E-3</v>
      </c>
      <c r="W92">
        <f t="shared" si="20"/>
        <v>5.140929987637018E-4</v>
      </c>
    </row>
    <row r="93" spans="1:23">
      <c r="A93" s="22" t="s">
        <v>7</v>
      </c>
      <c r="B93">
        <v>9</v>
      </c>
      <c r="C93">
        <v>3</v>
      </c>
      <c r="D93">
        <f t="shared" si="21"/>
        <v>3.798662007932481E-3</v>
      </c>
      <c r="E93">
        <f t="shared" si="20"/>
        <v>8.7406296979031604E-3</v>
      </c>
      <c r="F93">
        <f t="shared" si="20"/>
        <v>1.7996988837729353E-2</v>
      </c>
      <c r="G93">
        <f t="shared" si="20"/>
        <v>3.3159046264249557E-2</v>
      </c>
      <c r="H93">
        <f t="shared" si="20"/>
        <v>5.4670024891997876E-2</v>
      </c>
      <c r="I93">
        <f t="shared" si="20"/>
        <v>8.0656908173047798E-2</v>
      </c>
      <c r="J93">
        <f t="shared" si="20"/>
        <v>0.10648266850745074</v>
      </c>
      <c r="K93">
        <f t="shared" si="20"/>
        <v>0.12579440923099772</v>
      </c>
      <c r="L93">
        <f t="shared" si="20"/>
        <v>0.13298076013381088</v>
      </c>
      <c r="M93">
        <f t="shared" si="20"/>
        <v>0.12579440923099772</v>
      </c>
      <c r="N93">
        <f t="shared" si="20"/>
        <v>0.10648266850745074</v>
      </c>
      <c r="O93">
        <f t="shared" si="20"/>
        <v>8.0656908173047798E-2</v>
      </c>
      <c r="P93">
        <f t="shared" si="20"/>
        <v>5.4670024891997876E-2</v>
      </c>
      <c r="Q93">
        <f t="shared" si="20"/>
        <v>3.3159046264249557E-2</v>
      </c>
      <c r="R93">
        <f t="shared" si="20"/>
        <v>1.7996988837729353E-2</v>
      </c>
      <c r="S93">
        <f t="shared" si="20"/>
        <v>8.7406296979031604E-3</v>
      </c>
      <c r="T93">
        <f t="shared" si="20"/>
        <v>3.798662007932481E-3</v>
      </c>
      <c r="U93">
        <f t="shared" si="20"/>
        <v>1.4772828039793357E-3</v>
      </c>
      <c r="V93">
        <f t="shared" si="20"/>
        <v>5.140929987637018E-4</v>
      </c>
      <c r="W93">
        <f t="shared" si="20"/>
        <v>1.6009021720694023E-4</v>
      </c>
    </row>
    <row r="94" spans="1:23">
      <c r="A94" s="22" t="s">
        <v>8</v>
      </c>
      <c r="B94">
        <v>9</v>
      </c>
      <c r="C94">
        <v>3</v>
      </c>
      <c r="D94">
        <f t="shared" si="21"/>
        <v>3.798662007932481E-3</v>
      </c>
      <c r="E94">
        <f t="shared" si="20"/>
        <v>8.7406296979031604E-3</v>
      </c>
      <c r="F94">
        <f t="shared" si="20"/>
        <v>1.7996988837729353E-2</v>
      </c>
      <c r="G94">
        <f t="shared" si="20"/>
        <v>3.3159046264249557E-2</v>
      </c>
      <c r="H94">
        <f t="shared" si="20"/>
        <v>5.4670024891997876E-2</v>
      </c>
      <c r="I94">
        <f t="shared" si="20"/>
        <v>8.0656908173047798E-2</v>
      </c>
      <c r="J94">
        <f t="shared" si="20"/>
        <v>0.10648266850745074</v>
      </c>
      <c r="K94">
        <f t="shared" si="20"/>
        <v>0.12579440923099772</v>
      </c>
      <c r="L94">
        <f t="shared" si="20"/>
        <v>0.13298076013381088</v>
      </c>
      <c r="M94">
        <f t="shared" si="20"/>
        <v>0.12579440923099772</v>
      </c>
      <c r="N94">
        <f t="shared" si="20"/>
        <v>0.10648266850745074</v>
      </c>
      <c r="O94">
        <f t="shared" si="20"/>
        <v>8.0656908173047798E-2</v>
      </c>
      <c r="P94">
        <f t="shared" si="20"/>
        <v>5.4670024891997876E-2</v>
      </c>
      <c r="Q94">
        <f t="shared" si="20"/>
        <v>3.3159046264249557E-2</v>
      </c>
      <c r="R94">
        <f t="shared" si="20"/>
        <v>1.7996988837729353E-2</v>
      </c>
      <c r="S94">
        <f t="shared" si="20"/>
        <v>8.7406296979031604E-3</v>
      </c>
      <c r="T94">
        <f t="shared" si="20"/>
        <v>3.798662007932481E-3</v>
      </c>
      <c r="U94">
        <f t="shared" si="20"/>
        <v>1.4772828039793357E-3</v>
      </c>
      <c r="V94">
        <f t="shared" si="20"/>
        <v>5.140929987637018E-4</v>
      </c>
      <c r="W94">
        <f t="shared" si="20"/>
        <v>1.6009021720694023E-4</v>
      </c>
    </row>
    <row r="95" spans="1:23">
      <c r="A95" s="22" t="s">
        <v>9</v>
      </c>
      <c r="B95">
        <v>8</v>
      </c>
      <c r="C95">
        <v>3</v>
      </c>
      <c r="D95">
        <f t="shared" si="21"/>
        <v>8.7406296979031604E-3</v>
      </c>
      <c r="E95">
        <f t="shared" si="20"/>
        <v>1.7996988837729353E-2</v>
      </c>
      <c r="F95">
        <f t="shared" si="20"/>
        <v>3.3159046264249557E-2</v>
      </c>
      <c r="G95">
        <f t="shared" si="20"/>
        <v>5.4670024891997876E-2</v>
      </c>
      <c r="H95">
        <f t="shared" si="20"/>
        <v>8.0656908173047798E-2</v>
      </c>
      <c r="I95">
        <f t="shared" si="20"/>
        <v>0.10648266850745074</v>
      </c>
      <c r="J95">
        <f t="shared" si="20"/>
        <v>0.12579440923099772</v>
      </c>
      <c r="K95">
        <f t="shared" si="20"/>
        <v>0.13298076013381088</v>
      </c>
      <c r="L95">
        <f t="shared" si="20"/>
        <v>0.12579440923099772</v>
      </c>
      <c r="M95">
        <f t="shared" si="20"/>
        <v>0.10648266850745074</v>
      </c>
      <c r="N95">
        <f t="shared" si="20"/>
        <v>8.0656908173047798E-2</v>
      </c>
      <c r="O95">
        <f t="shared" si="20"/>
        <v>5.4670024891997876E-2</v>
      </c>
      <c r="P95">
        <f t="shared" si="20"/>
        <v>3.3159046264249557E-2</v>
      </c>
      <c r="Q95">
        <f t="shared" si="20"/>
        <v>1.7996988837729353E-2</v>
      </c>
      <c r="R95">
        <f t="shared" si="20"/>
        <v>8.7406296979031604E-3</v>
      </c>
      <c r="S95">
        <f t="shared" si="20"/>
        <v>3.798662007932481E-3</v>
      </c>
      <c r="T95">
        <f t="shared" si="20"/>
        <v>1.4772828039793357E-3</v>
      </c>
      <c r="U95">
        <f t="shared" si="20"/>
        <v>5.140929987637018E-4</v>
      </c>
      <c r="V95">
        <f t="shared" si="20"/>
        <v>1.6009021720694023E-4</v>
      </c>
      <c r="W95">
        <f t="shared" si="20"/>
        <v>4.4610075254961789E-5</v>
      </c>
    </row>
    <row r="96" spans="1:23">
      <c r="A96" s="22" t="s">
        <v>10</v>
      </c>
      <c r="B96">
        <v>8</v>
      </c>
      <c r="C96">
        <v>3</v>
      </c>
      <c r="D96">
        <f t="shared" si="21"/>
        <v>8.7406296979031604E-3</v>
      </c>
      <c r="E96">
        <f t="shared" si="20"/>
        <v>1.7996988837729353E-2</v>
      </c>
      <c r="F96">
        <f t="shared" si="20"/>
        <v>3.3159046264249557E-2</v>
      </c>
      <c r="G96">
        <f t="shared" si="20"/>
        <v>5.4670024891997876E-2</v>
      </c>
      <c r="H96">
        <f t="shared" si="20"/>
        <v>8.0656908173047798E-2</v>
      </c>
      <c r="I96">
        <f t="shared" si="20"/>
        <v>0.10648266850745074</v>
      </c>
      <c r="J96">
        <f t="shared" si="20"/>
        <v>0.12579440923099772</v>
      </c>
      <c r="K96">
        <f t="shared" si="20"/>
        <v>0.13298076013381088</v>
      </c>
      <c r="L96">
        <f t="shared" si="20"/>
        <v>0.12579440923099772</v>
      </c>
      <c r="M96">
        <f t="shared" si="20"/>
        <v>0.10648266850745074</v>
      </c>
      <c r="N96">
        <f t="shared" si="20"/>
        <v>8.0656908173047798E-2</v>
      </c>
      <c r="O96">
        <f t="shared" si="20"/>
        <v>5.4670024891997876E-2</v>
      </c>
      <c r="P96">
        <f t="shared" si="20"/>
        <v>3.3159046264249557E-2</v>
      </c>
      <c r="Q96">
        <f t="shared" si="20"/>
        <v>1.7996988837729353E-2</v>
      </c>
      <c r="R96">
        <f t="shared" si="20"/>
        <v>8.7406296979031604E-3</v>
      </c>
      <c r="S96">
        <f t="shared" si="20"/>
        <v>3.798662007932481E-3</v>
      </c>
      <c r="T96">
        <f t="shared" si="20"/>
        <v>1.4772828039793357E-3</v>
      </c>
      <c r="U96">
        <f t="shared" si="20"/>
        <v>5.140929987637018E-4</v>
      </c>
      <c r="V96">
        <f t="shared" si="20"/>
        <v>1.6009021720694023E-4</v>
      </c>
      <c r="W96">
        <f t="shared" si="20"/>
        <v>4.4610075254961789E-5</v>
      </c>
    </row>
    <row r="97" spans="1:23">
      <c r="A97" s="22" t="s">
        <v>11</v>
      </c>
      <c r="B97">
        <v>7</v>
      </c>
      <c r="C97">
        <v>3</v>
      </c>
      <c r="D97">
        <f t="shared" si="21"/>
        <v>1.7996988837729353E-2</v>
      </c>
      <c r="E97">
        <f t="shared" si="20"/>
        <v>3.3159046264249557E-2</v>
      </c>
      <c r="F97">
        <f t="shared" si="20"/>
        <v>5.4670024891997876E-2</v>
      </c>
      <c r="G97">
        <f t="shared" si="20"/>
        <v>8.0656908173047798E-2</v>
      </c>
      <c r="H97">
        <f t="shared" si="20"/>
        <v>0.10648266850745074</v>
      </c>
      <c r="I97">
        <f t="shared" si="20"/>
        <v>0.12579440923099772</v>
      </c>
      <c r="J97">
        <f t="shared" si="20"/>
        <v>0.13298076013381088</v>
      </c>
      <c r="K97">
        <f t="shared" si="20"/>
        <v>0.12579440923099772</v>
      </c>
      <c r="L97">
        <f t="shared" si="20"/>
        <v>0.10648266850745074</v>
      </c>
      <c r="M97">
        <f t="shared" si="20"/>
        <v>8.0656908173047798E-2</v>
      </c>
      <c r="N97">
        <f t="shared" si="20"/>
        <v>5.4670024891997876E-2</v>
      </c>
      <c r="O97">
        <f t="shared" si="20"/>
        <v>3.3159046264249557E-2</v>
      </c>
      <c r="P97">
        <f t="shared" si="20"/>
        <v>1.7996988837729353E-2</v>
      </c>
      <c r="Q97">
        <f t="shared" si="20"/>
        <v>8.7406296979031604E-3</v>
      </c>
      <c r="R97">
        <f t="shared" si="20"/>
        <v>3.798662007932481E-3</v>
      </c>
      <c r="S97">
        <f t="shared" si="20"/>
        <v>1.4772828039793357E-3</v>
      </c>
      <c r="T97">
        <f t="shared" si="20"/>
        <v>5.140929987637018E-4</v>
      </c>
      <c r="U97">
        <f t="shared" si="20"/>
        <v>1.6009021720694023E-4</v>
      </c>
      <c r="V97">
        <f t="shared" si="20"/>
        <v>4.4610075254961789E-5</v>
      </c>
      <c r="W97">
        <f t="shared" si="20"/>
        <v>1.1123620798546141E-5</v>
      </c>
    </row>
    <row r="98" spans="1:23">
      <c r="A98" s="22" t="s">
        <v>12</v>
      </c>
      <c r="B98">
        <v>7</v>
      </c>
      <c r="C98">
        <v>3</v>
      </c>
      <c r="D98">
        <f t="shared" si="21"/>
        <v>1.7996988837729353E-2</v>
      </c>
      <c r="E98">
        <f t="shared" si="20"/>
        <v>3.3159046264249557E-2</v>
      </c>
      <c r="F98">
        <f t="shared" si="20"/>
        <v>5.4670024891997876E-2</v>
      </c>
      <c r="G98">
        <f t="shared" si="20"/>
        <v>8.0656908173047798E-2</v>
      </c>
      <c r="H98">
        <f t="shared" si="20"/>
        <v>0.10648266850745074</v>
      </c>
      <c r="I98">
        <f t="shared" si="20"/>
        <v>0.12579440923099772</v>
      </c>
      <c r="J98">
        <f t="shared" si="20"/>
        <v>0.13298076013381088</v>
      </c>
      <c r="K98">
        <f t="shared" si="20"/>
        <v>0.12579440923099772</v>
      </c>
      <c r="L98">
        <f t="shared" si="20"/>
        <v>0.10648266850745074</v>
      </c>
      <c r="M98">
        <f t="shared" si="20"/>
        <v>8.0656908173047798E-2</v>
      </c>
      <c r="N98">
        <f t="shared" si="20"/>
        <v>5.4670024891997876E-2</v>
      </c>
      <c r="O98">
        <f t="shared" si="20"/>
        <v>3.3159046264249557E-2</v>
      </c>
      <c r="P98">
        <f t="shared" si="20"/>
        <v>1.7996988837729353E-2</v>
      </c>
      <c r="Q98">
        <f t="shared" si="20"/>
        <v>8.7406296979031604E-3</v>
      </c>
      <c r="R98">
        <f t="shared" si="20"/>
        <v>3.798662007932481E-3</v>
      </c>
      <c r="S98">
        <f t="shared" si="20"/>
        <v>1.4772828039793357E-3</v>
      </c>
      <c r="T98">
        <f t="shared" si="20"/>
        <v>5.140929987637018E-4</v>
      </c>
      <c r="U98">
        <f t="shared" si="20"/>
        <v>1.6009021720694023E-4</v>
      </c>
      <c r="V98">
        <f t="shared" si="20"/>
        <v>4.4610075254961789E-5</v>
      </c>
      <c r="W98">
        <f t="shared" si="20"/>
        <v>1.1123620798546141E-5</v>
      </c>
    </row>
    <row r="99" spans="1:23">
      <c r="A99" s="22" t="s">
        <v>13</v>
      </c>
      <c r="B99">
        <v>6</v>
      </c>
      <c r="C99">
        <v>2</v>
      </c>
      <c r="D99">
        <f t="shared" si="21"/>
        <v>8.7641502467842702E-3</v>
      </c>
      <c r="E99">
        <f t="shared" si="20"/>
        <v>2.6995483256594031E-2</v>
      </c>
      <c r="F99">
        <f t="shared" si="20"/>
        <v>6.4758797832945872E-2</v>
      </c>
      <c r="G99">
        <f t="shared" si="20"/>
        <v>0.12098536225957168</v>
      </c>
      <c r="H99">
        <f t="shared" si="20"/>
        <v>0.17603266338214976</v>
      </c>
      <c r="I99">
        <f t="shared" si="20"/>
        <v>0.19947114020071635</v>
      </c>
      <c r="J99">
        <f t="shared" si="20"/>
        <v>0.17603266338214976</v>
      </c>
      <c r="K99">
        <f t="shared" si="20"/>
        <v>0.12098536225957168</v>
      </c>
      <c r="L99">
        <f t="shared" si="20"/>
        <v>6.4758797832945872E-2</v>
      </c>
      <c r="M99">
        <f t="shared" si="20"/>
        <v>2.6995483256594031E-2</v>
      </c>
      <c r="N99">
        <f t="shared" si="20"/>
        <v>8.7641502467842702E-3</v>
      </c>
      <c r="O99">
        <f t="shared" si="20"/>
        <v>2.2159242059690038E-3</v>
      </c>
      <c r="P99">
        <f t="shared" si="20"/>
        <v>4.3634134752288008E-4</v>
      </c>
      <c r="Q99">
        <f t="shared" si="20"/>
        <v>6.6915112882442684E-5</v>
      </c>
      <c r="R99">
        <f t="shared" si="20"/>
        <v>7.9918705534527373E-6</v>
      </c>
      <c r="S99">
        <f t="shared" si="20"/>
        <v>7.4335975736714884E-7</v>
      </c>
      <c r="T99">
        <f t="shared" si="20"/>
        <v>5.384880021271638E-8</v>
      </c>
      <c r="U99">
        <f t="shared" si="20"/>
        <v>3.037941424911643E-9</v>
      </c>
      <c r="V99">
        <f t="shared" si="20"/>
        <v>1.334778307381426E-10</v>
      </c>
      <c r="W99">
        <f t="shared" si="20"/>
        <v>4.5673602041822968E-12</v>
      </c>
    </row>
    <row r="100" spans="1:23">
      <c r="A100" s="22" t="s">
        <v>14</v>
      </c>
      <c r="B100">
        <v>6</v>
      </c>
      <c r="C100">
        <v>2</v>
      </c>
      <c r="D100">
        <f t="shared" si="21"/>
        <v>8.7641502467842702E-3</v>
      </c>
      <c r="E100">
        <f t="shared" si="20"/>
        <v>2.6995483256594031E-2</v>
      </c>
      <c r="F100">
        <f t="shared" si="20"/>
        <v>6.4758797832945872E-2</v>
      </c>
      <c r="G100">
        <f t="shared" si="20"/>
        <v>0.12098536225957168</v>
      </c>
      <c r="H100">
        <f t="shared" si="20"/>
        <v>0.17603266338214976</v>
      </c>
      <c r="I100">
        <f t="shared" si="20"/>
        <v>0.19947114020071635</v>
      </c>
      <c r="J100">
        <f t="shared" si="20"/>
        <v>0.17603266338214976</v>
      </c>
      <c r="K100">
        <f t="shared" si="20"/>
        <v>0.12098536225957168</v>
      </c>
      <c r="L100">
        <f t="shared" si="20"/>
        <v>6.4758797832945872E-2</v>
      </c>
      <c r="M100">
        <f t="shared" si="20"/>
        <v>2.6995483256594031E-2</v>
      </c>
      <c r="N100">
        <f t="shared" si="20"/>
        <v>8.7641502467842702E-3</v>
      </c>
      <c r="O100">
        <f t="shared" si="20"/>
        <v>2.2159242059690038E-3</v>
      </c>
      <c r="P100">
        <f t="shared" si="20"/>
        <v>4.3634134752288008E-4</v>
      </c>
      <c r="Q100">
        <f t="shared" si="20"/>
        <v>6.6915112882442684E-5</v>
      </c>
      <c r="R100">
        <f t="shared" si="20"/>
        <v>7.9918705534527373E-6</v>
      </c>
      <c r="S100">
        <f t="shared" si="20"/>
        <v>7.4335975736714884E-7</v>
      </c>
      <c r="T100">
        <f t="shared" si="20"/>
        <v>5.384880021271638E-8</v>
      </c>
      <c r="U100">
        <f t="shared" si="20"/>
        <v>3.037941424911643E-9</v>
      </c>
      <c r="V100">
        <f t="shared" si="20"/>
        <v>1.334778307381426E-10</v>
      </c>
      <c r="W100">
        <f t="shared" si="20"/>
        <v>4.5673602041822968E-12</v>
      </c>
    </row>
    <row r="101" spans="1:23">
      <c r="A101" s="22" t="s">
        <v>15</v>
      </c>
      <c r="B101">
        <v>5</v>
      </c>
      <c r="C101">
        <v>2</v>
      </c>
      <c r="D101">
        <f t="shared" si="21"/>
        <v>2.6995483256594031E-2</v>
      </c>
      <c r="E101">
        <f t="shared" si="20"/>
        <v>6.4758797832945872E-2</v>
      </c>
      <c r="F101">
        <f t="shared" si="20"/>
        <v>0.12098536225957168</v>
      </c>
      <c r="G101">
        <f t="shared" si="20"/>
        <v>0.17603266338214976</v>
      </c>
      <c r="H101">
        <f t="shared" si="20"/>
        <v>0.19947114020071635</v>
      </c>
      <c r="I101">
        <f t="shared" si="20"/>
        <v>0.17603266338214976</v>
      </c>
      <c r="J101">
        <f t="shared" si="20"/>
        <v>0.12098536225957168</v>
      </c>
      <c r="K101">
        <f t="shared" si="20"/>
        <v>6.4758797832945872E-2</v>
      </c>
      <c r="L101">
        <f t="shared" si="20"/>
        <v>2.6995483256594031E-2</v>
      </c>
      <c r="M101">
        <f t="shared" si="20"/>
        <v>8.7641502467842702E-3</v>
      </c>
      <c r="N101">
        <f t="shared" si="20"/>
        <v>2.2159242059690038E-3</v>
      </c>
      <c r="O101">
        <f t="shared" si="20"/>
        <v>4.3634134752288008E-4</v>
      </c>
      <c r="P101">
        <f t="shared" si="20"/>
        <v>6.6915112882442684E-5</v>
      </c>
      <c r="Q101">
        <f t="shared" si="20"/>
        <v>7.9918705534527373E-6</v>
      </c>
      <c r="R101">
        <f t="shared" si="20"/>
        <v>7.4335975736714884E-7</v>
      </c>
      <c r="S101">
        <f t="shared" si="20"/>
        <v>5.384880021271638E-8</v>
      </c>
      <c r="T101">
        <f t="shared" si="20"/>
        <v>3.037941424911643E-9</v>
      </c>
      <c r="U101">
        <f t="shared" si="20"/>
        <v>1.334778307381426E-10</v>
      </c>
      <c r="V101">
        <f t="shared" si="20"/>
        <v>4.5673602041822968E-12</v>
      </c>
      <c r="W101">
        <f t="shared" si="20"/>
        <v>1.2171602665145048E-13</v>
      </c>
    </row>
    <row r="102" spans="1:23">
      <c r="A102" s="22"/>
    </row>
    <row r="103" spans="1:23">
      <c r="A103" s="30" t="s">
        <v>136</v>
      </c>
    </row>
    <row r="104" spans="1:23">
      <c r="A104" s="30"/>
    </row>
    <row r="105" spans="1:23">
      <c r="A105" s="22" t="s">
        <v>73</v>
      </c>
    </row>
    <row r="106" spans="1:23">
      <c r="A106" s="22" t="s">
        <v>41</v>
      </c>
      <c r="D106" s="3">
        <v>1</v>
      </c>
      <c r="E106" s="3">
        <v>2</v>
      </c>
      <c r="F106" s="3">
        <v>3</v>
      </c>
      <c r="G106" s="3">
        <v>4</v>
      </c>
      <c r="H106" s="3">
        <v>5</v>
      </c>
      <c r="I106" s="3">
        <v>6</v>
      </c>
      <c r="J106" s="3">
        <v>7</v>
      </c>
      <c r="K106" s="3">
        <v>8</v>
      </c>
      <c r="L106" s="3">
        <v>9</v>
      </c>
      <c r="M106" s="3">
        <v>10</v>
      </c>
      <c r="N106" s="3">
        <v>11</v>
      </c>
      <c r="O106" s="3">
        <v>12</v>
      </c>
      <c r="P106" s="3">
        <v>13</v>
      </c>
      <c r="Q106" s="3">
        <v>14</v>
      </c>
      <c r="R106" s="3">
        <v>15</v>
      </c>
      <c r="S106" s="3">
        <v>16</v>
      </c>
      <c r="T106" s="3">
        <v>17</v>
      </c>
      <c r="U106" s="3">
        <v>18</v>
      </c>
      <c r="V106" s="3">
        <v>19</v>
      </c>
      <c r="W106" s="3">
        <v>20</v>
      </c>
    </row>
    <row r="107" spans="1:23">
      <c r="A107" s="22" t="s">
        <v>5</v>
      </c>
      <c r="D107">
        <f>IF(D52&lt;=4,D52,0)</f>
        <v>0</v>
      </c>
      <c r="E107">
        <f t="shared" ref="E107:W117" si="22">IF(E52&lt;=4,E52,0)</f>
        <v>0</v>
      </c>
      <c r="F107">
        <f t="shared" si="22"/>
        <v>0</v>
      </c>
      <c r="G107">
        <f t="shared" si="22"/>
        <v>0</v>
      </c>
      <c r="H107">
        <f t="shared" si="22"/>
        <v>1</v>
      </c>
      <c r="I107">
        <f t="shared" si="22"/>
        <v>1</v>
      </c>
      <c r="J107">
        <f t="shared" si="22"/>
        <v>1</v>
      </c>
      <c r="K107">
        <f t="shared" si="22"/>
        <v>2</v>
      </c>
      <c r="L107">
        <f t="shared" si="22"/>
        <v>2</v>
      </c>
      <c r="M107">
        <f t="shared" si="22"/>
        <v>3</v>
      </c>
      <c r="N107">
        <f t="shared" si="22"/>
        <v>3</v>
      </c>
      <c r="O107">
        <f t="shared" si="22"/>
        <v>3</v>
      </c>
      <c r="P107">
        <f t="shared" si="22"/>
        <v>4</v>
      </c>
      <c r="Q107">
        <f t="shared" si="22"/>
        <v>4</v>
      </c>
      <c r="R107">
        <f t="shared" si="22"/>
        <v>0</v>
      </c>
      <c r="S107">
        <f t="shared" si="22"/>
        <v>0</v>
      </c>
      <c r="T107">
        <f t="shared" si="22"/>
        <v>0</v>
      </c>
      <c r="U107">
        <f t="shared" si="22"/>
        <v>0</v>
      </c>
      <c r="V107">
        <f t="shared" si="22"/>
        <v>0</v>
      </c>
      <c r="W107">
        <f t="shared" si="22"/>
        <v>0</v>
      </c>
    </row>
    <row r="108" spans="1:23">
      <c r="A108" s="22" t="s">
        <v>6</v>
      </c>
      <c r="D108">
        <f t="shared" ref="D108:S117" si="23">IF(D53&lt;=4,D53,0)</f>
        <v>0</v>
      </c>
      <c r="E108">
        <f t="shared" si="23"/>
        <v>0</v>
      </c>
      <c r="F108">
        <f t="shared" si="23"/>
        <v>0</v>
      </c>
      <c r="G108">
        <f t="shared" si="23"/>
        <v>1</v>
      </c>
      <c r="H108">
        <f t="shared" si="23"/>
        <v>1</v>
      </c>
      <c r="I108">
        <f t="shared" si="23"/>
        <v>2</v>
      </c>
      <c r="J108">
        <f t="shared" si="23"/>
        <v>3</v>
      </c>
      <c r="K108">
        <f t="shared" si="23"/>
        <v>3</v>
      </c>
      <c r="L108">
        <f t="shared" si="23"/>
        <v>4</v>
      </c>
      <c r="M108">
        <f t="shared" si="23"/>
        <v>0</v>
      </c>
      <c r="N108">
        <f t="shared" si="23"/>
        <v>0</v>
      </c>
      <c r="O108">
        <f t="shared" si="23"/>
        <v>0</v>
      </c>
      <c r="P108">
        <f t="shared" si="23"/>
        <v>0</v>
      </c>
      <c r="Q108">
        <f t="shared" si="23"/>
        <v>0</v>
      </c>
      <c r="R108">
        <f t="shared" si="23"/>
        <v>0</v>
      </c>
      <c r="S108">
        <f t="shared" si="23"/>
        <v>0</v>
      </c>
      <c r="T108">
        <f t="shared" si="22"/>
        <v>0</v>
      </c>
      <c r="U108">
        <f t="shared" si="22"/>
        <v>0</v>
      </c>
      <c r="V108">
        <f t="shared" si="22"/>
        <v>0</v>
      </c>
      <c r="W108">
        <f t="shared" si="22"/>
        <v>0</v>
      </c>
    </row>
    <row r="109" spans="1:23">
      <c r="A109" s="22" t="s">
        <v>7</v>
      </c>
      <c r="D109">
        <f t="shared" si="23"/>
        <v>0</v>
      </c>
      <c r="E109">
        <f t="shared" si="22"/>
        <v>0</v>
      </c>
      <c r="F109">
        <f t="shared" si="22"/>
        <v>0</v>
      </c>
      <c r="G109">
        <f t="shared" si="22"/>
        <v>1</v>
      </c>
      <c r="H109">
        <f t="shared" si="22"/>
        <v>3</v>
      </c>
      <c r="I109">
        <f t="shared" si="22"/>
        <v>0</v>
      </c>
      <c r="J109">
        <f t="shared" si="22"/>
        <v>0</v>
      </c>
      <c r="K109">
        <f t="shared" si="22"/>
        <v>0</v>
      </c>
      <c r="L109">
        <f t="shared" si="22"/>
        <v>0</v>
      </c>
      <c r="M109">
        <f t="shared" si="22"/>
        <v>0</v>
      </c>
      <c r="N109">
        <f t="shared" si="22"/>
        <v>0</v>
      </c>
      <c r="O109">
        <f t="shared" si="22"/>
        <v>0</v>
      </c>
      <c r="P109">
        <f t="shared" si="22"/>
        <v>0</v>
      </c>
      <c r="Q109">
        <f t="shared" si="22"/>
        <v>0</v>
      </c>
      <c r="R109">
        <f t="shared" si="22"/>
        <v>0</v>
      </c>
      <c r="S109">
        <f t="shared" si="22"/>
        <v>0</v>
      </c>
      <c r="T109">
        <f t="shared" si="22"/>
        <v>0</v>
      </c>
      <c r="U109">
        <f t="shared" si="22"/>
        <v>0</v>
      </c>
      <c r="V109">
        <f t="shared" si="22"/>
        <v>0</v>
      </c>
      <c r="W109">
        <f t="shared" si="22"/>
        <v>0</v>
      </c>
    </row>
    <row r="110" spans="1:23">
      <c r="A110" s="22" t="s">
        <v>8</v>
      </c>
      <c r="D110">
        <f t="shared" si="23"/>
        <v>0</v>
      </c>
      <c r="E110">
        <f t="shared" si="22"/>
        <v>0</v>
      </c>
      <c r="F110">
        <f t="shared" si="22"/>
        <v>1</v>
      </c>
      <c r="G110">
        <f t="shared" si="22"/>
        <v>2</v>
      </c>
      <c r="H110">
        <f t="shared" si="22"/>
        <v>0</v>
      </c>
      <c r="I110">
        <f t="shared" si="22"/>
        <v>0</v>
      </c>
      <c r="J110">
        <f t="shared" si="22"/>
        <v>0</v>
      </c>
      <c r="K110">
        <f t="shared" si="22"/>
        <v>0</v>
      </c>
      <c r="L110">
        <f t="shared" si="22"/>
        <v>0</v>
      </c>
      <c r="M110">
        <f t="shared" si="22"/>
        <v>0</v>
      </c>
      <c r="N110">
        <f t="shared" si="22"/>
        <v>0</v>
      </c>
      <c r="O110">
        <f t="shared" si="22"/>
        <v>0</v>
      </c>
      <c r="P110">
        <f t="shared" si="22"/>
        <v>0</v>
      </c>
      <c r="Q110">
        <f t="shared" si="22"/>
        <v>0</v>
      </c>
      <c r="R110">
        <f t="shared" si="22"/>
        <v>0</v>
      </c>
      <c r="S110">
        <f t="shared" si="22"/>
        <v>0</v>
      </c>
      <c r="T110">
        <f t="shared" si="22"/>
        <v>0</v>
      </c>
      <c r="U110">
        <f t="shared" si="22"/>
        <v>0</v>
      </c>
      <c r="V110">
        <f t="shared" si="22"/>
        <v>0</v>
      </c>
      <c r="W110">
        <f t="shared" si="22"/>
        <v>0</v>
      </c>
    </row>
    <row r="111" spans="1:23">
      <c r="A111" s="22" t="s">
        <v>9</v>
      </c>
      <c r="D111">
        <f t="shared" si="23"/>
        <v>0</v>
      </c>
      <c r="E111">
        <f t="shared" si="22"/>
        <v>0</v>
      </c>
      <c r="F111">
        <f t="shared" si="22"/>
        <v>1</v>
      </c>
      <c r="G111">
        <f t="shared" si="22"/>
        <v>4</v>
      </c>
      <c r="H111">
        <f t="shared" si="22"/>
        <v>0</v>
      </c>
      <c r="I111">
        <f t="shared" si="22"/>
        <v>0</v>
      </c>
      <c r="J111">
        <f t="shared" si="22"/>
        <v>0</v>
      </c>
      <c r="K111">
        <f t="shared" si="22"/>
        <v>0</v>
      </c>
      <c r="L111">
        <f t="shared" si="22"/>
        <v>0</v>
      </c>
      <c r="M111">
        <f t="shared" si="22"/>
        <v>0</v>
      </c>
      <c r="N111">
        <f t="shared" si="22"/>
        <v>0</v>
      </c>
      <c r="O111">
        <f t="shared" si="22"/>
        <v>0</v>
      </c>
      <c r="P111">
        <f t="shared" si="22"/>
        <v>0</v>
      </c>
      <c r="Q111">
        <f t="shared" si="22"/>
        <v>0</v>
      </c>
      <c r="R111">
        <f t="shared" si="22"/>
        <v>0</v>
      </c>
      <c r="S111">
        <f t="shared" si="22"/>
        <v>0</v>
      </c>
      <c r="T111">
        <f t="shared" si="22"/>
        <v>0</v>
      </c>
      <c r="U111">
        <f t="shared" si="22"/>
        <v>0</v>
      </c>
      <c r="V111">
        <f t="shared" si="22"/>
        <v>0</v>
      </c>
      <c r="W111">
        <f t="shared" si="22"/>
        <v>0</v>
      </c>
    </row>
    <row r="112" spans="1:23">
      <c r="A112" s="22" t="s">
        <v>10</v>
      </c>
      <c r="D112">
        <f t="shared" si="23"/>
        <v>0</v>
      </c>
      <c r="E112">
        <f t="shared" si="22"/>
        <v>1</v>
      </c>
      <c r="F112">
        <f t="shared" si="22"/>
        <v>2</v>
      </c>
      <c r="G112">
        <f t="shared" si="22"/>
        <v>0</v>
      </c>
      <c r="H112">
        <f t="shared" si="22"/>
        <v>0</v>
      </c>
      <c r="I112">
        <f t="shared" si="22"/>
        <v>0</v>
      </c>
      <c r="J112">
        <f t="shared" si="22"/>
        <v>0</v>
      </c>
      <c r="K112">
        <f t="shared" si="22"/>
        <v>0</v>
      </c>
      <c r="L112">
        <f t="shared" si="22"/>
        <v>0</v>
      </c>
      <c r="M112">
        <f t="shared" si="22"/>
        <v>0</v>
      </c>
      <c r="N112">
        <f t="shared" si="22"/>
        <v>0</v>
      </c>
      <c r="O112">
        <f t="shared" si="22"/>
        <v>0</v>
      </c>
      <c r="P112">
        <f t="shared" si="22"/>
        <v>0</v>
      </c>
      <c r="Q112">
        <f t="shared" si="22"/>
        <v>0</v>
      </c>
      <c r="R112">
        <f t="shared" si="22"/>
        <v>0</v>
      </c>
      <c r="S112">
        <f t="shared" si="22"/>
        <v>0</v>
      </c>
      <c r="T112">
        <f t="shared" si="22"/>
        <v>0</v>
      </c>
      <c r="U112">
        <f t="shared" si="22"/>
        <v>0</v>
      </c>
      <c r="V112">
        <f t="shared" si="22"/>
        <v>0</v>
      </c>
      <c r="W112">
        <f t="shared" si="22"/>
        <v>0</v>
      </c>
    </row>
    <row r="113" spans="1:23">
      <c r="A113" s="22" t="s">
        <v>11</v>
      </c>
      <c r="D113">
        <f t="shared" si="23"/>
        <v>0</v>
      </c>
      <c r="E113">
        <f t="shared" si="22"/>
        <v>1</v>
      </c>
      <c r="F113">
        <f t="shared" si="22"/>
        <v>3</v>
      </c>
      <c r="G113">
        <f t="shared" si="22"/>
        <v>0</v>
      </c>
      <c r="H113">
        <f t="shared" si="22"/>
        <v>0</v>
      </c>
      <c r="I113">
        <f t="shared" si="22"/>
        <v>0</v>
      </c>
      <c r="J113">
        <f t="shared" si="22"/>
        <v>0</v>
      </c>
      <c r="K113">
        <f t="shared" si="22"/>
        <v>0</v>
      </c>
      <c r="L113">
        <f t="shared" si="22"/>
        <v>0</v>
      </c>
      <c r="M113">
        <f t="shared" si="22"/>
        <v>0</v>
      </c>
      <c r="N113">
        <f t="shared" si="22"/>
        <v>0</v>
      </c>
      <c r="O113">
        <f t="shared" si="22"/>
        <v>0</v>
      </c>
      <c r="P113">
        <f t="shared" si="22"/>
        <v>0</v>
      </c>
      <c r="Q113">
        <f t="shared" si="22"/>
        <v>0</v>
      </c>
      <c r="R113">
        <f t="shared" si="22"/>
        <v>0</v>
      </c>
      <c r="S113">
        <f t="shared" si="22"/>
        <v>0</v>
      </c>
      <c r="T113">
        <f t="shared" si="22"/>
        <v>0</v>
      </c>
      <c r="U113">
        <f t="shared" si="22"/>
        <v>0</v>
      </c>
      <c r="V113">
        <f t="shared" si="22"/>
        <v>0</v>
      </c>
      <c r="W113">
        <f t="shared" si="22"/>
        <v>0</v>
      </c>
    </row>
    <row r="114" spans="1:23">
      <c r="A114" s="22" t="s">
        <v>12</v>
      </c>
      <c r="D114">
        <f t="shared" si="23"/>
        <v>0</v>
      </c>
      <c r="E114">
        <f t="shared" si="22"/>
        <v>1</v>
      </c>
      <c r="F114">
        <f t="shared" si="22"/>
        <v>4</v>
      </c>
      <c r="G114">
        <f t="shared" si="22"/>
        <v>0</v>
      </c>
      <c r="H114">
        <f t="shared" si="22"/>
        <v>0</v>
      </c>
      <c r="I114">
        <f t="shared" si="22"/>
        <v>0</v>
      </c>
      <c r="J114">
        <f t="shared" si="22"/>
        <v>0</v>
      </c>
      <c r="K114">
        <f t="shared" si="22"/>
        <v>0</v>
      </c>
      <c r="L114">
        <f t="shared" si="22"/>
        <v>0</v>
      </c>
      <c r="M114">
        <f t="shared" si="22"/>
        <v>0</v>
      </c>
      <c r="N114">
        <f t="shared" si="22"/>
        <v>0</v>
      </c>
      <c r="O114">
        <f t="shared" si="22"/>
        <v>0</v>
      </c>
      <c r="P114">
        <f t="shared" si="22"/>
        <v>0</v>
      </c>
      <c r="Q114">
        <f t="shared" si="22"/>
        <v>0</v>
      </c>
      <c r="R114">
        <f t="shared" si="22"/>
        <v>0</v>
      </c>
      <c r="S114">
        <f t="shared" si="22"/>
        <v>0</v>
      </c>
      <c r="T114">
        <f t="shared" si="22"/>
        <v>0</v>
      </c>
      <c r="U114">
        <f t="shared" si="22"/>
        <v>0</v>
      </c>
      <c r="V114">
        <f t="shared" si="22"/>
        <v>0</v>
      </c>
      <c r="W114">
        <f t="shared" si="22"/>
        <v>0</v>
      </c>
    </row>
    <row r="115" spans="1:23">
      <c r="A115" s="22" t="s">
        <v>13</v>
      </c>
      <c r="D115">
        <f t="shared" si="23"/>
        <v>0</v>
      </c>
      <c r="E115">
        <f t="shared" si="22"/>
        <v>1</v>
      </c>
      <c r="F115">
        <f t="shared" si="22"/>
        <v>3</v>
      </c>
      <c r="G115">
        <f t="shared" si="22"/>
        <v>0</v>
      </c>
      <c r="H115">
        <f t="shared" si="22"/>
        <v>0</v>
      </c>
      <c r="I115">
        <f t="shared" si="22"/>
        <v>0</v>
      </c>
      <c r="J115">
        <f t="shared" si="22"/>
        <v>0</v>
      </c>
      <c r="K115">
        <f t="shared" si="22"/>
        <v>0</v>
      </c>
      <c r="L115">
        <f t="shared" si="22"/>
        <v>0</v>
      </c>
      <c r="M115">
        <f t="shared" si="22"/>
        <v>0</v>
      </c>
      <c r="N115">
        <f t="shared" si="22"/>
        <v>0</v>
      </c>
      <c r="O115">
        <f t="shared" si="22"/>
        <v>0</v>
      </c>
      <c r="P115">
        <f t="shared" si="22"/>
        <v>0</v>
      </c>
      <c r="Q115">
        <f t="shared" si="22"/>
        <v>0</v>
      </c>
      <c r="R115">
        <f t="shared" si="22"/>
        <v>0</v>
      </c>
      <c r="S115">
        <f t="shared" si="22"/>
        <v>0</v>
      </c>
      <c r="T115">
        <f t="shared" si="22"/>
        <v>0</v>
      </c>
      <c r="U115">
        <f t="shared" si="22"/>
        <v>0</v>
      </c>
      <c r="V115">
        <f t="shared" si="22"/>
        <v>0</v>
      </c>
      <c r="W115">
        <f t="shared" si="22"/>
        <v>0</v>
      </c>
    </row>
    <row r="116" spans="1:23">
      <c r="A116" s="22" t="s">
        <v>14</v>
      </c>
      <c r="D116">
        <f t="shared" si="23"/>
        <v>0</v>
      </c>
      <c r="E116">
        <f t="shared" si="22"/>
        <v>1</v>
      </c>
      <c r="F116">
        <f t="shared" si="22"/>
        <v>4</v>
      </c>
      <c r="G116">
        <f t="shared" si="22"/>
        <v>0</v>
      </c>
      <c r="H116">
        <f t="shared" si="22"/>
        <v>0</v>
      </c>
      <c r="I116">
        <f t="shared" si="22"/>
        <v>0</v>
      </c>
      <c r="J116">
        <f t="shared" si="22"/>
        <v>0</v>
      </c>
      <c r="K116">
        <f t="shared" si="22"/>
        <v>0</v>
      </c>
      <c r="L116">
        <f t="shared" si="22"/>
        <v>0</v>
      </c>
      <c r="M116">
        <f t="shared" si="22"/>
        <v>0</v>
      </c>
      <c r="N116">
        <f t="shared" si="22"/>
        <v>0</v>
      </c>
      <c r="O116">
        <f t="shared" si="22"/>
        <v>0</v>
      </c>
      <c r="P116">
        <f t="shared" si="22"/>
        <v>0</v>
      </c>
      <c r="Q116">
        <f t="shared" si="22"/>
        <v>0</v>
      </c>
      <c r="R116">
        <f t="shared" si="22"/>
        <v>0</v>
      </c>
      <c r="S116">
        <f t="shared" si="22"/>
        <v>0</v>
      </c>
      <c r="T116">
        <f t="shared" si="22"/>
        <v>0</v>
      </c>
      <c r="U116">
        <f t="shared" si="22"/>
        <v>0</v>
      </c>
      <c r="V116">
        <f t="shared" si="22"/>
        <v>0</v>
      </c>
      <c r="W116">
        <f t="shared" si="22"/>
        <v>0</v>
      </c>
    </row>
    <row r="117" spans="1:23">
      <c r="A117" s="22" t="s">
        <v>15</v>
      </c>
      <c r="D117">
        <f t="shared" si="23"/>
        <v>0</v>
      </c>
      <c r="E117">
        <f t="shared" si="22"/>
        <v>0</v>
      </c>
      <c r="F117">
        <f t="shared" si="22"/>
        <v>1</v>
      </c>
      <c r="G117">
        <f t="shared" si="22"/>
        <v>3</v>
      </c>
      <c r="H117">
        <f t="shared" si="22"/>
        <v>0</v>
      </c>
      <c r="I117">
        <f t="shared" si="22"/>
        <v>0</v>
      </c>
      <c r="J117">
        <f t="shared" si="22"/>
        <v>0</v>
      </c>
      <c r="K117">
        <f t="shared" si="22"/>
        <v>0</v>
      </c>
      <c r="L117">
        <f t="shared" si="22"/>
        <v>0</v>
      </c>
      <c r="M117">
        <f t="shared" si="22"/>
        <v>0</v>
      </c>
      <c r="N117">
        <f t="shared" si="22"/>
        <v>0</v>
      </c>
      <c r="O117">
        <f t="shared" si="22"/>
        <v>0</v>
      </c>
      <c r="P117">
        <f t="shared" si="22"/>
        <v>0</v>
      </c>
      <c r="Q117">
        <f t="shared" si="22"/>
        <v>0</v>
      </c>
      <c r="R117">
        <f t="shared" si="22"/>
        <v>0</v>
      </c>
      <c r="S117">
        <f t="shared" si="22"/>
        <v>0</v>
      </c>
      <c r="T117">
        <f t="shared" si="22"/>
        <v>0</v>
      </c>
      <c r="U117">
        <f t="shared" si="22"/>
        <v>0</v>
      </c>
      <c r="V117">
        <f t="shared" si="22"/>
        <v>0</v>
      </c>
      <c r="W117">
        <f t="shared" si="22"/>
        <v>0</v>
      </c>
    </row>
    <row r="119" spans="1:23">
      <c r="A119" s="22" t="s">
        <v>76</v>
      </c>
      <c r="B119" t="s">
        <v>86</v>
      </c>
      <c r="C119" t="s">
        <v>72</v>
      </c>
      <c r="D119" s="3">
        <v>1</v>
      </c>
      <c r="E119" s="3">
        <v>2</v>
      </c>
      <c r="F119" s="3">
        <v>3</v>
      </c>
      <c r="G119" s="3">
        <v>4</v>
      </c>
      <c r="H119" s="3">
        <v>5</v>
      </c>
      <c r="I119" s="3">
        <v>6</v>
      </c>
      <c r="J119" s="3">
        <v>7</v>
      </c>
      <c r="K119" s="3">
        <v>8</v>
      </c>
      <c r="L119" s="3">
        <v>9</v>
      </c>
      <c r="M119" s="3">
        <v>10</v>
      </c>
      <c r="N119" s="3">
        <v>11</v>
      </c>
      <c r="O119" s="3">
        <v>12</v>
      </c>
      <c r="P119" s="3">
        <v>13</v>
      </c>
      <c r="Q119" s="3">
        <v>14</v>
      </c>
      <c r="R119" s="3">
        <v>15</v>
      </c>
      <c r="S119" s="3">
        <v>16</v>
      </c>
      <c r="T119" s="3">
        <v>17</v>
      </c>
      <c r="U119" s="3">
        <v>18</v>
      </c>
      <c r="V119" s="3">
        <v>19</v>
      </c>
      <c r="W119" s="3">
        <v>20</v>
      </c>
    </row>
    <row r="120" spans="1:23">
      <c r="A120" s="22" t="s">
        <v>5</v>
      </c>
      <c r="B120">
        <v>10</v>
      </c>
      <c r="C120">
        <v>3</v>
      </c>
      <c r="D120">
        <f t="shared" ref="D120:M120" ca="1" si="24">IF($B120&lt;D119,OFFSET(D120,-13,-$B120),0)</f>
        <v>0</v>
      </c>
      <c r="E120">
        <f t="shared" ca="1" si="24"/>
        <v>0</v>
      </c>
      <c r="F120">
        <f t="shared" ca="1" si="24"/>
        <v>0</v>
      </c>
      <c r="G120">
        <f t="shared" ca="1" si="24"/>
        <v>0</v>
      </c>
      <c r="H120">
        <f t="shared" ca="1" si="24"/>
        <v>0</v>
      </c>
      <c r="I120">
        <f t="shared" ca="1" si="24"/>
        <v>0</v>
      </c>
      <c r="J120">
        <f t="shared" ca="1" si="24"/>
        <v>0</v>
      </c>
      <c r="K120">
        <f t="shared" ca="1" si="24"/>
        <v>0</v>
      </c>
      <c r="L120">
        <f t="shared" ca="1" si="24"/>
        <v>0</v>
      </c>
      <c r="M120">
        <f t="shared" ca="1" si="24"/>
        <v>0</v>
      </c>
      <c r="N120">
        <f ca="1">IF($B120&lt;N119,OFFSET(N120,-13,-$B120),0)</f>
        <v>0</v>
      </c>
      <c r="O120">
        <f t="shared" ref="O120:W120" ca="1" si="25">IF($B120&lt;O119,OFFSET(O120,-13,-$B120),0)</f>
        <v>0</v>
      </c>
      <c r="P120">
        <f t="shared" ca="1" si="25"/>
        <v>0</v>
      </c>
      <c r="Q120">
        <f t="shared" ca="1" si="25"/>
        <v>0</v>
      </c>
      <c r="R120">
        <f t="shared" ca="1" si="25"/>
        <v>1</v>
      </c>
      <c r="S120">
        <f t="shared" ca="1" si="25"/>
        <v>1</v>
      </c>
      <c r="T120">
        <f t="shared" ca="1" si="25"/>
        <v>1</v>
      </c>
      <c r="U120">
        <f t="shared" ca="1" si="25"/>
        <v>2</v>
      </c>
      <c r="V120">
        <f t="shared" ca="1" si="25"/>
        <v>2</v>
      </c>
      <c r="W120">
        <f t="shared" ca="1" si="25"/>
        <v>3</v>
      </c>
    </row>
    <row r="121" spans="1:23">
      <c r="A121" s="22" t="s">
        <v>6</v>
      </c>
      <c r="B121">
        <v>10</v>
      </c>
      <c r="C121">
        <v>3</v>
      </c>
      <c r="D121">
        <f t="shared" ref="D121:M121" ca="1" si="26">IF($B121&lt;D119,OFFSET(D121,-13,-$B121),0)</f>
        <v>0</v>
      </c>
      <c r="E121">
        <f t="shared" ca="1" si="26"/>
        <v>0</v>
      </c>
      <c r="F121">
        <f t="shared" ca="1" si="26"/>
        <v>0</v>
      </c>
      <c r="G121">
        <f t="shared" ca="1" si="26"/>
        <v>0</v>
      </c>
      <c r="H121">
        <f t="shared" ca="1" si="26"/>
        <v>0</v>
      </c>
      <c r="I121">
        <f t="shared" ca="1" si="26"/>
        <v>0</v>
      </c>
      <c r="J121">
        <f t="shared" ca="1" si="26"/>
        <v>0</v>
      </c>
      <c r="K121">
        <f t="shared" ca="1" si="26"/>
        <v>0</v>
      </c>
      <c r="L121">
        <f t="shared" ca="1" si="26"/>
        <v>0</v>
      </c>
      <c r="M121">
        <f t="shared" ca="1" si="26"/>
        <v>0</v>
      </c>
      <c r="N121">
        <f ca="1">IF($B121&lt;N119,OFFSET(N121,-13,-$B121),0)</f>
        <v>0</v>
      </c>
      <c r="O121">
        <f t="shared" ref="O121:W121" ca="1" si="27">IF($B121&lt;O119,OFFSET(O121,-13,-$B121),0)</f>
        <v>0</v>
      </c>
      <c r="P121">
        <f t="shared" ca="1" si="27"/>
        <v>0</v>
      </c>
      <c r="Q121">
        <f t="shared" ca="1" si="27"/>
        <v>1</v>
      </c>
      <c r="R121">
        <f t="shared" ca="1" si="27"/>
        <v>1</v>
      </c>
      <c r="S121">
        <f t="shared" ca="1" si="27"/>
        <v>2</v>
      </c>
      <c r="T121">
        <f t="shared" ca="1" si="27"/>
        <v>3</v>
      </c>
      <c r="U121">
        <f t="shared" ca="1" si="27"/>
        <v>3</v>
      </c>
      <c r="V121">
        <f t="shared" ca="1" si="27"/>
        <v>4</v>
      </c>
      <c r="W121">
        <f t="shared" ca="1" si="27"/>
        <v>0</v>
      </c>
    </row>
    <row r="122" spans="1:23">
      <c r="A122" s="22" t="s">
        <v>7</v>
      </c>
      <c r="B122">
        <v>9</v>
      </c>
      <c r="C122">
        <v>3</v>
      </c>
      <c r="D122">
        <f t="shared" ref="D122:M122" ca="1" si="28">IF($B122&lt;D119,OFFSET(D122,-13,-$B122),0)</f>
        <v>0</v>
      </c>
      <c r="E122">
        <f t="shared" ca="1" si="28"/>
        <v>0</v>
      </c>
      <c r="F122">
        <f t="shared" ca="1" si="28"/>
        <v>0</v>
      </c>
      <c r="G122">
        <f t="shared" ca="1" si="28"/>
        <v>0</v>
      </c>
      <c r="H122">
        <f t="shared" ca="1" si="28"/>
        <v>0</v>
      </c>
      <c r="I122">
        <f t="shared" ca="1" si="28"/>
        <v>0</v>
      </c>
      <c r="J122">
        <f t="shared" ca="1" si="28"/>
        <v>0</v>
      </c>
      <c r="K122">
        <f t="shared" ca="1" si="28"/>
        <v>0</v>
      </c>
      <c r="L122">
        <f t="shared" ca="1" si="28"/>
        <v>0</v>
      </c>
      <c r="M122">
        <f t="shared" ca="1" si="28"/>
        <v>0</v>
      </c>
      <c r="N122">
        <f ca="1">IF($B122&lt;N119,OFFSET(N122,-13,-$B122),0)</f>
        <v>0</v>
      </c>
      <c r="O122">
        <f t="shared" ref="O122:W122" ca="1" si="29">IF($B122&lt;O119,OFFSET(O122,-13,-$B122),0)</f>
        <v>0</v>
      </c>
      <c r="P122">
        <f t="shared" ca="1" si="29"/>
        <v>1</v>
      </c>
      <c r="Q122">
        <f t="shared" ca="1" si="29"/>
        <v>3</v>
      </c>
      <c r="R122">
        <f t="shared" ca="1" si="29"/>
        <v>0</v>
      </c>
      <c r="S122">
        <f t="shared" ca="1" si="29"/>
        <v>0</v>
      </c>
      <c r="T122">
        <f t="shared" ca="1" si="29"/>
        <v>0</v>
      </c>
      <c r="U122">
        <f t="shared" ca="1" si="29"/>
        <v>0</v>
      </c>
      <c r="V122">
        <f t="shared" ca="1" si="29"/>
        <v>0</v>
      </c>
      <c r="W122">
        <f t="shared" ca="1" si="29"/>
        <v>0</v>
      </c>
    </row>
    <row r="123" spans="1:23">
      <c r="A123" s="22" t="s">
        <v>8</v>
      </c>
      <c r="B123">
        <v>9</v>
      </c>
      <c r="C123">
        <v>3</v>
      </c>
      <c r="D123">
        <f t="shared" ref="D123:M123" ca="1" si="30">IF($B123&lt;D119,OFFSET(D123,-13,-$B123),0)</f>
        <v>0</v>
      </c>
      <c r="E123">
        <f t="shared" ca="1" si="30"/>
        <v>0</v>
      </c>
      <c r="F123">
        <f t="shared" ca="1" si="30"/>
        <v>0</v>
      </c>
      <c r="G123">
        <f t="shared" ca="1" si="30"/>
        <v>0</v>
      </c>
      <c r="H123">
        <f t="shared" ca="1" si="30"/>
        <v>0</v>
      </c>
      <c r="I123">
        <f t="shared" ca="1" si="30"/>
        <v>0</v>
      </c>
      <c r="J123">
        <f t="shared" ca="1" si="30"/>
        <v>0</v>
      </c>
      <c r="K123">
        <f t="shared" ca="1" si="30"/>
        <v>0</v>
      </c>
      <c r="L123">
        <f t="shared" ca="1" si="30"/>
        <v>0</v>
      </c>
      <c r="M123">
        <f t="shared" ca="1" si="30"/>
        <v>0</v>
      </c>
      <c r="N123">
        <f ca="1">IF($B123&lt;N119,OFFSET(N123,-13,-$B123),0)</f>
        <v>0</v>
      </c>
      <c r="O123">
        <f t="shared" ref="O123:W123" ca="1" si="31">IF($B123&lt;O119,OFFSET(O123,-13,-$B123),0)</f>
        <v>1</v>
      </c>
      <c r="P123">
        <f t="shared" ca="1" si="31"/>
        <v>2</v>
      </c>
      <c r="Q123">
        <f t="shared" ca="1" si="31"/>
        <v>0</v>
      </c>
      <c r="R123">
        <f t="shared" ca="1" si="31"/>
        <v>0</v>
      </c>
      <c r="S123">
        <f t="shared" ca="1" si="31"/>
        <v>0</v>
      </c>
      <c r="T123">
        <f t="shared" ca="1" si="31"/>
        <v>0</v>
      </c>
      <c r="U123">
        <f t="shared" ca="1" si="31"/>
        <v>0</v>
      </c>
      <c r="V123">
        <f t="shared" ca="1" si="31"/>
        <v>0</v>
      </c>
      <c r="W123">
        <f t="shared" ca="1" si="31"/>
        <v>0</v>
      </c>
    </row>
    <row r="124" spans="1:23">
      <c r="A124" s="22" t="s">
        <v>9</v>
      </c>
      <c r="B124">
        <v>8</v>
      </c>
      <c r="C124">
        <v>3</v>
      </c>
      <c r="D124">
        <f t="shared" ref="D124:M124" ca="1" si="32">IF($B124&lt;D119,OFFSET(D124,-13,-$B124),0)</f>
        <v>0</v>
      </c>
      <c r="E124">
        <f t="shared" ca="1" si="32"/>
        <v>0</v>
      </c>
      <c r="F124">
        <f t="shared" ca="1" si="32"/>
        <v>0</v>
      </c>
      <c r="G124">
        <f t="shared" ca="1" si="32"/>
        <v>0</v>
      </c>
      <c r="H124">
        <f t="shared" ca="1" si="32"/>
        <v>0</v>
      </c>
      <c r="I124">
        <f t="shared" ca="1" si="32"/>
        <v>0</v>
      </c>
      <c r="J124">
        <f t="shared" ca="1" si="32"/>
        <v>0</v>
      </c>
      <c r="K124">
        <f t="shared" ca="1" si="32"/>
        <v>0</v>
      </c>
      <c r="L124">
        <f t="shared" ca="1" si="32"/>
        <v>0</v>
      </c>
      <c r="M124">
        <f t="shared" ca="1" si="32"/>
        <v>0</v>
      </c>
      <c r="N124">
        <f t="shared" ref="N124" ca="1" si="33">IF($B124&lt;N119,OFFSET(N124,-13,-$B124),0)</f>
        <v>1</v>
      </c>
      <c r="O124">
        <f t="shared" ref="O124:W124" ca="1" si="34">IF($B124&lt;O119,OFFSET(O124,-13,-$B124),0)</f>
        <v>4</v>
      </c>
      <c r="P124">
        <f t="shared" ca="1" si="34"/>
        <v>0</v>
      </c>
      <c r="Q124">
        <f t="shared" ca="1" si="34"/>
        <v>0</v>
      </c>
      <c r="R124">
        <f t="shared" ca="1" si="34"/>
        <v>0</v>
      </c>
      <c r="S124">
        <f t="shared" ca="1" si="34"/>
        <v>0</v>
      </c>
      <c r="T124">
        <f t="shared" ca="1" si="34"/>
        <v>0</v>
      </c>
      <c r="U124">
        <f t="shared" ca="1" si="34"/>
        <v>0</v>
      </c>
      <c r="V124">
        <f t="shared" ca="1" si="34"/>
        <v>0</v>
      </c>
      <c r="W124">
        <f t="shared" ca="1" si="34"/>
        <v>0</v>
      </c>
    </row>
    <row r="125" spans="1:23">
      <c r="A125" s="22" t="s">
        <v>10</v>
      </c>
      <c r="B125">
        <v>8</v>
      </c>
      <c r="C125">
        <v>3</v>
      </c>
      <c r="D125">
        <f t="shared" ref="D125:M125" ca="1" si="35">IF($B125&lt;D119,OFFSET(D125,-13,-$B125),0)</f>
        <v>0</v>
      </c>
      <c r="E125">
        <f t="shared" ca="1" si="35"/>
        <v>0</v>
      </c>
      <c r="F125">
        <f t="shared" ca="1" si="35"/>
        <v>0</v>
      </c>
      <c r="G125">
        <f t="shared" ca="1" si="35"/>
        <v>0</v>
      </c>
      <c r="H125">
        <f t="shared" ca="1" si="35"/>
        <v>0</v>
      </c>
      <c r="I125">
        <f t="shared" ca="1" si="35"/>
        <v>0</v>
      </c>
      <c r="J125">
        <f t="shared" ca="1" si="35"/>
        <v>0</v>
      </c>
      <c r="K125">
        <f t="shared" ca="1" si="35"/>
        <v>0</v>
      </c>
      <c r="L125">
        <f t="shared" ca="1" si="35"/>
        <v>0</v>
      </c>
      <c r="M125">
        <f t="shared" ca="1" si="35"/>
        <v>1</v>
      </c>
      <c r="N125">
        <f t="shared" ref="N125" ca="1" si="36">IF($B125&lt;N119,OFFSET(N125,-13,-$B125),0)</f>
        <v>2</v>
      </c>
      <c r="O125">
        <f t="shared" ref="O125:W125" ca="1" si="37">IF($B125&lt;O119,OFFSET(O125,-13,-$B125),0)</f>
        <v>0</v>
      </c>
      <c r="P125">
        <f t="shared" ca="1" si="37"/>
        <v>0</v>
      </c>
      <c r="Q125">
        <f t="shared" ca="1" si="37"/>
        <v>0</v>
      </c>
      <c r="R125">
        <f t="shared" ca="1" si="37"/>
        <v>0</v>
      </c>
      <c r="S125">
        <f t="shared" ca="1" si="37"/>
        <v>0</v>
      </c>
      <c r="T125">
        <f t="shared" ca="1" si="37"/>
        <v>0</v>
      </c>
      <c r="U125">
        <f t="shared" ca="1" si="37"/>
        <v>0</v>
      </c>
      <c r="V125">
        <f t="shared" ca="1" si="37"/>
        <v>0</v>
      </c>
      <c r="W125">
        <f t="shared" ca="1" si="37"/>
        <v>0</v>
      </c>
    </row>
    <row r="126" spans="1:23">
      <c r="A126" s="22" t="s">
        <v>11</v>
      </c>
      <c r="B126">
        <v>7</v>
      </c>
      <c r="C126">
        <v>3</v>
      </c>
      <c r="D126">
        <f t="shared" ref="D126:M126" ca="1" si="38">IF($B126&lt;D119,OFFSET(D126,-13,-$B126),0)</f>
        <v>0</v>
      </c>
      <c r="E126">
        <f t="shared" ca="1" si="38"/>
        <v>0</v>
      </c>
      <c r="F126">
        <f t="shared" ca="1" si="38"/>
        <v>0</v>
      </c>
      <c r="G126">
        <f t="shared" ca="1" si="38"/>
        <v>0</v>
      </c>
      <c r="H126">
        <f t="shared" ca="1" si="38"/>
        <v>0</v>
      </c>
      <c r="I126">
        <f t="shared" ca="1" si="38"/>
        <v>0</v>
      </c>
      <c r="J126">
        <f t="shared" ca="1" si="38"/>
        <v>0</v>
      </c>
      <c r="K126">
        <f t="shared" ca="1" si="38"/>
        <v>0</v>
      </c>
      <c r="L126">
        <f t="shared" ca="1" si="38"/>
        <v>1</v>
      </c>
      <c r="M126">
        <f t="shared" ca="1" si="38"/>
        <v>3</v>
      </c>
      <c r="N126">
        <f t="shared" ref="N126" ca="1" si="39">IF($B126&lt;N119,OFFSET(N126,-13,-$B126),0)</f>
        <v>0</v>
      </c>
      <c r="O126">
        <f t="shared" ref="O126:W126" ca="1" si="40">IF($B126&lt;O119,OFFSET(O126,-13,-$B126),0)</f>
        <v>0</v>
      </c>
      <c r="P126">
        <f t="shared" ca="1" si="40"/>
        <v>0</v>
      </c>
      <c r="Q126">
        <f t="shared" ca="1" si="40"/>
        <v>0</v>
      </c>
      <c r="R126">
        <f t="shared" ca="1" si="40"/>
        <v>0</v>
      </c>
      <c r="S126">
        <f t="shared" ca="1" si="40"/>
        <v>0</v>
      </c>
      <c r="T126">
        <f t="shared" ca="1" si="40"/>
        <v>0</v>
      </c>
      <c r="U126">
        <f t="shared" ca="1" si="40"/>
        <v>0</v>
      </c>
      <c r="V126">
        <f t="shared" ca="1" si="40"/>
        <v>0</v>
      </c>
      <c r="W126">
        <f t="shared" ca="1" si="40"/>
        <v>0</v>
      </c>
    </row>
    <row r="127" spans="1:23">
      <c r="A127" s="22" t="s">
        <v>12</v>
      </c>
      <c r="B127">
        <v>7</v>
      </c>
      <c r="C127">
        <v>3</v>
      </c>
      <c r="D127">
        <f t="shared" ref="D127:M127" ca="1" si="41">IF($B127&lt;D119,OFFSET(D127,-13,-$B127),0)</f>
        <v>0</v>
      </c>
      <c r="E127">
        <f t="shared" ca="1" si="41"/>
        <v>0</v>
      </c>
      <c r="F127">
        <f t="shared" ca="1" si="41"/>
        <v>0</v>
      </c>
      <c r="G127">
        <f t="shared" ca="1" si="41"/>
        <v>0</v>
      </c>
      <c r="H127">
        <f t="shared" ca="1" si="41"/>
        <v>0</v>
      </c>
      <c r="I127">
        <f t="shared" ca="1" si="41"/>
        <v>0</v>
      </c>
      <c r="J127">
        <f t="shared" ca="1" si="41"/>
        <v>0</v>
      </c>
      <c r="K127">
        <f t="shared" ca="1" si="41"/>
        <v>0</v>
      </c>
      <c r="L127">
        <f t="shared" ca="1" si="41"/>
        <v>1</v>
      </c>
      <c r="M127">
        <f t="shared" ca="1" si="41"/>
        <v>4</v>
      </c>
      <c r="N127">
        <f t="shared" ref="N127" ca="1" si="42">IF($B127&lt;N119,OFFSET(N127,-13,-$B127),0)</f>
        <v>0</v>
      </c>
      <c r="O127">
        <f t="shared" ref="O127:W127" ca="1" si="43">IF($B127&lt;O119,OFFSET(O127,-13,-$B127),0)</f>
        <v>0</v>
      </c>
      <c r="P127">
        <f t="shared" ca="1" si="43"/>
        <v>0</v>
      </c>
      <c r="Q127">
        <f t="shared" ca="1" si="43"/>
        <v>0</v>
      </c>
      <c r="R127">
        <f t="shared" ca="1" si="43"/>
        <v>0</v>
      </c>
      <c r="S127">
        <f t="shared" ca="1" si="43"/>
        <v>0</v>
      </c>
      <c r="T127">
        <f t="shared" ca="1" si="43"/>
        <v>0</v>
      </c>
      <c r="U127">
        <f t="shared" ca="1" si="43"/>
        <v>0</v>
      </c>
      <c r="V127">
        <f t="shared" ca="1" si="43"/>
        <v>0</v>
      </c>
      <c r="W127">
        <f t="shared" ca="1" si="43"/>
        <v>0</v>
      </c>
    </row>
    <row r="128" spans="1:23">
      <c r="A128" s="22" t="s">
        <v>13</v>
      </c>
      <c r="B128">
        <v>6</v>
      </c>
      <c r="C128">
        <v>2</v>
      </c>
      <c r="D128">
        <f t="shared" ref="D128:M128" ca="1" si="44">IF($B128&lt;D119,OFFSET(D128,-13,-$B128),0)</f>
        <v>0</v>
      </c>
      <c r="E128">
        <f t="shared" ca="1" si="44"/>
        <v>0</v>
      </c>
      <c r="F128">
        <f t="shared" ca="1" si="44"/>
        <v>0</v>
      </c>
      <c r="G128">
        <f t="shared" ca="1" si="44"/>
        <v>0</v>
      </c>
      <c r="H128">
        <f t="shared" ca="1" si="44"/>
        <v>0</v>
      </c>
      <c r="I128">
        <f t="shared" ca="1" si="44"/>
        <v>0</v>
      </c>
      <c r="J128">
        <f t="shared" ca="1" si="44"/>
        <v>0</v>
      </c>
      <c r="K128">
        <f t="shared" ca="1" si="44"/>
        <v>1</v>
      </c>
      <c r="L128">
        <f t="shared" ca="1" si="44"/>
        <v>3</v>
      </c>
      <c r="M128">
        <f t="shared" ca="1" si="44"/>
        <v>0</v>
      </c>
      <c r="N128">
        <f t="shared" ref="N128" ca="1" si="45">IF($B128&lt;N119,OFFSET(N128,-13,-$B128),0)</f>
        <v>0</v>
      </c>
      <c r="O128">
        <f t="shared" ref="O128:W128" ca="1" si="46">IF($B128&lt;O119,OFFSET(O128,-13,-$B128),0)</f>
        <v>0</v>
      </c>
      <c r="P128">
        <f t="shared" ca="1" si="46"/>
        <v>0</v>
      </c>
      <c r="Q128">
        <f t="shared" ca="1" si="46"/>
        <v>0</v>
      </c>
      <c r="R128">
        <f t="shared" ca="1" si="46"/>
        <v>0</v>
      </c>
      <c r="S128">
        <f t="shared" ca="1" si="46"/>
        <v>0</v>
      </c>
      <c r="T128">
        <f t="shared" ca="1" si="46"/>
        <v>0</v>
      </c>
      <c r="U128">
        <f t="shared" ca="1" si="46"/>
        <v>0</v>
      </c>
      <c r="V128">
        <f t="shared" ca="1" si="46"/>
        <v>0</v>
      </c>
      <c r="W128">
        <f t="shared" ca="1" si="46"/>
        <v>0</v>
      </c>
    </row>
    <row r="129" spans="1:23">
      <c r="A129" s="22" t="s">
        <v>14</v>
      </c>
      <c r="B129">
        <v>6</v>
      </c>
      <c r="C129">
        <v>2</v>
      </c>
      <c r="D129">
        <f t="shared" ref="D129:M129" ca="1" si="47">IF($B129&lt;D119,OFFSET(D129,-13,-$B129),0)</f>
        <v>0</v>
      </c>
      <c r="E129">
        <f t="shared" ca="1" si="47"/>
        <v>0</v>
      </c>
      <c r="F129">
        <f t="shared" ca="1" si="47"/>
        <v>0</v>
      </c>
      <c r="G129">
        <f t="shared" ca="1" si="47"/>
        <v>0</v>
      </c>
      <c r="H129">
        <f t="shared" ca="1" si="47"/>
        <v>0</v>
      </c>
      <c r="I129">
        <f t="shared" ca="1" si="47"/>
        <v>0</v>
      </c>
      <c r="J129">
        <f t="shared" ca="1" si="47"/>
        <v>0</v>
      </c>
      <c r="K129">
        <f t="shared" ca="1" si="47"/>
        <v>1</v>
      </c>
      <c r="L129">
        <f t="shared" ca="1" si="47"/>
        <v>4</v>
      </c>
      <c r="M129">
        <f t="shared" ca="1" si="47"/>
        <v>0</v>
      </c>
      <c r="N129">
        <f t="shared" ref="N129" ca="1" si="48">IF($B129&lt;N119,OFFSET(N129,-13,-$B129),0)</f>
        <v>0</v>
      </c>
      <c r="O129">
        <f t="shared" ref="O129:W129" ca="1" si="49">IF($B129&lt;O119,OFFSET(O129,-13,-$B129),0)</f>
        <v>0</v>
      </c>
      <c r="P129">
        <f t="shared" ca="1" si="49"/>
        <v>0</v>
      </c>
      <c r="Q129">
        <f t="shared" ca="1" si="49"/>
        <v>0</v>
      </c>
      <c r="R129">
        <f t="shared" ca="1" si="49"/>
        <v>0</v>
      </c>
      <c r="S129">
        <f t="shared" ca="1" si="49"/>
        <v>0</v>
      </c>
      <c r="T129">
        <f t="shared" ca="1" si="49"/>
        <v>0</v>
      </c>
      <c r="U129">
        <f t="shared" ca="1" si="49"/>
        <v>0</v>
      </c>
      <c r="V129">
        <f t="shared" ca="1" si="49"/>
        <v>0</v>
      </c>
      <c r="W129">
        <f t="shared" ca="1" si="49"/>
        <v>0</v>
      </c>
    </row>
    <row r="130" spans="1:23">
      <c r="A130" s="22" t="s">
        <v>15</v>
      </c>
      <c r="B130">
        <v>5</v>
      </c>
      <c r="C130">
        <v>2</v>
      </c>
      <c r="D130">
        <f t="shared" ref="D130:M130" ca="1" si="50">IF($B130&lt;D119,OFFSET(D130,-13,-$B130),0)</f>
        <v>0</v>
      </c>
      <c r="E130">
        <f t="shared" ca="1" si="50"/>
        <v>0</v>
      </c>
      <c r="F130">
        <f t="shared" ca="1" si="50"/>
        <v>0</v>
      </c>
      <c r="G130">
        <f t="shared" ca="1" si="50"/>
        <v>0</v>
      </c>
      <c r="H130">
        <f t="shared" ca="1" si="50"/>
        <v>0</v>
      </c>
      <c r="I130">
        <f t="shared" ca="1" si="50"/>
        <v>0</v>
      </c>
      <c r="J130">
        <f t="shared" ca="1" si="50"/>
        <v>0</v>
      </c>
      <c r="K130">
        <f t="shared" ca="1" si="50"/>
        <v>1</v>
      </c>
      <c r="L130">
        <f t="shared" ca="1" si="50"/>
        <v>3</v>
      </c>
      <c r="M130">
        <f t="shared" ca="1" si="50"/>
        <v>0</v>
      </c>
      <c r="N130">
        <f t="shared" ref="N130" ca="1" si="51">IF($B130&lt;N119,OFFSET(N130,-13,-$B130),0)</f>
        <v>0</v>
      </c>
      <c r="O130">
        <f t="shared" ref="O130:W130" ca="1" si="52">IF($B130&lt;O119,OFFSET(O130,-13,-$B130),0)</f>
        <v>0</v>
      </c>
      <c r="P130">
        <f t="shared" ca="1" si="52"/>
        <v>0</v>
      </c>
      <c r="Q130">
        <f t="shared" ca="1" si="52"/>
        <v>0</v>
      </c>
      <c r="R130">
        <f t="shared" ca="1" si="52"/>
        <v>0</v>
      </c>
      <c r="S130">
        <f t="shared" ca="1" si="52"/>
        <v>0</v>
      </c>
      <c r="T130">
        <f t="shared" ca="1" si="52"/>
        <v>0</v>
      </c>
      <c r="U130">
        <f t="shared" ca="1" si="52"/>
        <v>0</v>
      </c>
      <c r="V130">
        <f t="shared" ca="1" si="52"/>
        <v>0</v>
      </c>
      <c r="W130">
        <f t="shared" ca="1" si="52"/>
        <v>0</v>
      </c>
    </row>
    <row r="132" spans="1:23">
      <c r="A132" s="22" t="s">
        <v>74</v>
      </c>
    </row>
    <row r="133" spans="1:23">
      <c r="A133" s="22" t="s">
        <v>41</v>
      </c>
      <c r="D133" s="3">
        <v>1</v>
      </c>
      <c r="E133" s="3">
        <v>2</v>
      </c>
      <c r="F133" s="3">
        <v>3</v>
      </c>
      <c r="G133" s="3">
        <v>4</v>
      </c>
      <c r="H133" s="3">
        <v>5</v>
      </c>
      <c r="I133" s="3">
        <v>6</v>
      </c>
      <c r="J133" s="3">
        <v>7</v>
      </c>
      <c r="K133" s="3">
        <v>8</v>
      </c>
      <c r="L133" s="3">
        <v>9</v>
      </c>
      <c r="M133" s="3">
        <v>10</v>
      </c>
      <c r="N133" s="3">
        <v>11</v>
      </c>
      <c r="O133" s="3">
        <v>12</v>
      </c>
      <c r="P133" s="3">
        <v>13</v>
      </c>
      <c r="Q133" s="3">
        <v>14</v>
      </c>
      <c r="R133" s="3">
        <v>15</v>
      </c>
      <c r="S133" s="3">
        <v>16</v>
      </c>
      <c r="T133" s="3">
        <v>17</v>
      </c>
      <c r="U133" s="3">
        <v>18</v>
      </c>
      <c r="V133" s="3">
        <v>19</v>
      </c>
      <c r="W133" s="3">
        <v>20</v>
      </c>
    </row>
    <row r="134" spans="1:23">
      <c r="A134" s="22" t="s">
        <v>5</v>
      </c>
      <c r="C134">
        <f>SUM(D134:W134)</f>
        <v>34</v>
      </c>
      <c r="D134">
        <f>IF(D52&gt;4,D52,0)</f>
        <v>0</v>
      </c>
      <c r="E134">
        <f t="shared" ref="E134:W144" si="53">IF(E52&gt;4,E52,0)</f>
        <v>0</v>
      </c>
      <c r="F134">
        <f t="shared" si="53"/>
        <v>0</v>
      </c>
      <c r="G134">
        <f t="shared" si="53"/>
        <v>0</v>
      </c>
      <c r="H134">
        <f t="shared" si="53"/>
        <v>0</v>
      </c>
      <c r="I134">
        <f t="shared" si="53"/>
        <v>0</v>
      </c>
      <c r="J134">
        <f t="shared" si="53"/>
        <v>0</v>
      </c>
      <c r="K134">
        <f t="shared" si="53"/>
        <v>0</v>
      </c>
      <c r="L134">
        <f t="shared" si="53"/>
        <v>0</v>
      </c>
      <c r="M134">
        <f t="shared" si="53"/>
        <v>0</v>
      </c>
      <c r="N134">
        <f t="shared" si="53"/>
        <v>0</v>
      </c>
      <c r="O134">
        <f t="shared" si="53"/>
        <v>0</v>
      </c>
      <c r="P134">
        <f t="shared" si="53"/>
        <v>0</v>
      </c>
      <c r="Q134">
        <f t="shared" si="53"/>
        <v>0</v>
      </c>
      <c r="R134">
        <f t="shared" si="53"/>
        <v>5</v>
      </c>
      <c r="S134">
        <f t="shared" si="53"/>
        <v>5</v>
      </c>
      <c r="T134">
        <f t="shared" si="53"/>
        <v>5</v>
      </c>
      <c r="U134">
        <f t="shared" si="53"/>
        <v>6</v>
      </c>
      <c r="V134">
        <f t="shared" si="53"/>
        <v>6</v>
      </c>
      <c r="W134">
        <f t="shared" si="53"/>
        <v>7</v>
      </c>
    </row>
    <row r="135" spans="1:23">
      <c r="A135" s="22" t="s">
        <v>6</v>
      </c>
      <c r="C135">
        <f>SUM(D135:W135)</f>
        <v>93</v>
      </c>
      <c r="D135">
        <f t="shared" ref="D135:S144" si="54">IF(D53&gt;4,D53,0)</f>
        <v>0</v>
      </c>
      <c r="E135">
        <f t="shared" si="54"/>
        <v>0</v>
      </c>
      <c r="F135">
        <f t="shared" si="54"/>
        <v>0</v>
      </c>
      <c r="G135">
        <f t="shared" si="54"/>
        <v>0</v>
      </c>
      <c r="H135">
        <f t="shared" si="54"/>
        <v>0</v>
      </c>
      <c r="I135">
        <f t="shared" si="54"/>
        <v>0</v>
      </c>
      <c r="J135">
        <f t="shared" si="54"/>
        <v>0</v>
      </c>
      <c r="K135">
        <f t="shared" si="54"/>
        <v>0</v>
      </c>
      <c r="L135">
        <f t="shared" si="54"/>
        <v>0</v>
      </c>
      <c r="M135">
        <f t="shared" si="54"/>
        <v>5</v>
      </c>
      <c r="N135">
        <f t="shared" si="54"/>
        <v>6</v>
      </c>
      <c r="O135">
        <f t="shared" si="54"/>
        <v>6</v>
      </c>
      <c r="P135">
        <f t="shared" si="54"/>
        <v>7</v>
      </c>
      <c r="Q135">
        <f t="shared" si="54"/>
        <v>8</v>
      </c>
      <c r="R135">
        <f t="shared" si="54"/>
        <v>8</v>
      </c>
      <c r="S135">
        <f t="shared" si="54"/>
        <v>9</v>
      </c>
      <c r="T135">
        <f t="shared" si="53"/>
        <v>10</v>
      </c>
      <c r="U135">
        <f t="shared" si="53"/>
        <v>11</v>
      </c>
      <c r="V135">
        <f t="shared" si="53"/>
        <v>11</v>
      </c>
      <c r="W135">
        <f t="shared" si="53"/>
        <v>12</v>
      </c>
    </row>
    <row r="136" spans="1:23">
      <c r="A136" s="22" t="s">
        <v>7</v>
      </c>
      <c r="C136">
        <f t="shared" ref="C136:C144" si="55">SUM(D136:W136)</f>
        <v>264</v>
      </c>
      <c r="D136">
        <f t="shared" si="54"/>
        <v>0</v>
      </c>
      <c r="E136">
        <f t="shared" si="53"/>
        <v>0</v>
      </c>
      <c r="F136">
        <f t="shared" si="53"/>
        <v>0</v>
      </c>
      <c r="G136">
        <f t="shared" si="53"/>
        <v>0</v>
      </c>
      <c r="H136">
        <f t="shared" si="53"/>
        <v>0</v>
      </c>
      <c r="I136">
        <f t="shared" si="53"/>
        <v>5</v>
      </c>
      <c r="J136">
        <f t="shared" si="53"/>
        <v>7</v>
      </c>
      <c r="K136">
        <f t="shared" si="53"/>
        <v>9</v>
      </c>
      <c r="L136">
        <f t="shared" si="53"/>
        <v>10</v>
      </c>
      <c r="M136">
        <f t="shared" si="53"/>
        <v>12</v>
      </c>
      <c r="N136">
        <f t="shared" si="53"/>
        <v>14</v>
      </c>
      <c r="O136">
        <f t="shared" si="53"/>
        <v>16</v>
      </c>
      <c r="P136">
        <f t="shared" si="53"/>
        <v>18</v>
      </c>
      <c r="Q136">
        <f t="shared" si="53"/>
        <v>19</v>
      </c>
      <c r="R136">
        <f t="shared" si="53"/>
        <v>21</v>
      </c>
      <c r="S136">
        <f t="shared" si="53"/>
        <v>23</v>
      </c>
      <c r="T136">
        <f t="shared" si="53"/>
        <v>25</v>
      </c>
      <c r="U136">
        <f t="shared" si="53"/>
        <v>27</v>
      </c>
      <c r="V136">
        <f t="shared" si="53"/>
        <v>28</v>
      </c>
      <c r="W136">
        <f t="shared" si="53"/>
        <v>30</v>
      </c>
    </row>
    <row r="137" spans="1:23">
      <c r="A137" s="22" t="s">
        <v>8</v>
      </c>
      <c r="C137">
        <f t="shared" si="55"/>
        <v>411</v>
      </c>
      <c r="D137">
        <f t="shared" si="54"/>
        <v>0</v>
      </c>
      <c r="E137">
        <f t="shared" si="53"/>
        <v>0</v>
      </c>
      <c r="F137">
        <f t="shared" si="53"/>
        <v>0</v>
      </c>
      <c r="G137">
        <f t="shared" si="53"/>
        <v>0</v>
      </c>
      <c r="H137">
        <f t="shared" si="53"/>
        <v>5</v>
      </c>
      <c r="I137">
        <f t="shared" si="53"/>
        <v>8</v>
      </c>
      <c r="J137">
        <f t="shared" si="53"/>
        <v>10</v>
      </c>
      <c r="K137">
        <f t="shared" si="53"/>
        <v>13</v>
      </c>
      <c r="L137">
        <f t="shared" si="53"/>
        <v>16</v>
      </c>
      <c r="M137">
        <f t="shared" si="53"/>
        <v>19</v>
      </c>
      <c r="N137">
        <f t="shared" si="53"/>
        <v>22</v>
      </c>
      <c r="O137">
        <f t="shared" si="53"/>
        <v>24</v>
      </c>
      <c r="P137">
        <f t="shared" si="53"/>
        <v>27</v>
      </c>
      <c r="Q137">
        <f t="shared" si="53"/>
        <v>30</v>
      </c>
      <c r="R137">
        <f t="shared" si="53"/>
        <v>33</v>
      </c>
      <c r="S137">
        <f t="shared" si="53"/>
        <v>35</v>
      </c>
      <c r="T137">
        <f t="shared" si="53"/>
        <v>38</v>
      </c>
      <c r="U137">
        <f t="shared" si="53"/>
        <v>41</v>
      </c>
      <c r="V137">
        <f t="shared" si="53"/>
        <v>44</v>
      </c>
      <c r="W137">
        <f t="shared" si="53"/>
        <v>46</v>
      </c>
    </row>
    <row r="138" spans="1:23">
      <c r="A138" s="22" t="s">
        <v>9</v>
      </c>
      <c r="C138">
        <f t="shared" si="55"/>
        <v>720</v>
      </c>
      <c r="D138">
        <f t="shared" si="54"/>
        <v>0</v>
      </c>
      <c r="E138">
        <f t="shared" si="53"/>
        <v>0</v>
      </c>
      <c r="F138">
        <f t="shared" si="53"/>
        <v>0</v>
      </c>
      <c r="G138">
        <f t="shared" si="53"/>
        <v>0</v>
      </c>
      <c r="H138">
        <f t="shared" si="53"/>
        <v>8</v>
      </c>
      <c r="I138">
        <f t="shared" si="53"/>
        <v>13</v>
      </c>
      <c r="J138">
        <f t="shared" si="53"/>
        <v>18</v>
      </c>
      <c r="K138">
        <f t="shared" si="53"/>
        <v>23</v>
      </c>
      <c r="L138">
        <f t="shared" si="53"/>
        <v>28</v>
      </c>
      <c r="M138">
        <f t="shared" si="53"/>
        <v>33</v>
      </c>
      <c r="N138">
        <f t="shared" si="53"/>
        <v>38</v>
      </c>
      <c r="O138">
        <f t="shared" si="53"/>
        <v>43</v>
      </c>
      <c r="P138">
        <f t="shared" si="53"/>
        <v>48</v>
      </c>
      <c r="Q138">
        <f t="shared" si="53"/>
        <v>52</v>
      </c>
      <c r="R138">
        <f t="shared" si="53"/>
        <v>57</v>
      </c>
      <c r="S138">
        <f t="shared" si="53"/>
        <v>62</v>
      </c>
      <c r="T138">
        <f t="shared" si="53"/>
        <v>67</v>
      </c>
      <c r="U138">
        <f t="shared" si="53"/>
        <v>72</v>
      </c>
      <c r="V138">
        <f t="shared" si="53"/>
        <v>77</v>
      </c>
      <c r="W138">
        <f t="shared" si="53"/>
        <v>81</v>
      </c>
    </row>
    <row r="139" spans="1:23">
      <c r="A139" s="22" t="s">
        <v>10</v>
      </c>
      <c r="C139">
        <f t="shared" si="55"/>
        <v>1433</v>
      </c>
      <c r="D139">
        <f t="shared" si="54"/>
        <v>0</v>
      </c>
      <c r="E139">
        <f t="shared" si="53"/>
        <v>0</v>
      </c>
      <c r="F139">
        <f t="shared" si="53"/>
        <v>0</v>
      </c>
      <c r="G139">
        <f t="shared" si="53"/>
        <v>8</v>
      </c>
      <c r="H139">
        <f t="shared" si="53"/>
        <v>16</v>
      </c>
      <c r="I139">
        <f t="shared" si="53"/>
        <v>26</v>
      </c>
      <c r="J139">
        <f t="shared" si="53"/>
        <v>36</v>
      </c>
      <c r="K139">
        <f t="shared" si="53"/>
        <v>46</v>
      </c>
      <c r="L139">
        <f t="shared" si="53"/>
        <v>56</v>
      </c>
      <c r="M139">
        <f t="shared" si="53"/>
        <v>65</v>
      </c>
      <c r="N139">
        <f t="shared" si="53"/>
        <v>75</v>
      </c>
      <c r="O139">
        <f t="shared" si="53"/>
        <v>85</v>
      </c>
      <c r="P139">
        <f t="shared" si="53"/>
        <v>94</v>
      </c>
      <c r="Q139">
        <f t="shared" si="53"/>
        <v>104</v>
      </c>
      <c r="R139">
        <f t="shared" si="53"/>
        <v>113</v>
      </c>
      <c r="S139">
        <f t="shared" si="53"/>
        <v>123</v>
      </c>
      <c r="T139">
        <f t="shared" si="53"/>
        <v>132</v>
      </c>
      <c r="U139">
        <f t="shared" si="53"/>
        <v>142</v>
      </c>
      <c r="V139">
        <f t="shared" si="53"/>
        <v>151</v>
      </c>
      <c r="W139">
        <f t="shared" si="53"/>
        <v>161</v>
      </c>
    </row>
    <row r="140" spans="1:23">
      <c r="A140" s="22" t="s">
        <v>11</v>
      </c>
      <c r="C140">
        <f t="shared" si="55"/>
        <v>2110</v>
      </c>
      <c r="D140">
        <f t="shared" si="54"/>
        <v>0</v>
      </c>
      <c r="E140">
        <f t="shared" si="53"/>
        <v>0</v>
      </c>
      <c r="F140">
        <f t="shared" si="53"/>
        <v>0</v>
      </c>
      <c r="G140">
        <f t="shared" si="53"/>
        <v>11</v>
      </c>
      <c r="H140">
        <f t="shared" si="53"/>
        <v>24</v>
      </c>
      <c r="I140">
        <f t="shared" si="53"/>
        <v>39</v>
      </c>
      <c r="J140">
        <f t="shared" si="53"/>
        <v>53</v>
      </c>
      <c r="K140">
        <f t="shared" si="53"/>
        <v>67</v>
      </c>
      <c r="L140">
        <f t="shared" si="53"/>
        <v>82</v>
      </c>
      <c r="M140">
        <f t="shared" si="53"/>
        <v>96</v>
      </c>
      <c r="N140">
        <f t="shared" si="53"/>
        <v>110</v>
      </c>
      <c r="O140">
        <f t="shared" si="53"/>
        <v>124</v>
      </c>
      <c r="P140">
        <f t="shared" si="53"/>
        <v>139</v>
      </c>
      <c r="Q140">
        <f t="shared" si="53"/>
        <v>153</v>
      </c>
      <c r="R140">
        <f t="shared" si="53"/>
        <v>167</v>
      </c>
      <c r="S140">
        <f t="shared" si="53"/>
        <v>181</v>
      </c>
      <c r="T140">
        <f t="shared" si="53"/>
        <v>195</v>
      </c>
      <c r="U140">
        <f t="shared" si="53"/>
        <v>209</v>
      </c>
      <c r="V140">
        <f t="shared" si="53"/>
        <v>223</v>
      </c>
      <c r="W140">
        <f t="shared" si="53"/>
        <v>237</v>
      </c>
    </row>
    <row r="141" spans="1:23">
      <c r="A141" s="22" t="s">
        <v>12</v>
      </c>
      <c r="C141">
        <f t="shared" si="55"/>
        <v>2523</v>
      </c>
      <c r="D141">
        <f t="shared" si="54"/>
        <v>0</v>
      </c>
      <c r="E141">
        <f t="shared" si="53"/>
        <v>0</v>
      </c>
      <c r="F141">
        <f t="shared" si="53"/>
        <v>0</v>
      </c>
      <c r="G141">
        <f t="shared" si="53"/>
        <v>14</v>
      </c>
      <c r="H141">
        <f t="shared" si="53"/>
        <v>29</v>
      </c>
      <c r="I141">
        <f t="shared" si="53"/>
        <v>46</v>
      </c>
      <c r="J141">
        <f t="shared" si="53"/>
        <v>63</v>
      </c>
      <c r="K141">
        <f t="shared" si="53"/>
        <v>81</v>
      </c>
      <c r="L141">
        <f t="shared" si="53"/>
        <v>98</v>
      </c>
      <c r="M141">
        <f t="shared" si="53"/>
        <v>115</v>
      </c>
      <c r="N141">
        <f t="shared" si="53"/>
        <v>132</v>
      </c>
      <c r="O141">
        <f t="shared" si="53"/>
        <v>149</v>
      </c>
      <c r="P141">
        <f t="shared" si="53"/>
        <v>166</v>
      </c>
      <c r="Q141">
        <f t="shared" si="53"/>
        <v>183</v>
      </c>
      <c r="R141">
        <f t="shared" si="53"/>
        <v>199</v>
      </c>
      <c r="S141">
        <f t="shared" si="53"/>
        <v>216</v>
      </c>
      <c r="T141">
        <f t="shared" si="53"/>
        <v>233</v>
      </c>
      <c r="U141">
        <f t="shared" si="53"/>
        <v>250</v>
      </c>
      <c r="V141">
        <f t="shared" si="53"/>
        <v>266</v>
      </c>
      <c r="W141">
        <f t="shared" si="53"/>
        <v>283</v>
      </c>
    </row>
    <row r="142" spans="1:23">
      <c r="A142" s="22" t="s">
        <v>13</v>
      </c>
      <c r="C142">
        <f t="shared" si="55"/>
        <v>2212</v>
      </c>
      <c r="D142">
        <f t="shared" si="54"/>
        <v>0</v>
      </c>
      <c r="E142">
        <f t="shared" si="53"/>
        <v>0</v>
      </c>
      <c r="F142">
        <f t="shared" si="53"/>
        <v>0</v>
      </c>
      <c r="G142">
        <f t="shared" si="53"/>
        <v>12</v>
      </c>
      <c r="H142">
        <f t="shared" si="53"/>
        <v>25</v>
      </c>
      <c r="I142">
        <f t="shared" si="53"/>
        <v>40</v>
      </c>
      <c r="J142">
        <f t="shared" si="53"/>
        <v>56</v>
      </c>
      <c r="K142">
        <f t="shared" si="53"/>
        <v>71</v>
      </c>
      <c r="L142">
        <f t="shared" si="53"/>
        <v>86</v>
      </c>
      <c r="M142">
        <f t="shared" si="53"/>
        <v>101</v>
      </c>
      <c r="N142">
        <f t="shared" si="53"/>
        <v>116</v>
      </c>
      <c r="O142">
        <f t="shared" si="53"/>
        <v>130</v>
      </c>
      <c r="P142">
        <f t="shared" si="53"/>
        <v>145</v>
      </c>
      <c r="Q142">
        <f t="shared" si="53"/>
        <v>160</v>
      </c>
      <c r="R142">
        <f t="shared" si="53"/>
        <v>175</v>
      </c>
      <c r="S142">
        <f t="shared" si="53"/>
        <v>190</v>
      </c>
      <c r="T142">
        <f t="shared" si="53"/>
        <v>204</v>
      </c>
      <c r="U142">
        <f t="shared" si="53"/>
        <v>219</v>
      </c>
      <c r="V142">
        <f t="shared" si="53"/>
        <v>234</v>
      </c>
      <c r="W142">
        <f t="shared" si="53"/>
        <v>248</v>
      </c>
    </row>
    <row r="143" spans="1:23">
      <c r="A143" s="22" t="s">
        <v>14</v>
      </c>
      <c r="C143">
        <f t="shared" si="55"/>
        <v>2425</v>
      </c>
      <c r="D143">
        <f t="shared" si="54"/>
        <v>0</v>
      </c>
      <c r="E143">
        <f t="shared" si="53"/>
        <v>0</v>
      </c>
      <c r="F143">
        <f t="shared" si="53"/>
        <v>0</v>
      </c>
      <c r="G143">
        <f t="shared" si="53"/>
        <v>13</v>
      </c>
      <c r="H143">
        <f t="shared" si="53"/>
        <v>28</v>
      </c>
      <c r="I143">
        <f t="shared" si="53"/>
        <v>44</v>
      </c>
      <c r="J143">
        <f t="shared" si="53"/>
        <v>61</v>
      </c>
      <c r="K143">
        <f t="shared" si="53"/>
        <v>78</v>
      </c>
      <c r="L143">
        <f t="shared" si="53"/>
        <v>94</v>
      </c>
      <c r="M143">
        <f t="shared" si="53"/>
        <v>110</v>
      </c>
      <c r="N143">
        <f t="shared" si="53"/>
        <v>127</v>
      </c>
      <c r="O143">
        <f t="shared" si="53"/>
        <v>143</v>
      </c>
      <c r="P143">
        <f t="shared" si="53"/>
        <v>159</v>
      </c>
      <c r="Q143">
        <f t="shared" si="53"/>
        <v>176</v>
      </c>
      <c r="R143">
        <f t="shared" si="53"/>
        <v>192</v>
      </c>
      <c r="S143">
        <f t="shared" si="53"/>
        <v>208</v>
      </c>
      <c r="T143">
        <f t="shared" si="53"/>
        <v>224</v>
      </c>
      <c r="U143">
        <f t="shared" si="53"/>
        <v>240</v>
      </c>
      <c r="V143">
        <f t="shared" si="53"/>
        <v>256</v>
      </c>
      <c r="W143">
        <f t="shared" si="53"/>
        <v>272</v>
      </c>
    </row>
    <row r="144" spans="1:23">
      <c r="A144" s="22" t="s">
        <v>15</v>
      </c>
      <c r="C144">
        <f t="shared" si="55"/>
        <v>533</v>
      </c>
      <c r="D144">
        <f t="shared" si="54"/>
        <v>0</v>
      </c>
      <c r="E144">
        <f t="shared" si="53"/>
        <v>0</v>
      </c>
      <c r="F144">
        <f t="shared" si="53"/>
        <v>0</v>
      </c>
      <c r="G144">
        <f t="shared" si="53"/>
        <v>0</v>
      </c>
      <c r="H144">
        <f t="shared" si="53"/>
        <v>6</v>
      </c>
      <c r="I144">
        <f t="shared" si="53"/>
        <v>10</v>
      </c>
      <c r="J144">
        <f t="shared" si="53"/>
        <v>13</v>
      </c>
      <c r="K144">
        <f t="shared" si="53"/>
        <v>17</v>
      </c>
      <c r="L144">
        <f t="shared" si="53"/>
        <v>21</v>
      </c>
      <c r="M144">
        <f t="shared" si="53"/>
        <v>24</v>
      </c>
      <c r="N144">
        <f t="shared" si="53"/>
        <v>28</v>
      </c>
      <c r="O144">
        <f t="shared" si="53"/>
        <v>32</v>
      </c>
      <c r="P144">
        <f t="shared" si="53"/>
        <v>35</v>
      </c>
      <c r="Q144">
        <f t="shared" si="53"/>
        <v>39</v>
      </c>
      <c r="R144">
        <f t="shared" si="53"/>
        <v>42</v>
      </c>
      <c r="S144">
        <f t="shared" si="53"/>
        <v>46</v>
      </c>
      <c r="T144">
        <f t="shared" si="53"/>
        <v>50</v>
      </c>
      <c r="U144">
        <f t="shared" si="53"/>
        <v>53</v>
      </c>
      <c r="V144">
        <f t="shared" si="53"/>
        <v>57</v>
      </c>
      <c r="W144">
        <f t="shared" si="53"/>
        <v>60</v>
      </c>
    </row>
    <row r="146" spans="1:23">
      <c r="A146" s="22" t="s">
        <v>75</v>
      </c>
    </row>
    <row r="147" spans="1:23">
      <c r="A147" s="22" t="s">
        <v>5</v>
      </c>
      <c r="C147">
        <f>SUM(D147:W147)</f>
        <v>0</v>
      </c>
      <c r="D147">
        <f t="shared" ref="D147:D157" si="56">ROUND($D134*D91,0)</f>
        <v>0</v>
      </c>
      <c r="E147">
        <f t="shared" ref="E147:E157" si="57">ROUND($D134*E91,0)+ROUND($E134*D91,0)</f>
        <v>0</v>
      </c>
      <c r="F147">
        <f t="shared" ref="F147:F157" si="58">ROUND($D134*F91,0)+ROUND($E134*E91,0)+ROUND($F134*D91,0)</f>
        <v>0</v>
      </c>
      <c r="G147">
        <f t="shared" ref="G147:G157" si="59">ROUND($D134*G91,0)+ROUND($E134*F91,0)+ROUND($F134*E91,0)+ROUND($G134*D91,0)</f>
        <v>0</v>
      </c>
      <c r="H147">
        <f t="shared" ref="H147:H157" si="60">ROUND($D134*H91,0)+ROUND($E134*G91,0)+ROUND($F134*F91,0)+ROUND($G134*E91,0)+ROUND($H134*D91,0)</f>
        <v>0</v>
      </c>
      <c r="I147">
        <f t="shared" ref="I147:I157" si="61">ROUND($D134*I91,0)+ROUND($E134*H91,0)+ROUND($F134*G91,0)+ROUND($G134*F91,0)+ROUND($H134*E91,0)+ROUND($I134*D91,0)</f>
        <v>0</v>
      </c>
      <c r="J147">
        <f t="shared" ref="J147:J157" si="62">ROUND($D134*J91,0)+ROUND($E134*I91,0)+ROUND($F134*H91,0)+ROUND($G134*G91,0)+ROUND($H134*F91,0)+ROUND($I134*E91,0)+ROUND($J134*D91,0)</f>
        <v>0</v>
      </c>
      <c r="K147">
        <f t="shared" ref="K147:K157" si="63">ROUND($D134*K91,0)+ROUND($E134*J91,0)+ROUND($F134*I91,0)+ROUND($G134*H91,0)+ROUND($H134*G91,0)+ROUND($I134*F91,0)+ROUND($J134*E91,0)+ROUND($K134*D91,0)</f>
        <v>0</v>
      </c>
      <c r="L147">
        <f t="shared" ref="L147:L157" si="64">ROUND($D134*L91,0)+ROUND($E134*K91,0)+ROUND($F134*J91,0)+ROUND($G134*I91,0)+ROUND($H134*H91,0)+ROUND($I134*G91,0)+ROUND($J134*F91,0)+ROUND($K134*E91,0)+ROUND($L134*D91,0)</f>
        <v>0</v>
      </c>
      <c r="M147">
        <f t="shared" ref="M147:M157" si="65">ROUND($D134*M91,0)+ROUND($E134*L91,0)+ROUND($F134*K91,0)+ROUND($G134*J91,0)+ROUND($H134*I91,0)+ROUND($I134*H91,0)+ROUND($J134*G91,0)+ROUND($K134*F91,0)+ROUND($L134*E91,0)+ROUND($M134*D91,0)</f>
        <v>0</v>
      </c>
      <c r="N147">
        <f t="shared" ref="N147:N157" si="66">ROUND($D134*N91,0)+ROUND($E134*M91,0)+ROUND($F134*L91,0)+ROUND($G134*K91,0)+ROUND($H134*J91,0)+ROUND($I134*I91,0)+ROUND($J134*H91,0)+ROUND($K134*G91,0)+ROUND($L134*F91,0)+ROUND($M134*E91,0)+ROUND($N134*D91,0)</f>
        <v>0</v>
      </c>
      <c r="O147">
        <f t="shared" ref="O147:O157" si="67">ROUND($D134*O91,0)+ROUND($E134*N91,0)+ROUND($F134*M91,0)+ROUND($G134*L91,0)+ROUND($H134*K91,0)+ROUND($I134*J91,0)+ROUND($J134*I91,0)+ROUND($K134*H91,0)+ROUND($L134*G91,0)+ROUND($M134*F91,0)+ROUND($N134*E91,0)+ROUND($O134*D91,0)</f>
        <v>0</v>
      </c>
      <c r="P147">
        <f t="shared" ref="P147:P157" si="68">ROUND($D134*P91,0)+ROUND($E134*O91,0)+ROUND($F134*N91,0)+ROUND($G134*M91,0)+ROUND($H134*L91,0)+ROUND($I134*K91,0)+ROUND($J134*J91,0)+ROUND($K134*I91,0)+ROUND($L134*H91,0)+ROUND($M134*G91,0)+ROUND($N134*F91,0)+ROUND($O134*E91,0)+ROUND($P134*D91,0)</f>
        <v>0</v>
      </c>
      <c r="Q147">
        <f t="shared" ref="Q147:Q157" si="69">ROUND($D134*Q91,0)+ROUND($E134*P91,0)+ROUND($F134*O91,0)+ROUND($G134*N91,0)+ROUND($H134*M91,0)+ROUND($I134*L91,0)+ROUND($J134*K91,0)+ROUND($K134*J91,0)+ROUND($L134*I91,0)+ROUND($M134*H91,0)+ROUND($N134*G91,0)+ROUND($O134*F91,0)+ROUND($P134*E91,0)+ROUND($Q134*D91,0)</f>
        <v>0</v>
      </c>
      <c r="R147">
        <f t="shared" ref="R147:R157" si="70">ROUND($D134*R91,0)+ROUND($E134*Q91,0)+ROUND($F134*P91,0)+ROUND($G134*O91,0)+ROUND($H134*N91,0)+ROUND($I134*M91,0)+ROUND($J134*L91,0)+ROUND($K134*K91,0)+ROUND($L134*J91,0)+ROUND($M134*I91,0)+ROUND($N134*H91,0)+ROUND($O134*G91,0)+ROUND($P134*F91,0)+ROUND($Q134*E91,0)+ROUND($R134*D91,0)</f>
        <v>0</v>
      </c>
      <c r="S147">
        <f t="shared" ref="S147:S157" si="71">ROUND($D134*S91,0)+ROUND($E134*R91,0)+ROUND($F134*Q91,0)+ROUND($G134*P91,0)+ROUND($H134*O91,0)+ROUND($I134*N91,0)+ROUND($J134*M91,0)+ROUND($K134*L91,0)+ROUND($L134*K91,0)+ROUND($M134*J91,0)+ROUND($N134*I91,0)+ROUND($O134*H91,0)+ROUND($P134*G91,0)+ROUND($Q134*F91,0)+ROUND($R134*E91,0)+ROUND($S134*D91,0)</f>
        <v>0</v>
      </c>
      <c r="T147">
        <f t="shared" ref="T147:T157" si="72">ROUND($D134*T91,0)+ROUND($E134*S91,0)+ROUND($F134*R91,0)+ROUND($G134*Q91,0)+ROUND($H134*P91,0)+ROUND($I134*O91,0)+ROUND($J134*N91,0)+ROUND($K134*M91,0)+ROUND($L134*L91,0)+ROUND($M134*K91,0)+ROUND($N134*J91,0)+ROUND($O134*I91,0)+ROUND($P134*H91,0)+ROUND($Q134*G91,0)+ROUND($R134*F91,0)+ROUND($S134*E91,0)+ROUND($T134*D91,0)</f>
        <v>0</v>
      </c>
      <c r="U147">
        <f t="shared" ref="U147:U157" si="73">ROUND($D134*U91,0)+ROUND($E134*T91,0)+ROUND($F134*S91,0)+ROUND($G134*R91,0)+ROUND($H134*Q91,0)+ROUND($I134*P91,0)+ROUND($J134*O91,0)+ROUND($K134*N91,0)+ROUND($L134*M91,0)+ROUND($M134*L91,0)+ROUND($N134*K91,0)+ROUND($O134*J91,0)+ROUND($P134*I91,0)+ROUND($Q134*H91,0)+ROUND($R134*G91,0)+ROUND($S134*F91,0)+ROUND($T134*E91,0)+ROUND($U134*D91,0)</f>
        <v>0</v>
      </c>
      <c r="V147">
        <f t="shared" ref="V147:V157" si="74">ROUND($D134*V91,0)+ROUND($E134*U91,0)+ROUND($F134*T91,0)+ROUND($G134*S91,0)+ROUND($H134*R91,0)+ROUND($I134*Q91,0)+ROUND($J134*P91,0)+ROUND($K134*O91,0)+ROUND($L134*N91,0)+ROUND($M134*M91,0)+ROUND($N134*L91,0)+ROUND($O134*K91,0)+ROUND($P134*J91,0)+ROUND($Q134*I91,0)+ROUND($R134*H91,0)+ROUND($S134*G91,0)+ROUND($T134*F91,0)+ROUND($U134*E91,0)+ROUND($V134*D91,0)</f>
        <v>0</v>
      </c>
      <c r="W147">
        <f t="shared" ref="W147:W157" si="75">ROUND($D134*W91,0)+ROUND($E134*V91,0)+ROUND($F134*U91,0)+ROUND($G134*T91,0)+ROUND($H134*S91,0)+ROUND($I134*R91,0)+ROUND($J134*Q91,0)+ROUND($K134*P91,0)+ROUND($L134*O91,0)+ROUND($M134*N91,0)+ROUND($N134*M91,0)+ROUND($O134*L91,0)+ROUND($P134*K91,0)+ROUND($Q134*J91,0)+ROUND($R134*I91,0)+ROUND($S134*H91,0)+ROUND($T134*G91,0)+ROUND($U134*F91,0)+ROUND($V134*E91,0)+ROUND($W134*D91,0)</f>
        <v>0</v>
      </c>
    </row>
    <row r="148" spans="1:23">
      <c r="A148" s="22" t="s">
        <v>6</v>
      </c>
      <c r="C148">
        <f>SUM(D148:W148)</f>
        <v>12</v>
      </c>
      <c r="D148">
        <f t="shared" si="56"/>
        <v>0</v>
      </c>
      <c r="E148">
        <f t="shared" si="57"/>
        <v>0</v>
      </c>
      <c r="F148">
        <f t="shared" si="58"/>
        <v>0</v>
      </c>
      <c r="G148">
        <f t="shared" si="59"/>
        <v>0</v>
      </c>
      <c r="H148">
        <f t="shared" si="60"/>
        <v>0</v>
      </c>
      <c r="I148">
        <f t="shared" si="61"/>
        <v>0</v>
      </c>
      <c r="J148">
        <f t="shared" si="62"/>
        <v>0</v>
      </c>
      <c r="K148">
        <f t="shared" si="63"/>
        <v>0</v>
      </c>
      <c r="L148">
        <f t="shared" si="64"/>
        <v>0</v>
      </c>
      <c r="M148">
        <f t="shared" si="65"/>
        <v>0</v>
      </c>
      <c r="N148">
        <f t="shared" si="66"/>
        <v>0</v>
      </c>
      <c r="O148">
        <f t="shared" si="67"/>
        <v>0</v>
      </c>
      <c r="P148">
        <f t="shared" si="68"/>
        <v>0</v>
      </c>
      <c r="Q148">
        <f t="shared" si="69"/>
        <v>0</v>
      </c>
      <c r="R148">
        <f t="shared" si="70"/>
        <v>0</v>
      </c>
      <c r="S148">
        <f t="shared" si="71"/>
        <v>0</v>
      </c>
      <c r="T148">
        <f t="shared" si="72"/>
        <v>1</v>
      </c>
      <c r="U148">
        <f t="shared" si="73"/>
        <v>2</v>
      </c>
      <c r="V148">
        <f t="shared" si="74"/>
        <v>4</v>
      </c>
      <c r="W148">
        <f t="shared" si="75"/>
        <v>5</v>
      </c>
    </row>
    <row r="149" spans="1:23">
      <c r="A149" s="22" t="s">
        <v>7</v>
      </c>
      <c r="C149">
        <f t="shared" ref="C149:C157" si="76">SUM(D149:W149)</f>
        <v>75</v>
      </c>
      <c r="D149">
        <f t="shared" si="56"/>
        <v>0</v>
      </c>
      <c r="E149">
        <f t="shared" si="57"/>
        <v>0</v>
      </c>
      <c r="F149">
        <f t="shared" si="58"/>
        <v>0</v>
      </c>
      <c r="G149">
        <f t="shared" si="59"/>
        <v>0</v>
      </c>
      <c r="H149">
        <f t="shared" si="60"/>
        <v>0</v>
      </c>
      <c r="I149">
        <f t="shared" si="61"/>
        <v>0</v>
      </c>
      <c r="J149">
        <f t="shared" si="62"/>
        <v>0</v>
      </c>
      <c r="K149">
        <f t="shared" si="63"/>
        <v>0</v>
      </c>
      <c r="L149">
        <f t="shared" si="64"/>
        <v>0</v>
      </c>
      <c r="M149">
        <f t="shared" si="65"/>
        <v>0</v>
      </c>
      <c r="N149">
        <f t="shared" si="66"/>
        <v>0</v>
      </c>
      <c r="O149">
        <f t="shared" si="67"/>
        <v>2</v>
      </c>
      <c r="P149">
        <f t="shared" si="68"/>
        <v>4</v>
      </c>
      <c r="Q149">
        <f t="shared" si="69"/>
        <v>5</v>
      </c>
      <c r="R149">
        <f t="shared" si="70"/>
        <v>7</v>
      </c>
      <c r="S149">
        <f t="shared" si="71"/>
        <v>8</v>
      </c>
      <c r="T149">
        <f t="shared" si="72"/>
        <v>9</v>
      </c>
      <c r="U149">
        <f t="shared" si="73"/>
        <v>12</v>
      </c>
      <c r="V149">
        <f t="shared" si="74"/>
        <v>14</v>
      </c>
      <c r="W149">
        <f t="shared" si="75"/>
        <v>14</v>
      </c>
    </row>
    <row r="150" spans="1:23">
      <c r="A150" s="22" t="s">
        <v>8</v>
      </c>
      <c r="C150">
        <f t="shared" si="76"/>
        <v>123</v>
      </c>
      <c r="D150">
        <f t="shared" si="56"/>
        <v>0</v>
      </c>
      <c r="E150">
        <f t="shared" si="57"/>
        <v>0</v>
      </c>
      <c r="F150">
        <f t="shared" si="58"/>
        <v>0</v>
      </c>
      <c r="G150">
        <f t="shared" si="59"/>
        <v>0</v>
      </c>
      <c r="H150">
        <f t="shared" si="60"/>
        <v>0</v>
      </c>
      <c r="I150">
        <f t="shared" si="61"/>
        <v>0</v>
      </c>
      <c r="J150">
        <f t="shared" si="62"/>
        <v>0</v>
      </c>
      <c r="K150">
        <f t="shared" si="63"/>
        <v>0</v>
      </c>
      <c r="L150">
        <f t="shared" si="64"/>
        <v>0</v>
      </c>
      <c r="M150">
        <f t="shared" si="65"/>
        <v>0</v>
      </c>
      <c r="N150">
        <f t="shared" si="66"/>
        <v>3</v>
      </c>
      <c r="O150">
        <f t="shared" si="67"/>
        <v>5</v>
      </c>
      <c r="P150">
        <f t="shared" si="68"/>
        <v>6</v>
      </c>
      <c r="Q150">
        <f t="shared" si="69"/>
        <v>7</v>
      </c>
      <c r="R150">
        <f t="shared" si="70"/>
        <v>11</v>
      </c>
      <c r="S150">
        <f t="shared" si="71"/>
        <v>13</v>
      </c>
      <c r="T150">
        <f t="shared" si="72"/>
        <v>15</v>
      </c>
      <c r="U150">
        <f t="shared" si="73"/>
        <v>19</v>
      </c>
      <c r="V150">
        <f t="shared" si="74"/>
        <v>21</v>
      </c>
      <c r="W150">
        <f t="shared" si="75"/>
        <v>23</v>
      </c>
    </row>
    <row r="151" spans="1:23">
      <c r="A151" s="22" t="s">
        <v>9</v>
      </c>
      <c r="C151">
        <f t="shared" si="76"/>
        <v>266</v>
      </c>
      <c r="D151">
        <f t="shared" si="56"/>
        <v>0</v>
      </c>
      <c r="E151">
        <f t="shared" si="57"/>
        <v>0</v>
      </c>
      <c r="F151">
        <f t="shared" si="58"/>
        <v>0</v>
      </c>
      <c r="G151">
        <f t="shared" si="59"/>
        <v>0</v>
      </c>
      <c r="H151">
        <f t="shared" si="60"/>
        <v>0</v>
      </c>
      <c r="I151">
        <f t="shared" si="61"/>
        <v>0</v>
      </c>
      <c r="J151">
        <f t="shared" si="62"/>
        <v>0</v>
      </c>
      <c r="K151">
        <f t="shared" si="63"/>
        <v>0</v>
      </c>
      <c r="L151">
        <f t="shared" si="64"/>
        <v>3</v>
      </c>
      <c r="M151">
        <f t="shared" si="65"/>
        <v>5</v>
      </c>
      <c r="N151">
        <f t="shared" si="66"/>
        <v>6</v>
      </c>
      <c r="O151">
        <f t="shared" si="67"/>
        <v>11</v>
      </c>
      <c r="P151">
        <f t="shared" si="68"/>
        <v>13</v>
      </c>
      <c r="Q151">
        <f t="shared" si="69"/>
        <v>18</v>
      </c>
      <c r="R151">
        <f t="shared" si="70"/>
        <v>23</v>
      </c>
      <c r="S151">
        <f t="shared" si="71"/>
        <v>28</v>
      </c>
      <c r="T151">
        <f t="shared" si="72"/>
        <v>33</v>
      </c>
      <c r="U151">
        <f t="shared" si="73"/>
        <v>36</v>
      </c>
      <c r="V151">
        <f t="shared" si="74"/>
        <v>43</v>
      </c>
      <c r="W151">
        <f t="shared" si="75"/>
        <v>47</v>
      </c>
    </row>
    <row r="152" spans="1:23">
      <c r="A152" s="22" t="s">
        <v>10</v>
      </c>
      <c r="C152">
        <f t="shared" si="76"/>
        <v>541</v>
      </c>
      <c r="D152">
        <f t="shared" si="56"/>
        <v>0</v>
      </c>
      <c r="E152">
        <f t="shared" si="57"/>
        <v>0</v>
      </c>
      <c r="F152">
        <f t="shared" si="58"/>
        <v>0</v>
      </c>
      <c r="G152">
        <f t="shared" si="59"/>
        <v>0</v>
      </c>
      <c r="H152">
        <f t="shared" si="60"/>
        <v>0</v>
      </c>
      <c r="I152">
        <f t="shared" si="61"/>
        <v>0</v>
      </c>
      <c r="J152">
        <f t="shared" si="62"/>
        <v>1</v>
      </c>
      <c r="K152">
        <f t="shared" si="63"/>
        <v>4</v>
      </c>
      <c r="L152">
        <f t="shared" si="64"/>
        <v>5</v>
      </c>
      <c r="M152">
        <f t="shared" si="65"/>
        <v>11</v>
      </c>
      <c r="N152">
        <f t="shared" si="66"/>
        <v>16</v>
      </c>
      <c r="O152">
        <f t="shared" si="67"/>
        <v>21</v>
      </c>
      <c r="P152">
        <f t="shared" si="68"/>
        <v>30</v>
      </c>
      <c r="Q152">
        <f t="shared" si="69"/>
        <v>38</v>
      </c>
      <c r="R152">
        <f t="shared" si="70"/>
        <v>46</v>
      </c>
      <c r="S152">
        <f t="shared" si="71"/>
        <v>54</v>
      </c>
      <c r="T152">
        <f t="shared" si="72"/>
        <v>65</v>
      </c>
      <c r="U152">
        <f t="shared" si="73"/>
        <v>73</v>
      </c>
      <c r="V152">
        <f t="shared" si="74"/>
        <v>83</v>
      </c>
      <c r="W152">
        <f t="shared" si="75"/>
        <v>94</v>
      </c>
    </row>
    <row r="153" spans="1:23">
      <c r="A153" s="22" t="s">
        <v>11</v>
      </c>
      <c r="C153">
        <f t="shared" si="76"/>
        <v>919</v>
      </c>
      <c r="D153">
        <f t="shared" si="56"/>
        <v>0</v>
      </c>
      <c r="E153">
        <f t="shared" si="57"/>
        <v>0</v>
      </c>
      <c r="F153">
        <f t="shared" si="58"/>
        <v>0</v>
      </c>
      <c r="G153">
        <f t="shared" si="59"/>
        <v>0</v>
      </c>
      <c r="H153">
        <f t="shared" si="60"/>
        <v>0</v>
      </c>
      <c r="I153">
        <f t="shared" si="61"/>
        <v>3</v>
      </c>
      <c r="J153">
        <f t="shared" si="62"/>
        <v>4</v>
      </c>
      <c r="K153">
        <f t="shared" si="63"/>
        <v>8</v>
      </c>
      <c r="L153">
        <f t="shared" si="64"/>
        <v>13</v>
      </c>
      <c r="M153">
        <f t="shared" si="65"/>
        <v>21</v>
      </c>
      <c r="N153">
        <f t="shared" si="66"/>
        <v>29</v>
      </c>
      <c r="O153">
        <f t="shared" si="67"/>
        <v>41</v>
      </c>
      <c r="P153">
        <f t="shared" si="68"/>
        <v>54</v>
      </c>
      <c r="Q153">
        <f t="shared" si="69"/>
        <v>67</v>
      </c>
      <c r="R153">
        <f t="shared" si="70"/>
        <v>79</v>
      </c>
      <c r="S153">
        <f t="shared" si="71"/>
        <v>92</v>
      </c>
      <c r="T153">
        <f t="shared" si="72"/>
        <v>107</v>
      </c>
      <c r="U153">
        <f t="shared" si="73"/>
        <v>120</v>
      </c>
      <c r="V153">
        <f t="shared" si="74"/>
        <v>135</v>
      </c>
      <c r="W153">
        <f t="shared" si="75"/>
        <v>146</v>
      </c>
    </row>
    <row r="154" spans="1:23">
      <c r="A154" s="22" t="s">
        <v>12</v>
      </c>
      <c r="C154">
        <f t="shared" si="76"/>
        <v>1106</v>
      </c>
      <c r="D154">
        <f t="shared" si="56"/>
        <v>0</v>
      </c>
      <c r="E154">
        <f t="shared" si="57"/>
        <v>0</v>
      </c>
      <c r="F154">
        <f t="shared" si="58"/>
        <v>0</v>
      </c>
      <c r="G154">
        <f t="shared" si="59"/>
        <v>0</v>
      </c>
      <c r="H154">
        <f t="shared" si="60"/>
        <v>1</v>
      </c>
      <c r="I154">
        <f t="shared" si="61"/>
        <v>3</v>
      </c>
      <c r="J154">
        <f t="shared" si="62"/>
        <v>6</v>
      </c>
      <c r="K154">
        <f t="shared" si="63"/>
        <v>9</v>
      </c>
      <c r="L154">
        <f t="shared" si="64"/>
        <v>17</v>
      </c>
      <c r="M154">
        <f t="shared" si="65"/>
        <v>25</v>
      </c>
      <c r="N154">
        <f t="shared" si="66"/>
        <v>37</v>
      </c>
      <c r="O154">
        <f t="shared" si="67"/>
        <v>49</v>
      </c>
      <c r="P154">
        <f t="shared" si="68"/>
        <v>62</v>
      </c>
      <c r="Q154">
        <f t="shared" si="69"/>
        <v>79</v>
      </c>
      <c r="R154">
        <f t="shared" si="70"/>
        <v>95</v>
      </c>
      <c r="S154">
        <f t="shared" si="71"/>
        <v>112</v>
      </c>
      <c r="T154">
        <f t="shared" si="72"/>
        <v>129</v>
      </c>
      <c r="U154">
        <f t="shared" si="73"/>
        <v>144</v>
      </c>
      <c r="V154">
        <f t="shared" si="74"/>
        <v>160</v>
      </c>
      <c r="W154">
        <f t="shared" si="75"/>
        <v>178</v>
      </c>
    </row>
    <row r="155" spans="1:23">
      <c r="A155" s="22" t="s">
        <v>13</v>
      </c>
      <c r="C155">
        <f t="shared" si="76"/>
        <v>1141</v>
      </c>
      <c r="D155">
        <f t="shared" si="56"/>
        <v>0</v>
      </c>
      <c r="E155">
        <f t="shared" si="57"/>
        <v>0</v>
      </c>
      <c r="F155">
        <f t="shared" si="58"/>
        <v>0</v>
      </c>
      <c r="G155">
        <f t="shared" si="59"/>
        <v>0</v>
      </c>
      <c r="H155">
        <f t="shared" si="60"/>
        <v>0</v>
      </c>
      <c r="I155">
        <f t="shared" si="61"/>
        <v>2</v>
      </c>
      <c r="J155">
        <f t="shared" si="62"/>
        <v>4</v>
      </c>
      <c r="K155">
        <f t="shared" si="63"/>
        <v>11</v>
      </c>
      <c r="L155">
        <f t="shared" si="64"/>
        <v>18</v>
      </c>
      <c r="M155">
        <f t="shared" si="65"/>
        <v>29</v>
      </c>
      <c r="N155">
        <f t="shared" si="66"/>
        <v>42</v>
      </c>
      <c r="O155">
        <f t="shared" si="67"/>
        <v>55</v>
      </c>
      <c r="P155">
        <f t="shared" si="68"/>
        <v>71</v>
      </c>
      <c r="Q155">
        <f t="shared" si="69"/>
        <v>85</v>
      </c>
      <c r="R155">
        <f t="shared" si="70"/>
        <v>100</v>
      </c>
      <c r="S155">
        <f t="shared" si="71"/>
        <v>116</v>
      </c>
      <c r="T155">
        <f t="shared" si="72"/>
        <v>129</v>
      </c>
      <c r="U155">
        <f t="shared" si="73"/>
        <v>145</v>
      </c>
      <c r="V155">
        <f t="shared" si="74"/>
        <v>161</v>
      </c>
      <c r="W155">
        <f t="shared" si="75"/>
        <v>173</v>
      </c>
    </row>
    <row r="156" spans="1:23">
      <c r="A156" s="22" t="s">
        <v>14</v>
      </c>
      <c r="C156">
        <f t="shared" si="76"/>
        <v>1244</v>
      </c>
      <c r="D156">
        <f t="shared" si="56"/>
        <v>0</v>
      </c>
      <c r="E156">
        <f t="shared" si="57"/>
        <v>0</v>
      </c>
      <c r="F156">
        <f t="shared" si="58"/>
        <v>0</v>
      </c>
      <c r="G156">
        <f t="shared" si="59"/>
        <v>0</v>
      </c>
      <c r="H156">
        <f t="shared" si="60"/>
        <v>0</v>
      </c>
      <c r="I156">
        <f t="shared" si="61"/>
        <v>2</v>
      </c>
      <c r="J156">
        <f t="shared" si="62"/>
        <v>6</v>
      </c>
      <c r="K156">
        <f t="shared" si="63"/>
        <v>11</v>
      </c>
      <c r="L156">
        <f t="shared" si="64"/>
        <v>20</v>
      </c>
      <c r="M156">
        <f t="shared" si="65"/>
        <v>32</v>
      </c>
      <c r="N156">
        <f t="shared" si="66"/>
        <v>46</v>
      </c>
      <c r="O156">
        <f t="shared" si="67"/>
        <v>60</v>
      </c>
      <c r="P156">
        <f t="shared" si="68"/>
        <v>77</v>
      </c>
      <c r="Q156">
        <f t="shared" si="69"/>
        <v>93</v>
      </c>
      <c r="R156">
        <f t="shared" si="70"/>
        <v>109</v>
      </c>
      <c r="S156">
        <f t="shared" si="71"/>
        <v>124</v>
      </c>
      <c r="T156">
        <f t="shared" si="72"/>
        <v>142</v>
      </c>
      <c r="U156">
        <f t="shared" si="73"/>
        <v>158</v>
      </c>
      <c r="V156">
        <f t="shared" si="74"/>
        <v>174</v>
      </c>
      <c r="W156">
        <f t="shared" si="75"/>
        <v>190</v>
      </c>
    </row>
    <row r="157" spans="1:23">
      <c r="A157" s="22" t="s">
        <v>15</v>
      </c>
      <c r="C157">
        <f t="shared" si="76"/>
        <v>313</v>
      </c>
      <c r="D157">
        <f t="shared" si="56"/>
        <v>0</v>
      </c>
      <c r="E157">
        <f t="shared" si="57"/>
        <v>0</v>
      </c>
      <c r="F157">
        <f t="shared" si="58"/>
        <v>0</v>
      </c>
      <c r="G157">
        <f t="shared" si="59"/>
        <v>0</v>
      </c>
      <c r="H157">
        <f t="shared" si="60"/>
        <v>0</v>
      </c>
      <c r="I157">
        <f t="shared" si="61"/>
        <v>0</v>
      </c>
      <c r="J157">
        <f t="shared" si="62"/>
        <v>2</v>
      </c>
      <c r="K157">
        <f t="shared" si="63"/>
        <v>3</v>
      </c>
      <c r="L157">
        <f t="shared" si="64"/>
        <v>7</v>
      </c>
      <c r="M157">
        <f t="shared" si="65"/>
        <v>9</v>
      </c>
      <c r="N157">
        <f t="shared" si="66"/>
        <v>15</v>
      </c>
      <c r="O157">
        <f t="shared" si="67"/>
        <v>16</v>
      </c>
      <c r="P157">
        <f t="shared" si="68"/>
        <v>20</v>
      </c>
      <c r="Q157">
        <f t="shared" si="69"/>
        <v>24</v>
      </c>
      <c r="R157">
        <f t="shared" si="70"/>
        <v>28</v>
      </c>
      <c r="S157">
        <f t="shared" si="71"/>
        <v>30</v>
      </c>
      <c r="T157">
        <f t="shared" si="72"/>
        <v>35</v>
      </c>
      <c r="U157">
        <f t="shared" si="73"/>
        <v>38</v>
      </c>
      <c r="V157">
        <f t="shared" si="74"/>
        <v>41</v>
      </c>
      <c r="W157">
        <f t="shared" si="75"/>
        <v>45</v>
      </c>
    </row>
    <row r="159" spans="1:23">
      <c r="A159" s="22" t="s">
        <v>77</v>
      </c>
    </row>
    <row r="160" spans="1:23">
      <c r="A160" s="22" t="s">
        <v>5</v>
      </c>
      <c r="C160">
        <f ca="1">SUM(D160:W160)</f>
        <v>10</v>
      </c>
      <c r="D160">
        <f ca="1">D120+D147</f>
        <v>0</v>
      </c>
      <c r="E160">
        <f t="shared" ref="E160:W170" ca="1" si="77">E120+E147</f>
        <v>0</v>
      </c>
      <c r="F160">
        <f t="shared" ca="1" si="77"/>
        <v>0</v>
      </c>
      <c r="G160">
        <f t="shared" ca="1" si="77"/>
        <v>0</v>
      </c>
      <c r="H160">
        <f t="shared" ca="1" si="77"/>
        <v>0</v>
      </c>
      <c r="I160">
        <f t="shared" ca="1" si="77"/>
        <v>0</v>
      </c>
      <c r="J160">
        <f t="shared" ca="1" si="77"/>
        <v>0</v>
      </c>
      <c r="K160">
        <f t="shared" ca="1" si="77"/>
        <v>0</v>
      </c>
      <c r="L160">
        <f t="shared" ca="1" si="77"/>
        <v>0</v>
      </c>
      <c r="M160">
        <f t="shared" ca="1" si="77"/>
        <v>0</v>
      </c>
      <c r="N160">
        <f t="shared" ca="1" si="77"/>
        <v>0</v>
      </c>
      <c r="O160">
        <f t="shared" ca="1" si="77"/>
        <v>0</v>
      </c>
      <c r="P160">
        <f t="shared" ca="1" si="77"/>
        <v>0</v>
      </c>
      <c r="Q160">
        <f t="shared" ca="1" si="77"/>
        <v>0</v>
      </c>
      <c r="R160">
        <f t="shared" ca="1" si="77"/>
        <v>1</v>
      </c>
      <c r="S160">
        <f t="shared" ca="1" si="77"/>
        <v>1</v>
      </c>
      <c r="T160">
        <f t="shared" ca="1" si="77"/>
        <v>1</v>
      </c>
      <c r="U160">
        <f t="shared" ca="1" si="77"/>
        <v>2</v>
      </c>
      <c r="V160">
        <f t="shared" ca="1" si="77"/>
        <v>2</v>
      </c>
      <c r="W160">
        <f t="shared" ca="1" si="77"/>
        <v>3</v>
      </c>
    </row>
    <row r="161" spans="1:23">
      <c r="A161" s="22" t="s">
        <v>6</v>
      </c>
      <c r="C161">
        <f ca="1">SUM(D161:W161)</f>
        <v>26</v>
      </c>
      <c r="D161">
        <f t="shared" ref="D161:S170" ca="1" si="78">D121+D148</f>
        <v>0</v>
      </c>
      <c r="E161">
        <f t="shared" ca="1" si="78"/>
        <v>0</v>
      </c>
      <c r="F161">
        <f t="shared" ca="1" si="78"/>
        <v>0</v>
      </c>
      <c r="G161">
        <f t="shared" ca="1" si="78"/>
        <v>0</v>
      </c>
      <c r="H161">
        <f t="shared" ca="1" si="78"/>
        <v>0</v>
      </c>
      <c r="I161">
        <f t="shared" ca="1" si="78"/>
        <v>0</v>
      </c>
      <c r="J161">
        <f t="shared" ca="1" si="78"/>
        <v>0</v>
      </c>
      <c r="K161">
        <f t="shared" ca="1" si="78"/>
        <v>0</v>
      </c>
      <c r="L161">
        <f t="shared" ca="1" si="78"/>
        <v>0</v>
      </c>
      <c r="M161">
        <f t="shared" ca="1" si="78"/>
        <v>0</v>
      </c>
      <c r="N161">
        <f t="shared" ca="1" si="78"/>
        <v>0</v>
      </c>
      <c r="O161">
        <f t="shared" ca="1" si="78"/>
        <v>0</v>
      </c>
      <c r="P161">
        <f t="shared" ca="1" si="78"/>
        <v>0</v>
      </c>
      <c r="Q161">
        <f t="shared" ca="1" si="78"/>
        <v>1</v>
      </c>
      <c r="R161">
        <f t="shared" ca="1" si="78"/>
        <v>1</v>
      </c>
      <c r="S161">
        <f t="shared" ca="1" si="78"/>
        <v>2</v>
      </c>
      <c r="T161">
        <f t="shared" ca="1" si="77"/>
        <v>4</v>
      </c>
      <c r="U161">
        <f t="shared" ca="1" si="77"/>
        <v>5</v>
      </c>
      <c r="V161">
        <f t="shared" ca="1" si="77"/>
        <v>8</v>
      </c>
      <c r="W161">
        <f t="shared" ca="1" si="77"/>
        <v>5</v>
      </c>
    </row>
    <row r="162" spans="1:23">
      <c r="A162" s="22" t="s">
        <v>7</v>
      </c>
      <c r="C162">
        <f t="shared" ref="C162:C170" ca="1" si="79">SUM(D162:W162)</f>
        <v>79</v>
      </c>
      <c r="D162">
        <f t="shared" ca="1" si="78"/>
        <v>0</v>
      </c>
      <c r="E162">
        <f t="shared" ca="1" si="77"/>
        <v>0</v>
      </c>
      <c r="F162">
        <f t="shared" ca="1" si="77"/>
        <v>0</v>
      </c>
      <c r="G162">
        <f t="shared" ca="1" si="77"/>
        <v>0</v>
      </c>
      <c r="H162">
        <f t="shared" ca="1" si="77"/>
        <v>0</v>
      </c>
      <c r="I162">
        <f t="shared" ca="1" si="77"/>
        <v>0</v>
      </c>
      <c r="J162">
        <f t="shared" ca="1" si="77"/>
        <v>0</v>
      </c>
      <c r="K162">
        <f t="shared" ca="1" si="77"/>
        <v>0</v>
      </c>
      <c r="L162">
        <f t="shared" ca="1" si="77"/>
        <v>0</v>
      </c>
      <c r="M162">
        <f t="shared" ca="1" si="77"/>
        <v>0</v>
      </c>
      <c r="N162">
        <f t="shared" ca="1" si="77"/>
        <v>0</v>
      </c>
      <c r="O162">
        <f t="shared" ca="1" si="77"/>
        <v>2</v>
      </c>
      <c r="P162">
        <f t="shared" ca="1" si="77"/>
        <v>5</v>
      </c>
      <c r="Q162">
        <f t="shared" ca="1" si="77"/>
        <v>8</v>
      </c>
      <c r="R162">
        <f t="shared" ca="1" si="77"/>
        <v>7</v>
      </c>
      <c r="S162">
        <f t="shared" ca="1" si="77"/>
        <v>8</v>
      </c>
      <c r="T162">
        <f t="shared" ca="1" si="77"/>
        <v>9</v>
      </c>
      <c r="U162">
        <f t="shared" ca="1" si="77"/>
        <v>12</v>
      </c>
      <c r="V162">
        <f t="shared" ca="1" si="77"/>
        <v>14</v>
      </c>
      <c r="W162">
        <f t="shared" ca="1" si="77"/>
        <v>14</v>
      </c>
    </row>
    <row r="163" spans="1:23">
      <c r="A163" s="22" t="s">
        <v>8</v>
      </c>
      <c r="C163">
        <f t="shared" ca="1" si="79"/>
        <v>126</v>
      </c>
      <c r="D163">
        <f t="shared" ca="1" si="78"/>
        <v>0</v>
      </c>
      <c r="E163">
        <f t="shared" ca="1" si="77"/>
        <v>0</v>
      </c>
      <c r="F163">
        <f t="shared" ca="1" si="77"/>
        <v>0</v>
      </c>
      <c r="G163">
        <f t="shared" ca="1" si="77"/>
        <v>0</v>
      </c>
      <c r="H163">
        <f t="shared" ca="1" si="77"/>
        <v>0</v>
      </c>
      <c r="I163">
        <f t="shared" ca="1" si="77"/>
        <v>0</v>
      </c>
      <c r="J163">
        <f t="shared" ca="1" si="77"/>
        <v>0</v>
      </c>
      <c r="K163">
        <f t="shared" ca="1" si="77"/>
        <v>0</v>
      </c>
      <c r="L163">
        <f t="shared" ca="1" si="77"/>
        <v>0</v>
      </c>
      <c r="M163">
        <f t="shared" ca="1" si="77"/>
        <v>0</v>
      </c>
      <c r="N163">
        <f t="shared" ca="1" si="77"/>
        <v>3</v>
      </c>
      <c r="O163">
        <f t="shared" ca="1" si="77"/>
        <v>6</v>
      </c>
      <c r="P163">
        <f t="shared" ca="1" si="77"/>
        <v>8</v>
      </c>
      <c r="Q163">
        <f t="shared" ca="1" si="77"/>
        <v>7</v>
      </c>
      <c r="R163">
        <f t="shared" ca="1" si="77"/>
        <v>11</v>
      </c>
      <c r="S163">
        <f t="shared" ca="1" si="77"/>
        <v>13</v>
      </c>
      <c r="T163">
        <f t="shared" ca="1" si="77"/>
        <v>15</v>
      </c>
      <c r="U163">
        <f t="shared" ca="1" si="77"/>
        <v>19</v>
      </c>
      <c r="V163">
        <f t="shared" ca="1" si="77"/>
        <v>21</v>
      </c>
      <c r="W163">
        <f t="shared" ca="1" si="77"/>
        <v>23</v>
      </c>
    </row>
    <row r="164" spans="1:23">
      <c r="A164" s="22" t="s">
        <v>9</v>
      </c>
      <c r="C164">
        <f t="shared" ca="1" si="79"/>
        <v>271</v>
      </c>
      <c r="D164">
        <f t="shared" ca="1" si="78"/>
        <v>0</v>
      </c>
      <c r="E164">
        <f t="shared" ca="1" si="77"/>
        <v>0</v>
      </c>
      <c r="F164">
        <f t="shared" ca="1" si="77"/>
        <v>0</v>
      </c>
      <c r="G164">
        <f t="shared" ca="1" si="77"/>
        <v>0</v>
      </c>
      <c r="H164">
        <f t="shared" ca="1" si="77"/>
        <v>0</v>
      </c>
      <c r="I164">
        <f t="shared" ca="1" si="77"/>
        <v>0</v>
      </c>
      <c r="J164">
        <f t="shared" ca="1" si="77"/>
        <v>0</v>
      </c>
      <c r="K164">
        <f t="shared" ca="1" si="77"/>
        <v>0</v>
      </c>
      <c r="L164">
        <f t="shared" ca="1" si="77"/>
        <v>3</v>
      </c>
      <c r="M164">
        <f t="shared" ca="1" si="77"/>
        <v>5</v>
      </c>
      <c r="N164">
        <f t="shared" ca="1" si="77"/>
        <v>7</v>
      </c>
      <c r="O164">
        <f t="shared" ca="1" si="77"/>
        <v>15</v>
      </c>
      <c r="P164">
        <f t="shared" ca="1" si="77"/>
        <v>13</v>
      </c>
      <c r="Q164">
        <f t="shared" ca="1" si="77"/>
        <v>18</v>
      </c>
      <c r="R164">
        <f t="shared" ca="1" si="77"/>
        <v>23</v>
      </c>
      <c r="S164">
        <f t="shared" ca="1" si="77"/>
        <v>28</v>
      </c>
      <c r="T164">
        <f t="shared" ca="1" si="77"/>
        <v>33</v>
      </c>
      <c r="U164">
        <f t="shared" ca="1" si="77"/>
        <v>36</v>
      </c>
      <c r="V164">
        <f t="shared" ca="1" si="77"/>
        <v>43</v>
      </c>
      <c r="W164">
        <f t="shared" ca="1" si="77"/>
        <v>47</v>
      </c>
    </row>
    <row r="165" spans="1:23">
      <c r="A165" s="22" t="s">
        <v>10</v>
      </c>
      <c r="C165">
        <f t="shared" ca="1" si="79"/>
        <v>544</v>
      </c>
      <c r="D165">
        <f t="shared" ca="1" si="78"/>
        <v>0</v>
      </c>
      <c r="E165">
        <f t="shared" ca="1" si="77"/>
        <v>0</v>
      </c>
      <c r="F165">
        <f t="shared" ca="1" si="77"/>
        <v>0</v>
      </c>
      <c r="G165">
        <f t="shared" ca="1" si="77"/>
        <v>0</v>
      </c>
      <c r="H165">
        <f t="shared" ca="1" si="77"/>
        <v>0</v>
      </c>
      <c r="I165">
        <f t="shared" ca="1" si="77"/>
        <v>0</v>
      </c>
      <c r="J165">
        <f t="shared" ca="1" si="77"/>
        <v>1</v>
      </c>
      <c r="K165">
        <f t="shared" ca="1" si="77"/>
        <v>4</v>
      </c>
      <c r="L165">
        <f t="shared" ca="1" si="77"/>
        <v>5</v>
      </c>
      <c r="M165">
        <f t="shared" ca="1" si="77"/>
        <v>12</v>
      </c>
      <c r="N165">
        <f t="shared" ca="1" si="77"/>
        <v>18</v>
      </c>
      <c r="O165">
        <f t="shared" ca="1" si="77"/>
        <v>21</v>
      </c>
      <c r="P165">
        <f t="shared" ca="1" si="77"/>
        <v>30</v>
      </c>
      <c r="Q165">
        <f t="shared" ca="1" si="77"/>
        <v>38</v>
      </c>
      <c r="R165">
        <f t="shared" ca="1" si="77"/>
        <v>46</v>
      </c>
      <c r="S165">
        <f t="shared" ca="1" si="77"/>
        <v>54</v>
      </c>
      <c r="T165">
        <f t="shared" ca="1" si="77"/>
        <v>65</v>
      </c>
      <c r="U165">
        <f t="shared" ca="1" si="77"/>
        <v>73</v>
      </c>
      <c r="V165">
        <f t="shared" ca="1" si="77"/>
        <v>83</v>
      </c>
      <c r="W165">
        <f t="shared" ca="1" si="77"/>
        <v>94</v>
      </c>
    </row>
    <row r="166" spans="1:23">
      <c r="A166" s="22" t="s">
        <v>11</v>
      </c>
      <c r="C166">
        <f t="shared" ca="1" si="79"/>
        <v>923</v>
      </c>
      <c r="D166">
        <f t="shared" ca="1" si="78"/>
        <v>0</v>
      </c>
      <c r="E166">
        <f t="shared" ca="1" si="77"/>
        <v>0</v>
      </c>
      <c r="F166">
        <f t="shared" ca="1" si="77"/>
        <v>0</v>
      </c>
      <c r="G166">
        <f t="shared" ca="1" si="77"/>
        <v>0</v>
      </c>
      <c r="H166">
        <f t="shared" ca="1" si="77"/>
        <v>0</v>
      </c>
      <c r="I166">
        <f t="shared" ca="1" si="77"/>
        <v>3</v>
      </c>
      <c r="J166">
        <f t="shared" ca="1" si="77"/>
        <v>4</v>
      </c>
      <c r="K166">
        <f t="shared" ca="1" si="77"/>
        <v>8</v>
      </c>
      <c r="L166">
        <f t="shared" ca="1" si="77"/>
        <v>14</v>
      </c>
      <c r="M166">
        <f t="shared" ca="1" si="77"/>
        <v>24</v>
      </c>
      <c r="N166">
        <f t="shared" ca="1" si="77"/>
        <v>29</v>
      </c>
      <c r="O166">
        <f t="shared" ca="1" si="77"/>
        <v>41</v>
      </c>
      <c r="P166">
        <f t="shared" ca="1" si="77"/>
        <v>54</v>
      </c>
      <c r="Q166">
        <f t="shared" ca="1" si="77"/>
        <v>67</v>
      </c>
      <c r="R166">
        <f t="shared" ca="1" si="77"/>
        <v>79</v>
      </c>
      <c r="S166">
        <f t="shared" ca="1" si="77"/>
        <v>92</v>
      </c>
      <c r="T166">
        <f t="shared" ca="1" si="77"/>
        <v>107</v>
      </c>
      <c r="U166">
        <f t="shared" ca="1" si="77"/>
        <v>120</v>
      </c>
      <c r="V166">
        <f t="shared" ca="1" si="77"/>
        <v>135</v>
      </c>
      <c r="W166">
        <f t="shared" ca="1" si="77"/>
        <v>146</v>
      </c>
    </row>
    <row r="167" spans="1:23">
      <c r="A167" s="22" t="s">
        <v>12</v>
      </c>
      <c r="C167">
        <f t="shared" ca="1" si="79"/>
        <v>1111</v>
      </c>
      <c r="D167">
        <f t="shared" ca="1" si="78"/>
        <v>0</v>
      </c>
      <c r="E167">
        <f t="shared" ca="1" si="77"/>
        <v>0</v>
      </c>
      <c r="F167">
        <f t="shared" ca="1" si="77"/>
        <v>0</v>
      </c>
      <c r="G167">
        <f t="shared" ca="1" si="77"/>
        <v>0</v>
      </c>
      <c r="H167">
        <f t="shared" ca="1" si="77"/>
        <v>1</v>
      </c>
      <c r="I167">
        <f t="shared" ca="1" si="77"/>
        <v>3</v>
      </c>
      <c r="J167">
        <f t="shared" ca="1" si="77"/>
        <v>6</v>
      </c>
      <c r="K167">
        <f t="shared" ca="1" si="77"/>
        <v>9</v>
      </c>
      <c r="L167">
        <f t="shared" ca="1" si="77"/>
        <v>18</v>
      </c>
      <c r="M167">
        <f t="shared" ca="1" si="77"/>
        <v>29</v>
      </c>
      <c r="N167">
        <f t="shared" ca="1" si="77"/>
        <v>37</v>
      </c>
      <c r="O167">
        <f t="shared" ca="1" si="77"/>
        <v>49</v>
      </c>
      <c r="P167">
        <f t="shared" ca="1" si="77"/>
        <v>62</v>
      </c>
      <c r="Q167">
        <f t="shared" ca="1" si="77"/>
        <v>79</v>
      </c>
      <c r="R167">
        <f t="shared" ca="1" si="77"/>
        <v>95</v>
      </c>
      <c r="S167">
        <f t="shared" ca="1" si="77"/>
        <v>112</v>
      </c>
      <c r="T167">
        <f t="shared" ca="1" si="77"/>
        <v>129</v>
      </c>
      <c r="U167">
        <f t="shared" ca="1" si="77"/>
        <v>144</v>
      </c>
      <c r="V167">
        <f t="shared" ca="1" si="77"/>
        <v>160</v>
      </c>
      <c r="W167">
        <f t="shared" ca="1" si="77"/>
        <v>178</v>
      </c>
    </row>
    <row r="168" spans="1:23">
      <c r="A168" s="22" t="s">
        <v>13</v>
      </c>
      <c r="C168">
        <f t="shared" ca="1" si="79"/>
        <v>1145</v>
      </c>
      <c r="D168">
        <f t="shared" ca="1" si="78"/>
        <v>0</v>
      </c>
      <c r="E168">
        <f t="shared" ca="1" si="77"/>
        <v>0</v>
      </c>
      <c r="F168">
        <f t="shared" ca="1" si="77"/>
        <v>0</v>
      </c>
      <c r="G168">
        <f t="shared" ca="1" si="77"/>
        <v>0</v>
      </c>
      <c r="H168">
        <f t="shared" ca="1" si="77"/>
        <v>0</v>
      </c>
      <c r="I168">
        <f t="shared" ca="1" si="77"/>
        <v>2</v>
      </c>
      <c r="J168">
        <f t="shared" ca="1" si="77"/>
        <v>4</v>
      </c>
      <c r="K168">
        <f t="shared" ca="1" si="77"/>
        <v>12</v>
      </c>
      <c r="L168">
        <f t="shared" ca="1" si="77"/>
        <v>21</v>
      </c>
      <c r="M168">
        <f t="shared" ca="1" si="77"/>
        <v>29</v>
      </c>
      <c r="N168">
        <f t="shared" ca="1" si="77"/>
        <v>42</v>
      </c>
      <c r="O168">
        <f t="shared" ca="1" si="77"/>
        <v>55</v>
      </c>
      <c r="P168">
        <f t="shared" ca="1" si="77"/>
        <v>71</v>
      </c>
      <c r="Q168">
        <f t="shared" ca="1" si="77"/>
        <v>85</v>
      </c>
      <c r="R168">
        <f t="shared" ca="1" si="77"/>
        <v>100</v>
      </c>
      <c r="S168">
        <f t="shared" ca="1" si="77"/>
        <v>116</v>
      </c>
      <c r="T168">
        <f t="shared" ca="1" si="77"/>
        <v>129</v>
      </c>
      <c r="U168">
        <f t="shared" ca="1" si="77"/>
        <v>145</v>
      </c>
      <c r="V168">
        <f t="shared" ca="1" si="77"/>
        <v>161</v>
      </c>
      <c r="W168">
        <f t="shared" ca="1" si="77"/>
        <v>173</v>
      </c>
    </row>
    <row r="169" spans="1:23">
      <c r="A169" s="22" t="s">
        <v>14</v>
      </c>
      <c r="C169">
        <f t="shared" ca="1" si="79"/>
        <v>1249</v>
      </c>
      <c r="D169">
        <f t="shared" ca="1" si="78"/>
        <v>0</v>
      </c>
      <c r="E169">
        <f t="shared" ca="1" si="77"/>
        <v>0</v>
      </c>
      <c r="F169">
        <f t="shared" ca="1" si="77"/>
        <v>0</v>
      </c>
      <c r="G169">
        <f t="shared" ca="1" si="77"/>
        <v>0</v>
      </c>
      <c r="H169">
        <f t="shared" ca="1" si="77"/>
        <v>0</v>
      </c>
      <c r="I169">
        <f t="shared" ca="1" si="77"/>
        <v>2</v>
      </c>
      <c r="J169">
        <f t="shared" ca="1" si="77"/>
        <v>6</v>
      </c>
      <c r="K169">
        <f t="shared" ca="1" si="77"/>
        <v>12</v>
      </c>
      <c r="L169">
        <f t="shared" ca="1" si="77"/>
        <v>24</v>
      </c>
      <c r="M169">
        <f t="shared" ca="1" si="77"/>
        <v>32</v>
      </c>
      <c r="N169">
        <f t="shared" ca="1" si="77"/>
        <v>46</v>
      </c>
      <c r="O169">
        <f t="shared" ca="1" si="77"/>
        <v>60</v>
      </c>
      <c r="P169">
        <f t="shared" ca="1" si="77"/>
        <v>77</v>
      </c>
      <c r="Q169">
        <f t="shared" ca="1" si="77"/>
        <v>93</v>
      </c>
      <c r="R169">
        <f t="shared" ca="1" si="77"/>
        <v>109</v>
      </c>
      <c r="S169">
        <f t="shared" ca="1" si="77"/>
        <v>124</v>
      </c>
      <c r="T169">
        <f t="shared" ca="1" si="77"/>
        <v>142</v>
      </c>
      <c r="U169">
        <f t="shared" ca="1" si="77"/>
        <v>158</v>
      </c>
      <c r="V169">
        <f t="shared" ca="1" si="77"/>
        <v>174</v>
      </c>
      <c r="W169">
        <f t="shared" ca="1" si="77"/>
        <v>190</v>
      </c>
    </row>
    <row r="170" spans="1:23">
      <c r="A170" s="22" t="s">
        <v>15</v>
      </c>
      <c r="C170">
        <f t="shared" ca="1" si="79"/>
        <v>317</v>
      </c>
      <c r="D170">
        <f t="shared" ca="1" si="78"/>
        <v>0</v>
      </c>
      <c r="E170">
        <f t="shared" ca="1" si="77"/>
        <v>0</v>
      </c>
      <c r="F170">
        <f t="shared" ca="1" si="77"/>
        <v>0</v>
      </c>
      <c r="G170">
        <f t="shared" ca="1" si="77"/>
        <v>0</v>
      </c>
      <c r="H170">
        <f t="shared" ca="1" si="77"/>
        <v>0</v>
      </c>
      <c r="I170">
        <f t="shared" ca="1" si="77"/>
        <v>0</v>
      </c>
      <c r="J170">
        <f t="shared" ca="1" si="77"/>
        <v>2</v>
      </c>
      <c r="K170">
        <f t="shared" ca="1" si="77"/>
        <v>4</v>
      </c>
      <c r="L170">
        <f t="shared" ca="1" si="77"/>
        <v>10</v>
      </c>
      <c r="M170">
        <f t="shared" ca="1" si="77"/>
        <v>9</v>
      </c>
      <c r="N170">
        <f t="shared" ca="1" si="77"/>
        <v>15</v>
      </c>
      <c r="O170">
        <f t="shared" ca="1" si="77"/>
        <v>16</v>
      </c>
      <c r="P170">
        <f t="shared" ca="1" si="77"/>
        <v>20</v>
      </c>
      <c r="Q170">
        <f t="shared" ca="1" si="77"/>
        <v>24</v>
      </c>
      <c r="R170">
        <f t="shared" ca="1" si="77"/>
        <v>28</v>
      </c>
      <c r="S170">
        <f t="shared" ca="1" si="77"/>
        <v>30</v>
      </c>
      <c r="T170">
        <f t="shared" ca="1" si="77"/>
        <v>35</v>
      </c>
      <c r="U170">
        <f t="shared" ca="1" si="77"/>
        <v>38</v>
      </c>
      <c r="V170">
        <f t="shared" ca="1" si="77"/>
        <v>41</v>
      </c>
      <c r="W170">
        <f t="shared" ca="1" si="77"/>
        <v>45</v>
      </c>
    </row>
    <row r="172" spans="1:23">
      <c r="A172" s="30" t="s">
        <v>79</v>
      </c>
    </row>
    <row r="173" spans="1:23">
      <c r="A173" s="22" t="s">
        <v>5</v>
      </c>
      <c r="D173" s="23">
        <f ca="1">-$D160*D$13</f>
        <v>0</v>
      </c>
      <c r="E173" s="23">
        <f ca="1">-(SUM($E160:E160))*E$13</f>
        <v>0</v>
      </c>
      <c r="F173" s="23">
        <f ca="1">-(SUM($E160:F160))*F$13</f>
        <v>0</v>
      </c>
      <c r="G173" s="23">
        <f ca="1">-(SUM($E160:G160))*G$13</f>
        <v>0</v>
      </c>
      <c r="H173" s="23">
        <f ca="1">-(SUM($E160:H160))*H$13</f>
        <v>0</v>
      </c>
      <c r="I173" s="23">
        <f ca="1">-(SUM($E160:I160))*I$13</f>
        <v>0</v>
      </c>
      <c r="J173" s="23">
        <f ca="1">-(SUM($E160:J160))*J$13</f>
        <v>0</v>
      </c>
      <c r="K173" s="23">
        <f ca="1">-(SUM($E160:K160))*K$13</f>
        <v>0</v>
      </c>
      <c r="L173" s="23">
        <f ca="1">-(SUM($E160:L160))*L$13</f>
        <v>0</v>
      </c>
      <c r="M173" s="23">
        <f ca="1">-(SUM($E160:M160))*M$13</f>
        <v>0</v>
      </c>
      <c r="N173" s="23">
        <f ca="1">-(SUM($E160:N160))*N$13</f>
        <v>0</v>
      </c>
      <c r="O173" s="23">
        <f ca="1">-(SUM($E160:O160))*O$13</f>
        <v>0</v>
      </c>
      <c r="P173" s="23">
        <f ca="1">-(SUM($E160:P160))*P$13</f>
        <v>0</v>
      </c>
      <c r="Q173" s="23">
        <f ca="1">-(SUM($E160:Q160))*Q$13</f>
        <v>0</v>
      </c>
      <c r="R173" s="23">
        <f ca="1">-(SUM($E160:R160))*R$13</f>
        <v>-4430493.1448104754</v>
      </c>
      <c r="S173" s="23">
        <f ca="1">-(SUM($E160:S160))*S$13</f>
        <v>-9215425.7412057891</v>
      </c>
      <c r="T173" s="23">
        <f ca="1">-(SUM($E160:T160))*T$13</f>
        <v>-14376064.156281032</v>
      </c>
      <c r="U173" s="23">
        <f ca="1">-(SUM($E160:U160))*U$13</f>
        <v>-24918511.204220451</v>
      </c>
      <c r="V173" s="23">
        <f ca="1">-(SUM($E160:V160))*V$13</f>
        <v>-36281352.313344978</v>
      </c>
      <c r="W173" s="23">
        <f ca="1">-(SUM($E160:W160))*W$13</f>
        <v>-53903723.436969683</v>
      </c>
    </row>
    <row r="174" spans="1:23">
      <c r="A174" s="22" t="s">
        <v>6</v>
      </c>
      <c r="D174" s="23">
        <f t="shared" ref="D174:D183" ca="1" si="80">-$D161*D$13</f>
        <v>0</v>
      </c>
      <c r="E174" s="23">
        <f ca="1">-(SUM($E161:E161))*E$13</f>
        <v>0</v>
      </c>
      <c r="F174" s="23">
        <f ca="1">-(SUM($E161:F161))*F$13</f>
        <v>0</v>
      </c>
      <c r="G174" s="23">
        <f ca="1">-(SUM($E161:G161))*G$13</f>
        <v>0</v>
      </c>
      <c r="H174" s="23">
        <f ca="1">-(SUM($E161:H161))*H$13</f>
        <v>0</v>
      </c>
      <c r="I174" s="23">
        <f ca="1">-(SUM($E161:I161))*I$13</f>
        <v>0</v>
      </c>
      <c r="J174" s="23">
        <f ca="1">-(SUM($E161:J161))*J$13</f>
        <v>0</v>
      </c>
      <c r="K174" s="23">
        <f ca="1">-(SUM($E161:K161))*K$13</f>
        <v>0</v>
      </c>
      <c r="L174" s="23">
        <f ca="1">-(SUM($E161:L161))*L$13</f>
        <v>0</v>
      </c>
      <c r="M174" s="23">
        <f ca="1">-(SUM($E161:M161))*M$13</f>
        <v>0</v>
      </c>
      <c r="N174" s="23">
        <f ca="1">-(SUM($E161:N161))*N$13</f>
        <v>0</v>
      </c>
      <c r="O174" s="23">
        <f ca="1">-(SUM($E161:O161))*O$13</f>
        <v>0</v>
      </c>
      <c r="P174" s="23">
        <f ca="1">-(SUM($E161:P161))*P$13</f>
        <v>0</v>
      </c>
      <c r="Q174" s="23">
        <f ca="1">-(SUM($E161:Q161))*Q$13</f>
        <v>-4260089.5623177644</v>
      </c>
      <c r="R174" s="23">
        <f ca="1">-(SUM($E161:R161))*R$13</f>
        <v>-8860986.2896209508</v>
      </c>
      <c r="S174" s="23">
        <f ca="1">-(SUM($E161:S161))*S$13</f>
        <v>-18430851.482411578</v>
      </c>
      <c r="T174" s="23">
        <f ca="1">-(SUM($E161:T161))*T$13</f>
        <v>-38336171.083416082</v>
      </c>
      <c r="U174" s="23">
        <f ca="1">-(SUM($E161:U161))*U$13</f>
        <v>-64788129.130973175</v>
      </c>
      <c r="V174" s="23">
        <f ca="1">-(SUM($E161:V161))*V$13</f>
        <v>-108844056.94003494</v>
      </c>
      <c r="W174" s="23">
        <f ca="1">-(SUM($E161:W161))*W$13</f>
        <v>-140149680.9361212</v>
      </c>
    </row>
    <row r="175" spans="1:23">
      <c r="A175" s="22" t="s">
        <v>7</v>
      </c>
      <c r="D175" s="23">
        <f t="shared" ca="1" si="80"/>
        <v>0</v>
      </c>
      <c r="E175" s="23">
        <f ca="1">-(SUM($E162:E162))*E$13</f>
        <v>0</v>
      </c>
      <c r="F175" s="23">
        <f ca="1">-(SUM($E162:F162))*F$13</f>
        <v>0</v>
      </c>
      <c r="G175" s="23">
        <f ca="1">-(SUM($E162:G162))*G$13</f>
        <v>0</v>
      </c>
      <c r="H175" s="23">
        <f ca="1">-(SUM($E162:H162))*H$13</f>
        <v>0</v>
      </c>
      <c r="I175" s="23">
        <f ca="1">-(SUM($E162:I162))*I$13</f>
        <v>0</v>
      </c>
      <c r="J175" s="23">
        <f ca="1">-(SUM($E162:J162))*J$13</f>
        <v>0</v>
      </c>
      <c r="K175" s="23">
        <f ca="1">-(SUM($E162:K162))*K$13</f>
        <v>0</v>
      </c>
      <c r="L175" s="23">
        <f ca="1">-(SUM($E162:L162))*L$13</f>
        <v>0</v>
      </c>
      <c r="M175" s="23">
        <f ca="1">-(SUM($E162:M162))*M$13</f>
        <v>0</v>
      </c>
      <c r="N175" s="23">
        <f ca="1">-(SUM($E162:N162))*N$13</f>
        <v>0</v>
      </c>
      <c r="O175" s="23">
        <f ca="1">-(SUM($E162:O162))*O$13</f>
        <v>-7877384.5457059238</v>
      </c>
      <c r="P175" s="23">
        <f ca="1">-(SUM($E162:P162))*P$13</f>
        <v>-28673679.746369563</v>
      </c>
      <c r="Q175" s="23">
        <f ca="1">-(SUM($E162:Q162))*Q$13</f>
        <v>-63901343.434766464</v>
      </c>
      <c r="R175" s="23">
        <f ca="1">-(SUM($E162:R162))*R$13</f>
        <v>-97470849.185830459</v>
      </c>
      <c r="S175" s="23">
        <f ca="1">-(SUM($E162:S162))*S$13</f>
        <v>-138231386.11808684</v>
      </c>
      <c r="T175" s="23">
        <f ca="1">-(SUM($E162:T162))*T$13</f>
        <v>-186888834.0316534</v>
      </c>
      <c r="U175" s="23">
        <f ca="1">-(SUM($E162:U162))*U$13</f>
        <v>-254168814.2830486</v>
      </c>
      <c r="V175" s="23">
        <f ca="1">-(SUM($E162:V162))*V$13</f>
        <v>-336898271.4810605</v>
      </c>
      <c r="W175" s="23">
        <f ca="1">-(SUM($E162:W162))*W$13</f>
        <v>-425839415.15206051</v>
      </c>
    </row>
    <row r="176" spans="1:23">
      <c r="A176" s="22" t="s">
        <v>8</v>
      </c>
      <c r="D176" s="23">
        <f t="shared" ca="1" si="80"/>
        <v>0</v>
      </c>
      <c r="E176" s="23">
        <f ca="1">-(SUM($E163:E163))*E$13</f>
        <v>0</v>
      </c>
      <c r="F176" s="23">
        <f ca="1">-(SUM($E163:F163))*F$13</f>
        <v>0</v>
      </c>
      <c r="G176" s="23">
        <f ca="1">-(SUM($E163:G163))*G$13</f>
        <v>0</v>
      </c>
      <c r="H176" s="23">
        <f ca="1">-(SUM($E163:H163))*H$13</f>
        <v>0</v>
      </c>
      <c r="I176" s="23">
        <f ca="1">-(SUM($E163:I163))*I$13</f>
        <v>0</v>
      </c>
      <c r="J176" s="23">
        <f ca="1">-(SUM($E163:J163))*J$13</f>
        <v>0</v>
      </c>
      <c r="K176" s="23">
        <f ca="1">-(SUM($E163:K163))*K$13</f>
        <v>0</v>
      </c>
      <c r="L176" s="23">
        <f ca="1">-(SUM($E163:L163))*L$13</f>
        <v>0</v>
      </c>
      <c r="M176" s="23">
        <f ca="1">-(SUM($E163:M163))*M$13</f>
        <v>0</v>
      </c>
      <c r="N176" s="23">
        <f ca="1">-(SUM($E163:N163))*N$13</f>
        <v>-11361612.325537389</v>
      </c>
      <c r="O176" s="23">
        <f ca="1">-(SUM($E163:O163))*O$13</f>
        <v>-35448230.45567666</v>
      </c>
      <c r="P176" s="23">
        <f ca="1">-(SUM($E163:P163))*P$13</f>
        <v>-69636079.384040371</v>
      </c>
      <c r="Q176" s="23">
        <f ca="1">-(SUM($E163:Q163))*Q$13</f>
        <v>-102242149.49562635</v>
      </c>
      <c r="R176" s="23">
        <f ca="1">-(SUM($E163:R163))*R$13</f>
        <v>-155067260.06836665</v>
      </c>
      <c r="S176" s="23">
        <f ca="1">-(SUM($E163:S163))*S$13</f>
        <v>-221170217.78893894</v>
      </c>
      <c r="T176" s="23">
        <f ca="1">-(SUM($E163:T163))*T$13</f>
        <v>-301897347.28190166</v>
      </c>
      <c r="U176" s="23">
        <f ca="1">-(SUM($E163:U163))*U$13</f>
        <v>-408663583.74921542</v>
      </c>
      <c r="V176" s="23">
        <f ca="1">-(SUM($E163:V163))*V$13</f>
        <v>-533854184.03921896</v>
      </c>
      <c r="W176" s="23">
        <f ca="1">-(SUM($E163:W163))*W$13</f>
        <v>-679186915.30581808</v>
      </c>
    </row>
    <row r="177" spans="1:23">
      <c r="A177" s="22" t="s">
        <v>9</v>
      </c>
      <c r="D177" s="23">
        <f t="shared" ca="1" si="80"/>
        <v>0</v>
      </c>
      <c r="E177" s="23">
        <f ca="1">-(SUM($E164:E164))*E$13</f>
        <v>0</v>
      </c>
      <c r="F177" s="23">
        <f ca="1">-(SUM($E164:F164))*F$13</f>
        <v>0</v>
      </c>
      <c r="G177" s="23">
        <f ca="1">-(SUM($E164:G164))*G$13</f>
        <v>0</v>
      </c>
      <c r="H177" s="23">
        <f ca="1">-(SUM($E164:H164))*H$13</f>
        <v>0</v>
      </c>
      <c r="I177" s="23">
        <f ca="1">-(SUM($E164:I164))*I$13</f>
        <v>0</v>
      </c>
      <c r="J177" s="23">
        <f ca="1">-(SUM($E164:J164))*J$13</f>
        <v>0</v>
      </c>
      <c r="K177" s="23">
        <f ca="1">-(SUM($E164:K164))*K$13</f>
        <v>0</v>
      </c>
      <c r="L177" s="23">
        <f ca="1">-(SUM($E164:L164))*L$13</f>
        <v>-10504449.265474657</v>
      </c>
      <c r="M177" s="23">
        <f ca="1">-(SUM($E164:M164))*M$13</f>
        <v>-29132339.296249714</v>
      </c>
      <c r="N177" s="23">
        <f ca="1">-(SUM($E164:N164))*N$13</f>
        <v>-56808061.627686948</v>
      </c>
      <c r="O177" s="23">
        <f ca="1">-(SUM($E164:O164))*O$13</f>
        <v>-118160768.18558885</v>
      </c>
      <c r="P177" s="23">
        <f ca="1">-(SUM($E164:P164))*P$13</f>
        <v>-176138318.44198447</v>
      </c>
      <c r="Q177" s="23">
        <f ca="1">-(SUM($E164:Q164))*Q$13</f>
        <v>-259865463.30138361</v>
      </c>
      <c r="R177" s="23">
        <f ca="1">-(SUM($E164:R164))*R$13</f>
        <v>-372161424.1640799</v>
      </c>
      <c r="S177" s="23">
        <f ca="1">-(SUM($E164:S164))*S$13</f>
        <v>-516063841.50752419</v>
      </c>
      <c r="T177" s="23">
        <f ca="1">-(SUM($E164:T164))*T$13</f>
        <v>-694843100.88691652</v>
      </c>
      <c r="U177" s="23">
        <f ca="1">-(SUM($E164:U164))*U$13</f>
        <v>-902050105.59278035</v>
      </c>
      <c r="V177" s="23">
        <f ca="1">-(SUM($E164:V164))*V$13</f>
        <v>-1161003274.0270393</v>
      </c>
      <c r="W177" s="23">
        <f ca="1">-(SUM($E164:W164))*W$13</f>
        <v>-1460790905.1418786</v>
      </c>
    </row>
    <row r="178" spans="1:23">
      <c r="A178" s="22" t="s">
        <v>10</v>
      </c>
      <c r="D178" s="23">
        <f t="shared" ca="1" si="80"/>
        <v>0</v>
      </c>
      <c r="E178" s="23">
        <f ca="1">-(SUM($E165:E165))*E$13</f>
        <v>0</v>
      </c>
      <c r="F178" s="23">
        <f ca="1">-(SUM($E165:F165))*F$13</f>
        <v>0</v>
      </c>
      <c r="G178" s="23">
        <f ca="1">-(SUM($E165:G165))*G$13</f>
        <v>0</v>
      </c>
      <c r="H178" s="23">
        <f ca="1">-(SUM($E165:H165))*H$13</f>
        <v>0</v>
      </c>
      <c r="I178" s="23">
        <f ca="1">-(SUM($E165:I165))*I$13</f>
        <v>0</v>
      </c>
      <c r="J178" s="23">
        <f ca="1">-(SUM($E165:J165))*J$13</f>
        <v>-3237317.9442414492</v>
      </c>
      <c r="K178" s="23">
        <f ca="1">-(SUM($E165:K165))*K$13</f>
        <v>-16834053.310055539</v>
      </c>
      <c r="L178" s="23">
        <f ca="1">-(SUM($E165:L165))*L$13</f>
        <v>-35014830.884915523</v>
      </c>
      <c r="M178" s="23">
        <f ca="1">-(SUM($E165:M165))*M$13</f>
        <v>-80113933.064686716</v>
      </c>
      <c r="N178" s="23">
        <f ca="1">-(SUM($E165:N165))*N$13</f>
        <v>-151488164.34049851</v>
      </c>
      <c r="O178" s="23">
        <f ca="1">-(SUM($E165:O165))*O$13</f>
        <v>-240260228.64403069</v>
      </c>
      <c r="P178" s="23">
        <f ca="1">-(SUM($E165:P165))*P$13</f>
        <v>-372757836.70280433</v>
      </c>
      <c r="Q178" s="23">
        <f ca="1">-(SUM($E165:Q165))*Q$13</f>
        <v>-549551553.53899157</v>
      </c>
      <c r="R178" s="23">
        <f ca="1">-(SUM($E165:R165))*R$13</f>
        <v>-775336300.34183323</v>
      </c>
      <c r="S178" s="23">
        <f ca="1">-(SUM($E165:S165))*S$13</f>
        <v>-1055166247.3680629</v>
      </c>
      <c r="T178" s="23">
        <f ca="1">-(SUM($E165:T165))*T$13</f>
        <v>-1408854287.315541</v>
      </c>
      <c r="U178" s="23">
        <f ca="1">-(SUM($E165:U165))*U$13</f>
        <v>-1829018722.3897812</v>
      </c>
      <c r="V178" s="23">
        <f ca="1">-(SUM($E165:V165))*V$13</f>
        <v>-2332372648.7150345</v>
      </c>
      <c r="W178" s="23">
        <f ca="1">-(SUM($E165:W165))*W$13</f>
        <v>-2932362554.9711509</v>
      </c>
    </row>
    <row r="179" spans="1:23">
      <c r="A179" s="22" t="s">
        <v>11</v>
      </c>
      <c r="D179" s="23">
        <f t="shared" ca="1" si="80"/>
        <v>0</v>
      </c>
      <c r="E179" s="23">
        <f ca="1">-(SUM($E166:E166))*E$13</f>
        <v>0</v>
      </c>
      <c r="F179" s="23">
        <f ca="1">-(SUM($E166:F166))*F$13</f>
        <v>0</v>
      </c>
      <c r="G179" s="23">
        <f ca="1">-(SUM($E166:G166))*G$13</f>
        <v>0</v>
      </c>
      <c r="H179" s="23">
        <f ca="1">-(SUM($E166:H166))*H$13</f>
        <v>0</v>
      </c>
      <c r="I179" s="23">
        <f ca="1">-(SUM($E166:I166))*I$13</f>
        <v>-9338417.1468503345</v>
      </c>
      <c r="J179" s="23">
        <f ca="1">-(SUM($E166:J166))*J$13</f>
        <v>-22661225.609690145</v>
      </c>
      <c r="K179" s="23">
        <f ca="1">-(SUM($E166:K166))*K$13</f>
        <v>-50502159.93016661</v>
      </c>
      <c r="L179" s="23">
        <f ca="1">-(SUM($E166:L166))*L$13</f>
        <v>-101543009.566255</v>
      </c>
      <c r="M179" s="23">
        <f ca="1">-(SUM($E166:M166))*M$13</f>
        <v>-193001747.83765435</v>
      </c>
      <c r="N179" s="23">
        <f ca="1">-(SUM($E166:N166))*N$13</f>
        <v>-310550736.898022</v>
      </c>
      <c r="O179" s="23">
        <f ca="1">-(SUM($E166:O166))*O$13</f>
        <v>-484459149.56091434</v>
      </c>
      <c r="P179" s="23">
        <f ca="1">-(SUM($E166:P166))*P$13</f>
        <v>-725034473.58677328</v>
      </c>
      <c r="Q179" s="23">
        <f ca="1">-(SUM($E166:Q166))*Q$13</f>
        <v>-1039461853.2055345</v>
      </c>
      <c r="R179" s="23">
        <f ca="1">-(SUM($E166:R166))*R$13</f>
        <v>-1431049285.7737834</v>
      </c>
      <c r="S179" s="23">
        <f ca="1">-(SUM($E166:S166))*S$13</f>
        <v>-1912200841.3002012</v>
      </c>
      <c r="T179" s="23">
        <f ca="1">-(SUM($E166:T166))*T$13</f>
        <v>-2501435163.1928992</v>
      </c>
      <c r="U179" s="23">
        <f ca="1">-(SUM($E166:U166))*U$13</f>
        <v>-3199536838.6219063</v>
      </c>
      <c r="V179" s="23">
        <f ca="1">-(SUM($E166:V166))*V$13</f>
        <v>-4027230106.7812929</v>
      </c>
      <c r="W179" s="23">
        <f ca="1">-(SUM($E166:W166))*W$13</f>
        <v>-4975313673.2323017</v>
      </c>
    </row>
    <row r="180" spans="1:23">
      <c r="A180" s="22" t="s">
        <v>12</v>
      </c>
      <c r="D180" s="23">
        <f t="shared" ca="1" si="80"/>
        <v>0</v>
      </c>
      <c r="E180" s="23">
        <f ca="1">-(SUM($E167:E167))*E$13</f>
        <v>0</v>
      </c>
      <c r="F180" s="23">
        <f ca="1">-(SUM($E167:F167))*F$13</f>
        <v>0</v>
      </c>
      <c r="G180" s="23">
        <f ca="1">-(SUM($E167:G167))*G$13</f>
        <v>0</v>
      </c>
      <c r="H180" s="23">
        <f ca="1">-(SUM($E167:H167))*H$13</f>
        <v>-2980268.9494550331</v>
      </c>
      <c r="I180" s="23">
        <f ca="1">-(SUM($E167:I167))*I$13</f>
        <v>-12451222.862467112</v>
      </c>
      <c r="J180" s="23">
        <f ca="1">-(SUM($E167:J167))*J$13</f>
        <v>-32373179.442414492</v>
      </c>
      <c r="K180" s="23">
        <f ca="1">-(SUM($E167:K167))*K$13</f>
        <v>-63969402.578211039</v>
      </c>
      <c r="L180" s="23">
        <f ca="1">-(SUM($E167:L167))*L$13</f>
        <v>-129554874.27418743</v>
      </c>
      <c r="M180" s="23">
        <f ca="1">-(SUM($E167:M167))*M$13</f>
        <v>-240341799.19406015</v>
      </c>
      <c r="N180" s="23">
        <f ca="1">-(SUM($E167:N167))*N$13</f>
        <v>-390082023.17678368</v>
      </c>
      <c r="O180" s="23">
        <f ca="1">-(SUM($E167:O167))*O$13</f>
        <v>-598681225.47365022</v>
      </c>
      <c r="P180" s="23">
        <f ca="1">-(SUM($E167:P167))*P$13</f>
        <v>-876595352.24615526</v>
      </c>
      <c r="Q180" s="23">
        <f ca="1">-(SUM($E167:Q167))*Q$13</f>
        <v>-1248206241.759105</v>
      </c>
      <c r="R180" s="23">
        <f ca="1">-(SUM($E167:R167))*R$13</f>
        <v>-1719031340.1864645</v>
      </c>
      <c r="S180" s="23">
        <f ca="1">-(SUM($E167:S167))*S$13</f>
        <v>-2303856435.3014474</v>
      </c>
      <c r="T180" s="23">
        <f ca="1">-(SUM($E167:T167))*T$13</f>
        <v>-3014181451.4335895</v>
      </c>
      <c r="U180" s="23">
        <f ca="1">-(SUM($E167:U167))*U$13</f>
        <v>-3852401832.172482</v>
      </c>
      <c r="V180" s="23">
        <f ca="1">-(SUM($E167:V167))*V$13</f>
        <v>-4835785958.3358383</v>
      </c>
      <c r="W180" s="23">
        <f ca="1">-(SUM($E167:W167))*W$13</f>
        <v>-5988703673.847332</v>
      </c>
    </row>
    <row r="181" spans="1:23">
      <c r="A181" s="22" t="s">
        <v>13</v>
      </c>
      <c r="D181" s="23">
        <f t="shared" ca="1" si="80"/>
        <v>0</v>
      </c>
      <c r="E181" s="23">
        <f ca="1">-(SUM($E168:E168))*E$13</f>
        <v>0</v>
      </c>
      <c r="F181" s="23">
        <f ca="1">-(SUM($E168:F168))*F$13</f>
        <v>0</v>
      </c>
      <c r="G181" s="23">
        <f ca="1">-(SUM($E168:G168))*G$13</f>
        <v>0</v>
      </c>
      <c r="H181" s="23">
        <f ca="1">-(SUM($E168:H168))*H$13</f>
        <v>0</v>
      </c>
      <c r="I181" s="23">
        <f ca="1">-(SUM($E168:I168))*I$13</f>
        <v>-6225611.431233556</v>
      </c>
      <c r="J181" s="23">
        <f ca="1">-(SUM($E168:J168))*J$13</f>
        <v>-19423907.665448695</v>
      </c>
      <c r="K181" s="23">
        <f ca="1">-(SUM($E168:K168))*K$13</f>
        <v>-60602591.916199937</v>
      </c>
      <c r="L181" s="23">
        <f ca="1">-(SUM($E168:L168))*L$13</f>
        <v>-136557840.45117053</v>
      </c>
      <c r="M181" s="23">
        <f ca="1">-(SUM($E168:M168))*M$13</f>
        <v>-247624884.01812255</v>
      </c>
      <c r="N181" s="23">
        <f ca="1">-(SUM($E168:N168))*N$13</f>
        <v>-416592451.93637091</v>
      </c>
      <c r="O181" s="23">
        <f ca="1">-(SUM($E168:O168))*O$13</f>
        <v>-649884225.02073872</v>
      </c>
      <c r="P181" s="23">
        <f ca="1">-(SUM($E168:P168))*P$13</f>
        <v>-966712631.449031</v>
      </c>
      <c r="Q181" s="23">
        <f ca="1">-(SUM($E168:Q168))*Q$13</f>
        <v>-1367488749.5040023</v>
      </c>
      <c r="R181" s="23">
        <f ca="1">-(SUM($E168:R168))*R$13</f>
        <v>-1865237613.9652102</v>
      </c>
      <c r="S181" s="23">
        <f ca="1">-(SUM($E168:S168))*S$13</f>
        <v>-2474341811.5137544</v>
      </c>
      <c r="T181" s="23">
        <f ca="1">-(SUM($E168:T168))*T$13</f>
        <v>-3191486242.6943889</v>
      </c>
      <c r="U181" s="23">
        <f ca="1">-(SUM($E168:U168))*U$13</f>
        <v>-4041782517.3245573</v>
      </c>
      <c r="V181" s="23">
        <f ca="1">-(SUM($E168:V168))*V$13</f>
        <v>-5037924921.224474</v>
      </c>
      <c r="W181" s="23">
        <f ca="1">-(SUM($E168:W168))*W$13</f>
        <v>-6171976333.5330296</v>
      </c>
    </row>
    <row r="182" spans="1:23">
      <c r="A182" s="22" t="s">
        <v>14</v>
      </c>
      <c r="D182" s="23">
        <f t="shared" ca="1" si="80"/>
        <v>0</v>
      </c>
      <c r="E182" s="23">
        <f ca="1">-(SUM($E169:E169))*E$13</f>
        <v>0</v>
      </c>
      <c r="F182" s="23">
        <f ca="1">-(SUM($E169:F169))*F$13</f>
        <v>0</v>
      </c>
      <c r="G182" s="23">
        <f ca="1">-(SUM(E169:G169))*G$13</f>
        <v>0</v>
      </c>
      <c r="H182" s="23">
        <f t="shared" ref="H182:W182" ca="1" si="81">-(SUM(F169:H169))*H$13</f>
        <v>0</v>
      </c>
      <c r="I182" s="23">
        <f t="shared" ca="1" si="81"/>
        <v>-6225611.431233556</v>
      </c>
      <c r="J182" s="23">
        <f t="shared" ca="1" si="81"/>
        <v>-25898543.553931594</v>
      </c>
      <c r="K182" s="23">
        <f t="shared" ca="1" si="81"/>
        <v>-67336213.240222156</v>
      </c>
      <c r="L182" s="23">
        <f t="shared" ca="1" si="81"/>
        <v>-147062289.71664518</v>
      </c>
      <c r="M182" s="23">
        <f t="shared" ca="1" si="81"/>
        <v>-247624884.01812255</v>
      </c>
      <c r="N182" s="23">
        <f t="shared" ca="1" si="81"/>
        <v>-386294819.06827122</v>
      </c>
      <c r="O182" s="23">
        <f t="shared" ca="1" si="81"/>
        <v>-543539533.6537087</v>
      </c>
      <c r="P182" s="23">
        <f t="shared" ca="1" si="81"/>
        <v>-749611913.36937571</v>
      </c>
      <c r="Q182" s="23">
        <f t="shared" ca="1" si="81"/>
        <v>-979820599.33308578</v>
      </c>
      <c r="R182" s="23">
        <f t="shared" ca="1" si="81"/>
        <v>-1236107587.4021227</v>
      </c>
      <c r="S182" s="23">
        <f t="shared" ca="1" si="81"/>
        <v>-1502114395.8165436</v>
      </c>
      <c r="T182" s="23">
        <f t="shared" ca="1" si="81"/>
        <v>-1797008019.5351288</v>
      </c>
      <c r="U182" s="23">
        <f t="shared" ca="1" si="81"/>
        <v>-2113089750.1178944</v>
      </c>
      <c r="V182" s="23">
        <f t="shared" ca="1" si="81"/>
        <v>-2456765856.646503</v>
      </c>
      <c r="W182" s="23">
        <f t="shared" ca="1" si="81"/>
        <v>-2813774363.4098177</v>
      </c>
    </row>
    <row r="183" spans="1:23">
      <c r="A183" s="22" t="s">
        <v>15</v>
      </c>
      <c r="D183" s="26">
        <f t="shared" ca="1" si="80"/>
        <v>0</v>
      </c>
      <c r="E183" s="26">
        <f ca="1">-(SUM($E170:E170))*E$13</f>
        <v>0</v>
      </c>
      <c r="F183" s="26">
        <f ca="1">-(SUM($E170:F170))*F$13</f>
        <v>0</v>
      </c>
      <c r="G183" s="26">
        <f ca="1">-(SUM($E170:G170))*G$13</f>
        <v>0</v>
      </c>
      <c r="H183" s="26">
        <f ca="1">-(SUM($E170:H170))*H$13</f>
        <v>0</v>
      </c>
      <c r="I183" s="26">
        <f ca="1">-(SUM($E170:I170))*I$13</f>
        <v>0</v>
      </c>
      <c r="J183" s="26">
        <f ca="1">-(SUM($E170:J170))*J$13</f>
        <v>-6474635.8884828985</v>
      </c>
      <c r="K183" s="26">
        <f ca="1">-(SUM($E170:K170))*K$13</f>
        <v>-20200863.972066645</v>
      </c>
      <c r="L183" s="26">
        <f ca="1">-(SUM($E170:L170))*L$13</f>
        <v>-56023729.415864833</v>
      </c>
      <c r="M183" s="26">
        <f ca="1">-(SUM($E170:M170))*M$13</f>
        <v>-91038560.300780356</v>
      </c>
      <c r="N183" s="26">
        <f ca="1">-(SUM($E170:N170))*N$13</f>
        <v>-151488164.34049851</v>
      </c>
      <c r="O183" s="26">
        <f ca="1">-(SUM($E170:O170))*O$13</f>
        <v>-220566767.27976587</v>
      </c>
      <c r="P183" s="26">
        <f ca="1">-(SUM($E170:P170))*P$13</f>
        <v>-311314237.24629813</v>
      </c>
      <c r="Q183" s="26">
        <f ca="1">-(SUM($E170:Q170))*Q$13</f>
        <v>-426008956.23177642</v>
      </c>
      <c r="R183" s="26">
        <f ca="1">-(SUM($E170:R170))*R$13</f>
        <v>-567103122.53574085</v>
      </c>
      <c r="S183" s="26">
        <f ca="1">-(SUM($E170:S170))*S$13</f>
        <v>-728018633.55525732</v>
      </c>
      <c r="T183" s="26">
        <f ca="1">-(SUM($E170:T170))*T$13</f>
        <v>-924860127.38741302</v>
      </c>
      <c r="U183" s="26">
        <f ca="1">-(SUM($E170:U170))*U$13</f>
        <v>-1151235217.634985</v>
      </c>
      <c r="V183" s="26">
        <f ca="1">-(SUM($E170:V170))*V$13</f>
        <v>-1409789689.8899763</v>
      </c>
      <c r="W183" s="26">
        <f ca="1">-(SUM($E170:W170))*W$13</f>
        <v>-1708748032.9519391</v>
      </c>
    </row>
    <row r="184" spans="1:23">
      <c r="A184" s="22" t="s">
        <v>43</v>
      </c>
      <c r="D184" s="23">
        <f ca="1">SUM(D173:D183)</f>
        <v>0</v>
      </c>
      <c r="E184" s="23">
        <f t="shared" ref="E184:W184" ca="1" si="82">SUM(E173:E183)</f>
        <v>0</v>
      </c>
      <c r="F184" s="23">
        <f t="shared" ca="1" si="82"/>
        <v>0</v>
      </c>
      <c r="G184" s="23">
        <f t="shared" ca="1" si="82"/>
        <v>0</v>
      </c>
      <c r="H184" s="23">
        <f t="shared" ca="1" si="82"/>
        <v>-2980268.9494550331</v>
      </c>
      <c r="I184" s="23">
        <f t="shared" ca="1" si="82"/>
        <v>-34240862.87178456</v>
      </c>
      <c r="J184" s="23">
        <f t="shared" ca="1" si="82"/>
        <v>-110068810.10420927</v>
      </c>
      <c r="K184" s="23">
        <f t="shared" ca="1" si="82"/>
        <v>-279445284.94692194</v>
      </c>
      <c r="L184" s="23">
        <f t="shared" ca="1" si="82"/>
        <v>-616261023.57451308</v>
      </c>
      <c r="M184" s="23">
        <f t="shared" ca="1" si="82"/>
        <v>-1128878147.7296762</v>
      </c>
      <c r="N184" s="23">
        <f t="shared" ca="1" si="82"/>
        <v>-1874666033.7136691</v>
      </c>
      <c r="O184" s="23">
        <f t="shared" ca="1" si="82"/>
        <v>-2898877512.8197803</v>
      </c>
      <c r="P184" s="23">
        <f t="shared" ca="1" si="82"/>
        <v>-4276474522.172832</v>
      </c>
      <c r="Q184" s="23">
        <f t="shared" ca="1" si="82"/>
        <v>-6040806999.3665895</v>
      </c>
      <c r="R184" s="23">
        <f t="shared" ca="1" si="82"/>
        <v>-8231856263.0578632</v>
      </c>
      <c r="S184" s="23">
        <f t="shared" ca="1" si="82"/>
        <v>-10878810087.493435</v>
      </c>
      <c r="T184" s="23">
        <f t="shared" ca="1" si="82"/>
        <v>-14074166808.99913</v>
      </c>
      <c r="U184" s="23">
        <f t="shared" ca="1" si="82"/>
        <v>-17841654022.221844</v>
      </c>
      <c r="V184" s="23">
        <f t="shared" ca="1" si="82"/>
        <v>-22276750320.393818</v>
      </c>
      <c r="W184" s="23">
        <f t="shared" ca="1" si="82"/>
        <v>-27350749271.918419</v>
      </c>
    </row>
    <row r="185" spans="1:23">
      <c r="A185" s="22"/>
    </row>
    <row r="186" spans="1:23">
      <c r="A186" s="22" t="s">
        <v>78</v>
      </c>
    </row>
    <row r="187" spans="1:23">
      <c r="A187" s="22" t="s">
        <v>5</v>
      </c>
      <c r="D187" s="23">
        <f t="shared" ref="D187:W187" ca="1" si="83">D70+D173</f>
        <v>0</v>
      </c>
      <c r="E187" s="23">
        <f t="shared" ca="1" si="83"/>
        <v>0</v>
      </c>
      <c r="F187" s="23">
        <f t="shared" ca="1" si="83"/>
        <v>0</v>
      </c>
      <c r="G187" s="23">
        <f t="shared" ca="1" si="83"/>
        <v>0</v>
      </c>
      <c r="H187" s="23">
        <f t="shared" ca="1" si="83"/>
        <v>2980268.9494550331</v>
      </c>
      <c r="I187" s="23">
        <f t="shared" ca="1" si="83"/>
        <v>6225611.431233556</v>
      </c>
      <c r="J187" s="23">
        <f t="shared" ca="1" si="83"/>
        <v>9711953.8327243477</v>
      </c>
      <c r="K187" s="23">
        <f t="shared" ca="1" si="83"/>
        <v>16834053.310055539</v>
      </c>
      <c r="L187" s="23">
        <f t="shared" ca="1" si="83"/>
        <v>24510381.619440865</v>
      </c>
      <c r="M187" s="23">
        <f t="shared" ca="1" si="83"/>
        <v>36415424.120312139</v>
      </c>
      <c r="N187" s="23">
        <f t="shared" ca="1" si="83"/>
        <v>49233653.410662018</v>
      </c>
      <c r="O187" s="23">
        <f t="shared" ca="1" si="83"/>
        <v>63019076.36564739</v>
      </c>
      <c r="P187" s="23">
        <f t="shared" ca="1" si="83"/>
        <v>81924799.275341615</v>
      </c>
      <c r="Q187" s="23">
        <f t="shared" ca="1" si="83"/>
        <v>102242149.49562635</v>
      </c>
      <c r="R187" s="23">
        <f t="shared" ca="1" si="83"/>
        <v>124053808.05469331</v>
      </c>
      <c r="S187" s="23">
        <f t="shared" ca="1" si="83"/>
        <v>147446811.85929263</v>
      </c>
      <c r="T187" s="23">
        <f t="shared" ca="1" si="83"/>
        <v>172512769.87537238</v>
      </c>
      <c r="U187" s="23">
        <f t="shared" ca="1" si="83"/>
        <v>199348089.63376364</v>
      </c>
      <c r="V187" s="23">
        <f t="shared" ca="1" si="83"/>
        <v>228054214.54102558</v>
      </c>
      <c r="W187" s="23">
        <f t="shared" ca="1" si="83"/>
        <v>258737872.49745446</v>
      </c>
    </row>
    <row r="188" spans="1:23">
      <c r="A188" s="22" t="s">
        <v>6</v>
      </c>
      <c r="D188" s="23">
        <f t="shared" ref="D188:W188" ca="1" si="84">D71+D174</f>
        <v>0</v>
      </c>
      <c r="E188" s="23">
        <f t="shared" ca="1" si="84"/>
        <v>0</v>
      </c>
      <c r="F188" s="23">
        <f t="shared" ca="1" si="84"/>
        <v>0</v>
      </c>
      <c r="G188" s="23">
        <f t="shared" ca="1" si="84"/>
        <v>2676326.1258191932</v>
      </c>
      <c r="H188" s="23">
        <f t="shared" ca="1" si="84"/>
        <v>5960537.8989100661</v>
      </c>
      <c r="I188" s="23">
        <f t="shared" ca="1" si="84"/>
        <v>12451222.862467112</v>
      </c>
      <c r="J188" s="23">
        <f t="shared" ca="1" si="84"/>
        <v>22661225.609690145</v>
      </c>
      <c r="K188" s="23">
        <f t="shared" ca="1" si="84"/>
        <v>33668106.620111078</v>
      </c>
      <c r="L188" s="23">
        <f t="shared" ca="1" si="84"/>
        <v>49020763.23888173</v>
      </c>
      <c r="M188" s="23">
        <f t="shared" ca="1" si="84"/>
        <v>69189305.828593075</v>
      </c>
      <c r="N188" s="23">
        <f t="shared" ca="1" si="84"/>
        <v>94680102.712811574</v>
      </c>
      <c r="O188" s="23">
        <f t="shared" ca="1" si="84"/>
        <v>122099460.45844182</v>
      </c>
      <c r="P188" s="23">
        <f t="shared" ca="1" si="84"/>
        <v>155657118.62314907</v>
      </c>
      <c r="Q188" s="23">
        <f t="shared" ca="1" si="84"/>
        <v>191704030.30429941</v>
      </c>
      <c r="R188" s="23">
        <f t="shared" ca="1" si="84"/>
        <v>230385643.53014475</v>
      </c>
      <c r="S188" s="23">
        <f t="shared" ca="1" si="84"/>
        <v>271855059.36557078</v>
      </c>
      <c r="T188" s="23">
        <f t="shared" ca="1" si="84"/>
        <v>311481390.05275565</v>
      </c>
      <c r="U188" s="23">
        <f t="shared" ca="1" si="84"/>
        <v>353842859.09993047</v>
      </c>
      <c r="V188" s="23">
        <f t="shared" ca="1" si="84"/>
        <v>383545724.45536125</v>
      </c>
      <c r="W188" s="23">
        <f t="shared" ca="1" si="84"/>
        <v>436620159.83945441</v>
      </c>
    </row>
    <row r="189" spans="1:23">
      <c r="A189" s="22" t="s">
        <v>7</v>
      </c>
      <c r="D189" s="23">
        <f t="shared" ref="D189:W189" ca="1" si="85">D72+D175</f>
        <v>0</v>
      </c>
      <c r="E189" s="23">
        <f t="shared" ca="1" si="85"/>
        <v>0</v>
      </c>
      <c r="F189" s="23">
        <f t="shared" ca="1" si="85"/>
        <v>0</v>
      </c>
      <c r="G189" s="23">
        <f t="shared" ca="1" si="85"/>
        <v>2676326.1258191932</v>
      </c>
      <c r="H189" s="23">
        <f t="shared" ca="1" si="85"/>
        <v>11921075.797820132</v>
      </c>
      <c r="I189" s="23">
        <f t="shared" ca="1" si="85"/>
        <v>28015251.440551002</v>
      </c>
      <c r="J189" s="23">
        <f t="shared" ca="1" si="85"/>
        <v>51797087.107863188</v>
      </c>
      <c r="K189" s="23">
        <f t="shared" ca="1" si="85"/>
        <v>84170266.55027768</v>
      </c>
      <c r="L189" s="23">
        <f t="shared" ca="1" si="85"/>
        <v>122551908.09720433</v>
      </c>
      <c r="M189" s="23">
        <f t="shared" ca="1" si="85"/>
        <v>171152493.36546707</v>
      </c>
      <c r="N189" s="23">
        <f t="shared" ca="1" si="85"/>
        <v>231019450.61926025</v>
      </c>
      <c r="O189" s="23">
        <f t="shared" ca="1" si="85"/>
        <v>295401920.46397215</v>
      </c>
      <c r="P189" s="23">
        <f t="shared" ca="1" si="85"/>
        <v>360469116.81150311</v>
      </c>
      <c r="Q189" s="23">
        <f t="shared" ca="1" si="85"/>
        <v>421748866.66945869</v>
      </c>
      <c r="R189" s="23">
        <f t="shared" ca="1" si="85"/>
        <v>500645725.36358368</v>
      </c>
      <c r="S189" s="23">
        <f t="shared" ca="1" si="85"/>
        <v>589787247.43717051</v>
      </c>
      <c r="T189" s="23">
        <f t="shared" ca="1" si="85"/>
        <v>690051079.50148952</v>
      </c>
      <c r="U189" s="23">
        <f t="shared" ca="1" si="85"/>
        <v>792408656.29421031</v>
      </c>
      <c r="V189" s="23">
        <f t="shared" ca="1" si="85"/>
        <v>896667707.1726687</v>
      </c>
      <c r="W189" s="23">
        <f t="shared" ca="1" si="85"/>
        <v>1018780372.9587271</v>
      </c>
    </row>
    <row r="190" spans="1:23">
      <c r="A190" s="22" t="s">
        <v>8</v>
      </c>
      <c r="D190" s="23">
        <f t="shared" ref="D190:W190" ca="1" si="86">D73+D176</f>
        <v>0</v>
      </c>
      <c r="E190" s="23">
        <f t="shared" ca="1" si="86"/>
        <v>0</v>
      </c>
      <c r="F190" s="23">
        <f t="shared" ca="1" si="86"/>
        <v>2440516.8903464284</v>
      </c>
      <c r="G190" s="23">
        <f t="shared" ca="1" si="86"/>
        <v>8028978.3774575796</v>
      </c>
      <c r="H190" s="23">
        <f t="shared" ca="1" si="86"/>
        <v>23842151.595640264</v>
      </c>
      <c r="I190" s="23">
        <f t="shared" ca="1" si="86"/>
        <v>49804891.449868448</v>
      </c>
      <c r="J190" s="23">
        <f t="shared" ca="1" si="86"/>
        <v>84170266.55027768</v>
      </c>
      <c r="K190" s="23">
        <f t="shared" ca="1" si="86"/>
        <v>131305615.8184332</v>
      </c>
      <c r="L190" s="23">
        <f t="shared" ca="1" si="86"/>
        <v>192581569.86703536</v>
      </c>
      <c r="M190" s="23">
        <f t="shared" ca="1" si="86"/>
        <v>269474138.49030983</v>
      </c>
      <c r="N190" s="23">
        <f t="shared" ca="1" si="86"/>
        <v>352209982.09165907</v>
      </c>
      <c r="O190" s="23">
        <f t="shared" ca="1" si="86"/>
        <v>437194842.28667873</v>
      </c>
      <c r="P190" s="23">
        <f t="shared" ca="1" si="86"/>
        <v>532511195.28972054</v>
      </c>
      <c r="Q190" s="23">
        <f t="shared" ca="1" si="86"/>
        <v>651793703.03461802</v>
      </c>
      <c r="R190" s="23">
        <f t="shared" ca="1" si="86"/>
        <v>775336300.34183323</v>
      </c>
      <c r="S190" s="23">
        <f t="shared" ca="1" si="86"/>
        <v>907719435.50877023</v>
      </c>
      <c r="T190" s="23">
        <f t="shared" ca="1" si="86"/>
        <v>1054244704.7939422</v>
      </c>
      <c r="U190" s="23">
        <f t="shared" ca="1" si="86"/>
        <v>1206055942.28427</v>
      </c>
      <c r="V190" s="23">
        <f t="shared" ca="1" si="86"/>
        <v>1373508337.5766315</v>
      </c>
      <c r="W190" s="23">
        <f t="shared" ca="1" si="86"/>
        <v>1552427234.9847269</v>
      </c>
    </row>
    <row r="191" spans="1:23">
      <c r="A191" s="22" t="s">
        <v>9</v>
      </c>
      <c r="D191" s="23">
        <f t="shared" ref="D191:W191" ca="1" si="87">D74+D177</f>
        <v>0</v>
      </c>
      <c r="E191" s="23">
        <f t="shared" ca="1" si="87"/>
        <v>0</v>
      </c>
      <c r="F191" s="23">
        <f t="shared" ca="1" si="87"/>
        <v>2440516.8903464284</v>
      </c>
      <c r="G191" s="23">
        <f t="shared" ca="1" si="87"/>
        <v>13381630.629095966</v>
      </c>
      <c r="H191" s="23">
        <f t="shared" ca="1" si="87"/>
        <v>38743496.342915431</v>
      </c>
      <c r="I191" s="23">
        <f t="shared" ca="1" si="87"/>
        <v>80932948.606036231</v>
      </c>
      <c r="J191" s="23">
        <f t="shared" ca="1" si="87"/>
        <v>142441989.54662377</v>
      </c>
      <c r="K191" s="23">
        <f t="shared" ca="1" si="87"/>
        <v>225576314.3547442</v>
      </c>
      <c r="L191" s="23">
        <f t="shared" ca="1" si="87"/>
        <v>322136444.14122277</v>
      </c>
      <c r="M191" s="23">
        <f t="shared" ca="1" si="87"/>
        <v>436985089.44374573</v>
      </c>
      <c r="N191" s="23">
        <f t="shared" ca="1" si="87"/>
        <v>571867820.38538194</v>
      </c>
      <c r="O191" s="23">
        <f t="shared" ca="1" si="87"/>
        <v>705025916.84068024</v>
      </c>
      <c r="P191" s="23">
        <f t="shared" ca="1" si="87"/>
        <v>876595352.24615526</v>
      </c>
      <c r="Q191" s="23">
        <f t="shared" ca="1" si="87"/>
        <v>1056502211.4548055</v>
      </c>
      <c r="R191" s="23">
        <f t="shared" ca="1" si="87"/>
        <v>1249399066.8365541</v>
      </c>
      <c r="S191" s="23">
        <f t="shared" ca="1" si="87"/>
        <v>1456037267.1105146</v>
      </c>
      <c r="T191" s="23">
        <f t="shared" ca="1" si="87"/>
        <v>1677207484.8994536</v>
      </c>
      <c r="U191" s="23">
        <f t="shared" ca="1" si="87"/>
        <v>1923709064.9658191</v>
      </c>
      <c r="V191" s="23">
        <f t="shared" ca="1" si="87"/>
        <v>2176881138.8006992</v>
      </c>
      <c r="W191" s="23">
        <f t="shared" ca="1" si="87"/>
        <v>2447229044.0384235</v>
      </c>
    </row>
    <row r="192" spans="1:23">
      <c r="A192" s="22" t="s">
        <v>10</v>
      </c>
      <c r="D192" s="23">
        <f t="shared" ref="D192:W192" ca="1" si="88">D75+D178</f>
        <v>0</v>
      </c>
      <c r="E192" s="23">
        <f t="shared" ca="1" si="88"/>
        <v>2337800.4062452414</v>
      </c>
      <c r="F192" s="23">
        <f t="shared" ca="1" si="88"/>
        <v>7321550.6710392851</v>
      </c>
      <c r="G192" s="23">
        <f t="shared" ca="1" si="88"/>
        <v>29439587.384011127</v>
      </c>
      <c r="H192" s="23">
        <f t="shared" ca="1" si="88"/>
        <v>80467261.635285899</v>
      </c>
      <c r="I192" s="23">
        <f t="shared" ca="1" si="88"/>
        <v>164978702.92768922</v>
      </c>
      <c r="J192" s="23">
        <f t="shared" ca="1" si="88"/>
        <v>284883979.09324753</v>
      </c>
      <c r="K192" s="23">
        <f t="shared" ca="1" si="88"/>
        <v>437685386.06144392</v>
      </c>
      <c r="L192" s="23">
        <f t="shared" ca="1" si="88"/>
        <v>633768439.01697099</v>
      </c>
      <c r="M192" s="23">
        <f t="shared" ca="1" si="88"/>
        <v>852120924.41530418</v>
      </c>
      <c r="N192" s="23">
        <f t="shared" ca="1" si="88"/>
        <v>1102076395.5771267</v>
      </c>
      <c r="O192" s="23">
        <f t="shared" ca="1" si="88"/>
        <v>1398235756.8628016</v>
      </c>
      <c r="P192" s="23">
        <f t="shared" ca="1" si="88"/>
        <v>1716324544.8184068</v>
      </c>
      <c r="Q192" s="23">
        <f t="shared" ca="1" si="88"/>
        <v>2066143437.7241158</v>
      </c>
      <c r="R192" s="23">
        <f t="shared" ca="1" si="88"/>
        <v>2445632215.9353824</v>
      </c>
      <c r="S192" s="23">
        <f t="shared" ca="1" si="88"/>
        <v>2861389692.6443973</v>
      </c>
      <c r="T192" s="23">
        <f t="shared" ca="1" si="88"/>
        <v>3296910713.1737823</v>
      </c>
      <c r="U192" s="23">
        <f t="shared" ca="1" si="88"/>
        <v>3772662596.3189764</v>
      </c>
      <c r="V192" s="23">
        <f t="shared" ca="1" si="88"/>
        <v>4276016522.6442299</v>
      </c>
      <c r="W192" s="23">
        <f t="shared" ca="1" si="88"/>
        <v>4808212130.5776958</v>
      </c>
    </row>
    <row r="193" spans="1:23">
      <c r="A193" s="22" t="s">
        <v>11</v>
      </c>
      <c r="D193" s="23">
        <f t="shared" ref="D193:W193" ca="1" si="89">D76+D179</f>
        <v>0</v>
      </c>
      <c r="E193" s="23">
        <f t="shared" ca="1" si="89"/>
        <v>2337800.4062452414</v>
      </c>
      <c r="F193" s="23">
        <f t="shared" ca="1" si="89"/>
        <v>9762067.5613857135</v>
      </c>
      <c r="G193" s="23">
        <f t="shared" ca="1" si="89"/>
        <v>40144891.8872879</v>
      </c>
      <c r="H193" s="23">
        <f t="shared" ca="1" si="89"/>
        <v>116230489.02874629</v>
      </c>
      <c r="I193" s="23">
        <f t="shared" ca="1" si="89"/>
        <v>233460428.67125833</v>
      </c>
      <c r="J193" s="23">
        <f t="shared" ca="1" si="89"/>
        <v>401427425.08593971</v>
      </c>
      <c r="K193" s="23">
        <f t="shared" ca="1" si="89"/>
        <v>616126351.14803267</v>
      </c>
      <c r="L193" s="23">
        <f t="shared" ca="1" si="89"/>
        <v>878872255.21137965</v>
      </c>
      <c r="M193" s="23">
        <f t="shared" ca="1" si="89"/>
        <v>1176218199.0860822</v>
      </c>
      <c r="N193" s="23">
        <f t="shared" ca="1" si="89"/>
        <v>1530030459.839035</v>
      </c>
      <c r="O193" s="23">
        <f t="shared" ca="1" si="89"/>
        <v>1918143136.8793924</v>
      </c>
      <c r="P193" s="23">
        <f t="shared" ca="1" si="89"/>
        <v>2343049259.2747698</v>
      </c>
      <c r="Q193" s="23">
        <f t="shared" ca="1" si="89"/>
        <v>2803138932.0050888</v>
      </c>
      <c r="R193" s="23">
        <f t="shared" ca="1" si="89"/>
        <v>3305147886.028615</v>
      </c>
      <c r="S193" s="23">
        <f t="shared" ca="1" si="89"/>
        <v>3847440246.9534168</v>
      </c>
      <c r="T193" s="23">
        <f t="shared" ca="1" si="89"/>
        <v>4423035738.7491302</v>
      </c>
      <c r="U193" s="23">
        <f t="shared" ca="1" si="89"/>
        <v>5043506667.7342196</v>
      </c>
      <c r="V193" s="23">
        <f t="shared" ca="1" si="89"/>
        <v>5701355363.5256395</v>
      </c>
      <c r="W193" s="23">
        <f t="shared" ca="1" si="89"/>
        <v>6414543088.9993935</v>
      </c>
    </row>
    <row r="194" spans="1:23">
      <c r="A194" s="22" t="s">
        <v>12</v>
      </c>
      <c r="D194" s="23">
        <f t="shared" ref="D194:W194" ca="1" si="90">D77+D180</f>
        <v>0</v>
      </c>
      <c r="E194" s="23">
        <f t="shared" ca="1" si="90"/>
        <v>2337800.4062452414</v>
      </c>
      <c r="F194" s="23">
        <f t="shared" ca="1" si="90"/>
        <v>12202584.451732142</v>
      </c>
      <c r="G194" s="23">
        <f t="shared" ca="1" si="90"/>
        <v>50850196.390564673</v>
      </c>
      <c r="H194" s="23">
        <f t="shared" ca="1" si="90"/>
        <v>140072640.62438655</v>
      </c>
      <c r="I194" s="23">
        <f t="shared" ca="1" si="90"/>
        <v>280152514.40551001</v>
      </c>
      <c r="J194" s="23">
        <f t="shared" ca="1" si="90"/>
        <v>475885737.80349302</v>
      </c>
      <c r="K194" s="23">
        <f t="shared" ca="1" si="90"/>
        <v>737331534.98043251</v>
      </c>
      <c r="L194" s="23">
        <f t="shared" ca="1" si="90"/>
        <v>1046943443.458974</v>
      </c>
      <c r="M194" s="23">
        <f t="shared" ca="1" si="90"/>
        <v>1401993828.6320176</v>
      </c>
      <c r="N194" s="23">
        <f t="shared" ca="1" si="90"/>
        <v>1817857972.0859823</v>
      </c>
      <c r="O194" s="23">
        <f t="shared" ca="1" si="90"/>
        <v>2284441518.2547178</v>
      </c>
      <c r="P194" s="23">
        <f t="shared" ca="1" si="90"/>
        <v>2801828135.2166829</v>
      </c>
      <c r="Q194" s="23">
        <f t="shared" ca="1" si="90"/>
        <v>3356950575.1063986</v>
      </c>
      <c r="R194" s="23">
        <f t="shared" ca="1" si="90"/>
        <v>3947569392.0261335</v>
      </c>
      <c r="S194" s="23">
        <f t="shared" ca="1" si="90"/>
        <v>4566243454.7674675</v>
      </c>
      <c r="T194" s="23">
        <f t="shared" ca="1" si="90"/>
        <v>5180175117.6465988</v>
      </c>
      <c r="U194" s="23">
        <f t="shared" ca="1" si="90"/>
        <v>5771127194.8974571</v>
      </c>
      <c r="V194" s="23">
        <f t="shared" ca="1" si="90"/>
        <v>6312955302.5220261</v>
      </c>
      <c r="W194" s="23">
        <f t="shared" ca="1" si="90"/>
        <v>6791869153.0581799</v>
      </c>
    </row>
    <row r="195" spans="1:23">
      <c r="A195" s="22" t="s">
        <v>13</v>
      </c>
      <c r="D195" s="23">
        <f t="shared" ref="D195:W195" ca="1" si="91">D78+D181</f>
        <v>0</v>
      </c>
      <c r="E195" s="23">
        <f t="shared" ca="1" si="91"/>
        <v>2337800.4062452414</v>
      </c>
      <c r="F195" s="23">
        <f t="shared" ca="1" si="91"/>
        <v>9762067.5613857135</v>
      </c>
      <c r="G195" s="23">
        <f t="shared" ca="1" si="91"/>
        <v>42821218.013107091</v>
      </c>
      <c r="H195" s="23">
        <f t="shared" ca="1" si="91"/>
        <v>122191026.92765635</v>
      </c>
      <c r="I195" s="23">
        <f t="shared" ca="1" si="91"/>
        <v>245911651.53372547</v>
      </c>
      <c r="J195" s="23">
        <f t="shared" ca="1" si="91"/>
        <v>424088650.69562984</v>
      </c>
      <c r="K195" s="23">
        <f t="shared" ca="1" si="91"/>
        <v>639694025.78211045</v>
      </c>
      <c r="L195" s="23">
        <f t="shared" ca="1" si="91"/>
        <v>892878187.56534576</v>
      </c>
      <c r="M195" s="23">
        <f t="shared" ca="1" si="91"/>
        <v>1187142826.322176</v>
      </c>
      <c r="N195" s="23">
        <f t="shared" ca="1" si="91"/>
        <v>1503520031.079448</v>
      </c>
      <c r="O195" s="23">
        <f t="shared" ca="1" si="91"/>
        <v>1811798445.5123625</v>
      </c>
      <c r="P195" s="23">
        <f t="shared" ca="1" si="91"/>
        <v>2084986141.5574441</v>
      </c>
      <c r="Q195" s="23">
        <f t="shared" ca="1" si="91"/>
        <v>2317488721.9008636</v>
      </c>
      <c r="R195" s="23">
        <f t="shared" ca="1" si="91"/>
        <v>2494367640.5282974</v>
      </c>
      <c r="S195" s="23">
        <f t="shared" ca="1" si="91"/>
        <v>2607965484.7612386</v>
      </c>
      <c r="T195" s="23">
        <f t="shared" ca="1" si="91"/>
        <v>2659571868.9119906</v>
      </c>
      <c r="U195" s="23">
        <f t="shared" ca="1" si="91"/>
        <v>2631394783.1656799</v>
      </c>
      <c r="V195" s="23">
        <f t="shared" ca="1" si="91"/>
        <v>2513779410.2817593</v>
      </c>
      <c r="W195" s="23">
        <f t="shared" ca="1" si="91"/>
        <v>2317860107.7896957</v>
      </c>
    </row>
    <row r="196" spans="1:23">
      <c r="A196" s="22" t="s">
        <v>14</v>
      </c>
      <c r="D196" s="23">
        <f t="shared" ref="D196:W196" ca="1" si="92">D79+D182</f>
        <v>0</v>
      </c>
      <c r="E196" s="23">
        <f t="shared" ca="1" si="92"/>
        <v>2337800.4062452414</v>
      </c>
      <c r="F196" s="23">
        <f t="shared" ca="1" si="92"/>
        <v>12202584.451732142</v>
      </c>
      <c r="G196" s="23">
        <f t="shared" ca="1" si="92"/>
        <v>48173870.264745474</v>
      </c>
      <c r="H196" s="23">
        <f t="shared" ca="1" si="92"/>
        <v>134112102.72547649</v>
      </c>
      <c r="I196" s="23">
        <f t="shared" ca="1" si="92"/>
        <v>258362874.39619258</v>
      </c>
      <c r="J196" s="23">
        <f t="shared" ca="1" si="92"/>
        <v>404664743.03018117</v>
      </c>
      <c r="K196" s="23">
        <f t="shared" ca="1" si="92"/>
        <v>548790137.90781045</v>
      </c>
      <c r="L196" s="23">
        <f t="shared" ca="1" si="92"/>
        <v>668783269.90188646</v>
      </c>
      <c r="M196" s="23">
        <f t="shared" ca="1" si="92"/>
        <v>779290076.17467988</v>
      </c>
      <c r="N196" s="23">
        <f t="shared" ca="1" si="92"/>
        <v>867269740.84935403</v>
      </c>
      <c r="O196" s="23">
        <f t="shared" ca="1" si="92"/>
        <v>953163530.03041673</v>
      </c>
      <c r="P196" s="23">
        <f t="shared" ca="1" si="92"/>
        <v>1007675031.0867019</v>
      </c>
      <c r="Q196" s="23">
        <f t="shared" ca="1" si="92"/>
        <v>1056502211.4548056</v>
      </c>
      <c r="R196" s="23">
        <f t="shared" ca="1" si="92"/>
        <v>1098762299.912998</v>
      </c>
      <c r="S196" s="23">
        <f t="shared" ca="1" si="92"/>
        <v>1151928217.6507235</v>
      </c>
      <c r="T196" s="23">
        <f t="shared" ca="1" si="92"/>
        <v>1193213324.9713256</v>
      </c>
      <c r="U196" s="23">
        <f t="shared" ca="1" si="92"/>
        <v>1235958155.7293346</v>
      </c>
      <c r="V196" s="23">
        <f t="shared" ca="1" si="92"/>
        <v>1275030381.2975521</v>
      </c>
      <c r="W196" s="23">
        <f t="shared" ca="1" si="92"/>
        <v>1326031596.5494542</v>
      </c>
    </row>
    <row r="197" spans="1:23">
      <c r="A197" s="22" t="s">
        <v>15</v>
      </c>
      <c r="D197" s="26">
        <f t="shared" ref="D197:W197" ca="1" si="93">D80+D183</f>
        <v>0</v>
      </c>
      <c r="E197" s="26">
        <f t="shared" ca="1" si="93"/>
        <v>0</v>
      </c>
      <c r="F197" s="26">
        <f t="shared" ca="1" si="93"/>
        <v>2440516.8903464284</v>
      </c>
      <c r="G197" s="26">
        <f t="shared" ca="1" si="93"/>
        <v>10705304.503276773</v>
      </c>
      <c r="H197" s="26">
        <f t="shared" ca="1" si="93"/>
        <v>29802689.494550332</v>
      </c>
      <c r="I197" s="26">
        <f t="shared" ca="1" si="93"/>
        <v>62256114.312335558</v>
      </c>
      <c r="J197" s="26">
        <f t="shared" ca="1" si="93"/>
        <v>100356856.27148493</v>
      </c>
      <c r="K197" s="26">
        <f t="shared" ca="1" si="93"/>
        <v>148139669.12848872</v>
      </c>
      <c r="L197" s="26">
        <f t="shared" ca="1" si="93"/>
        <v>192581569.86703536</v>
      </c>
      <c r="M197" s="26">
        <f t="shared" ca="1" si="93"/>
        <v>254907968.84218502</v>
      </c>
      <c r="N197" s="26">
        <f t="shared" ca="1" si="93"/>
        <v>314337941.00653446</v>
      </c>
      <c r="O197" s="26">
        <f t="shared" ca="1" si="93"/>
        <v>389930535.0124433</v>
      </c>
      <c r="P197" s="26">
        <f t="shared" ca="1" si="93"/>
        <v>466971355.86944717</v>
      </c>
      <c r="Q197" s="26">
        <f t="shared" ca="1" si="93"/>
        <v>549551553.53899169</v>
      </c>
      <c r="R197" s="26">
        <f t="shared" ca="1" si="93"/>
        <v>633560519.7078979</v>
      </c>
      <c r="S197" s="26">
        <f t="shared" ca="1" si="93"/>
        <v>732626346.42586017</v>
      </c>
      <c r="T197" s="26">
        <f t="shared" ca="1" si="93"/>
        <v>833811721.06429982</v>
      </c>
      <c r="U197" s="26">
        <f t="shared" ca="1" si="93"/>
        <v>941919723.51953292</v>
      </c>
      <c r="V197" s="26">
        <f t="shared" ca="1" si="93"/>
        <v>1062525317.7479603</v>
      </c>
      <c r="W197" s="26">
        <f t="shared" ca="1" si="93"/>
        <v>1185881915.6133332</v>
      </c>
    </row>
    <row r="198" spans="1:23">
      <c r="A198" s="22" t="s">
        <v>43</v>
      </c>
      <c r="D198" s="135">
        <f ca="1">SUM(D187:D197)</f>
        <v>0</v>
      </c>
      <c r="E198" s="135">
        <f t="shared" ref="E198" ca="1" si="94">SUM(E187:E197)</f>
        <v>11689002.031226207</v>
      </c>
      <c r="F198" s="135">
        <f t="shared" ref="F198" ca="1" si="95">SUM(F187:F197)</f>
        <v>58572405.368314289</v>
      </c>
      <c r="G198" s="135">
        <f t="shared" ref="G198" ca="1" si="96">SUM(G187:G197)</f>
        <v>248898329.70118496</v>
      </c>
      <c r="H198" s="135">
        <f t="shared" ref="H198" ca="1" si="97">SUM(H187:H197)</f>
        <v>706323741.02084291</v>
      </c>
      <c r="I198" s="135">
        <f t="shared" ref="I198" ca="1" si="98">SUM(I187:I197)</f>
        <v>1422552212.0368674</v>
      </c>
      <c r="J198" s="135">
        <f t="shared" ref="J198" ca="1" si="99">SUM(J187:J197)</f>
        <v>2402089914.6271553</v>
      </c>
      <c r="K198" s="135">
        <f t="shared" ref="K198" ca="1" si="100">SUM(K187:K197)</f>
        <v>3619321461.6619396</v>
      </c>
      <c r="L198" s="135">
        <f t="shared" ref="L198" ca="1" si="101">SUM(L187:L197)</f>
        <v>5024628231.9853764</v>
      </c>
      <c r="M198" s="135">
        <f t="shared" ref="M198" ca="1" si="102">SUM(M187:M197)</f>
        <v>6634890274.7208729</v>
      </c>
      <c r="N198" s="135">
        <f t="shared" ref="N198" ca="1" si="103">SUM(N187:N197)</f>
        <v>8434103549.6572552</v>
      </c>
      <c r="O198" s="135">
        <f t="shared" ref="O198" ca="1" si="104">SUM(O187:O197)</f>
        <v>10378454138.967554</v>
      </c>
      <c r="P198" s="135">
        <f t="shared" ref="P198" ca="1" si="105">SUM(P187:P197)</f>
        <v>12427992050.069323</v>
      </c>
      <c r="Q198" s="135">
        <f t="shared" ref="Q198" ca="1" si="106">SUM(Q187:Q197)</f>
        <v>14573766392.689072</v>
      </c>
      <c r="R198" s="135">
        <f t="shared" ref="R198" ca="1" si="107">SUM(R187:R197)</f>
        <v>16804860498.266132</v>
      </c>
      <c r="S198" s="135">
        <f t="shared" ref="S198" ca="1" si="108">SUM(S187:S197)</f>
        <v>19140439264.484425</v>
      </c>
      <c r="T198" s="135">
        <f t="shared" ref="T198" ca="1" si="109">SUM(T187:T197)</f>
        <v>21492215913.640141</v>
      </c>
      <c r="U198" s="135">
        <f t="shared" ref="U198" ca="1" si="110">SUM(U187:U197)</f>
        <v>23871933733.643192</v>
      </c>
      <c r="V198" s="135">
        <f t="shared" ref="V198" ca="1" si="111">SUM(V187:V197)</f>
        <v>26200319420.565556</v>
      </c>
      <c r="W198" s="135">
        <f t="shared" ref="W198" ca="1" si="112">SUM(W187:W197)</f>
        <v>28558192676.90654</v>
      </c>
    </row>
    <row r="199" spans="1:23">
      <c r="A199" s="22"/>
      <c r="D199" s="23"/>
      <c r="E199" s="23"/>
      <c r="F199" s="23"/>
      <c r="G199" s="23"/>
      <c r="H199" s="23"/>
      <c r="I199" s="23"/>
      <c r="J199" s="23"/>
      <c r="K199" s="23"/>
      <c r="L199" s="23"/>
      <c r="M199" s="23"/>
      <c r="N199" s="23"/>
      <c r="O199" s="23"/>
      <c r="P199" s="23"/>
      <c r="Q199" s="23"/>
      <c r="R199" s="23"/>
      <c r="S199" s="23"/>
      <c r="T199" s="23"/>
      <c r="U199" s="23"/>
      <c r="V199" s="23"/>
      <c r="W199" s="23"/>
    </row>
    <row r="200" spans="1:23">
      <c r="A200" s="22"/>
      <c r="D200" s="23"/>
      <c r="E200" s="23"/>
      <c r="F200" s="23"/>
      <c r="G200" s="23"/>
      <c r="H200" s="23"/>
      <c r="I200" s="23"/>
      <c r="J200" s="23"/>
      <c r="K200" s="23"/>
      <c r="L200" s="23"/>
      <c r="M200" s="23"/>
      <c r="N200" s="23"/>
      <c r="O200" s="23"/>
      <c r="P200" s="23"/>
      <c r="Q200" s="23"/>
      <c r="R200" s="23"/>
      <c r="S200" s="23"/>
      <c r="T200" s="23"/>
      <c r="U200" s="23"/>
      <c r="V200" s="23"/>
      <c r="W200" s="23"/>
    </row>
    <row r="201" spans="1:23">
      <c r="A201" s="30" t="s">
        <v>85</v>
      </c>
      <c r="D201" s="32">
        <v>16000000</v>
      </c>
      <c r="E201" s="23"/>
      <c r="F201" s="23"/>
      <c r="G201" s="23"/>
      <c r="H201" s="23"/>
      <c r="I201" s="23"/>
      <c r="J201" s="23"/>
      <c r="K201" s="23"/>
      <c r="L201" s="23"/>
      <c r="M201" s="23"/>
      <c r="N201" s="23"/>
      <c r="O201" s="23"/>
      <c r="P201" s="23"/>
      <c r="Q201" s="23"/>
      <c r="R201" s="23"/>
      <c r="S201" s="23"/>
      <c r="T201" s="23"/>
      <c r="U201" s="23"/>
      <c r="V201" s="23"/>
      <c r="W201" s="23"/>
    </row>
    <row r="202" spans="1:23">
      <c r="A202" s="30" t="s">
        <v>87</v>
      </c>
      <c r="D202" s="13">
        <v>0.66</v>
      </c>
      <c r="E202" s="23"/>
      <c r="F202" s="23"/>
      <c r="G202" s="23"/>
      <c r="H202" s="23"/>
      <c r="I202" s="23"/>
      <c r="J202" s="23"/>
      <c r="K202" s="23"/>
      <c r="L202" s="23"/>
      <c r="M202" s="23"/>
      <c r="N202" s="23"/>
      <c r="O202" s="23"/>
      <c r="P202" s="23"/>
      <c r="Q202" s="23"/>
      <c r="R202" s="23"/>
      <c r="S202" s="23"/>
      <c r="T202" s="23"/>
      <c r="U202" s="23"/>
      <c r="V202" s="23"/>
      <c r="W202" s="23"/>
    </row>
    <row r="203" spans="1:23">
      <c r="A203" s="30" t="s">
        <v>88</v>
      </c>
      <c r="D203" s="33">
        <f>D201*D202</f>
        <v>10560000</v>
      </c>
      <c r="E203" s="23"/>
      <c r="F203" s="23"/>
      <c r="G203" s="23"/>
      <c r="H203" s="23"/>
      <c r="I203" s="23"/>
      <c r="J203" s="23"/>
      <c r="K203" s="23"/>
      <c r="L203" s="23"/>
      <c r="M203" s="23"/>
      <c r="N203" s="23"/>
      <c r="O203" s="23"/>
      <c r="P203" s="23"/>
      <c r="Q203" s="23"/>
      <c r="R203" s="23"/>
      <c r="S203" s="23"/>
      <c r="T203" s="23"/>
      <c r="U203" s="23"/>
      <c r="V203" s="23"/>
      <c r="W203" s="23"/>
    </row>
    <row r="204" spans="1:23">
      <c r="A204" s="30" t="s">
        <v>89</v>
      </c>
      <c r="D204" s="32">
        <f>10000000+7000000</f>
        <v>17000000</v>
      </c>
      <c r="E204" s="23"/>
      <c r="F204" s="23"/>
      <c r="G204" s="23"/>
      <c r="H204" s="23"/>
      <c r="I204" s="23"/>
      <c r="J204" s="23"/>
      <c r="K204" s="23"/>
      <c r="L204" s="23"/>
      <c r="M204" s="23"/>
      <c r="N204" s="23"/>
      <c r="O204" s="23"/>
      <c r="P204" s="23"/>
      <c r="Q204" s="23"/>
      <c r="R204" s="23"/>
      <c r="S204" s="23"/>
      <c r="T204" s="23"/>
      <c r="U204" s="23"/>
      <c r="V204" s="23"/>
      <c r="W204" s="23"/>
    </row>
    <row r="205" spans="1:23">
      <c r="A205" s="30" t="s">
        <v>90</v>
      </c>
      <c r="D205" s="32">
        <v>10000000</v>
      </c>
      <c r="E205" s="23"/>
      <c r="F205" s="23"/>
      <c r="G205" s="23"/>
      <c r="H205" s="23"/>
      <c r="I205" s="23"/>
      <c r="J205" s="23"/>
      <c r="K205" s="23"/>
      <c r="L205" s="23"/>
      <c r="M205" s="23"/>
      <c r="N205" s="23"/>
      <c r="O205" s="23"/>
      <c r="P205" s="23"/>
      <c r="Q205" s="23"/>
      <c r="R205" s="23"/>
      <c r="S205" s="23"/>
      <c r="T205" s="23"/>
      <c r="U205" s="23"/>
      <c r="V205" s="23"/>
      <c r="W205" s="23"/>
    </row>
    <row r="206" spans="1:23">
      <c r="A206" s="30" t="s">
        <v>87</v>
      </c>
      <c r="D206" s="13">
        <v>0.66</v>
      </c>
      <c r="E206" s="23"/>
      <c r="F206" s="23"/>
      <c r="G206" s="23"/>
      <c r="H206" s="23"/>
      <c r="I206" s="23"/>
      <c r="J206" s="23"/>
      <c r="K206" s="23"/>
      <c r="L206" s="23"/>
      <c r="M206" s="23"/>
      <c r="N206" s="23"/>
      <c r="O206" s="23"/>
      <c r="P206" s="23"/>
      <c r="Q206" s="23"/>
      <c r="R206" s="23"/>
      <c r="S206" s="23"/>
      <c r="T206" s="23"/>
      <c r="U206" s="23"/>
      <c r="V206" s="23"/>
      <c r="W206" s="23"/>
    </row>
    <row r="207" spans="1:23">
      <c r="A207" s="30" t="s">
        <v>91</v>
      </c>
      <c r="D207" s="33">
        <f>D205*D206</f>
        <v>6600000</v>
      </c>
      <c r="E207" s="23"/>
      <c r="F207" s="23"/>
      <c r="G207" s="23"/>
      <c r="H207" s="23"/>
      <c r="I207" s="23"/>
      <c r="J207" s="23"/>
      <c r="K207" s="23"/>
      <c r="L207" s="23"/>
      <c r="M207" s="23"/>
      <c r="N207" s="23"/>
      <c r="O207" s="23"/>
      <c r="P207" s="23"/>
      <c r="Q207" s="23"/>
      <c r="R207" s="23"/>
      <c r="S207" s="23"/>
      <c r="T207" s="23"/>
      <c r="U207" s="23"/>
      <c r="V207" s="23"/>
      <c r="W207" s="23"/>
    </row>
    <row r="208" spans="1:23">
      <c r="A208" s="30" t="s">
        <v>92</v>
      </c>
      <c r="D208" s="28">
        <f>0.45*3/12</f>
        <v>0.1125</v>
      </c>
      <c r="E208" s="28">
        <f>45%-D208</f>
        <v>0.33750000000000002</v>
      </c>
      <c r="F208" s="28">
        <v>0.28999999999999998</v>
      </c>
      <c r="G208" s="28">
        <v>0.18</v>
      </c>
      <c r="H208" s="28">
        <v>0.08</v>
      </c>
      <c r="I208" s="23"/>
      <c r="J208" s="23"/>
      <c r="K208" s="23"/>
      <c r="L208" s="23"/>
      <c r="M208" s="23"/>
      <c r="N208" s="23"/>
      <c r="O208" s="23"/>
      <c r="P208" s="23"/>
      <c r="Q208" s="23"/>
      <c r="R208" s="23"/>
      <c r="S208" s="23"/>
      <c r="T208" s="23"/>
      <c r="U208" s="23"/>
      <c r="V208" s="23"/>
      <c r="W208" s="23"/>
    </row>
    <row r="209" spans="1:24">
      <c r="A209" s="30" t="s">
        <v>93</v>
      </c>
      <c r="D209" s="33">
        <f>7000000</f>
        <v>7000000</v>
      </c>
      <c r="E209" s="28"/>
      <c r="F209" s="28"/>
      <c r="G209" s="28"/>
      <c r="H209" s="28"/>
      <c r="I209" s="23"/>
      <c r="J209" s="23"/>
      <c r="K209" s="23"/>
      <c r="L209" s="23"/>
      <c r="M209" s="23"/>
      <c r="N209" s="23"/>
      <c r="O209" s="23"/>
      <c r="P209" s="23"/>
      <c r="Q209" s="23"/>
      <c r="R209" s="23"/>
      <c r="S209" s="23"/>
      <c r="T209" s="23"/>
      <c r="U209" s="23"/>
      <c r="V209" s="23"/>
      <c r="W209" s="23"/>
    </row>
    <row r="210" spans="1:24">
      <c r="A210" s="30"/>
      <c r="D210" s="28">
        <f>0.05*3/12</f>
        <v>1.2500000000000002E-2</v>
      </c>
      <c r="E210" s="28">
        <f>5%-D210</f>
        <v>3.7499999999999999E-2</v>
      </c>
      <c r="F210" s="28">
        <v>0.54</v>
      </c>
      <c r="G210" s="28">
        <v>0.35</v>
      </c>
      <c r="H210" s="28">
        <v>0.06</v>
      </c>
      <c r="I210" s="23"/>
      <c r="J210" s="23"/>
      <c r="K210" s="23"/>
      <c r="L210" s="23"/>
      <c r="M210" s="23"/>
      <c r="N210" s="23"/>
      <c r="O210" s="23"/>
      <c r="P210" s="23"/>
      <c r="Q210" s="23"/>
      <c r="R210" s="23"/>
      <c r="S210" s="23"/>
      <c r="T210" s="23"/>
      <c r="U210" s="23"/>
      <c r="V210" s="23"/>
      <c r="W210" s="23"/>
    </row>
    <row r="211" spans="1:24">
      <c r="A211" s="30"/>
      <c r="D211" s="21">
        <v>1</v>
      </c>
      <c r="E211" s="34">
        <v>2</v>
      </c>
      <c r="F211" s="21">
        <v>3</v>
      </c>
      <c r="G211" s="34">
        <v>4</v>
      </c>
      <c r="H211" s="21">
        <v>5</v>
      </c>
      <c r="I211" s="34">
        <v>6</v>
      </c>
      <c r="J211" s="21">
        <v>7</v>
      </c>
      <c r="K211" s="34">
        <v>8</v>
      </c>
      <c r="L211" s="21">
        <v>9</v>
      </c>
      <c r="M211" s="34">
        <v>10</v>
      </c>
      <c r="N211" s="21">
        <v>11</v>
      </c>
      <c r="O211" s="34">
        <v>12</v>
      </c>
      <c r="P211" s="21">
        <v>13</v>
      </c>
      <c r="Q211" s="34">
        <v>14</v>
      </c>
      <c r="R211" s="21">
        <v>15</v>
      </c>
      <c r="S211" s="34">
        <v>16</v>
      </c>
      <c r="T211" s="21">
        <v>17</v>
      </c>
      <c r="U211" s="34">
        <v>18</v>
      </c>
      <c r="V211" s="21">
        <v>19</v>
      </c>
      <c r="W211" s="34">
        <v>20</v>
      </c>
    </row>
    <row r="212" spans="1:24">
      <c r="D212">
        <v>2009</v>
      </c>
      <c r="E212">
        <v>2010</v>
      </c>
      <c r="F212">
        <v>2011</v>
      </c>
      <c r="G212">
        <v>2012</v>
      </c>
      <c r="H212">
        <v>2013</v>
      </c>
      <c r="I212">
        <v>2014</v>
      </c>
      <c r="J212">
        <v>2015</v>
      </c>
      <c r="K212">
        <v>2016</v>
      </c>
      <c r="L212">
        <v>2017</v>
      </c>
      <c r="M212">
        <v>2018</v>
      </c>
      <c r="N212">
        <v>2019</v>
      </c>
      <c r="O212">
        <v>2020</v>
      </c>
      <c r="P212">
        <v>2021</v>
      </c>
      <c r="Q212">
        <v>2022</v>
      </c>
      <c r="R212">
        <v>2023</v>
      </c>
      <c r="S212">
        <v>2024</v>
      </c>
      <c r="T212">
        <v>2025</v>
      </c>
      <c r="U212">
        <v>2026</v>
      </c>
      <c r="V212">
        <v>2027</v>
      </c>
      <c r="W212">
        <v>2028</v>
      </c>
    </row>
    <row r="213" spans="1:24">
      <c r="A213" s="22" t="s">
        <v>84</v>
      </c>
      <c r="D213" s="23">
        <f ca="1">D198</f>
        <v>0</v>
      </c>
      <c r="E213" s="23">
        <f t="shared" ref="E213:W213" ca="1" si="113">E198</f>
        <v>11689002.031226207</v>
      </c>
      <c r="F213" s="23">
        <f t="shared" ca="1" si="113"/>
        <v>58572405.368314289</v>
      </c>
      <c r="G213" s="23">
        <f t="shared" ca="1" si="113"/>
        <v>248898329.70118496</v>
      </c>
      <c r="H213" s="23">
        <f t="shared" ca="1" si="113"/>
        <v>706323741.02084291</v>
      </c>
      <c r="I213" s="23">
        <f t="shared" ca="1" si="113"/>
        <v>1422552212.0368674</v>
      </c>
      <c r="J213" s="23">
        <f t="shared" ca="1" si="113"/>
        <v>2402089914.6271553</v>
      </c>
      <c r="K213" s="23">
        <f t="shared" ca="1" si="113"/>
        <v>3619321461.6619396</v>
      </c>
      <c r="L213" s="23">
        <f t="shared" ca="1" si="113"/>
        <v>5024628231.9853764</v>
      </c>
      <c r="M213" s="23">
        <f t="shared" ca="1" si="113"/>
        <v>6634890274.7208729</v>
      </c>
      <c r="N213" s="23">
        <f t="shared" ca="1" si="113"/>
        <v>8434103549.6572552</v>
      </c>
      <c r="O213" s="23">
        <f t="shared" ca="1" si="113"/>
        <v>10378454138.967554</v>
      </c>
      <c r="P213" s="23">
        <f t="shared" ca="1" si="113"/>
        <v>12427992050.069323</v>
      </c>
      <c r="Q213" s="23">
        <f t="shared" ca="1" si="113"/>
        <v>14573766392.689072</v>
      </c>
      <c r="R213" s="23">
        <f t="shared" ca="1" si="113"/>
        <v>16804860498.266132</v>
      </c>
      <c r="S213" s="23">
        <f t="shared" ca="1" si="113"/>
        <v>19140439264.484425</v>
      </c>
      <c r="T213" s="23">
        <f t="shared" ca="1" si="113"/>
        <v>21492215913.640141</v>
      </c>
      <c r="U213" s="23">
        <f t="shared" ca="1" si="113"/>
        <v>23871933733.643192</v>
      </c>
      <c r="V213" s="23">
        <f t="shared" ca="1" si="113"/>
        <v>26200319420.565556</v>
      </c>
      <c r="W213" s="23">
        <f t="shared" ca="1" si="113"/>
        <v>28558192676.90654</v>
      </c>
    </row>
    <row r="214" spans="1:24">
      <c r="A214" s="22" t="s">
        <v>80</v>
      </c>
      <c r="D214" s="23">
        <f>($D203/5+$D207*D208+$D209*D210)*exrate</f>
        <v>4589520000</v>
      </c>
      <c r="E214" s="23">
        <f>($D203/5+$D207*E208+$D209*E210)*exrate</f>
        <v>7179120000</v>
      </c>
      <c r="F214" s="23">
        <f>($D203/5+$D207*F208+$D209*F210)*exrate</f>
        <v>12177360000</v>
      </c>
      <c r="G214" s="23">
        <f>($D203/5+$D207*G208+$D209*G210)*exrate</f>
        <v>8970000000</v>
      </c>
      <c r="H214" s="23">
        <f>($D203/5+$D207*H208+$D209*H210)*exrate</f>
        <v>4773600000</v>
      </c>
      <c r="I214" s="23"/>
      <c r="J214" s="23"/>
      <c r="K214" s="23"/>
      <c r="L214" s="23"/>
      <c r="M214" s="23"/>
      <c r="N214" s="23"/>
      <c r="O214" s="23"/>
      <c r="P214" s="23"/>
      <c r="Q214" s="23"/>
      <c r="R214" s="23"/>
      <c r="S214" s="23"/>
      <c r="T214" s="23"/>
      <c r="U214" s="23"/>
      <c r="V214" s="23"/>
      <c r="W214" s="23"/>
    </row>
    <row r="215" spans="1:24">
      <c r="A215" s="22" t="s">
        <v>96</v>
      </c>
      <c r="D215" s="26"/>
      <c r="E215" s="26"/>
      <c r="F215" s="26"/>
      <c r="G215" s="26"/>
      <c r="H215" s="26"/>
      <c r="I215" s="26">
        <f t="shared" ref="I215:W215" si="114">1000000*exrate</f>
        <v>1560000000</v>
      </c>
      <c r="J215" s="26">
        <f t="shared" si="114"/>
        <v>1560000000</v>
      </c>
      <c r="K215" s="26">
        <f t="shared" si="114"/>
        <v>1560000000</v>
      </c>
      <c r="L215" s="26">
        <f t="shared" si="114"/>
        <v>1560000000</v>
      </c>
      <c r="M215" s="26">
        <f t="shared" si="114"/>
        <v>1560000000</v>
      </c>
      <c r="N215" s="26">
        <f t="shared" si="114"/>
        <v>1560000000</v>
      </c>
      <c r="O215" s="26">
        <f t="shared" si="114"/>
        <v>1560000000</v>
      </c>
      <c r="P215" s="26">
        <f t="shared" si="114"/>
        <v>1560000000</v>
      </c>
      <c r="Q215" s="26">
        <f t="shared" si="114"/>
        <v>1560000000</v>
      </c>
      <c r="R215" s="26">
        <f t="shared" si="114"/>
        <v>1560000000</v>
      </c>
      <c r="S215" s="26">
        <f t="shared" si="114"/>
        <v>1560000000</v>
      </c>
      <c r="T215" s="26">
        <f t="shared" si="114"/>
        <v>1560000000</v>
      </c>
      <c r="U215" s="26">
        <f t="shared" si="114"/>
        <v>1560000000</v>
      </c>
      <c r="V215" s="26">
        <f t="shared" si="114"/>
        <v>1560000000</v>
      </c>
      <c r="W215" s="26">
        <f t="shared" si="114"/>
        <v>1560000000</v>
      </c>
    </row>
    <row r="216" spans="1:24">
      <c r="A216" s="22" t="s">
        <v>81</v>
      </c>
      <c r="D216" s="23">
        <f ca="1">D213-D214-D215</f>
        <v>-4589520000</v>
      </c>
      <c r="E216" s="23">
        <f t="shared" ref="E216:W216" ca="1" si="115">E213-E214-E215</f>
        <v>-7167430997.9687738</v>
      </c>
      <c r="F216" s="23">
        <f t="shared" ca="1" si="115"/>
        <v>-12118787594.631685</v>
      </c>
      <c r="G216" s="23">
        <f t="shared" ca="1" si="115"/>
        <v>-8721101670.2988148</v>
      </c>
      <c r="H216" s="23">
        <f t="shared" ca="1" si="115"/>
        <v>-4067276258.979157</v>
      </c>
      <c r="I216" s="23">
        <f t="shared" ca="1" si="115"/>
        <v>-137447787.96313262</v>
      </c>
      <c r="J216" s="23">
        <f t="shared" ca="1" si="115"/>
        <v>842089914.6271553</v>
      </c>
      <c r="K216" s="23">
        <f t="shared" ca="1" si="115"/>
        <v>2059321461.6619396</v>
      </c>
      <c r="L216" s="23">
        <f t="shared" ca="1" si="115"/>
        <v>3464628231.9853764</v>
      </c>
      <c r="M216" s="23">
        <f t="shared" ca="1" si="115"/>
        <v>5074890274.7208729</v>
      </c>
      <c r="N216" s="23">
        <f t="shared" ca="1" si="115"/>
        <v>6874103549.6572552</v>
      </c>
      <c r="O216" s="23">
        <f t="shared" ca="1" si="115"/>
        <v>8818454138.9675541</v>
      </c>
      <c r="P216" s="23">
        <f t="shared" ca="1" si="115"/>
        <v>10867992050.069323</v>
      </c>
      <c r="Q216" s="23">
        <f t="shared" ca="1" si="115"/>
        <v>13013766392.689072</v>
      </c>
      <c r="R216" s="23">
        <f t="shared" ca="1" si="115"/>
        <v>15244860498.266132</v>
      </c>
      <c r="S216" s="23">
        <f t="shared" ca="1" si="115"/>
        <v>17580439264.484425</v>
      </c>
      <c r="T216" s="23">
        <f t="shared" ca="1" si="115"/>
        <v>19932215913.640141</v>
      </c>
      <c r="U216" s="23">
        <f t="shared" ca="1" si="115"/>
        <v>22311933733.643192</v>
      </c>
      <c r="V216" s="23">
        <f t="shared" ca="1" si="115"/>
        <v>24640319420.565556</v>
      </c>
      <c r="W216" s="23">
        <f t="shared" ca="1" si="115"/>
        <v>26998192676.90654</v>
      </c>
      <c r="X216" s="23"/>
    </row>
    <row r="217" spans="1:24">
      <c r="B217" s="21" t="s">
        <v>82</v>
      </c>
      <c r="C217" s="56">
        <f ca="1">IRR(D216:W216,0.1)</f>
        <v>0.13411395048260388</v>
      </c>
      <c r="D217" s="21"/>
      <c r="E217" s="21"/>
    </row>
    <row r="218" spans="1:24">
      <c r="A218" s="22" t="s">
        <v>143</v>
      </c>
      <c r="B218" t="s">
        <v>120</v>
      </c>
      <c r="C218" s="32">
        <f ca="1">NPV(0.1,D213:W213)-NPV(0.1,D215:W215)</f>
        <v>36173602662.265015</v>
      </c>
      <c r="I218" s="23"/>
    </row>
    <row r="219" spans="1:24">
      <c r="A219" s="22" t="s">
        <v>118</v>
      </c>
      <c r="B219" t="s">
        <v>121</v>
      </c>
      <c r="C219" s="32">
        <f ca="1">C218/B15</f>
        <v>48039312.964495368</v>
      </c>
    </row>
    <row r="220" spans="1:24">
      <c r="A220" s="22" t="s">
        <v>94</v>
      </c>
      <c r="C220" s="33">
        <f>SUM(D220:H220)</f>
        <v>24160000</v>
      </c>
      <c r="D220" s="33">
        <f>D214/exrate</f>
        <v>2942000</v>
      </c>
      <c r="E220" s="33">
        <f>E214/exrate</f>
        <v>4602000</v>
      </c>
      <c r="F220" s="33">
        <f>F214/exrate</f>
        <v>7806000</v>
      </c>
      <c r="G220" s="33">
        <f>G214/exrate</f>
        <v>5750000</v>
      </c>
      <c r="H220" s="33">
        <f>H214/exrate</f>
        <v>3060000</v>
      </c>
    </row>
    <row r="221" spans="1:24">
      <c r="A221" s="22" t="s">
        <v>124</v>
      </c>
      <c r="C221" s="32">
        <f>NPV(0.1,D214:H214)/exrate</f>
        <v>18169961.192417305</v>
      </c>
      <c r="D221" s="13">
        <f ca="1">C219/C221</f>
        <v>2.6438863823519423</v>
      </c>
      <c r="E221" s="32"/>
      <c r="F221" s="32"/>
      <c r="G221" s="32"/>
    </row>
    <row r="222" spans="1:24">
      <c r="A222" t="s">
        <v>95</v>
      </c>
    </row>
    <row r="223" spans="1:24">
      <c r="A223" s="22" t="s">
        <v>125</v>
      </c>
      <c r="C223" s="21">
        <f ca="1">C219/B41</f>
        <v>1642.931359934862</v>
      </c>
    </row>
    <row r="224" spans="1:24">
      <c r="A224" s="22"/>
      <c r="C224" s="21"/>
    </row>
    <row r="225" spans="1:24">
      <c r="A225" s="38" t="s">
        <v>137</v>
      </c>
      <c r="B225" s="39"/>
      <c r="C225" s="40"/>
      <c r="D225" s="39"/>
      <c r="E225" s="39"/>
      <c r="F225" s="39"/>
      <c r="G225" s="39"/>
      <c r="H225" s="39"/>
      <c r="I225" s="39"/>
      <c r="J225" s="39"/>
      <c r="K225" s="39"/>
      <c r="L225" s="39"/>
      <c r="M225" s="39"/>
      <c r="N225" s="39"/>
      <c r="O225" s="39"/>
      <c r="P225" s="39"/>
      <c r="Q225" s="39"/>
      <c r="R225" s="39"/>
      <c r="S225" s="39"/>
      <c r="T225" s="39"/>
      <c r="U225" s="39"/>
      <c r="V225" s="39"/>
      <c r="W225" s="41"/>
    </row>
    <row r="226" spans="1:24">
      <c r="A226" s="42" t="s">
        <v>101</v>
      </c>
      <c r="B226" s="43"/>
      <c r="C226" s="43"/>
      <c r="D226" s="43"/>
      <c r="E226" s="43"/>
      <c r="F226" s="43"/>
      <c r="G226" s="43"/>
      <c r="H226" s="43"/>
      <c r="I226" s="43"/>
      <c r="J226" s="43"/>
      <c r="K226" s="43"/>
      <c r="L226" s="43"/>
      <c r="M226" s="43"/>
      <c r="N226" s="43"/>
      <c r="O226" s="43"/>
      <c r="P226" s="43"/>
      <c r="Q226" s="43"/>
      <c r="R226" s="43"/>
      <c r="S226" s="43"/>
      <c r="T226" s="43"/>
      <c r="U226" s="43"/>
      <c r="V226" s="43"/>
      <c r="W226" s="44"/>
    </row>
    <row r="227" spans="1:24">
      <c r="A227" s="42" t="s">
        <v>123</v>
      </c>
      <c r="B227" s="45">
        <v>1.2E-2</v>
      </c>
      <c r="C227" s="43"/>
      <c r="D227" s="43"/>
      <c r="E227" s="43"/>
      <c r="F227" s="43"/>
      <c r="G227" s="43"/>
      <c r="H227" s="43"/>
      <c r="I227" s="43"/>
      <c r="J227" s="43"/>
      <c r="K227" s="43"/>
      <c r="L227" s="43"/>
      <c r="M227" s="43"/>
      <c r="N227" s="43"/>
      <c r="O227" s="43"/>
      <c r="P227" s="43"/>
      <c r="Q227" s="43"/>
      <c r="R227" s="43"/>
      <c r="S227" s="43"/>
      <c r="T227" s="43"/>
      <c r="U227" s="43"/>
      <c r="V227" s="43"/>
      <c r="W227" s="44"/>
    </row>
    <row r="228" spans="1:24">
      <c r="A228" s="42" t="s">
        <v>122</v>
      </c>
      <c r="B228" s="46">
        <f>B8*B227</f>
        <v>73560000000</v>
      </c>
      <c r="C228" s="43"/>
      <c r="D228" s="43"/>
      <c r="E228" s="43"/>
      <c r="F228" s="43"/>
      <c r="G228" s="43"/>
      <c r="H228" s="43"/>
      <c r="I228" s="43"/>
      <c r="J228" s="43"/>
      <c r="K228" s="43"/>
      <c r="L228" s="43"/>
      <c r="M228" s="43"/>
      <c r="N228" s="43"/>
      <c r="O228" s="43"/>
      <c r="P228" s="43"/>
      <c r="Q228" s="43"/>
      <c r="R228" s="43"/>
      <c r="S228" s="43"/>
      <c r="T228" s="43"/>
      <c r="U228" s="43"/>
      <c r="V228" s="43"/>
      <c r="W228" s="44"/>
    </row>
    <row r="229" spans="1:24">
      <c r="A229" s="42" t="s">
        <v>97</v>
      </c>
      <c r="B229" s="47">
        <v>4700000000</v>
      </c>
      <c r="C229" s="43"/>
      <c r="D229" s="48">
        <v>0</v>
      </c>
      <c r="E229" s="48">
        <f>B229</f>
        <v>4700000000</v>
      </c>
      <c r="F229" s="48">
        <f t="shared" ref="F229:W229" si="116">E229*(1+popgrowth)</f>
        <v>4770500000</v>
      </c>
      <c r="G229" s="48">
        <f t="shared" si="116"/>
        <v>4842057500</v>
      </c>
      <c r="H229" s="48">
        <f t="shared" si="116"/>
        <v>4914688362.5</v>
      </c>
      <c r="I229" s="48">
        <f t="shared" si="116"/>
        <v>4988408687.937499</v>
      </c>
      <c r="J229" s="48">
        <f t="shared" si="116"/>
        <v>5063234818.2565613</v>
      </c>
      <c r="K229" s="48">
        <f t="shared" si="116"/>
        <v>5139183340.5304089</v>
      </c>
      <c r="L229" s="48">
        <f t="shared" si="116"/>
        <v>5216271090.6383648</v>
      </c>
      <c r="M229" s="48">
        <f t="shared" si="116"/>
        <v>5294515156.9979401</v>
      </c>
      <c r="N229" s="48">
        <f t="shared" si="116"/>
        <v>5373932884.3529091</v>
      </c>
      <c r="O229" s="48">
        <f t="shared" si="116"/>
        <v>5454541877.6182022</v>
      </c>
      <c r="P229" s="48">
        <f t="shared" si="116"/>
        <v>5536360005.7824745</v>
      </c>
      <c r="Q229" s="48">
        <f t="shared" si="116"/>
        <v>5619405405.8692112</v>
      </c>
      <c r="R229" s="48">
        <f t="shared" si="116"/>
        <v>5703696486.9572487</v>
      </c>
      <c r="S229" s="48">
        <f t="shared" si="116"/>
        <v>5789251934.2616072</v>
      </c>
      <c r="T229" s="48">
        <f t="shared" si="116"/>
        <v>5876090713.2755308</v>
      </c>
      <c r="U229" s="48">
        <f t="shared" si="116"/>
        <v>5964232073.9746628</v>
      </c>
      <c r="V229" s="48">
        <f t="shared" si="116"/>
        <v>6053695555.0842819</v>
      </c>
      <c r="W229" s="49">
        <f t="shared" si="116"/>
        <v>6144500988.4105453</v>
      </c>
    </row>
    <row r="230" spans="1:24">
      <c r="A230" s="42" t="s">
        <v>99</v>
      </c>
      <c r="B230" s="43">
        <v>0.03</v>
      </c>
      <c r="C230" s="43"/>
      <c r="D230" s="48"/>
      <c r="E230" s="48"/>
      <c r="F230" s="48"/>
      <c r="G230" s="48"/>
      <c r="H230" s="48"/>
      <c r="I230" s="48"/>
      <c r="J230" s="48"/>
      <c r="K230" s="48"/>
      <c r="L230" s="48"/>
      <c r="M230" s="48"/>
      <c r="N230" s="48"/>
      <c r="O230" s="48"/>
      <c r="P230" s="48"/>
      <c r="Q230" s="48"/>
      <c r="R230" s="48"/>
      <c r="S230" s="48"/>
      <c r="T230" s="48"/>
      <c r="U230" s="48"/>
      <c r="V230" s="48"/>
      <c r="W230" s="49"/>
    </row>
    <row r="231" spans="1:24">
      <c r="A231" s="42" t="s">
        <v>100</v>
      </c>
      <c r="B231" s="46">
        <f>NPV(B230,D229:W229)</f>
        <v>74000977265.117142</v>
      </c>
      <c r="C231" s="43"/>
      <c r="D231" s="48"/>
      <c r="E231" s="48"/>
      <c r="F231" s="48"/>
      <c r="G231" s="48"/>
      <c r="H231" s="48"/>
      <c r="I231" s="48"/>
      <c r="J231" s="48"/>
      <c r="K231" s="48"/>
      <c r="L231" s="48"/>
      <c r="M231" s="48"/>
      <c r="N231" s="48"/>
      <c r="O231" s="48"/>
      <c r="P231" s="48"/>
      <c r="Q231" s="48"/>
      <c r="R231" s="48"/>
      <c r="S231" s="48"/>
      <c r="T231" s="48"/>
      <c r="U231" s="48"/>
      <c r="V231" s="48"/>
      <c r="W231" s="49"/>
    </row>
    <row r="232" spans="1:24">
      <c r="A232" s="42"/>
      <c r="B232" s="43"/>
      <c r="C232" s="43"/>
      <c r="D232" s="48">
        <f>D229-D214-D215</f>
        <v>-4589520000</v>
      </c>
      <c r="E232" s="48">
        <f t="shared" ref="E232:W232" si="117">E229-E214-E215</f>
        <v>-2479120000</v>
      </c>
      <c r="F232" s="48">
        <f t="shared" si="117"/>
        <v>-7406860000</v>
      </c>
      <c r="G232" s="48">
        <f t="shared" si="117"/>
        <v>-4127942500</v>
      </c>
      <c r="H232" s="48">
        <f t="shared" si="117"/>
        <v>141088362.5</v>
      </c>
      <c r="I232" s="48">
        <f t="shared" si="117"/>
        <v>3428408687.937499</v>
      </c>
      <c r="J232" s="48">
        <f t="shared" si="117"/>
        <v>3503234818.2565613</v>
      </c>
      <c r="K232" s="48">
        <f t="shared" si="117"/>
        <v>3579183340.5304089</v>
      </c>
      <c r="L232" s="48">
        <f t="shared" si="117"/>
        <v>3656271090.6383648</v>
      </c>
      <c r="M232" s="48">
        <f t="shared" si="117"/>
        <v>3734515156.9979401</v>
      </c>
      <c r="N232" s="48">
        <f t="shared" si="117"/>
        <v>3813932884.3529091</v>
      </c>
      <c r="O232" s="48">
        <f t="shared" si="117"/>
        <v>3894541877.6182022</v>
      </c>
      <c r="P232" s="48">
        <f t="shared" si="117"/>
        <v>3976360005.7824745</v>
      </c>
      <c r="Q232" s="48">
        <f t="shared" si="117"/>
        <v>4059405405.8692112</v>
      </c>
      <c r="R232" s="48">
        <f t="shared" si="117"/>
        <v>4143696486.9572487</v>
      </c>
      <c r="S232" s="48">
        <f t="shared" si="117"/>
        <v>4229251934.2616072</v>
      </c>
      <c r="T232" s="48">
        <f t="shared" si="117"/>
        <v>4316090713.2755308</v>
      </c>
      <c r="U232" s="48">
        <f t="shared" si="117"/>
        <v>4404232073.9746628</v>
      </c>
      <c r="V232" s="48">
        <f t="shared" si="117"/>
        <v>4493695555.0842819</v>
      </c>
      <c r="W232" s="49">
        <f t="shared" si="117"/>
        <v>4584500988.4105453</v>
      </c>
    </row>
    <row r="233" spans="1:24">
      <c r="A233" s="50"/>
      <c r="B233" s="51" t="s">
        <v>82</v>
      </c>
      <c r="C233" s="52">
        <f>IRR(D232:W232,0.1)</f>
        <v>0.12783769852397864</v>
      </c>
      <c r="D233" s="3"/>
      <c r="E233" s="3"/>
      <c r="F233" s="3"/>
      <c r="G233" s="3"/>
      <c r="H233" s="3"/>
      <c r="I233" s="3"/>
      <c r="J233" s="3"/>
      <c r="K233" s="3"/>
      <c r="L233" s="3"/>
      <c r="M233" s="3"/>
      <c r="N233" s="3"/>
      <c r="O233" s="3"/>
      <c r="P233" s="3"/>
      <c r="Q233" s="3"/>
      <c r="R233" s="3"/>
      <c r="S233" s="3"/>
      <c r="T233" s="3"/>
      <c r="U233" s="3"/>
      <c r="V233" s="3"/>
      <c r="W233" s="53"/>
    </row>
    <row r="236" spans="1:24">
      <c r="A236" t="s">
        <v>108</v>
      </c>
    </row>
    <row r="237" spans="1:24">
      <c r="A237" t="s">
        <v>109</v>
      </c>
    </row>
    <row r="238" spans="1:24">
      <c r="D238">
        <v>2009</v>
      </c>
      <c r="E238">
        <v>2010</v>
      </c>
      <c r="F238">
        <v>2011</v>
      </c>
      <c r="G238">
        <v>2012</v>
      </c>
      <c r="H238">
        <v>2013</v>
      </c>
      <c r="I238">
        <v>2014</v>
      </c>
      <c r="J238">
        <v>2015</v>
      </c>
      <c r="K238">
        <v>2016</v>
      </c>
      <c r="L238">
        <v>2017</v>
      </c>
      <c r="M238">
        <v>2018</v>
      </c>
      <c r="N238">
        <v>2019</v>
      </c>
      <c r="O238">
        <v>2020</v>
      </c>
      <c r="P238">
        <v>2021</v>
      </c>
      <c r="Q238">
        <v>2022</v>
      </c>
      <c r="R238">
        <v>2023</v>
      </c>
      <c r="S238">
        <v>2024</v>
      </c>
      <c r="T238">
        <v>2025</v>
      </c>
      <c r="U238">
        <v>2026</v>
      </c>
      <c r="V238">
        <v>2027</v>
      </c>
      <c r="W238">
        <v>2028</v>
      </c>
    </row>
    <row r="239" spans="1:24">
      <c r="A239" t="s">
        <v>84</v>
      </c>
      <c r="D239" s="23">
        <f ca="1">D213/0.75</f>
        <v>0</v>
      </c>
      <c r="E239" s="23">
        <f t="shared" ref="E239:W239" ca="1" si="118">E213/0.75</f>
        <v>15585336.041634941</v>
      </c>
      <c r="F239" s="23">
        <f t="shared" ca="1" si="118"/>
        <v>78096540.491085723</v>
      </c>
      <c r="G239" s="23">
        <f t="shared" ca="1" si="118"/>
        <v>331864439.60157996</v>
      </c>
      <c r="H239" s="23">
        <f t="shared" ca="1" si="118"/>
        <v>941764988.02779055</v>
      </c>
      <c r="I239" s="23">
        <f t="shared" ca="1" si="118"/>
        <v>1896736282.7158232</v>
      </c>
      <c r="J239" s="23">
        <f t="shared" ca="1" si="118"/>
        <v>3202786552.8362069</v>
      </c>
      <c r="K239" s="23">
        <f t="shared" ca="1" si="118"/>
        <v>4825761948.8825865</v>
      </c>
      <c r="L239" s="23">
        <f t="shared" ca="1" si="118"/>
        <v>6699504309.3138351</v>
      </c>
      <c r="M239" s="23">
        <f t="shared" ca="1" si="118"/>
        <v>8846520366.2944965</v>
      </c>
      <c r="N239" s="23">
        <f t="shared" ca="1" si="118"/>
        <v>11245471399.543007</v>
      </c>
      <c r="O239" s="23">
        <f t="shared" ca="1" si="118"/>
        <v>13837938851.956739</v>
      </c>
      <c r="P239" s="23">
        <f t="shared" ca="1" si="118"/>
        <v>16570656066.759096</v>
      </c>
      <c r="Q239" s="23">
        <f t="shared" ca="1" si="118"/>
        <v>19431688523.58543</v>
      </c>
      <c r="R239" s="23">
        <f t="shared" ca="1" si="118"/>
        <v>22406480664.354843</v>
      </c>
      <c r="S239" s="23">
        <f t="shared" ca="1" si="118"/>
        <v>25520585685.979233</v>
      </c>
      <c r="T239" s="23">
        <f t="shared" ca="1" si="118"/>
        <v>28656287884.853519</v>
      </c>
      <c r="U239" s="23">
        <f t="shared" ca="1" si="118"/>
        <v>31829244978.190922</v>
      </c>
      <c r="V239" s="23">
        <f t="shared" ca="1" si="118"/>
        <v>34933759227.420738</v>
      </c>
      <c r="W239" s="23">
        <f t="shared" ca="1" si="118"/>
        <v>38077590235.875389</v>
      </c>
      <c r="X239" s="23"/>
    </row>
    <row r="240" spans="1:24">
      <c r="A240" t="s">
        <v>110</v>
      </c>
      <c r="D240" s="23">
        <f>($D201/5+$D205*D208+$D209*D210)*exrate</f>
        <v>6883500000</v>
      </c>
      <c r="E240" s="23">
        <f>($D201/5+$D205*E208+$D209*E210)*exrate</f>
        <v>10666500000</v>
      </c>
      <c r="F240" s="23">
        <f>($D201/5+$D205*F208+$D209*F210)*exrate</f>
        <v>15412800000</v>
      </c>
      <c r="G240" s="23">
        <f>($D201/5+$D205*G208+$D209*G210)*exrate</f>
        <v>11622000000</v>
      </c>
      <c r="H240" s="23">
        <f>($D201/5+$D205*H208+$D209*H210)*exrate</f>
        <v>6895200000</v>
      </c>
      <c r="I240" s="23">
        <f>$D205*I208+$D209*I210+I215</f>
        <v>1560000000</v>
      </c>
      <c r="J240" s="23">
        <f t="shared" ref="J240:W240" si="119">$D205*J208+$D209*J210+J215</f>
        <v>1560000000</v>
      </c>
      <c r="K240" s="23">
        <f t="shared" si="119"/>
        <v>1560000000</v>
      </c>
      <c r="L240" s="23">
        <f t="shared" si="119"/>
        <v>1560000000</v>
      </c>
      <c r="M240" s="23">
        <f t="shared" si="119"/>
        <v>1560000000</v>
      </c>
      <c r="N240" s="23">
        <f t="shared" si="119"/>
        <v>1560000000</v>
      </c>
      <c r="O240" s="23">
        <f t="shared" si="119"/>
        <v>1560000000</v>
      </c>
      <c r="P240" s="23">
        <f t="shared" si="119"/>
        <v>1560000000</v>
      </c>
      <c r="Q240" s="23">
        <f t="shared" si="119"/>
        <v>1560000000</v>
      </c>
      <c r="R240" s="23">
        <f t="shared" si="119"/>
        <v>1560000000</v>
      </c>
      <c r="S240" s="23">
        <f t="shared" si="119"/>
        <v>1560000000</v>
      </c>
      <c r="T240" s="23">
        <f t="shared" si="119"/>
        <v>1560000000</v>
      </c>
      <c r="U240" s="23">
        <f t="shared" si="119"/>
        <v>1560000000</v>
      </c>
      <c r="V240" s="23">
        <f t="shared" si="119"/>
        <v>1560000000</v>
      </c>
      <c r="W240" s="23">
        <f t="shared" si="119"/>
        <v>1560000000</v>
      </c>
      <c r="X240" s="23"/>
    </row>
    <row r="241" spans="1:23">
      <c r="D241" s="23">
        <f ca="1">D239-D240</f>
        <v>-6883500000</v>
      </c>
      <c r="E241" s="23">
        <f t="shared" ref="E241:W241" ca="1" si="120">E239-E240</f>
        <v>-10650914663.958364</v>
      </c>
      <c r="F241" s="23">
        <f t="shared" ca="1" si="120"/>
        <v>-15334703459.508915</v>
      </c>
      <c r="G241" s="23">
        <f t="shared" ca="1" si="120"/>
        <v>-11290135560.39842</v>
      </c>
      <c r="H241" s="23">
        <f t="shared" ca="1" si="120"/>
        <v>-5953435011.9722099</v>
      </c>
      <c r="I241" s="23">
        <f t="shared" ca="1" si="120"/>
        <v>336736282.71582317</v>
      </c>
      <c r="J241" s="23">
        <f t="shared" ca="1" si="120"/>
        <v>1642786552.8362069</v>
      </c>
      <c r="K241" s="23">
        <f t="shared" ca="1" si="120"/>
        <v>3265761948.8825865</v>
      </c>
      <c r="L241" s="23">
        <f t="shared" ca="1" si="120"/>
        <v>5139504309.3138351</v>
      </c>
      <c r="M241" s="23">
        <f t="shared" ca="1" si="120"/>
        <v>7286520366.2944965</v>
      </c>
      <c r="N241" s="23">
        <f t="shared" ca="1" si="120"/>
        <v>9685471399.5430069</v>
      </c>
      <c r="O241" s="23">
        <f t="shared" ca="1" si="120"/>
        <v>12277938851.956739</v>
      </c>
      <c r="P241" s="23">
        <f t="shared" ca="1" si="120"/>
        <v>15010656066.759096</v>
      </c>
      <c r="Q241" s="23">
        <f t="shared" ca="1" si="120"/>
        <v>17871688523.58543</v>
      </c>
      <c r="R241" s="23">
        <f t="shared" ca="1" si="120"/>
        <v>20846480664.354843</v>
      </c>
      <c r="S241" s="23">
        <f t="shared" ca="1" si="120"/>
        <v>23960585685.979233</v>
      </c>
      <c r="T241" s="23">
        <f t="shared" ca="1" si="120"/>
        <v>27096287884.853519</v>
      </c>
      <c r="U241" s="23">
        <f t="shared" ca="1" si="120"/>
        <v>30269244978.190922</v>
      </c>
      <c r="V241" s="23">
        <f t="shared" ca="1" si="120"/>
        <v>33373759227.420738</v>
      </c>
      <c r="W241" s="23">
        <f t="shared" ca="1" si="120"/>
        <v>36517590235.875389</v>
      </c>
    </row>
    <row r="242" spans="1:23">
      <c r="B242" s="21" t="s">
        <v>82</v>
      </c>
      <c r="C242" s="4">
        <f ca="1">IRR(D241:W241,0.1)</f>
        <v>0.13607793375072808</v>
      </c>
    </row>
    <row r="244" spans="1:23">
      <c r="A244" t="s">
        <v>113</v>
      </c>
      <c r="B244" s="3">
        <v>2009</v>
      </c>
      <c r="C244" s="3">
        <v>2029</v>
      </c>
    </row>
    <row r="245" spans="1:23">
      <c r="A245" t="s">
        <v>112</v>
      </c>
      <c r="B245">
        <f>pop*0.68*0.4</f>
        <v>732768.00000000012</v>
      </c>
      <c r="C245" s="21">
        <f>W44*0.68*0.4</f>
        <v>972347.0437829257</v>
      </c>
    </row>
    <row r="246" spans="1:23">
      <c r="A246" t="s">
        <v>114</v>
      </c>
      <c r="B246">
        <v>0.55000000000000004</v>
      </c>
      <c r="C246">
        <v>0.55000000000000004</v>
      </c>
    </row>
    <row r="247" spans="1:23">
      <c r="A247" t="s">
        <v>115</v>
      </c>
      <c r="B247">
        <v>0.42</v>
      </c>
      <c r="C247">
        <v>0.42</v>
      </c>
    </row>
    <row r="248" spans="1:23">
      <c r="A248" t="s">
        <v>117</v>
      </c>
      <c r="B248">
        <v>4120</v>
      </c>
      <c r="D248" t="s">
        <v>116</v>
      </c>
    </row>
    <row r="251" spans="1:23">
      <c r="B251" s="21">
        <f>29000/0.7</f>
        <v>41428.571428571435</v>
      </c>
    </row>
    <row r="252" spans="1:23">
      <c r="B252" s="21">
        <f>B251-29000</f>
        <v>12428.571428571435</v>
      </c>
    </row>
    <row r="253" spans="1:23">
      <c r="B253" s="21">
        <f>B252-B248</f>
        <v>8308.5714285714348</v>
      </c>
    </row>
    <row r="255" spans="1:23">
      <c r="A255" s="97" t="s">
        <v>327</v>
      </c>
      <c r="B255" s="39"/>
      <c r="C255" s="76">
        <f>+'[18]2012 on, 2013 onii 1,2,3,4 sar'!$B$30</f>
        <v>631960</v>
      </c>
    </row>
    <row r="256" spans="1:23">
      <c r="A256" s="42" t="s">
        <v>328</v>
      </c>
      <c r="B256" s="43"/>
      <c r="C256" s="79">
        <f>+'[18]2012 on, 2013 onii 1,2,3,4 sar'!$C$30</f>
        <v>305018</v>
      </c>
    </row>
    <row r="257" spans="1:3">
      <c r="A257" s="42" t="s">
        <v>329</v>
      </c>
      <c r="B257" s="43"/>
      <c r="C257" s="79">
        <f>+'[18]2012 on, 2013 onii 1,2,3,4 sar'!$E$30</f>
        <v>18416</v>
      </c>
    </row>
    <row r="258" spans="1:3">
      <c r="A258" s="42" t="s">
        <v>306</v>
      </c>
      <c r="B258" s="43"/>
      <c r="C258" s="140">
        <f>+C257/C256</f>
        <v>6.0376764649955082E-2</v>
      </c>
    </row>
    <row r="259" spans="1:3">
      <c r="A259" s="50" t="s">
        <v>330</v>
      </c>
      <c r="B259" s="3"/>
      <c r="C259" s="53"/>
    </row>
  </sheetData>
  <mergeCells count="16">
    <mergeCell ref="P17:P18"/>
    <mergeCell ref="Q17:Q18"/>
    <mergeCell ref="R17:R18"/>
    <mergeCell ref="S17:W17"/>
    <mergeCell ref="J17:J18"/>
    <mergeCell ref="K17:K18"/>
    <mergeCell ref="L17:L18"/>
    <mergeCell ref="M17:M18"/>
    <mergeCell ref="N17:N18"/>
    <mergeCell ref="O17:O18"/>
    <mergeCell ref="I17:I18"/>
    <mergeCell ref="D17:D18"/>
    <mergeCell ref="E17:E18"/>
    <mergeCell ref="F17:F18"/>
    <mergeCell ref="G17:G18"/>
    <mergeCell ref="H17:H18"/>
  </mergeCells>
  <pageMargins left="0.7" right="0.7" top="0.75" bottom="0.75" header="0.3" footer="0.3"/>
  <pageSetup orientation="portrait" r:id="rId1"/>
  <ignoredErrors>
    <ignoredError sqref="C10" numberStoredAsText="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workbookViewId="0">
      <selection activeCell="G14" sqref="G14"/>
    </sheetView>
  </sheetViews>
  <sheetFormatPr defaultRowHeight="15"/>
  <cols>
    <col min="1" max="1" width="29.140625" customWidth="1"/>
    <col min="2" max="2" width="21.85546875" customWidth="1"/>
    <col min="6" max="6" width="8.85546875" bestFit="1" customWidth="1"/>
  </cols>
  <sheetData>
    <row r="1" spans="1:23">
      <c r="A1" s="37" t="s">
        <v>159</v>
      </c>
      <c r="C1">
        <v>2008</v>
      </c>
      <c r="D1">
        <v>2009</v>
      </c>
      <c r="E1">
        <v>2010</v>
      </c>
      <c r="F1">
        <v>2011</v>
      </c>
      <c r="G1">
        <v>2012</v>
      </c>
      <c r="H1">
        <v>2013</v>
      </c>
      <c r="I1">
        <v>2014</v>
      </c>
      <c r="J1">
        <v>2015</v>
      </c>
      <c r="K1">
        <v>2016</v>
      </c>
      <c r="L1">
        <v>2017</v>
      </c>
      <c r="M1">
        <v>2018</v>
      </c>
      <c r="N1">
        <v>2019</v>
      </c>
      <c r="O1">
        <v>2020</v>
      </c>
      <c r="P1">
        <v>2021</v>
      </c>
      <c r="Q1">
        <v>2022</v>
      </c>
      <c r="R1">
        <v>2023</v>
      </c>
      <c r="S1">
        <v>2024</v>
      </c>
      <c r="T1">
        <v>2025</v>
      </c>
      <c r="U1">
        <v>2026</v>
      </c>
      <c r="V1">
        <v>2027</v>
      </c>
      <c r="W1">
        <v>2028</v>
      </c>
    </row>
    <row r="2" spans="1:23">
      <c r="A2" t="s">
        <v>321</v>
      </c>
      <c r="F2">
        <f>+'Notes and Assumptions'!B31</f>
        <v>736</v>
      </c>
    </row>
    <row r="3" spans="1:23">
      <c r="A3" t="s">
        <v>322</v>
      </c>
      <c r="F3">
        <f>+'Notes and Assumptions'!B32</f>
        <v>2370</v>
      </c>
    </row>
    <row r="4" spans="1:23">
      <c r="A4" t="s">
        <v>323</v>
      </c>
      <c r="F4">
        <f>+'Notes and Assumptions'!F31+'Notes and Assumptions'!F32</f>
        <v>164</v>
      </c>
    </row>
    <row r="6" spans="1:23">
      <c r="A6" t="s">
        <v>163</v>
      </c>
      <c r="C6">
        <v>0</v>
      </c>
      <c r="D6">
        <v>0</v>
      </c>
      <c r="E6">
        <v>0</v>
      </c>
      <c r="F6">
        <v>0</v>
      </c>
      <c r="G6">
        <v>0</v>
      </c>
      <c r="H6">
        <v>0</v>
      </c>
      <c r="I6">
        <v>0</v>
      </c>
      <c r="J6">
        <v>0</v>
      </c>
      <c r="K6">
        <v>0</v>
      </c>
      <c r="L6">
        <v>0</v>
      </c>
      <c r="M6">
        <v>0</v>
      </c>
      <c r="N6">
        <v>0</v>
      </c>
      <c r="O6">
        <v>0</v>
      </c>
      <c r="P6">
        <v>0</v>
      </c>
      <c r="Q6">
        <v>0</v>
      </c>
    </row>
    <row r="7" spans="1:23">
      <c r="A7" t="s">
        <v>325</v>
      </c>
      <c r="C7">
        <v>0</v>
      </c>
      <c r="D7">
        <v>0</v>
      </c>
      <c r="E7">
        <v>0</v>
      </c>
      <c r="F7">
        <v>0</v>
      </c>
      <c r="G7">
        <f>+[19]Total_C50!$C$40</f>
        <v>104615</v>
      </c>
    </row>
    <row r="9" spans="1:23">
      <c r="A9" t="s">
        <v>160</v>
      </c>
      <c r="B9" s="57" t="s">
        <v>164</v>
      </c>
    </row>
    <row r="10" spans="1:23">
      <c r="A10" t="s">
        <v>211</v>
      </c>
      <c r="T10" s="63">
        <v>183</v>
      </c>
    </row>
    <row r="11" spans="1:23">
      <c r="A11" t="s">
        <v>212</v>
      </c>
      <c r="T11">
        <f>343-183</f>
        <v>160</v>
      </c>
    </row>
    <row r="13" spans="1:23">
      <c r="A13" t="s">
        <v>326</v>
      </c>
      <c r="G13">
        <f>+[19]Total_C50!$K$40</f>
        <v>2884</v>
      </c>
    </row>
    <row r="14" spans="1:23">
      <c r="A14" t="s">
        <v>160</v>
      </c>
      <c r="G14">
        <v>139</v>
      </c>
      <c r="T14">
        <f>SUM(T10:T11)</f>
        <v>343</v>
      </c>
    </row>
    <row r="15" spans="1:23">
      <c r="A15" t="s">
        <v>213</v>
      </c>
      <c r="G15" s="139">
        <v>10</v>
      </c>
      <c r="T15" s="63">
        <v>38</v>
      </c>
    </row>
    <row r="16" spans="1:23">
      <c r="A16" t="s">
        <v>214</v>
      </c>
      <c r="G16" s="139"/>
      <c r="T16">
        <f>152-38</f>
        <v>114</v>
      </c>
    </row>
    <row r="17" spans="1:23">
      <c r="T17">
        <f>SUM(T15:T16)</f>
        <v>152</v>
      </c>
    </row>
    <row r="18" spans="1:23">
      <c r="A18" t="s">
        <v>161</v>
      </c>
    </row>
    <row r="19" spans="1:23">
      <c r="A19" t="s">
        <v>162</v>
      </c>
    </row>
    <row r="20" spans="1:23">
      <c r="A20" t="s">
        <v>171</v>
      </c>
    </row>
    <row r="22" spans="1:23">
      <c r="A22" t="s">
        <v>165</v>
      </c>
    </row>
    <row r="23" spans="1:23">
      <c r="A23" t="s">
        <v>166</v>
      </c>
    </row>
    <row r="24" spans="1:23">
      <c r="A24" t="s">
        <v>167</v>
      </c>
    </row>
    <row r="26" spans="1:23">
      <c r="A26" t="s">
        <v>168</v>
      </c>
    </row>
    <row r="27" spans="1:23">
      <c r="A27" t="s">
        <v>169</v>
      </c>
    </row>
    <row r="28" spans="1:23">
      <c r="A28" t="s">
        <v>170</v>
      </c>
    </row>
    <row r="30" spans="1:23">
      <c r="A30" s="57" t="s">
        <v>172</v>
      </c>
    </row>
    <row r="32" spans="1:23">
      <c r="A32" s="37" t="s">
        <v>173</v>
      </c>
      <c r="C32">
        <v>2008</v>
      </c>
      <c r="D32">
        <v>2009</v>
      </c>
      <c r="E32">
        <v>2010</v>
      </c>
      <c r="F32">
        <v>2011</v>
      </c>
      <c r="G32">
        <v>2012</v>
      </c>
      <c r="H32">
        <v>2013</v>
      </c>
      <c r="I32">
        <v>2014</v>
      </c>
      <c r="J32">
        <v>2015</v>
      </c>
      <c r="K32">
        <v>2016</v>
      </c>
      <c r="L32">
        <v>2017</v>
      </c>
      <c r="M32">
        <v>2018</v>
      </c>
      <c r="N32">
        <v>2019</v>
      </c>
      <c r="O32">
        <v>2020</v>
      </c>
      <c r="P32">
        <v>2021</v>
      </c>
      <c r="Q32">
        <v>2022</v>
      </c>
      <c r="R32">
        <v>2023</v>
      </c>
      <c r="S32">
        <v>2024</v>
      </c>
      <c r="T32">
        <v>2025</v>
      </c>
      <c r="U32">
        <v>2026</v>
      </c>
      <c r="V32">
        <v>2027</v>
      </c>
      <c r="W32">
        <v>2028</v>
      </c>
    </row>
    <row r="33" spans="1:1">
      <c r="A33" s="60" t="s">
        <v>178</v>
      </c>
    </row>
    <row r="34" spans="1:1">
      <c r="A34" t="s">
        <v>174</v>
      </c>
    </row>
    <row r="35" spans="1:1">
      <c r="A35" t="s">
        <v>175</v>
      </c>
    </row>
    <row r="36" spans="1:1">
      <c r="A36" t="s">
        <v>176</v>
      </c>
    </row>
    <row r="37" spans="1:1">
      <c r="A37" t="s">
        <v>195</v>
      </c>
    </row>
    <row r="38" spans="1:1">
      <c r="A38" t="s">
        <v>177</v>
      </c>
    </row>
    <row r="39" spans="1:1">
      <c r="A39" t="s">
        <v>196</v>
      </c>
    </row>
    <row r="40" spans="1:1">
      <c r="A40" t="s">
        <v>197</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55"/>
  <sheetViews>
    <sheetView topLeftCell="B13" zoomScale="166" zoomScaleNormal="166" workbookViewId="0">
      <selection activeCell="B23" sqref="B23"/>
    </sheetView>
  </sheetViews>
  <sheetFormatPr defaultRowHeight="15"/>
  <cols>
    <col min="1" max="1" width="32" customWidth="1"/>
    <col min="2" max="2" width="12" bestFit="1" customWidth="1"/>
    <col min="3" max="3" width="11" customWidth="1"/>
    <col min="4" max="4" width="11.5703125" bestFit="1" customWidth="1"/>
    <col min="5" max="5" width="9.28515625" bestFit="1" customWidth="1"/>
    <col min="6" max="6" width="10.28515625" customWidth="1"/>
    <col min="7" max="7" width="9.28515625" bestFit="1" customWidth="1"/>
    <col min="8" max="8" width="10" customWidth="1"/>
    <col min="9" max="9" width="10.5703125" customWidth="1"/>
    <col min="10" max="20" width="9.28515625" bestFit="1" customWidth="1"/>
    <col min="21" max="23" width="9.5703125" bestFit="1" customWidth="1"/>
  </cols>
  <sheetData>
    <row r="1" spans="1:23">
      <c r="A1" t="s">
        <v>0</v>
      </c>
    </row>
    <row r="2" spans="1:23">
      <c r="A2" t="s">
        <v>141</v>
      </c>
    </row>
    <row r="3" spans="1:23">
      <c r="A3" t="s">
        <v>140</v>
      </c>
    </row>
    <row r="4" spans="1:23">
      <c r="A4" t="s">
        <v>142</v>
      </c>
    </row>
    <row r="6" spans="1:23">
      <c r="A6" t="s">
        <v>40</v>
      </c>
    </row>
    <row r="7" spans="1:23">
      <c r="A7" t="s">
        <v>138</v>
      </c>
      <c r="D7" t="s">
        <v>33</v>
      </c>
    </row>
    <row r="8" spans="1:23">
      <c r="A8" t="s">
        <v>83</v>
      </c>
      <c r="B8" s="29">
        <v>6130000000000</v>
      </c>
    </row>
    <row r="9" spans="1:23">
      <c r="A9" t="s">
        <v>53</v>
      </c>
      <c r="B9">
        <f>+'SUMMARY ERR'!pop</f>
        <v>2683500</v>
      </c>
      <c r="D9">
        <v>1</v>
      </c>
      <c r="E9">
        <v>2</v>
      </c>
      <c r="F9">
        <v>3</v>
      </c>
      <c r="G9">
        <v>4</v>
      </c>
      <c r="H9">
        <v>5</v>
      </c>
      <c r="I9">
        <v>6</v>
      </c>
      <c r="J9">
        <v>7</v>
      </c>
      <c r="K9">
        <v>8</v>
      </c>
      <c r="L9">
        <v>9</v>
      </c>
      <c r="M9">
        <v>10</v>
      </c>
      <c r="N9">
        <v>11</v>
      </c>
      <c r="O9">
        <v>12</v>
      </c>
      <c r="P9">
        <v>13</v>
      </c>
      <c r="Q9">
        <v>14</v>
      </c>
      <c r="R9">
        <v>15</v>
      </c>
      <c r="S9">
        <v>16</v>
      </c>
      <c r="T9">
        <v>17</v>
      </c>
      <c r="U9">
        <v>18</v>
      </c>
      <c r="V9">
        <v>19</v>
      </c>
      <c r="W9">
        <v>20</v>
      </c>
    </row>
    <row r="10" spans="1:23">
      <c r="A10" t="s">
        <v>39</v>
      </c>
      <c r="B10" s="21">
        <f>+'SUMMARY ERR'!B10</f>
        <v>2409298.8993385485</v>
      </c>
      <c r="C10" s="35" t="s">
        <v>107</v>
      </c>
      <c r="D10">
        <v>2009</v>
      </c>
      <c r="E10">
        <v>2010</v>
      </c>
      <c r="F10">
        <v>2011</v>
      </c>
      <c r="G10">
        <v>2012</v>
      </c>
      <c r="H10">
        <v>2013</v>
      </c>
    </row>
    <row r="11" spans="1:23">
      <c r="A11" t="s">
        <v>106</v>
      </c>
      <c r="B11" s="21">
        <f>B8/(pop*0.68)</f>
        <v>3359309.0673944252</v>
      </c>
      <c r="C11" s="35" t="s">
        <v>146</v>
      </c>
    </row>
    <row r="12" spans="1:23">
      <c r="A12" t="s">
        <v>139</v>
      </c>
      <c r="D12" s="4"/>
      <c r="E12" s="4">
        <v>2.7411793543993753E-2</v>
      </c>
      <c r="F12" s="4">
        <v>4.3937234259515179E-2</v>
      </c>
      <c r="G12" s="4">
        <v>9.6622660718111889E-2</v>
      </c>
      <c r="H12" s="4">
        <v>0.11356718477005716</v>
      </c>
      <c r="I12" s="4">
        <v>4.4471411275140323E-2</v>
      </c>
      <c r="J12" s="4">
        <v>0.04</v>
      </c>
      <c r="K12" s="4">
        <v>0.04</v>
      </c>
      <c r="L12" s="4">
        <v>0.04</v>
      </c>
      <c r="M12" s="4">
        <v>0.04</v>
      </c>
      <c r="N12" s="4">
        <v>0.04</v>
      </c>
      <c r="O12" s="4">
        <v>0.04</v>
      </c>
      <c r="P12" s="4">
        <v>0.04</v>
      </c>
      <c r="Q12" s="4">
        <v>0.04</v>
      </c>
      <c r="R12" s="4">
        <v>0.04</v>
      </c>
      <c r="S12" s="4">
        <v>0.04</v>
      </c>
      <c r="T12" s="4">
        <v>0.04</v>
      </c>
      <c r="U12" s="4">
        <v>0.04</v>
      </c>
      <c r="V12" s="4">
        <v>0.04</v>
      </c>
      <c r="W12" s="4">
        <v>0.04</v>
      </c>
    </row>
    <row r="13" spans="1:23">
      <c r="A13" s="27" t="s">
        <v>145</v>
      </c>
      <c r="B13" s="27">
        <v>1560</v>
      </c>
      <c r="D13" s="21">
        <f>B10*(1+D12)</f>
        <v>2409298.8993385485</v>
      </c>
      <c r="E13" s="21">
        <f>D13*(1+E12)</f>
        <v>2475342.1033529881</v>
      </c>
      <c r="F13" s="21">
        <f t="shared" ref="F13:W13" si="0">E13*(1+F12)</f>
        <v>2584101.7892204495</v>
      </c>
      <c r="G13" s="21">
        <f t="shared" si="0"/>
        <v>2833784.5796613633</v>
      </c>
      <c r="H13" s="21">
        <f t="shared" si="0"/>
        <v>3155609.5166183044</v>
      </c>
      <c r="I13" s="21">
        <f t="shared" si="0"/>
        <v>3295943.9252555836</v>
      </c>
      <c r="J13" s="21">
        <f t="shared" si="0"/>
        <v>3427781.6822658069</v>
      </c>
      <c r="K13" s="21">
        <f t="shared" si="0"/>
        <v>3564892.9495564392</v>
      </c>
      <c r="L13" s="21">
        <f t="shared" si="0"/>
        <v>3707488.6675386969</v>
      </c>
      <c r="M13" s="21">
        <f t="shared" si="0"/>
        <v>3855788.2142402451</v>
      </c>
      <c r="N13" s="21">
        <f t="shared" si="0"/>
        <v>4010019.7428098549</v>
      </c>
      <c r="O13" s="21">
        <f t="shared" si="0"/>
        <v>4170420.532522249</v>
      </c>
      <c r="P13" s="21">
        <f t="shared" si="0"/>
        <v>4337237.3538231393</v>
      </c>
      <c r="Q13" s="21">
        <f t="shared" si="0"/>
        <v>4510726.8479760652</v>
      </c>
      <c r="R13" s="21">
        <f t="shared" si="0"/>
        <v>4691155.9218951082</v>
      </c>
      <c r="S13" s="21">
        <f t="shared" si="0"/>
        <v>4878802.1587709123</v>
      </c>
      <c r="T13" s="21">
        <f t="shared" si="0"/>
        <v>5073954.2451217491</v>
      </c>
      <c r="U13" s="21">
        <f t="shared" si="0"/>
        <v>5276912.4149266193</v>
      </c>
      <c r="V13" s="21">
        <f t="shared" si="0"/>
        <v>5487988.9115236839</v>
      </c>
      <c r="W13" s="21">
        <f t="shared" si="0"/>
        <v>5707508.4679846317</v>
      </c>
    </row>
    <row r="14" spans="1:23">
      <c r="A14" t="s">
        <v>98</v>
      </c>
      <c r="B14" s="4">
        <v>1.4999999999999999E-2</v>
      </c>
    </row>
    <row r="15" spans="1:23">
      <c r="A15" t="s">
        <v>119</v>
      </c>
      <c r="B15">
        <v>753</v>
      </c>
    </row>
    <row r="16" spans="1:23">
      <c r="A16" t="s">
        <v>126</v>
      </c>
      <c r="B16" s="21">
        <f>B10/B15</f>
        <v>3199.6001319237034</v>
      </c>
      <c r="D16" t="s">
        <v>132</v>
      </c>
      <c r="S16" s="3"/>
      <c r="T16" s="3"/>
      <c r="U16" s="3"/>
      <c r="V16" s="3"/>
      <c r="W16" s="3"/>
    </row>
    <row r="17" spans="1:35">
      <c r="D17" s="399" t="s">
        <v>1</v>
      </c>
      <c r="E17" s="400" t="s">
        <v>2</v>
      </c>
      <c r="F17" s="401" t="s">
        <v>3</v>
      </c>
      <c r="G17" s="401" t="s">
        <v>4</v>
      </c>
      <c r="H17" s="401" t="s">
        <v>5</v>
      </c>
      <c r="I17" s="396" t="s">
        <v>6</v>
      </c>
      <c r="J17" s="396" t="s">
        <v>7</v>
      </c>
      <c r="K17" s="396" t="s">
        <v>8</v>
      </c>
      <c r="L17" s="396" t="s">
        <v>9</v>
      </c>
      <c r="M17" s="396" t="s">
        <v>10</v>
      </c>
      <c r="N17" s="396" t="s">
        <v>11</v>
      </c>
      <c r="O17" s="396" t="s">
        <v>12</v>
      </c>
      <c r="P17" s="396" t="s">
        <v>13</v>
      </c>
      <c r="Q17" s="396" t="s">
        <v>14</v>
      </c>
      <c r="R17" s="396" t="s">
        <v>15</v>
      </c>
      <c r="S17" s="397" t="s">
        <v>17</v>
      </c>
      <c r="T17" s="398"/>
      <c r="U17" s="398"/>
      <c r="V17" s="398"/>
      <c r="W17" s="398"/>
    </row>
    <row r="18" spans="1:35">
      <c r="D18" s="399"/>
      <c r="E18" s="400"/>
      <c r="F18" s="401"/>
      <c r="G18" s="401"/>
      <c r="H18" s="401"/>
      <c r="I18" s="396"/>
      <c r="J18" s="396"/>
      <c r="K18" s="396"/>
      <c r="L18" s="396"/>
      <c r="M18" s="396"/>
      <c r="N18" s="396"/>
      <c r="O18" s="396"/>
      <c r="P18" s="396"/>
      <c r="Q18" s="396"/>
      <c r="R18" s="396"/>
      <c r="S18" s="1">
        <v>66</v>
      </c>
      <c r="T18" s="2">
        <v>67</v>
      </c>
      <c r="U18" s="2">
        <v>68</v>
      </c>
      <c r="V18" s="2">
        <v>69</v>
      </c>
      <c r="W18" s="2">
        <v>70</v>
      </c>
      <c r="X18" s="2">
        <v>71</v>
      </c>
      <c r="Y18" s="2">
        <v>72</v>
      </c>
      <c r="Z18" s="2">
        <v>73</v>
      </c>
      <c r="AA18" s="2">
        <v>74</v>
      </c>
      <c r="AB18" s="2">
        <v>75</v>
      </c>
      <c r="AC18" s="2">
        <v>76</v>
      </c>
      <c r="AD18" s="2">
        <v>77</v>
      </c>
      <c r="AE18" s="2">
        <v>78</v>
      </c>
      <c r="AF18" s="2">
        <v>79</v>
      </c>
      <c r="AG18" s="2">
        <v>80</v>
      </c>
      <c r="AH18" s="2">
        <v>81</v>
      </c>
      <c r="AI18" s="2">
        <v>82</v>
      </c>
    </row>
    <row r="19" spans="1:35">
      <c r="A19" t="s">
        <v>16</v>
      </c>
      <c r="B19">
        <f>SUM(D19:AH19)</f>
        <v>5438</v>
      </c>
      <c r="C19" t="s">
        <v>18</v>
      </c>
      <c r="D19">
        <v>0</v>
      </c>
      <c r="E19">
        <v>0</v>
      </c>
      <c r="F19">
        <v>0</v>
      </c>
      <c r="G19">
        <v>1</v>
      </c>
      <c r="H19">
        <f>Scratch!F7</f>
        <v>11</v>
      </c>
      <c r="I19">
        <f>Scratch!G7</f>
        <v>20</v>
      </c>
      <c r="J19">
        <f>Scratch!H7</f>
        <v>50</v>
      </c>
      <c r="K19">
        <f>Scratch!I7</f>
        <v>77</v>
      </c>
      <c r="L19">
        <f>Scratch!J7</f>
        <v>135</v>
      </c>
      <c r="M19">
        <f>Scratch!K7</f>
        <v>267</v>
      </c>
      <c r="N19">
        <f>Scratch!L7</f>
        <v>393</v>
      </c>
      <c r="O19">
        <f>Scratch!M7</f>
        <v>470</v>
      </c>
      <c r="P19">
        <f>Scratch!N7</f>
        <v>412</v>
      </c>
      <c r="Q19">
        <f>Scratch!O7</f>
        <v>452</v>
      </c>
      <c r="R19">
        <v>100</v>
      </c>
      <c r="S19">
        <v>150</v>
      </c>
      <c r="T19">
        <v>200</v>
      </c>
      <c r="U19">
        <f t="shared" ref="U19:AG19" si="1">T19</f>
        <v>200</v>
      </c>
      <c r="V19">
        <f t="shared" si="1"/>
        <v>200</v>
      </c>
      <c r="W19">
        <f t="shared" si="1"/>
        <v>200</v>
      </c>
      <c r="X19">
        <f t="shared" si="1"/>
        <v>200</v>
      </c>
      <c r="Y19">
        <f t="shared" si="1"/>
        <v>200</v>
      </c>
      <c r="Z19">
        <f t="shared" si="1"/>
        <v>200</v>
      </c>
      <c r="AA19">
        <f t="shared" si="1"/>
        <v>200</v>
      </c>
      <c r="AB19">
        <f t="shared" si="1"/>
        <v>200</v>
      </c>
      <c r="AC19">
        <f t="shared" si="1"/>
        <v>200</v>
      </c>
      <c r="AD19">
        <f t="shared" si="1"/>
        <v>200</v>
      </c>
      <c r="AE19">
        <f t="shared" si="1"/>
        <v>200</v>
      </c>
      <c r="AF19">
        <f t="shared" si="1"/>
        <v>200</v>
      </c>
      <c r="AG19">
        <f t="shared" si="1"/>
        <v>200</v>
      </c>
      <c r="AH19">
        <v>100</v>
      </c>
    </row>
    <row r="20" spans="1:35">
      <c r="B20" t="s">
        <v>19</v>
      </c>
      <c r="G20" s="4">
        <f>G19/$B19</f>
        <v>1.8389113644722325E-4</v>
      </c>
      <c r="H20" s="4">
        <f t="shared" ref="H20:AH20" si="2">H19/$B19</f>
        <v>2.0228025009194558E-3</v>
      </c>
      <c r="I20" s="4">
        <f t="shared" si="2"/>
        <v>3.677822728944465E-3</v>
      </c>
      <c r="J20" s="4">
        <f t="shared" si="2"/>
        <v>9.1945568223611614E-3</v>
      </c>
      <c r="K20" s="4">
        <f t="shared" si="2"/>
        <v>1.4159617506436189E-2</v>
      </c>
      <c r="L20" s="4">
        <f t="shared" si="2"/>
        <v>2.4825303420375137E-2</v>
      </c>
      <c r="M20" s="4">
        <f t="shared" si="2"/>
        <v>4.9098933431408608E-2</v>
      </c>
      <c r="N20" s="4">
        <f t="shared" si="2"/>
        <v>7.2269216623758736E-2</v>
      </c>
      <c r="O20" s="4">
        <f t="shared" si="2"/>
        <v>8.642883413019492E-2</v>
      </c>
      <c r="P20" s="4">
        <f t="shared" si="2"/>
        <v>7.5763148216255974E-2</v>
      </c>
      <c r="Q20" s="4">
        <f t="shared" si="2"/>
        <v>8.3118793674144903E-2</v>
      </c>
      <c r="R20" s="4">
        <f t="shared" si="2"/>
        <v>1.8389113644722323E-2</v>
      </c>
      <c r="S20" s="4">
        <f t="shared" si="2"/>
        <v>2.7583670467083488E-2</v>
      </c>
      <c r="T20" s="4">
        <f t="shared" si="2"/>
        <v>3.6778227289444645E-2</v>
      </c>
      <c r="U20" s="4">
        <f t="shared" si="2"/>
        <v>3.6778227289444645E-2</v>
      </c>
      <c r="V20" s="4">
        <f t="shared" si="2"/>
        <v>3.6778227289444645E-2</v>
      </c>
      <c r="W20" s="4">
        <f t="shared" si="2"/>
        <v>3.6778227289444645E-2</v>
      </c>
      <c r="X20" s="4">
        <f t="shared" si="2"/>
        <v>3.6778227289444645E-2</v>
      </c>
      <c r="Y20" s="4">
        <f t="shared" si="2"/>
        <v>3.6778227289444645E-2</v>
      </c>
      <c r="Z20" s="4">
        <f t="shared" si="2"/>
        <v>3.6778227289444645E-2</v>
      </c>
      <c r="AA20" s="4">
        <f t="shared" si="2"/>
        <v>3.6778227289444645E-2</v>
      </c>
      <c r="AB20" s="4">
        <f t="shared" si="2"/>
        <v>3.6778227289444645E-2</v>
      </c>
      <c r="AC20" s="4">
        <f t="shared" si="2"/>
        <v>3.6778227289444645E-2</v>
      </c>
      <c r="AD20" s="4">
        <f t="shared" si="2"/>
        <v>3.6778227289444645E-2</v>
      </c>
      <c r="AE20" s="4">
        <f t="shared" si="2"/>
        <v>3.6778227289444645E-2</v>
      </c>
      <c r="AF20" s="4">
        <f t="shared" si="2"/>
        <v>3.6778227289444645E-2</v>
      </c>
      <c r="AG20" s="4">
        <f t="shared" si="2"/>
        <v>3.6778227289444645E-2</v>
      </c>
      <c r="AH20" s="4">
        <f t="shared" si="2"/>
        <v>1.8389113644722323E-2</v>
      </c>
    </row>
    <row r="21" spans="1:35">
      <c r="A21" t="s">
        <v>148</v>
      </c>
      <c r="B21" s="57"/>
      <c r="C21" t="s">
        <v>18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row>
    <row r="22" spans="1:35">
      <c r="A22" t="s">
        <v>149</v>
      </c>
      <c r="B22" t="s">
        <v>19</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5">
      <c r="A23" t="s">
        <v>324</v>
      </c>
      <c r="B23" s="57">
        <f>+'Notes and Assumptions'!I57</f>
        <v>164</v>
      </c>
      <c r="C23" t="s">
        <v>18</v>
      </c>
    </row>
    <row r="24" spans="1:35">
      <c r="B24" t="s">
        <v>19</v>
      </c>
      <c r="D24" s="57">
        <v>0</v>
      </c>
      <c r="E24" s="57">
        <v>0</v>
      </c>
      <c r="F24" s="57">
        <v>0</v>
      </c>
      <c r="G24" s="57">
        <v>0</v>
      </c>
      <c r="H24" s="58">
        <f>+Scratch!F13</f>
        <v>4.193548387096774E-3</v>
      </c>
      <c r="I24" s="58">
        <f>+Scratch!G13</f>
        <v>7.0967741935483875E-3</v>
      </c>
      <c r="J24" s="58">
        <f>+Scratch!H13</f>
        <v>6.4516129032258064E-3</v>
      </c>
      <c r="K24" s="58">
        <f>+Scratch!I13</f>
        <v>1.2903225806451613E-2</v>
      </c>
      <c r="L24" s="58">
        <f>+Scratch!J13</f>
        <v>2.3225806451612905E-2</v>
      </c>
      <c r="M24" s="58">
        <f>+Scratch!K13</f>
        <v>6.0645161290322581E-2</v>
      </c>
      <c r="N24" s="58">
        <f>+Scratch!L13</f>
        <v>8.4193548387096778E-2</v>
      </c>
      <c r="O24" s="58">
        <f>+Scratch!M13</f>
        <v>0.10161290322580645</v>
      </c>
      <c r="P24" s="58">
        <f>+Scratch!N13</f>
        <v>0.10516129032258065</v>
      </c>
      <c r="Q24" s="58">
        <f>+Scratch!O13</f>
        <v>0.12580645161290321</v>
      </c>
      <c r="R24" s="58">
        <f>+Scratch!P13</f>
        <v>1.6129032258064516E-2</v>
      </c>
      <c r="S24" s="58">
        <f>+Scratch!Q13</f>
        <v>1.6129032258064516E-2</v>
      </c>
      <c r="T24" s="58">
        <f>+Scratch!R13</f>
        <v>2.4193548387096774E-2</v>
      </c>
      <c r="U24" s="58">
        <f>+Scratch!S13</f>
        <v>2.4193548387096774E-2</v>
      </c>
      <c r="V24" s="58">
        <f>+Scratch!T13</f>
        <v>2.4193548387096774E-2</v>
      </c>
      <c r="W24" s="58">
        <f>+Scratch!U13</f>
        <v>3.2258064516129031E-2</v>
      </c>
      <c r="X24" s="58">
        <f>+Scratch!V13</f>
        <v>3.2258064516129031E-2</v>
      </c>
      <c r="Y24" s="58">
        <f>+Scratch!W13</f>
        <v>3.2258064516129031E-2</v>
      </c>
      <c r="Z24" s="58">
        <f>+Scratch!X13</f>
        <v>3.2258064516129031E-2</v>
      </c>
      <c r="AA24" s="58">
        <f>+Scratch!Y13</f>
        <v>3.2258064516129031E-2</v>
      </c>
      <c r="AB24" s="58">
        <f>+Scratch!Z13</f>
        <v>3.2258064516129031E-2</v>
      </c>
      <c r="AC24" s="58">
        <f>+Scratch!AA13</f>
        <v>3.2258064516129031E-2</v>
      </c>
      <c r="AD24" s="58">
        <f>+Scratch!AB13</f>
        <v>3.2258064516129031E-2</v>
      </c>
      <c r="AE24" s="58">
        <f>+Scratch!AC13</f>
        <v>3.2258064516129031E-2</v>
      </c>
      <c r="AF24" s="58">
        <f>+Scratch!AD13</f>
        <v>3.2258064516129031E-2</v>
      </c>
      <c r="AG24" s="58">
        <f>+Scratch!AE13</f>
        <v>2.5161290322580646E-2</v>
      </c>
      <c r="AH24" s="58">
        <f>+Scratch!AF13</f>
        <v>1.6129032258064516E-2</v>
      </c>
      <c r="AI24" s="57"/>
    </row>
    <row r="25" spans="1:35">
      <c r="G25" s="4"/>
      <c r="H25" s="4"/>
      <c r="I25" s="4"/>
      <c r="J25" s="4"/>
      <c r="K25" s="4"/>
      <c r="L25" s="4"/>
      <c r="M25" s="4"/>
      <c r="N25" s="4"/>
      <c r="O25" s="4"/>
      <c r="P25" s="4"/>
      <c r="Q25" s="4"/>
      <c r="R25" s="4"/>
      <c r="S25" s="4"/>
      <c r="T25" s="4"/>
      <c r="U25" s="4"/>
      <c r="V25" s="4"/>
      <c r="W25" s="4"/>
    </row>
    <row r="26" spans="1:35">
      <c r="A26" s="24" t="s">
        <v>127</v>
      </c>
      <c r="B26" s="24"/>
      <c r="D26" s="24" t="s">
        <v>128</v>
      </c>
      <c r="E26" s="24"/>
      <c r="F26" s="24"/>
      <c r="G26" s="36"/>
      <c r="H26" s="36"/>
      <c r="I26" s="36"/>
      <c r="J26" s="4"/>
      <c r="K26" s="4"/>
      <c r="L26" s="4"/>
      <c r="M26" s="4"/>
      <c r="N26" s="4"/>
      <c r="O26" s="4"/>
      <c r="P26" s="4"/>
      <c r="Q26" s="4"/>
      <c r="R26" s="4"/>
      <c r="S26" s="4"/>
      <c r="T26" s="4"/>
      <c r="U26" s="4"/>
      <c r="V26" s="4"/>
      <c r="W26" s="4"/>
    </row>
    <row r="27" spans="1:35">
      <c r="A27" t="s">
        <v>34</v>
      </c>
      <c r="B27">
        <v>10</v>
      </c>
      <c r="G27" s="4"/>
      <c r="H27" s="4"/>
      <c r="I27" s="4"/>
      <c r="J27" s="4"/>
      <c r="K27" s="4"/>
      <c r="L27" s="4"/>
      <c r="M27" s="4"/>
      <c r="N27" s="4"/>
      <c r="O27" s="4"/>
      <c r="P27" s="4"/>
      <c r="Q27" s="4"/>
      <c r="R27" s="4"/>
      <c r="S27" s="4"/>
      <c r="T27" s="4"/>
      <c r="U27" s="4"/>
      <c r="V27" s="4"/>
      <c r="W27" s="4"/>
    </row>
    <row r="28" spans="1:35">
      <c r="A28" t="s">
        <v>35</v>
      </c>
      <c r="B28">
        <v>0.66</v>
      </c>
      <c r="G28" s="4"/>
      <c r="H28" s="4"/>
      <c r="I28" s="4"/>
      <c r="J28" s="4"/>
      <c r="K28" s="4"/>
      <c r="L28" s="4"/>
      <c r="M28" s="4"/>
      <c r="N28" s="4"/>
      <c r="O28" s="4"/>
      <c r="P28" s="4"/>
      <c r="Q28" s="4"/>
      <c r="R28" s="4"/>
      <c r="S28" s="4"/>
      <c r="T28" s="4"/>
      <c r="U28" s="4"/>
      <c r="V28" s="4"/>
      <c r="W28" s="4"/>
    </row>
    <row r="29" spans="1:35">
      <c r="A29" t="s">
        <v>36</v>
      </c>
      <c r="B29">
        <f>LN(B28)/10</f>
        <v>-4.1551544396166581E-2</v>
      </c>
      <c r="E29" t="s">
        <v>38</v>
      </c>
      <c r="G29" s="4"/>
      <c r="H29" s="4"/>
      <c r="I29" s="4"/>
      <c r="J29" s="4"/>
      <c r="K29" s="4"/>
      <c r="L29" s="4"/>
      <c r="M29" s="4"/>
      <c r="N29" s="4"/>
      <c r="O29" s="4"/>
      <c r="P29" s="4"/>
      <c r="Q29" s="4"/>
      <c r="R29" s="4"/>
      <c r="S29" s="4"/>
      <c r="T29" s="4"/>
      <c r="U29" s="4"/>
      <c r="V29" s="4"/>
      <c r="W29" s="4"/>
    </row>
    <row r="30" spans="1:35">
      <c r="D30">
        <v>0</v>
      </c>
      <c r="E30">
        <v>1</v>
      </c>
      <c r="F30">
        <v>2</v>
      </c>
      <c r="G30">
        <v>3</v>
      </c>
      <c r="H30">
        <v>4</v>
      </c>
      <c r="I30">
        <v>5</v>
      </c>
      <c r="J30">
        <v>6</v>
      </c>
      <c r="K30">
        <v>7</v>
      </c>
      <c r="L30">
        <v>8</v>
      </c>
      <c r="M30">
        <v>9</v>
      </c>
      <c r="N30">
        <v>10</v>
      </c>
      <c r="O30" s="4"/>
      <c r="P30" s="4"/>
      <c r="Q30" s="4"/>
      <c r="R30" s="4"/>
      <c r="S30" s="4"/>
      <c r="T30" s="4"/>
      <c r="U30" s="4"/>
      <c r="V30" s="4"/>
      <c r="W30" s="4"/>
    </row>
    <row r="31" spans="1:35">
      <c r="A31" t="s">
        <v>37</v>
      </c>
      <c r="D31">
        <f>EXP($B29*D30)</f>
        <v>1</v>
      </c>
      <c r="E31">
        <f t="shared" ref="E31:M31" si="3">EXP($B29*E30)</f>
        <v>0.95929988753365902</v>
      </c>
      <c r="F31">
        <f t="shared" si="3"/>
        <v>0.92025627422209078</v>
      </c>
      <c r="G31">
        <f t="shared" si="3"/>
        <v>0.88280174036339565</v>
      </c>
      <c r="H31">
        <f t="shared" si="3"/>
        <v>0.84687161024512392</v>
      </c>
      <c r="I31">
        <f t="shared" si="3"/>
        <v>0.81240384046359604</v>
      </c>
      <c r="J31">
        <f t="shared" si="3"/>
        <v>0.77933891278864031</v>
      </c>
      <c r="K31">
        <f t="shared" si="3"/>
        <v>0.74761973138874671</v>
      </c>
      <c r="L31">
        <f t="shared" si="3"/>
        <v>0.7171915242391691</v>
      </c>
      <c r="M31">
        <f t="shared" si="3"/>
        <v>0.68800174854272833</v>
      </c>
      <c r="N31">
        <f>EXP($B29*N30)</f>
        <v>0.66</v>
      </c>
      <c r="O31" s="4"/>
      <c r="P31" s="4"/>
      <c r="Q31" s="4"/>
      <c r="R31" s="4"/>
      <c r="S31" s="4"/>
      <c r="T31" s="4"/>
      <c r="U31" s="4"/>
      <c r="V31" s="4"/>
      <c r="W31" s="4"/>
    </row>
    <row r="32" spans="1:35">
      <c r="O32" s="4"/>
      <c r="P32" s="4"/>
      <c r="Q32" s="4"/>
      <c r="R32" s="4"/>
      <c r="S32" s="4"/>
      <c r="T32" s="4"/>
      <c r="U32" s="4"/>
      <c r="V32" s="4"/>
      <c r="W32" s="4"/>
    </row>
    <row r="33" spans="1:24">
      <c r="A33" s="37" t="s">
        <v>129</v>
      </c>
      <c r="O33" s="4"/>
      <c r="P33" s="4"/>
      <c r="Q33" s="4"/>
      <c r="R33" s="4"/>
      <c r="S33" s="4"/>
      <c r="T33" s="4"/>
      <c r="U33" s="4"/>
      <c r="V33" s="4"/>
      <c r="W33" s="4"/>
    </row>
    <row r="34" spans="1:24">
      <c r="A34" t="s">
        <v>102</v>
      </c>
      <c r="C34" s="4">
        <f>popgrowth</f>
        <v>1.4999999999999999E-2</v>
      </c>
      <c r="D34" t="s">
        <v>103</v>
      </c>
      <c r="O34" s="4"/>
      <c r="P34" s="4"/>
      <c r="Q34" s="4"/>
      <c r="R34" s="4"/>
      <c r="S34" s="4"/>
      <c r="T34" s="4"/>
      <c r="U34" s="4"/>
      <c r="V34" s="4"/>
      <c r="W34" s="4"/>
    </row>
    <row r="35" spans="1:24">
      <c r="G35" s="4"/>
      <c r="H35" s="4"/>
      <c r="I35" s="4"/>
      <c r="J35" s="4"/>
      <c r="K35" s="4"/>
      <c r="L35" s="4"/>
      <c r="M35" s="4"/>
      <c r="N35" s="4"/>
      <c r="O35" s="4"/>
      <c r="P35" s="4"/>
      <c r="Q35" s="4"/>
      <c r="R35" s="4"/>
      <c r="S35" s="4"/>
      <c r="T35" s="4"/>
      <c r="U35" s="4"/>
      <c r="V35" s="4"/>
      <c r="W35" s="4"/>
    </row>
    <row r="36" spans="1:24">
      <c r="A36" s="37" t="s">
        <v>112</v>
      </c>
      <c r="D36" t="s">
        <v>33</v>
      </c>
    </row>
    <row r="37" spans="1:24" s="57" customFormat="1">
      <c r="A37" s="57" t="s">
        <v>130</v>
      </c>
      <c r="E37" s="58">
        <v>2.5000000000000001E-3</v>
      </c>
      <c r="F37" s="58">
        <v>5.0000000000000001E-3</v>
      </c>
      <c r="G37" s="58">
        <v>0.02</v>
      </c>
      <c r="H37" s="58">
        <v>0.03</v>
      </c>
      <c r="I37" s="58">
        <v>3.5000000000000003E-2</v>
      </c>
      <c r="J37" s="58">
        <v>3.5000000000000003E-2</v>
      </c>
      <c r="K37" s="58">
        <v>3.5000000000000003E-2</v>
      </c>
      <c r="L37" s="58">
        <v>3.5000000000000003E-2</v>
      </c>
      <c r="M37" s="58">
        <v>3.5000000000000003E-2</v>
      </c>
      <c r="N37" s="58">
        <v>3.5000000000000003E-2</v>
      </c>
      <c r="O37" s="58">
        <v>3.5000000000000003E-2</v>
      </c>
      <c r="P37" s="58">
        <v>3.5000000000000003E-2</v>
      </c>
      <c r="Q37" s="58">
        <v>3.5000000000000003E-2</v>
      </c>
      <c r="R37" s="58">
        <v>3.5000000000000003E-2</v>
      </c>
      <c r="S37" s="58">
        <v>3.5000000000000003E-2</v>
      </c>
      <c r="T37" s="58">
        <v>3.5000000000000003E-2</v>
      </c>
      <c r="U37" s="58">
        <v>3.5000000000000003E-2</v>
      </c>
      <c r="V37" s="58">
        <v>3.5000000000000003E-2</v>
      </c>
      <c r="W37" s="58">
        <v>3.5000000000000003E-2</v>
      </c>
    </row>
    <row r="38" spans="1:24">
      <c r="A38" t="s">
        <v>32</v>
      </c>
      <c r="D38">
        <v>1</v>
      </c>
      <c r="E38">
        <v>2</v>
      </c>
      <c r="F38">
        <v>3</v>
      </c>
      <c r="G38">
        <v>4</v>
      </c>
      <c r="H38">
        <v>5</v>
      </c>
      <c r="I38">
        <v>6</v>
      </c>
      <c r="J38">
        <v>7</v>
      </c>
      <c r="K38">
        <v>8</v>
      </c>
      <c r="L38">
        <v>9</v>
      </c>
      <c r="M38">
        <v>10</v>
      </c>
      <c r="N38">
        <v>11</v>
      </c>
      <c r="O38">
        <v>12</v>
      </c>
      <c r="P38">
        <v>13</v>
      </c>
      <c r="Q38">
        <v>14</v>
      </c>
      <c r="R38">
        <v>15</v>
      </c>
      <c r="S38">
        <v>16</v>
      </c>
      <c r="T38">
        <v>17</v>
      </c>
      <c r="U38">
        <v>18</v>
      </c>
      <c r="V38">
        <v>19</v>
      </c>
      <c r="W38">
        <v>20</v>
      </c>
    </row>
    <row r="39" spans="1:24">
      <c r="A39" t="s">
        <v>104</v>
      </c>
      <c r="D39">
        <f>ROUND(B23*(1+popgrowth),0)</f>
        <v>166</v>
      </c>
      <c r="E39">
        <f t="shared" ref="E39:W39" si="4">ROUND(D39*(1+popgrowth),0)</f>
        <v>168</v>
      </c>
      <c r="F39">
        <f t="shared" si="4"/>
        <v>171</v>
      </c>
      <c r="G39">
        <f t="shared" si="4"/>
        <v>174</v>
      </c>
      <c r="H39">
        <f t="shared" si="4"/>
        <v>177</v>
      </c>
      <c r="I39">
        <f t="shared" si="4"/>
        <v>180</v>
      </c>
      <c r="J39">
        <f t="shared" si="4"/>
        <v>183</v>
      </c>
      <c r="K39">
        <f t="shared" si="4"/>
        <v>186</v>
      </c>
      <c r="L39">
        <f t="shared" si="4"/>
        <v>189</v>
      </c>
      <c r="M39">
        <f t="shared" si="4"/>
        <v>192</v>
      </c>
      <c r="N39">
        <f t="shared" si="4"/>
        <v>195</v>
      </c>
      <c r="O39">
        <f t="shared" si="4"/>
        <v>198</v>
      </c>
      <c r="P39">
        <f t="shared" si="4"/>
        <v>201</v>
      </c>
      <c r="Q39">
        <f t="shared" si="4"/>
        <v>204</v>
      </c>
      <c r="R39">
        <f t="shared" si="4"/>
        <v>207</v>
      </c>
      <c r="S39">
        <f t="shared" si="4"/>
        <v>210</v>
      </c>
      <c r="T39">
        <f t="shared" si="4"/>
        <v>213</v>
      </c>
      <c r="U39">
        <f t="shared" si="4"/>
        <v>216</v>
      </c>
      <c r="V39">
        <f t="shared" si="4"/>
        <v>219</v>
      </c>
      <c r="W39">
        <f t="shared" si="4"/>
        <v>222</v>
      </c>
    </row>
    <row r="40" spans="1:24" s="57" customFormat="1">
      <c r="A40" s="57" t="s">
        <v>158</v>
      </c>
      <c r="D40" s="59">
        <f>ROUND(B23*(1+C34),0)</f>
        <v>166</v>
      </c>
      <c r="E40" s="57">
        <f t="shared" ref="E40:X40" si="5">ROUND((D40*(1+popgrowth))*(1-E37),0)</f>
        <v>168</v>
      </c>
      <c r="F40" s="57">
        <f t="shared" si="5"/>
        <v>170</v>
      </c>
      <c r="G40" s="57">
        <f t="shared" si="5"/>
        <v>169</v>
      </c>
      <c r="H40" s="57">
        <f t="shared" si="5"/>
        <v>166</v>
      </c>
      <c r="I40" s="57">
        <f t="shared" si="5"/>
        <v>163</v>
      </c>
      <c r="J40" s="57">
        <f t="shared" si="5"/>
        <v>160</v>
      </c>
      <c r="K40" s="57">
        <f t="shared" si="5"/>
        <v>157</v>
      </c>
      <c r="L40" s="57">
        <f t="shared" si="5"/>
        <v>154</v>
      </c>
      <c r="M40" s="57">
        <f t="shared" si="5"/>
        <v>151</v>
      </c>
      <c r="N40" s="57">
        <f t="shared" si="5"/>
        <v>148</v>
      </c>
      <c r="O40" s="57">
        <f t="shared" si="5"/>
        <v>145</v>
      </c>
      <c r="P40" s="57">
        <f t="shared" si="5"/>
        <v>142</v>
      </c>
      <c r="Q40" s="57">
        <f t="shared" si="5"/>
        <v>139</v>
      </c>
      <c r="R40" s="57">
        <f t="shared" si="5"/>
        <v>136</v>
      </c>
      <c r="S40" s="57">
        <f t="shared" si="5"/>
        <v>133</v>
      </c>
      <c r="T40" s="57">
        <f t="shared" si="5"/>
        <v>130</v>
      </c>
      <c r="U40" s="57">
        <f t="shared" si="5"/>
        <v>127</v>
      </c>
      <c r="V40" s="57">
        <f t="shared" si="5"/>
        <v>124</v>
      </c>
      <c r="W40" s="57">
        <f t="shared" si="5"/>
        <v>121</v>
      </c>
      <c r="X40" s="57">
        <f t="shared" si="5"/>
        <v>123</v>
      </c>
    </row>
    <row r="41" spans="1:24">
      <c r="A41" t="s">
        <v>131</v>
      </c>
      <c r="B41">
        <f>SUM(D41:W41)</f>
        <v>902</v>
      </c>
      <c r="C41" t="s">
        <v>18</v>
      </c>
      <c r="D41" s="21">
        <f>$D40-D40</f>
        <v>0</v>
      </c>
      <c r="E41">
        <f>E39-E40</f>
        <v>0</v>
      </c>
      <c r="F41">
        <f>F39-F40</f>
        <v>1</v>
      </c>
      <c r="G41">
        <f t="shared" ref="G41:W41" si="6">G39-G40</f>
        <v>5</v>
      </c>
      <c r="H41">
        <f t="shared" si="6"/>
        <v>11</v>
      </c>
      <c r="I41">
        <f t="shared" si="6"/>
        <v>17</v>
      </c>
      <c r="J41">
        <f t="shared" si="6"/>
        <v>23</v>
      </c>
      <c r="K41">
        <f t="shared" si="6"/>
        <v>29</v>
      </c>
      <c r="L41">
        <f t="shared" si="6"/>
        <v>35</v>
      </c>
      <c r="M41">
        <f t="shared" si="6"/>
        <v>41</v>
      </c>
      <c r="N41">
        <f t="shared" si="6"/>
        <v>47</v>
      </c>
      <c r="O41">
        <f t="shared" si="6"/>
        <v>53</v>
      </c>
      <c r="P41">
        <f t="shared" si="6"/>
        <v>59</v>
      </c>
      <c r="Q41">
        <f t="shared" si="6"/>
        <v>65</v>
      </c>
      <c r="R41">
        <f t="shared" si="6"/>
        <v>71</v>
      </c>
      <c r="S41">
        <f t="shared" si="6"/>
        <v>77</v>
      </c>
      <c r="T41">
        <f t="shared" si="6"/>
        <v>83</v>
      </c>
      <c r="U41">
        <f t="shared" si="6"/>
        <v>89</v>
      </c>
      <c r="V41">
        <f t="shared" si="6"/>
        <v>95</v>
      </c>
      <c r="W41">
        <f t="shared" si="6"/>
        <v>101</v>
      </c>
      <c r="X41">
        <f>38/X40</f>
        <v>0.30894308943089432</v>
      </c>
    </row>
    <row r="42" spans="1:24">
      <c r="A42" t="s">
        <v>215</v>
      </c>
      <c r="B42" t="s">
        <v>216</v>
      </c>
      <c r="D42" s="21"/>
    </row>
    <row r="43" spans="1:24">
      <c r="D43" s="21"/>
    </row>
    <row r="44" spans="1:24">
      <c r="A44" t="s">
        <v>105</v>
      </c>
      <c r="B44">
        <f>B41/20</f>
        <v>45.1</v>
      </c>
      <c r="D44">
        <f>pop</f>
        <v>2683500</v>
      </c>
      <c r="E44">
        <f t="shared" ref="E44:W44" si="7">D44*(1+popgrowth)</f>
        <v>2723752.4999999995</v>
      </c>
      <c r="F44">
        <f t="shared" si="7"/>
        <v>2764608.7874999992</v>
      </c>
      <c r="G44">
        <f t="shared" si="7"/>
        <v>2806077.919312499</v>
      </c>
      <c r="H44">
        <f t="shared" si="7"/>
        <v>2848169.0881021861</v>
      </c>
      <c r="I44" s="21">
        <f t="shared" si="7"/>
        <v>2890891.6244237185</v>
      </c>
      <c r="J44">
        <f t="shared" si="7"/>
        <v>2934254.9987900741</v>
      </c>
      <c r="K44">
        <f t="shared" si="7"/>
        <v>2978268.8237719252</v>
      </c>
      <c r="L44">
        <f t="shared" si="7"/>
        <v>3022942.8561285036</v>
      </c>
      <c r="M44">
        <f t="shared" si="7"/>
        <v>3068286.9989704308</v>
      </c>
      <c r="N44">
        <f t="shared" si="7"/>
        <v>3114311.3039549869</v>
      </c>
      <c r="O44">
        <f t="shared" si="7"/>
        <v>3161025.9735143115</v>
      </c>
      <c r="P44">
        <f t="shared" si="7"/>
        <v>3208441.3631170257</v>
      </c>
      <c r="Q44">
        <f t="shared" si="7"/>
        <v>3256567.9835637808</v>
      </c>
      <c r="R44">
        <f t="shared" si="7"/>
        <v>3305416.5033172374</v>
      </c>
      <c r="S44">
        <f t="shared" si="7"/>
        <v>3354997.7508669957</v>
      </c>
      <c r="T44">
        <f t="shared" si="7"/>
        <v>3405322.7171300002</v>
      </c>
      <c r="U44">
        <f t="shared" si="7"/>
        <v>3456402.5578869497</v>
      </c>
      <c r="V44">
        <f t="shared" si="7"/>
        <v>3508248.5962552535</v>
      </c>
      <c r="W44">
        <f t="shared" si="7"/>
        <v>3560872.325199082</v>
      </c>
      <c r="X44">
        <f>X41*2</f>
        <v>0.61788617886178865</v>
      </c>
    </row>
    <row r="45" spans="1:24">
      <c r="D45" s="21">
        <f>D40/(D44*0.68)*100000</f>
        <v>9.09698703405342</v>
      </c>
    </row>
    <row r="46" spans="1:24">
      <c r="D46" s="21" t="s">
        <v>144</v>
      </c>
    </row>
    <row r="47" spans="1:24">
      <c r="D47" s="54">
        <v>1</v>
      </c>
      <c r="E47" s="54">
        <v>2</v>
      </c>
      <c r="F47" s="54">
        <v>3</v>
      </c>
      <c r="G47" s="54">
        <v>4</v>
      </c>
      <c r="H47" s="54">
        <v>5</v>
      </c>
    </row>
    <row r="48" spans="1:24">
      <c r="D48" s="55">
        <f t="shared" ref="D48:I48" si="8">+D40*1000000/D44</f>
        <v>61.85951183156326</v>
      </c>
      <c r="E48" s="55">
        <f t="shared" si="8"/>
        <v>61.679612960428685</v>
      </c>
      <c r="F48" s="55">
        <f t="shared" si="8"/>
        <v>61.491521248374838</v>
      </c>
      <c r="G48" s="55">
        <f t="shared" si="8"/>
        <v>60.226410263548814</v>
      </c>
      <c r="H48" s="55">
        <f t="shared" si="8"/>
        <v>58.283056540933948</v>
      </c>
      <c r="I48" s="55">
        <f t="shared" si="8"/>
        <v>56.383988463245501</v>
      </c>
    </row>
    <row r="49" spans="1:23">
      <c r="A49" t="s">
        <v>133</v>
      </c>
      <c r="B49" t="s">
        <v>111</v>
      </c>
      <c r="H49" s="4">
        <f t="shared" ref="H49:W49" si="9">(G40-H40)/G40</f>
        <v>1.7751479289940829E-2</v>
      </c>
      <c r="I49" s="4">
        <f t="shared" si="9"/>
        <v>1.8072289156626505E-2</v>
      </c>
      <c r="J49" s="4">
        <f t="shared" si="9"/>
        <v>1.8404907975460124E-2</v>
      </c>
      <c r="K49" s="4">
        <f t="shared" si="9"/>
        <v>1.8749999999999999E-2</v>
      </c>
      <c r="L49" s="4">
        <f t="shared" si="9"/>
        <v>1.9108280254777069E-2</v>
      </c>
      <c r="M49" s="4">
        <f t="shared" si="9"/>
        <v>1.948051948051948E-2</v>
      </c>
      <c r="N49" s="4">
        <f t="shared" si="9"/>
        <v>1.9867549668874173E-2</v>
      </c>
      <c r="O49" s="4">
        <f t="shared" si="9"/>
        <v>2.0270270270270271E-2</v>
      </c>
      <c r="P49" s="4">
        <f t="shared" si="9"/>
        <v>2.0689655172413793E-2</v>
      </c>
      <c r="Q49" s="4">
        <f t="shared" si="9"/>
        <v>2.1126760563380281E-2</v>
      </c>
      <c r="R49" s="4">
        <f t="shared" si="9"/>
        <v>2.1582733812949641E-2</v>
      </c>
      <c r="S49" s="4">
        <f t="shared" si="9"/>
        <v>2.2058823529411766E-2</v>
      </c>
      <c r="T49" s="4">
        <f t="shared" si="9"/>
        <v>2.2556390977443608E-2</v>
      </c>
      <c r="U49" s="4">
        <f t="shared" si="9"/>
        <v>2.3076923076923078E-2</v>
      </c>
      <c r="V49" s="4">
        <f t="shared" si="9"/>
        <v>2.3622047244094488E-2</v>
      </c>
      <c r="W49" s="4">
        <f t="shared" si="9"/>
        <v>2.4193548387096774E-2</v>
      </c>
    </row>
    <row r="51" spans="1:23">
      <c r="A51" s="22" t="s">
        <v>41</v>
      </c>
      <c r="D51" s="3">
        <v>1</v>
      </c>
      <c r="E51" s="3">
        <v>2</v>
      </c>
      <c r="F51" s="3">
        <v>3</v>
      </c>
      <c r="G51" s="3">
        <v>4</v>
      </c>
      <c r="H51" s="3">
        <v>5</v>
      </c>
      <c r="I51" s="3">
        <v>6</v>
      </c>
      <c r="J51" s="3">
        <v>7</v>
      </c>
      <c r="K51" s="3">
        <v>8</v>
      </c>
      <c r="L51" s="3">
        <v>9</v>
      </c>
      <c r="M51" s="3">
        <v>10</v>
      </c>
      <c r="N51" s="3">
        <v>11</v>
      </c>
      <c r="O51" s="3">
        <v>12</v>
      </c>
      <c r="P51" s="3">
        <v>13</v>
      </c>
      <c r="Q51" s="3">
        <v>14</v>
      </c>
      <c r="R51" s="3">
        <v>15</v>
      </c>
      <c r="S51" s="3">
        <v>16</v>
      </c>
      <c r="T51" s="3">
        <v>17</v>
      </c>
      <c r="U51" s="3">
        <v>18</v>
      </c>
      <c r="V51" s="3">
        <v>19</v>
      </c>
      <c r="W51" s="3">
        <v>20</v>
      </c>
    </row>
    <row r="52" spans="1:23">
      <c r="A52" s="22" t="s">
        <v>5</v>
      </c>
      <c r="D52">
        <v>0</v>
      </c>
      <c r="E52">
        <f>ROUND($E$41*H$20,0)</f>
        <v>0</v>
      </c>
      <c r="F52">
        <f>ROUND($F$41*H$20,0)</f>
        <v>0</v>
      </c>
      <c r="G52">
        <f>ROUND($G$41*H$20,0)</f>
        <v>0</v>
      </c>
      <c r="H52">
        <f>ROUND($H$41*H$20,0)</f>
        <v>0</v>
      </c>
      <c r="I52">
        <f>ROUND($I$41*H$20,0)</f>
        <v>0</v>
      </c>
      <c r="J52">
        <f>ROUND($J$41*H$20,0)</f>
        <v>0</v>
      </c>
      <c r="K52">
        <f>ROUND($K$41*H$20,0)</f>
        <v>0</v>
      </c>
      <c r="L52">
        <f>ROUND($L$41*H$20,0)</f>
        <v>0</v>
      </c>
      <c r="M52">
        <f>ROUND($M$41*H$20,0)</f>
        <v>0</v>
      </c>
      <c r="N52">
        <f>ROUND($N$41*H$20,0)</f>
        <v>0</v>
      </c>
      <c r="O52">
        <f>ROUND($O$41*H$20,0)</f>
        <v>0</v>
      </c>
      <c r="P52">
        <f>ROUND($P$41*H$20,0)</f>
        <v>0</v>
      </c>
      <c r="Q52">
        <f>ROUND($Q$41*H$20,0)</f>
        <v>0</v>
      </c>
      <c r="R52">
        <f>ROUND($R$41*H$20,0)</f>
        <v>0</v>
      </c>
      <c r="S52">
        <f>ROUND($S$41*H$20,0)</f>
        <v>0</v>
      </c>
      <c r="T52">
        <f>ROUND($T$41*H$20,0)</f>
        <v>0</v>
      </c>
      <c r="U52">
        <f>ROUND($U$41*H$20,0)</f>
        <v>0</v>
      </c>
      <c r="V52">
        <f>ROUND($V$41*H$20,0)</f>
        <v>0</v>
      </c>
      <c r="W52">
        <f>ROUND($W$41*H$20,0)</f>
        <v>0</v>
      </c>
    </row>
    <row r="53" spans="1:23">
      <c r="A53" s="22" t="s">
        <v>6</v>
      </c>
      <c r="D53">
        <v>0</v>
      </c>
      <c r="E53">
        <f>ROUND($E$41*I$20,0)</f>
        <v>0</v>
      </c>
      <c r="F53">
        <f>ROUND($F$41*I$20,0)</f>
        <v>0</v>
      </c>
      <c r="G53">
        <f>ROUND($G$41*I$20,0)</f>
        <v>0</v>
      </c>
      <c r="H53">
        <f>ROUND($H$41*I$20,0)</f>
        <v>0</v>
      </c>
      <c r="I53">
        <f>ROUND($I$41*I$20,0)</f>
        <v>0</v>
      </c>
      <c r="J53">
        <f>ROUND($J$41*I$20,0)</f>
        <v>0</v>
      </c>
      <c r="K53">
        <f>ROUND($K$41*I$20,0)</f>
        <v>0</v>
      </c>
      <c r="L53">
        <f>ROUND($L$41*I$20,0)</f>
        <v>0</v>
      </c>
      <c r="M53">
        <f>ROUND($M$41*I$20,0)</f>
        <v>0</v>
      </c>
      <c r="N53">
        <f>ROUND($N$41*I$20,0)</f>
        <v>0</v>
      </c>
      <c r="O53">
        <f>ROUND($O$41*I$20,0)</f>
        <v>0</v>
      </c>
      <c r="P53">
        <f>ROUND($P$41*I$20,0)</f>
        <v>0</v>
      </c>
      <c r="Q53">
        <f>ROUND($Q$41*I$20,0)</f>
        <v>0</v>
      </c>
      <c r="R53">
        <f>ROUND($R$41*I$20,0)</f>
        <v>0</v>
      </c>
      <c r="S53">
        <f>ROUND($S$41*I$20,0)</f>
        <v>0</v>
      </c>
      <c r="T53">
        <f>ROUND($T$41*I$20,0)</f>
        <v>0</v>
      </c>
      <c r="U53">
        <f>ROUND($U$41*I$20,0)</f>
        <v>0</v>
      </c>
      <c r="V53">
        <f>ROUND($V$41*I$20,0)</f>
        <v>0</v>
      </c>
      <c r="W53">
        <f>ROUND($W$41*I$20,0)</f>
        <v>0</v>
      </c>
    </row>
    <row r="54" spans="1:23">
      <c r="A54" s="22" t="s">
        <v>7</v>
      </c>
      <c r="D54">
        <v>0</v>
      </c>
      <c r="E54">
        <f>ROUND($E$41*J$20,0)</f>
        <v>0</v>
      </c>
      <c r="F54">
        <f>ROUND($F$41*J$20,0)</f>
        <v>0</v>
      </c>
      <c r="G54">
        <f>ROUND($G$41*J$20,0)</f>
        <v>0</v>
      </c>
      <c r="H54">
        <f>ROUND($H$41*J$20,0)</f>
        <v>0</v>
      </c>
      <c r="I54">
        <f>ROUND($I$41*J$20,0)</f>
        <v>0</v>
      </c>
      <c r="J54">
        <f>ROUND($J$41*J$20,0)</f>
        <v>0</v>
      </c>
      <c r="K54">
        <f>ROUND($K$41*J$20,0)</f>
        <v>0</v>
      </c>
      <c r="L54">
        <f>ROUND($L$41*J$20,0)</f>
        <v>0</v>
      </c>
      <c r="M54">
        <f>ROUND($M$41*J$20,0)</f>
        <v>0</v>
      </c>
      <c r="N54">
        <f>ROUND($N$41*J$20,0)</f>
        <v>0</v>
      </c>
      <c r="O54">
        <f>ROUND($O$41*J$20,0)</f>
        <v>0</v>
      </c>
      <c r="P54">
        <f>ROUND($P$41*J$20,0)</f>
        <v>1</v>
      </c>
      <c r="Q54">
        <f>ROUND($Q$41*J$20,0)</f>
        <v>1</v>
      </c>
      <c r="R54">
        <f>ROUND($R$41*J$20,0)</f>
        <v>1</v>
      </c>
      <c r="S54">
        <f>ROUND($S$41*J$20,0)</f>
        <v>1</v>
      </c>
      <c r="T54">
        <f>ROUND($T$41*J$20,0)</f>
        <v>1</v>
      </c>
      <c r="U54">
        <f>ROUND($U$41*J$20,0)</f>
        <v>1</v>
      </c>
      <c r="V54">
        <f>ROUND($V$41*J$20,0)</f>
        <v>1</v>
      </c>
      <c r="W54">
        <f>ROUND($W$41*J$20,0)</f>
        <v>1</v>
      </c>
    </row>
    <row r="55" spans="1:23">
      <c r="A55" s="22" t="s">
        <v>8</v>
      </c>
      <c r="D55">
        <v>0</v>
      </c>
      <c r="E55">
        <f>ROUND($E$41*K$20,0)</f>
        <v>0</v>
      </c>
      <c r="F55">
        <f>ROUND($F$41*K$20,0)</f>
        <v>0</v>
      </c>
      <c r="G55">
        <f>ROUND($G$41*K$20,0)</f>
        <v>0</v>
      </c>
      <c r="H55">
        <f>ROUND($H$41*K$20,0)</f>
        <v>0</v>
      </c>
      <c r="I55">
        <f>ROUND($I$41*K$20,0)</f>
        <v>0</v>
      </c>
      <c r="J55">
        <f>ROUND($J$41*K$20,0)</f>
        <v>0</v>
      </c>
      <c r="K55">
        <f>ROUND($K$41*K$20,0)</f>
        <v>0</v>
      </c>
      <c r="L55">
        <f>ROUND($L$41*K$20,0)</f>
        <v>0</v>
      </c>
      <c r="M55">
        <f>ROUND($M$41*K$20,0)</f>
        <v>1</v>
      </c>
      <c r="N55">
        <f>ROUND($N$41*K$20,0)</f>
        <v>1</v>
      </c>
      <c r="O55">
        <f>ROUND($O$41*K$20,0)</f>
        <v>1</v>
      </c>
      <c r="P55">
        <f>ROUND($P$41*K$20,0)</f>
        <v>1</v>
      </c>
      <c r="Q55">
        <f>ROUND($Q$41*K$20,0)</f>
        <v>1</v>
      </c>
      <c r="R55">
        <f>ROUND($R$41*K$20,0)</f>
        <v>1</v>
      </c>
      <c r="S55">
        <f>ROUND($S$41*K$20,0)</f>
        <v>1</v>
      </c>
      <c r="T55">
        <f>ROUND($T$41*K$20,0)</f>
        <v>1</v>
      </c>
      <c r="U55">
        <f>ROUND($U$41*K$20,0)</f>
        <v>1</v>
      </c>
      <c r="V55">
        <f>ROUND($V$41*K$20,0)</f>
        <v>1</v>
      </c>
      <c r="W55">
        <f>ROUND($W$41*K$20,0)</f>
        <v>1</v>
      </c>
    </row>
    <row r="56" spans="1:23">
      <c r="A56" s="22" t="s">
        <v>9</v>
      </c>
      <c r="D56">
        <v>0</v>
      </c>
      <c r="E56">
        <f>ROUND($E$41*L$20,0)</f>
        <v>0</v>
      </c>
      <c r="F56">
        <f>ROUND($F$41*L$20,0)</f>
        <v>0</v>
      </c>
      <c r="G56">
        <f>ROUND($G$41*L$20,0)</f>
        <v>0</v>
      </c>
      <c r="H56">
        <f>ROUND($H$41*L$20,0)</f>
        <v>0</v>
      </c>
      <c r="I56">
        <f>ROUND($I$41*L$20,0)</f>
        <v>0</v>
      </c>
      <c r="J56">
        <f>ROUND($J$41*L$20,0)</f>
        <v>1</v>
      </c>
      <c r="K56">
        <f>ROUND($K$41*L$20,0)</f>
        <v>1</v>
      </c>
      <c r="L56">
        <f>ROUND($L$41*L$20,0)</f>
        <v>1</v>
      </c>
      <c r="M56">
        <f>ROUND($M$41*L$20,0)</f>
        <v>1</v>
      </c>
      <c r="N56">
        <f>ROUND($N$41*L$20,0)</f>
        <v>1</v>
      </c>
      <c r="O56">
        <f>ROUND($O$41*L$20,0)</f>
        <v>1</v>
      </c>
      <c r="P56">
        <f>ROUND($P$41*L$20,0)</f>
        <v>1</v>
      </c>
      <c r="Q56">
        <f>ROUND($Q$41*L$20,0)</f>
        <v>2</v>
      </c>
      <c r="R56">
        <f>ROUND($R$41*L$20,0)</f>
        <v>2</v>
      </c>
      <c r="S56">
        <f>ROUND($S$41*L$20,0)</f>
        <v>2</v>
      </c>
      <c r="T56">
        <f>ROUND($T$41*L$20,0)</f>
        <v>2</v>
      </c>
      <c r="U56">
        <f>ROUND($U$41*L$20,0)</f>
        <v>2</v>
      </c>
      <c r="V56">
        <f>ROUND($V$41*L$20,0)</f>
        <v>2</v>
      </c>
      <c r="W56">
        <f>ROUND($W$41*L$20,0)</f>
        <v>3</v>
      </c>
    </row>
    <row r="57" spans="1:23">
      <c r="A57" s="22" t="s">
        <v>10</v>
      </c>
      <c r="D57">
        <v>0</v>
      </c>
      <c r="E57">
        <f>ROUND($E$41*M$20,0)</f>
        <v>0</v>
      </c>
      <c r="F57">
        <f>ROUND($F$41*M$20,0)</f>
        <v>0</v>
      </c>
      <c r="G57">
        <f>ROUND($G$41*M$20,0)</f>
        <v>0</v>
      </c>
      <c r="H57">
        <f>ROUND($H$41*M$20,0)</f>
        <v>1</v>
      </c>
      <c r="I57">
        <f>ROUND($I$41*M$20,0)</f>
        <v>1</v>
      </c>
      <c r="J57">
        <f>ROUND($J$41*M$20,0)</f>
        <v>1</v>
      </c>
      <c r="K57">
        <f>ROUND($K$41*M$20,0)</f>
        <v>1</v>
      </c>
      <c r="L57">
        <f>ROUND($L$41*M$20,0)</f>
        <v>2</v>
      </c>
      <c r="M57">
        <f>ROUND($M$41*M$20,0)</f>
        <v>2</v>
      </c>
      <c r="N57">
        <f>ROUND($N$41*M$20,0)</f>
        <v>2</v>
      </c>
      <c r="O57">
        <f>ROUND($O$41*M$20,0)</f>
        <v>3</v>
      </c>
      <c r="P57">
        <f>ROUND($P$41*M$20,0)</f>
        <v>3</v>
      </c>
      <c r="Q57">
        <f>ROUND($Q$41*M$20,0)</f>
        <v>3</v>
      </c>
      <c r="R57">
        <f>ROUND($R$41*M$20,0)</f>
        <v>3</v>
      </c>
      <c r="S57">
        <f>ROUND($S$41*M$20,0)</f>
        <v>4</v>
      </c>
      <c r="T57">
        <f>ROUND($T$41*M$20,0)</f>
        <v>4</v>
      </c>
      <c r="U57">
        <f>ROUND($U$41*M$20,0)</f>
        <v>4</v>
      </c>
      <c r="V57">
        <f>ROUND($V$41*M$20,0)</f>
        <v>5</v>
      </c>
      <c r="W57">
        <f>ROUND($W$41*M$20,0)</f>
        <v>5</v>
      </c>
    </row>
    <row r="58" spans="1:23">
      <c r="A58" s="22" t="s">
        <v>11</v>
      </c>
      <c r="D58">
        <v>0</v>
      </c>
      <c r="E58">
        <f>ROUND($E$41*N$20,0)</f>
        <v>0</v>
      </c>
      <c r="F58">
        <f>ROUND($F$41*N$20,0)</f>
        <v>0</v>
      </c>
      <c r="G58">
        <f>ROUND($G$41*N$20,0)</f>
        <v>0</v>
      </c>
      <c r="H58">
        <f>ROUND($H$41*N$20,0)</f>
        <v>1</v>
      </c>
      <c r="I58">
        <f>ROUND($I$41*N$20,0)</f>
        <v>1</v>
      </c>
      <c r="J58">
        <f>ROUND($J$41*N$20,0)</f>
        <v>2</v>
      </c>
      <c r="K58">
        <f>ROUND($K$41*N$20,0)</f>
        <v>2</v>
      </c>
      <c r="L58">
        <f>ROUND($L$41*N$20,0)</f>
        <v>3</v>
      </c>
      <c r="M58">
        <f>ROUND($M$41*N$20,0)</f>
        <v>3</v>
      </c>
      <c r="N58">
        <f>ROUND($N$41*N$20,0)</f>
        <v>3</v>
      </c>
      <c r="O58">
        <f>ROUND($O$41*N$20,0)</f>
        <v>4</v>
      </c>
      <c r="P58">
        <f>ROUND($P$41*N$20,0)</f>
        <v>4</v>
      </c>
      <c r="Q58">
        <f>ROUND($Q$41*N$20,0)</f>
        <v>5</v>
      </c>
      <c r="R58">
        <f>ROUND($R$41*N$20,0)</f>
        <v>5</v>
      </c>
      <c r="S58">
        <f>ROUND($S$41*N$20,0)</f>
        <v>6</v>
      </c>
      <c r="T58">
        <f>ROUND($T$41*N$20,0)</f>
        <v>6</v>
      </c>
      <c r="U58">
        <f>ROUND($U$41*N$20,0)</f>
        <v>6</v>
      </c>
      <c r="V58">
        <f>ROUND($V$41*N$20,0)</f>
        <v>7</v>
      </c>
      <c r="W58">
        <f>ROUND($W$41*N$20,0)</f>
        <v>7</v>
      </c>
    </row>
    <row r="59" spans="1:23">
      <c r="A59" s="22" t="s">
        <v>12</v>
      </c>
      <c r="D59">
        <v>0</v>
      </c>
      <c r="E59">
        <f>ROUND($E$41*O$20,0)</f>
        <v>0</v>
      </c>
      <c r="F59">
        <f>ROUND($F$41*O$20,0)</f>
        <v>0</v>
      </c>
      <c r="G59">
        <f>ROUND($G$41*O$20,0)</f>
        <v>0</v>
      </c>
      <c r="H59">
        <f>ROUND($H$41*O$20,0)</f>
        <v>1</v>
      </c>
      <c r="I59">
        <f>ROUND($I$41*O$20,0)</f>
        <v>1</v>
      </c>
      <c r="J59">
        <f>ROUND($J$41*O$20,0)</f>
        <v>2</v>
      </c>
      <c r="K59">
        <f>ROUND($K$41*O$20,0)</f>
        <v>3</v>
      </c>
      <c r="L59">
        <f>ROUND($L$41*O$20,0)</f>
        <v>3</v>
      </c>
      <c r="M59">
        <f>ROUND($M$41*O$20,0)</f>
        <v>4</v>
      </c>
      <c r="N59">
        <f>ROUND($N$41*O$20,0)</f>
        <v>4</v>
      </c>
      <c r="O59">
        <f>ROUND($O$41*O$20,0)</f>
        <v>5</v>
      </c>
      <c r="P59">
        <f>ROUND($P$41*O$20,0)</f>
        <v>5</v>
      </c>
      <c r="Q59">
        <f>ROUND($Q$41*O$20,0)</f>
        <v>6</v>
      </c>
      <c r="R59">
        <f>ROUND($R$41*O$20,0)</f>
        <v>6</v>
      </c>
      <c r="S59">
        <f>ROUND($S$41*O$20,0)</f>
        <v>7</v>
      </c>
      <c r="T59">
        <f>ROUND($T$41*O$20,0)</f>
        <v>7</v>
      </c>
      <c r="U59">
        <f>ROUND($U$41*O$20,0)</f>
        <v>8</v>
      </c>
      <c r="V59">
        <f>ROUND($V$41*O$20,0)</f>
        <v>8</v>
      </c>
      <c r="W59">
        <f>ROUND($W$41*O$20,0)</f>
        <v>9</v>
      </c>
    </row>
    <row r="60" spans="1:23">
      <c r="A60" s="22" t="s">
        <v>13</v>
      </c>
      <c r="D60">
        <v>0</v>
      </c>
      <c r="E60">
        <f>ROUND($E$41*P$20,0)</f>
        <v>0</v>
      </c>
      <c r="F60">
        <f>ROUND($F$41*P$20,0)</f>
        <v>0</v>
      </c>
      <c r="G60">
        <f>ROUND($G$41*P$20,0)</f>
        <v>0</v>
      </c>
      <c r="H60">
        <f>ROUND($H$41*P$20,0)</f>
        <v>1</v>
      </c>
      <c r="I60">
        <f>ROUND($I$41*P$20,0)</f>
        <v>1</v>
      </c>
      <c r="J60">
        <f>ROUND($J$41*P$20,0)</f>
        <v>2</v>
      </c>
      <c r="K60">
        <f>ROUND($K$41*P$20,0)</f>
        <v>2</v>
      </c>
      <c r="L60">
        <f>ROUND($L$41*P$20,0)</f>
        <v>3</v>
      </c>
      <c r="M60">
        <f>ROUND($M$41*P$20,0)</f>
        <v>3</v>
      </c>
      <c r="N60">
        <f>ROUND($N$41*P$20,0)</f>
        <v>4</v>
      </c>
      <c r="O60">
        <f>ROUND($O$41*P$20,0)</f>
        <v>4</v>
      </c>
      <c r="P60">
        <f>ROUND($P$41*P$20,0)</f>
        <v>4</v>
      </c>
      <c r="Q60">
        <f>ROUND($Q$41*P$20,0)</f>
        <v>5</v>
      </c>
      <c r="R60">
        <f>ROUND($R$41*P$20,0)</f>
        <v>5</v>
      </c>
      <c r="S60">
        <f>ROUND($S$41*P$20,0)</f>
        <v>6</v>
      </c>
      <c r="T60">
        <f>ROUND($T$41*P$20,0)</f>
        <v>6</v>
      </c>
      <c r="U60">
        <f>ROUND($U$41*P$20,0)</f>
        <v>7</v>
      </c>
      <c r="V60">
        <f>ROUND($V$41*P$20,0)</f>
        <v>7</v>
      </c>
      <c r="W60">
        <f>ROUND($W$41*P$20,0)</f>
        <v>8</v>
      </c>
    </row>
    <row r="61" spans="1:23">
      <c r="A61" s="22" t="s">
        <v>14</v>
      </c>
      <c r="D61">
        <v>0</v>
      </c>
      <c r="E61">
        <f>ROUND($E$41*Q$20,0)</f>
        <v>0</v>
      </c>
      <c r="F61">
        <f>ROUND($F$41*Q$20,0)</f>
        <v>0</v>
      </c>
      <c r="G61">
        <f>ROUND($G$41*Q$20,0)</f>
        <v>0</v>
      </c>
      <c r="H61">
        <f>ROUND($H$41*Q$20,0)</f>
        <v>1</v>
      </c>
      <c r="I61">
        <f>ROUND($I$41*Q$20,0)</f>
        <v>1</v>
      </c>
      <c r="J61">
        <f>ROUND($J$41*Q$20,0)</f>
        <v>2</v>
      </c>
      <c r="K61">
        <f>ROUND($K$41*Q$20,0)</f>
        <v>2</v>
      </c>
      <c r="L61">
        <f>ROUND($L$41*Q$20,0)</f>
        <v>3</v>
      </c>
      <c r="M61">
        <f>ROUND($M$41*Q$20,0)</f>
        <v>3</v>
      </c>
      <c r="N61">
        <f>ROUND($N$41*Q$20,0)</f>
        <v>4</v>
      </c>
      <c r="O61">
        <f>ROUND($O$41*Q$20,0)</f>
        <v>4</v>
      </c>
      <c r="P61">
        <f>ROUND($P$41*Q$20,0)</f>
        <v>5</v>
      </c>
      <c r="Q61">
        <f>ROUND($Q$41*Q$20,0)</f>
        <v>5</v>
      </c>
      <c r="R61">
        <f>ROUND($R$41*Q$20,0)</f>
        <v>6</v>
      </c>
      <c r="S61">
        <f>ROUND($S$41*Q$20,0)</f>
        <v>6</v>
      </c>
      <c r="T61">
        <f>ROUND($T$41*Q$20,0)</f>
        <v>7</v>
      </c>
      <c r="U61">
        <f>ROUND($U$41*Q$20,0)</f>
        <v>7</v>
      </c>
      <c r="V61">
        <f>ROUND($V$41*Q$20,0)</f>
        <v>8</v>
      </c>
      <c r="W61">
        <f>ROUND($W$41*Q$20,0)</f>
        <v>8</v>
      </c>
    </row>
    <row r="62" spans="1:23">
      <c r="A62" s="22" t="s">
        <v>15</v>
      </c>
      <c r="D62">
        <v>0</v>
      </c>
      <c r="E62">
        <f>ROUND($E$41*R$20,0)</f>
        <v>0</v>
      </c>
      <c r="F62">
        <f>ROUND($F$41*R$20,0)</f>
        <v>0</v>
      </c>
      <c r="G62">
        <f>ROUND($G$41*R$20,0)</f>
        <v>0</v>
      </c>
      <c r="H62">
        <f>ROUND($H$41*R$20,0)</f>
        <v>0</v>
      </c>
      <c r="I62">
        <f>ROUND($I$41*R$20,0)</f>
        <v>0</v>
      </c>
      <c r="J62">
        <f>ROUND($J$41*R$20,0)</f>
        <v>0</v>
      </c>
      <c r="K62">
        <f>ROUND($K$41*R$20,0)</f>
        <v>1</v>
      </c>
      <c r="L62">
        <f>ROUND($L$41*R$20,0)</f>
        <v>1</v>
      </c>
      <c r="M62">
        <f>ROUND($M$41*R$20,0)</f>
        <v>1</v>
      </c>
      <c r="N62">
        <f>ROUND($N$41*R$20,0)</f>
        <v>1</v>
      </c>
      <c r="O62">
        <f>ROUND($O$41*R$20,0)</f>
        <v>1</v>
      </c>
      <c r="P62">
        <f>ROUND($P$41*R$20,0)</f>
        <v>1</v>
      </c>
      <c r="Q62">
        <f>ROUND($Q$41*R$20,0)</f>
        <v>1</v>
      </c>
      <c r="R62">
        <f>ROUND($R$41*R$20,0)</f>
        <v>1</v>
      </c>
      <c r="S62">
        <f>ROUND($S$41*R$20,0)</f>
        <v>1</v>
      </c>
      <c r="T62">
        <f>ROUND($T$41*R$20,0)</f>
        <v>2</v>
      </c>
      <c r="U62">
        <f>ROUND($U$41*R$20,0)</f>
        <v>2</v>
      </c>
      <c r="V62">
        <f>ROUND($V$41*R$20,0)</f>
        <v>2</v>
      </c>
      <c r="W62">
        <f>ROUND($W$41*R$20,0)</f>
        <v>2</v>
      </c>
    </row>
    <row r="63" spans="1:23">
      <c r="A63">
        <v>66</v>
      </c>
      <c r="D63">
        <v>0</v>
      </c>
      <c r="E63">
        <f>ROUND($E$41*S$20,0)</f>
        <v>0</v>
      </c>
      <c r="F63">
        <f>ROUND($F$41*S$20,0)</f>
        <v>0</v>
      </c>
      <c r="G63">
        <f>ROUND($G$41*S$20,0)</f>
        <v>0</v>
      </c>
      <c r="H63">
        <f>ROUND($H$41*S$20,0)</f>
        <v>0</v>
      </c>
      <c r="I63">
        <f>ROUND($I$41*S$20,0)</f>
        <v>0</v>
      </c>
      <c r="J63">
        <f>ROUND($J$41*S$20,0)</f>
        <v>1</v>
      </c>
      <c r="K63">
        <f>ROUND($K$41*S$20,0)</f>
        <v>1</v>
      </c>
      <c r="L63">
        <f>ROUND($L$41*S$20,0)</f>
        <v>1</v>
      </c>
      <c r="M63">
        <f>ROUND($M$41*S$20,0)</f>
        <v>1</v>
      </c>
      <c r="N63">
        <f>ROUND($N$41*S$20,0)</f>
        <v>1</v>
      </c>
      <c r="O63">
        <f>ROUND($O$41*S$20,0)</f>
        <v>1</v>
      </c>
      <c r="P63">
        <f>ROUND($P$41*S$20,0)</f>
        <v>2</v>
      </c>
      <c r="Q63">
        <f>ROUND($Q$41*S$20,0)</f>
        <v>2</v>
      </c>
      <c r="R63">
        <f>ROUND($R$41*S$20,0)</f>
        <v>2</v>
      </c>
      <c r="S63">
        <f>ROUND($S$41*S$20,0)</f>
        <v>2</v>
      </c>
      <c r="T63">
        <f>ROUND($T$41*S$20,0)</f>
        <v>2</v>
      </c>
      <c r="U63">
        <f>ROUND($U$41*S$20,0)</f>
        <v>2</v>
      </c>
      <c r="V63">
        <f>ROUND($V$41*S$20,0)</f>
        <v>3</v>
      </c>
      <c r="W63">
        <f>ROUND($W$41*S$20,0)</f>
        <v>3</v>
      </c>
    </row>
    <row r="64" spans="1:23">
      <c r="A64">
        <v>67</v>
      </c>
      <c r="D64">
        <v>0</v>
      </c>
      <c r="E64">
        <f>ROUND($E$41*T$20,0)</f>
        <v>0</v>
      </c>
      <c r="F64">
        <f>ROUND($F$41*T$20,0)</f>
        <v>0</v>
      </c>
      <c r="G64">
        <f>ROUND($G$41*T$20,0)</f>
        <v>0</v>
      </c>
      <c r="H64">
        <f>ROUND($H$41*T$20,0)</f>
        <v>0</v>
      </c>
      <c r="I64">
        <f>ROUND($I$41*T$20,0)</f>
        <v>1</v>
      </c>
      <c r="J64">
        <f>ROUND($J$41*T$20,0)</f>
        <v>1</v>
      </c>
      <c r="K64">
        <f>ROUND($K$41*T$20,0)</f>
        <v>1</v>
      </c>
      <c r="L64">
        <f>ROUND($L$41*T$20,0)</f>
        <v>1</v>
      </c>
      <c r="M64">
        <f>ROUND($M$41*T$20,0)</f>
        <v>2</v>
      </c>
      <c r="N64">
        <f>ROUND($N$41*T$20,0)</f>
        <v>2</v>
      </c>
      <c r="O64">
        <f>ROUND($O$41*T$20,0)</f>
        <v>2</v>
      </c>
      <c r="P64">
        <f>ROUND($P$41*T$20,0)</f>
        <v>2</v>
      </c>
      <c r="Q64">
        <f>ROUND($Q$41*T$20,0)</f>
        <v>2</v>
      </c>
      <c r="R64">
        <f>ROUND($R$41*T$20,0)</f>
        <v>3</v>
      </c>
      <c r="S64">
        <f>ROUND($S$41*T$20,0)</f>
        <v>3</v>
      </c>
      <c r="T64">
        <f>ROUND($T$41*T$20,0)</f>
        <v>3</v>
      </c>
      <c r="U64">
        <f>ROUND($U$41*T$20,0)</f>
        <v>3</v>
      </c>
      <c r="V64">
        <f>ROUND($V$41*T$20,0)</f>
        <v>3</v>
      </c>
      <c r="W64">
        <f>ROUND($W$41*T$20,0)</f>
        <v>4</v>
      </c>
    </row>
    <row r="65" spans="1:23">
      <c r="A65">
        <v>68</v>
      </c>
      <c r="D65">
        <v>0</v>
      </c>
      <c r="E65">
        <f>ROUND($E$41*U$20,0)</f>
        <v>0</v>
      </c>
      <c r="F65">
        <f>ROUND($F$41*U$20,0)</f>
        <v>0</v>
      </c>
      <c r="G65">
        <f>ROUND($G$41*U$20,0)</f>
        <v>0</v>
      </c>
      <c r="H65">
        <f>ROUND($H$41*U$20,0)</f>
        <v>0</v>
      </c>
      <c r="I65">
        <f>ROUND($I$41*U$20,0)</f>
        <v>1</v>
      </c>
      <c r="J65">
        <f>ROUND($J$41*U$20,0)</f>
        <v>1</v>
      </c>
      <c r="K65">
        <f>ROUND($K$41*U$20,0)</f>
        <v>1</v>
      </c>
      <c r="L65">
        <f>ROUND($L$41*U$20,0)</f>
        <v>1</v>
      </c>
      <c r="M65">
        <f>ROUND($M$41*U$20,0)</f>
        <v>2</v>
      </c>
      <c r="N65">
        <f>ROUND($N$41*U$20,0)</f>
        <v>2</v>
      </c>
      <c r="O65">
        <f>ROUND($O$41*U$20,0)</f>
        <v>2</v>
      </c>
      <c r="P65">
        <f>ROUND($P$41*U$20,0)</f>
        <v>2</v>
      </c>
      <c r="Q65">
        <f>ROUND($Q$41*U$20,0)</f>
        <v>2</v>
      </c>
      <c r="R65">
        <f>ROUND($R$41*U$20,0)</f>
        <v>3</v>
      </c>
      <c r="S65">
        <f>ROUND($S$41*U$20,0)</f>
        <v>3</v>
      </c>
      <c r="T65">
        <f>ROUND($T$41*U$20,0)</f>
        <v>3</v>
      </c>
      <c r="U65">
        <f>ROUND($U$41*U$20,0)</f>
        <v>3</v>
      </c>
      <c r="V65">
        <f>ROUND($V$41*U$20,0)</f>
        <v>3</v>
      </c>
      <c r="W65">
        <f>ROUND($W$41*U$20,0)</f>
        <v>4</v>
      </c>
    </row>
    <row r="66" spans="1:23">
      <c r="A66">
        <v>69</v>
      </c>
      <c r="D66">
        <v>0</v>
      </c>
      <c r="E66">
        <f>ROUND($E$41*V$20,0)</f>
        <v>0</v>
      </c>
      <c r="F66">
        <f>ROUND($F$41*V$20,0)</f>
        <v>0</v>
      </c>
      <c r="G66">
        <f>ROUND($G$41*V$20,0)</f>
        <v>0</v>
      </c>
      <c r="H66">
        <f>ROUND($H$41*V$20,0)</f>
        <v>0</v>
      </c>
      <c r="I66">
        <f>ROUND($I$41*V$20,0)</f>
        <v>1</v>
      </c>
      <c r="J66">
        <f>ROUND($J$41*V$20,0)</f>
        <v>1</v>
      </c>
      <c r="K66">
        <f>ROUND($K$41*V$20,0)</f>
        <v>1</v>
      </c>
      <c r="L66">
        <f>ROUND($L$41*V$20,0)</f>
        <v>1</v>
      </c>
      <c r="M66">
        <f>ROUND($M$41*V$20,0)</f>
        <v>2</v>
      </c>
      <c r="N66">
        <f>ROUND($N$41*V$20,0)</f>
        <v>2</v>
      </c>
      <c r="O66">
        <f>ROUND($O$41*V$20,0)</f>
        <v>2</v>
      </c>
      <c r="P66">
        <f>ROUND($P$41*V$20,0)</f>
        <v>2</v>
      </c>
      <c r="Q66">
        <f>ROUND($Q$41*V$20,0)</f>
        <v>2</v>
      </c>
      <c r="R66">
        <f>ROUND($R$41*V$20,0)</f>
        <v>3</v>
      </c>
      <c r="S66">
        <f>ROUND($S$41*V$20,0)</f>
        <v>3</v>
      </c>
      <c r="T66">
        <f>ROUND($T$41*V$20,0)</f>
        <v>3</v>
      </c>
      <c r="U66">
        <f>ROUND($U$41*V$20,0)</f>
        <v>3</v>
      </c>
      <c r="V66">
        <f>ROUND($V$41*V$20,0)</f>
        <v>3</v>
      </c>
      <c r="W66">
        <f>ROUND($W$41*V$20,0)</f>
        <v>4</v>
      </c>
    </row>
    <row r="67" spans="1:23">
      <c r="A67">
        <v>70</v>
      </c>
      <c r="D67">
        <v>0</v>
      </c>
      <c r="E67">
        <f>ROUND($E$41*W$20,0)</f>
        <v>0</v>
      </c>
      <c r="F67">
        <f>ROUND($F$41*W$20,0)</f>
        <v>0</v>
      </c>
      <c r="G67">
        <f>ROUND($G$41*W$20,0)</f>
        <v>0</v>
      </c>
      <c r="H67">
        <f>ROUND($H$41*W$20,0)</f>
        <v>0</v>
      </c>
      <c r="I67">
        <f>ROUND($I$41*W$20,0)</f>
        <v>1</v>
      </c>
      <c r="J67">
        <f>ROUND($J$41*W$20,0)</f>
        <v>1</v>
      </c>
      <c r="K67">
        <f>ROUND($K$41*W$20,0)</f>
        <v>1</v>
      </c>
      <c r="L67">
        <f>ROUND($L$41*W$20,0)</f>
        <v>1</v>
      </c>
      <c r="M67">
        <f>ROUND($M$41*W$20,0)</f>
        <v>2</v>
      </c>
      <c r="N67">
        <f>ROUND($N$41*W$20,0)</f>
        <v>2</v>
      </c>
      <c r="O67">
        <f>ROUND($O$41*W$20,0)</f>
        <v>2</v>
      </c>
      <c r="P67">
        <f>ROUND($P$41*W$20,0)</f>
        <v>2</v>
      </c>
      <c r="Q67">
        <f>ROUND($Q$41*W$20,0)</f>
        <v>2</v>
      </c>
      <c r="R67">
        <f>ROUND($R$41*W$20,0)</f>
        <v>3</v>
      </c>
      <c r="S67">
        <f>ROUND($S$41*W$20,0)</f>
        <v>3</v>
      </c>
      <c r="T67">
        <f>ROUND($T$41*W$20,0)</f>
        <v>3</v>
      </c>
      <c r="U67">
        <f>ROUND($U$41*W$20,0)</f>
        <v>3</v>
      </c>
      <c r="V67">
        <f>ROUND($V$41*W$20,0)</f>
        <v>3</v>
      </c>
      <c r="W67">
        <f>ROUND($W$41*W$20,0)</f>
        <v>4</v>
      </c>
    </row>
    <row r="69" spans="1:23">
      <c r="A69" s="31" t="s">
        <v>134</v>
      </c>
      <c r="H69" t="s">
        <v>42</v>
      </c>
    </row>
    <row r="70" spans="1:23">
      <c r="A70" s="22" t="s">
        <v>5</v>
      </c>
      <c r="D70" s="23">
        <f>$D52*D$13</f>
        <v>0</v>
      </c>
      <c r="E70" s="23">
        <f>(SUM($E52:E52))*E$13</f>
        <v>0</v>
      </c>
      <c r="F70" s="23">
        <f>(SUM($E52:F52))*F$13</f>
        <v>0</v>
      </c>
      <c r="G70" s="23">
        <f>(SUM($E52:G52))*G$13</f>
        <v>0</v>
      </c>
      <c r="H70" s="23">
        <f>(SUM($E52:H52))*H$13</f>
        <v>0</v>
      </c>
      <c r="I70" s="23">
        <f>(SUM($E52:I52))*I$13</f>
        <v>0</v>
      </c>
      <c r="J70" s="23">
        <f>(SUM($E52:J52))*J$13</f>
        <v>0</v>
      </c>
      <c r="K70" s="23">
        <f>(SUM($E52:K52))*K$13</f>
        <v>0</v>
      </c>
      <c r="L70" s="23">
        <f>(SUM($E52:L52))*L$13</f>
        <v>0</v>
      </c>
      <c r="M70" s="23">
        <f>(SUM($E52:M52))*M$13</f>
        <v>0</v>
      </c>
      <c r="N70" s="23">
        <f>(SUM($E52:N52))*N$13</f>
        <v>0</v>
      </c>
      <c r="O70" s="23">
        <f>(SUM($E52:O52))*O$13</f>
        <v>0</v>
      </c>
      <c r="P70" s="23">
        <f>(SUM($E52:P52))*P$13</f>
        <v>0</v>
      </c>
      <c r="Q70" s="23">
        <f>(SUM($E52:Q52))*Q$13</f>
        <v>0</v>
      </c>
      <c r="R70" s="23">
        <f>(SUM($E52:R52))*R$13</f>
        <v>0</v>
      </c>
      <c r="S70" s="23">
        <f>(SUM($E52:S52))*S$13</f>
        <v>0</v>
      </c>
      <c r="T70" s="23">
        <f>(SUM($E52:T52))*T$13</f>
        <v>0</v>
      </c>
      <c r="U70" s="23">
        <f>(SUM($E52:U52))*U$13</f>
        <v>0</v>
      </c>
      <c r="V70" s="23">
        <f>(SUM($E52:V52))*V$13</f>
        <v>0</v>
      </c>
      <c r="W70" s="23">
        <f>(SUM($E52:W52))*W$13</f>
        <v>0</v>
      </c>
    </row>
    <row r="71" spans="1:23">
      <c r="A71" s="22" t="s">
        <v>6</v>
      </c>
      <c r="D71" s="23">
        <f>$D53*D$13</f>
        <v>0</v>
      </c>
      <c r="E71" s="23">
        <f>(SUM($E53:E53))*E$13</f>
        <v>0</v>
      </c>
      <c r="F71" s="23">
        <f>(SUM($E53:F53))*F$13</f>
        <v>0</v>
      </c>
      <c r="G71" s="23">
        <f>(SUM($E53:G53))*G$13</f>
        <v>0</v>
      </c>
      <c r="H71" s="23">
        <f>(SUM($E53:H53))*H$13</f>
        <v>0</v>
      </c>
      <c r="I71" s="23">
        <f>(SUM($E53:I53))*I$13</f>
        <v>0</v>
      </c>
      <c r="J71" s="23">
        <f>(SUM($E53:J53))*J$13</f>
        <v>0</v>
      </c>
      <c r="K71" s="23">
        <f>(SUM($E53:K53))*K$13</f>
        <v>0</v>
      </c>
      <c r="L71" s="23">
        <f>(SUM($E53:L53))*L$13</f>
        <v>0</v>
      </c>
      <c r="M71" s="23">
        <f>(SUM($E53:M53))*M$13</f>
        <v>0</v>
      </c>
      <c r="N71" s="23">
        <f>(SUM($E53:N53))*N$13</f>
        <v>0</v>
      </c>
      <c r="O71" s="23">
        <f>(SUM($E53:O53))*O$13</f>
        <v>0</v>
      </c>
      <c r="P71" s="23">
        <f>(SUM($E53:P53))*P$13</f>
        <v>0</v>
      </c>
      <c r="Q71" s="23">
        <f>(SUM($E53:Q53))*Q$13</f>
        <v>0</v>
      </c>
      <c r="R71" s="23">
        <f>(SUM($E53:R53))*R$13</f>
        <v>0</v>
      </c>
      <c r="S71" s="23">
        <f>(SUM($E53:S53))*S$13</f>
        <v>0</v>
      </c>
      <c r="T71" s="23">
        <f>(SUM($E53:T53))*T$13</f>
        <v>0</v>
      </c>
      <c r="U71" s="23">
        <f>(SUM($E53:U53))*U$13</f>
        <v>0</v>
      </c>
      <c r="V71" s="23">
        <f>(SUM($E53:V53))*V$13</f>
        <v>0</v>
      </c>
      <c r="W71" s="23">
        <f>(SUM($E53:W53))*W$13</f>
        <v>0</v>
      </c>
    </row>
    <row r="72" spans="1:23">
      <c r="A72" s="22" t="s">
        <v>7</v>
      </c>
      <c r="D72" s="23">
        <f t="shared" ref="D72:D80" si="10">$D54*D$13</f>
        <v>0</v>
      </c>
      <c r="E72" s="23">
        <f>(SUM($E54:E54))*E$13</f>
        <v>0</v>
      </c>
      <c r="F72" s="23">
        <f>(SUM($E54:F54))*F$13</f>
        <v>0</v>
      </c>
      <c r="G72" s="23">
        <f>(SUM($E54:G54))*G$13</f>
        <v>0</v>
      </c>
      <c r="H72" s="23">
        <f>(SUM($E54:H54))*H$13</f>
        <v>0</v>
      </c>
      <c r="I72" s="23">
        <f>(SUM($E54:I54))*I$13</f>
        <v>0</v>
      </c>
      <c r="J72" s="23">
        <f>(SUM($E54:J54))*J$13</f>
        <v>0</v>
      </c>
      <c r="K72" s="23">
        <f>(SUM($E54:K54))*K$13</f>
        <v>0</v>
      </c>
      <c r="L72" s="23">
        <f>(SUM($E54:L54))*L$13</f>
        <v>0</v>
      </c>
      <c r="M72" s="23">
        <f>(SUM($E54:M54))*M$13</f>
        <v>0</v>
      </c>
      <c r="N72" s="23">
        <f>(SUM($E54:N54))*N$13</f>
        <v>0</v>
      </c>
      <c r="O72" s="23">
        <f>(SUM($E54:O54))*O$13</f>
        <v>0</v>
      </c>
      <c r="P72" s="23">
        <f>(SUM($E54:P54))*P$13</f>
        <v>4337237.3538231393</v>
      </c>
      <c r="Q72" s="23">
        <f>(SUM($E54:Q54))*Q$13</f>
        <v>9021453.6959521305</v>
      </c>
      <c r="R72" s="23">
        <f>(SUM($E54:R54))*R$13</f>
        <v>14073467.765685324</v>
      </c>
      <c r="S72" s="23">
        <f>(SUM($E54:S54))*S$13</f>
        <v>19515208.635083649</v>
      </c>
      <c r="T72" s="23">
        <f>(SUM($E54:T54))*T$13</f>
        <v>25369771.225608744</v>
      </c>
      <c r="U72" s="23">
        <f>(SUM($E54:U54))*U$13</f>
        <v>31661474.489559717</v>
      </c>
      <c r="V72" s="23">
        <f>(SUM($E54:V54))*V$13</f>
        <v>38415922.380665787</v>
      </c>
      <c r="W72" s="23">
        <f>(SUM($E54:W54))*W$13</f>
        <v>45660067.743877053</v>
      </c>
    </row>
    <row r="73" spans="1:23">
      <c r="A73" s="22" t="s">
        <v>8</v>
      </c>
      <c r="D73" s="23">
        <f t="shared" si="10"/>
        <v>0</v>
      </c>
      <c r="E73" s="23">
        <f>(SUM($E55:E55))*E$13</f>
        <v>0</v>
      </c>
      <c r="F73" s="23">
        <f>(SUM($E55:F55))*F$13</f>
        <v>0</v>
      </c>
      <c r="G73" s="23">
        <f>(SUM($E55:G55))*G$13</f>
        <v>0</v>
      </c>
      <c r="H73" s="23">
        <f>(SUM($E55:H55))*H$13</f>
        <v>0</v>
      </c>
      <c r="I73" s="23">
        <f>(SUM($E55:I55))*I$13</f>
        <v>0</v>
      </c>
      <c r="J73" s="23">
        <f>(SUM($E55:J55))*J$13</f>
        <v>0</v>
      </c>
      <c r="K73" s="23">
        <f>(SUM($E55:K55))*K$13</f>
        <v>0</v>
      </c>
      <c r="L73" s="23">
        <f>(SUM($E55:L55))*L$13</f>
        <v>0</v>
      </c>
      <c r="M73" s="23">
        <f>(SUM($E55:M55))*M$13</f>
        <v>3855788.2142402451</v>
      </c>
      <c r="N73" s="23">
        <f>(SUM($E55:N55))*N$13</f>
        <v>8020039.4856197098</v>
      </c>
      <c r="O73" s="23">
        <f>(SUM($E55:O55))*O$13</f>
        <v>12511261.597566746</v>
      </c>
      <c r="P73" s="23">
        <f>(SUM($E55:P55))*P$13</f>
        <v>17348949.415292557</v>
      </c>
      <c r="Q73" s="23">
        <f>(SUM($E55:Q55))*Q$13</f>
        <v>22553634.239880327</v>
      </c>
      <c r="R73" s="23">
        <f>(SUM($E55:R55))*R$13</f>
        <v>28146935.531370647</v>
      </c>
      <c r="S73" s="23">
        <f>(SUM($E55:S55))*S$13</f>
        <v>34151615.111396387</v>
      </c>
      <c r="T73" s="23">
        <f>(SUM($E55:T55))*T$13</f>
        <v>40591633.960973993</v>
      </c>
      <c r="U73" s="23">
        <f>(SUM($E55:U55))*U$13</f>
        <v>47492211.734339572</v>
      </c>
      <c r="V73" s="23">
        <f>(SUM($E55:V55))*V$13</f>
        <v>54879889.115236841</v>
      </c>
      <c r="W73" s="23">
        <f>(SUM($E55:W55))*W$13</f>
        <v>62782593.147830948</v>
      </c>
    </row>
    <row r="74" spans="1:23">
      <c r="A74" s="22" t="s">
        <v>9</v>
      </c>
      <c r="D74" s="23">
        <f t="shared" si="10"/>
        <v>0</v>
      </c>
      <c r="E74" s="23">
        <f>(SUM($E56:E56))*E$13</f>
        <v>0</v>
      </c>
      <c r="F74" s="23">
        <f>(SUM($E56:F56))*F$13</f>
        <v>0</v>
      </c>
      <c r="G74" s="23">
        <f>(SUM($E56:G56))*G$13</f>
        <v>0</v>
      </c>
      <c r="H74" s="23">
        <f>(SUM($E56:H56))*H$13</f>
        <v>0</v>
      </c>
      <c r="I74" s="23">
        <f>(SUM($E56:I56))*I$13</f>
        <v>0</v>
      </c>
      <c r="J74" s="23">
        <f>(SUM($E56:J56))*J$13</f>
        <v>3427781.6822658069</v>
      </c>
      <c r="K74" s="23">
        <f>(SUM($E56:K56))*K$13</f>
        <v>7129785.8991128784</v>
      </c>
      <c r="L74" s="23">
        <f>(SUM($E56:L56))*L$13</f>
        <v>11122466.002616091</v>
      </c>
      <c r="M74" s="23">
        <f>(SUM($E56:M56))*M$13</f>
        <v>15423152.85696098</v>
      </c>
      <c r="N74" s="23">
        <f>(SUM($E56:N56))*N$13</f>
        <v>20050098.714049276</v>
      </c>
      <c r="O74" s="23">
        <f>(SUM($E56:O56))*O$13</f>
        <v>25022523.195133492</v>
      </c>
      <c r="P74" s="23">
        <f>(SUM($E56:P56))*P$13</f>
        <v>30360661.476761974</v>
      </c>
      <c r="Q74" s="23">
        <f>(SUM($E56:Q56))*Q$13</f>
        <v>40596541.631784588</v>
      </c>
      <c r="R74" s="23">
        <f>(SUM($E56:R56))*R$13</f>
        <v>51602715.140846193</v>
      </c>
      <c r="S74" s="23">
        <f>(SUM($E56:S56))*S$13</f>
        <v>63424428.064021863</v>
      </c>
      <c r="T74" s="23">
        <f>(SUM($E56:T56))*T$13</f>
        <v>76109313.676826239</v>
      </c>
      <c r="U74" s="23">
        <f>(SUM($E56:U56))*U$13</f>
        <v>89707511.053752527</v>
      </c>
      <c r="V74" s="23">
        <f>(SUM($E56:V56))*V$13</f>
        <v>104271789.31895</v>
      </c>
      <c r="W74" s="23">
        <f>(SUM($E56:W56))*W$13</f>
        <v>125565186.2956619</v>
      </c>
    </row>
    <row r="75" spans="1:23">
      <c r="A75" s="22" t="s">
        <v>10</v>
      </c>
      <c r="D75" s="23">
        <f t="shared" si="10"/>
        <v>0</v>
      </c>
      <c r="E75" s="23">
        <f>(SUM($E57:E57))*E$13</f>
        <v>0</v>
      </c>
      <c r="F75" s="23">
        <f>(SUM($D57:F57))*F$13</f>
        <v>0</v>
      </c>
      <c r="G75" s="23">
        <f>(SUM($D57:G57))*G$13</f>
        <v>0</v>
      </c>
      <c r="H75" s="23">
        <f>(SUM($D57:H57))*H$13</f>
        <v>3155609.5166183044</v>
      </c>
      <c r="I75" s="23">
        <f>(SUM($D57:I57))*I$13</f>
        <v>6591887.8505111672</v>
      </c>
      <c r="J75" s="23">
        <f>(SUM($D57:J57))*J$13</f>
        <v>10283345.046797421</v>
      </c>
      <c r="K75" s="23">
        <f>(SUM($D57:K57))*K$13</f>
        <v>14259571.798225757</v>
      </c>
      <c r="L75" s="23">
        <f>(SUM($D57:L57))*L$13</f>
        <v>22244932.005232181</v>
      </c>
      <c r="M75" s="23">
        <f>(SUM($D57:M57))*M$13</f>
        <v>30846305.71392196</v>
      </c>
      <c r="N75" s="23">
        <f>(SUM($D57:N57))*N$13</f>
        <v>40100197.428098552</v>
      </c>
      <c r="O75" s="23">
        <f>(SUM($D57:O57))*O$13</f>
        <v>54215466.922789238</v>
      </c>
      <c r="P75" s="23">
        <f>(SUM($D57:P57))*P$13</f>
        <v>69395797.661170229</v>
      </c>
      <c r="Q75" s="23">
        <f>(SUM($D57:Q57))*Q$13</f>
        <v>85703810.111545235</v>
      </c>
      <c r="R75" s="23">
        <f>(SUM($D57:R57))*R$13</f>
        <v>103205430.28169239</v>
      </c>
      <c r="S75" s="23">
        <f>(SUM($D57:S57))*S$13</f>
        <v>126848856.12804373</v>
      </c>
      <c r="T75" s="23">
        <f>(SUM($D57:T57))*T$13</f>
        <v>152218627.35365248</v>
      </c>
      <c r="U75" s="23">
        <f>(SUM($D57:U57))*U$13</f>
        <v>179415022.10750505</v>
      </c>
      <c r="V75" s="23">
        <f>(SUM($D57:V57))*V$13</f>
        <v>214031567.54942366</v>
      </c>
      <c r="W75" s="23">
        <f>(SUM($D57:W57))*W$13</f>
        <v>251130372.59132379</v>
      </c>
    </row>
    <row r="76" spans="1:23">
      <c r="A76" s="22" t="s">
        <v>11</v>
      </c>
      <c r="D76" s="23">
        <f t="shared" si="10"/>
        <v>0</v>
      </c>
      <c r="E76" s="23">
        <f>(SUM($E58:E58))*E$13</f>
        <v>0</v>
      </c>
      <c r="F76" s="23">
        <f>(SUM($E58:F58))*F$13</f>
        <v>0</v>
      </c>
      <c r="G76" s="23">
        <f>(SUM($E58:G58))*G$13</f>
        <v>0</v>
      </c>
      <c r="H76" s="23">
        <f>(SUM($E58:H58))*H$13</f>
        <v>3155609.5166183044</v>
      </c>
      <c r="I76" s="23">
        <f>(SUM($E58:I58))*I$13</f>
        <v>6591887.8505111672</v>
      </c>
      <c r="J76" s="23">
        <f>(SUM($E58:J58))*J$13</f>
        <v>13711126.729063228</v>
      </c>
      <c r="K76" s="23">
        <f>(SUM($E58:K58))*K$13</f>
        <v>21389357.697338633</v>
      </c>
      <c r="L76" s="23">
        <f>(SUM($E58:L58))*L$13</f>
        <v>33367398.00784827</v>
      </c>
      <c r="M76" s="23">
        <f>(SUM($E58:M58))*M$13</f>
        <v>46269458.570882939</v>
      </c>
      <c r="N76" s="23">
        <f>(SUM($E58:N58))*N$13</f>
        <v>60150296.142147824</v>
      </c>
      <c r="O76" s="23">
        <f>(SUM($E58:O58))*O$13</f>
        <v>79237990.117922738</v>
      </c>
      <c r="P76" s="23">
        <f>(SUM($E58:P58))*P$13</f>
        <v>99756459.137932211</v>
      </c>
      <c r="Q76" s="23">
        <f>(SUM($E58:Q58))*Q$13</f>
        <v>126300351.74332982</v>
      </c>
      <c r="R76" s="23">
        <f>(SUM($E58:R58))*R$13</f>
        <v>154808145.42253858</v>
      </c>
      <c r="S76" s="23">
        <f>(SUM($E58:S58))*S$13</f>
        <v>190273284.19206557</v>
      </c>
      <c r="T76" s="23">
        <f>(SUM($E58:T58))*T$13</f>
        <v>228327941.03047872</v>
      </c>
      <c r="U76" s="23">
        <f>(SUM($E58:U58))*U$13</f>
        <v>269122533.16125757</v>
      </c>
      <c r="V76" s="23">
        <f>(SUM($E58:V58))*V$13</f>
        <v>318303356.86837369</v>
      </c>
      <c r="W76" s="23">
        <f>(SUM($F58:W58))*W$13</f>
        <v>370988050.41900104</v>
      </c>
    </row>
    <row r="77" spans="1:23">
      <c r="A77" s="22" t="s">
        <v>12</v>
      </c>
      <c r="D77" s="23">
        <f t="shared" si="10"/>
        <v>0</v>
      </c>
      <c r="E77" s="23">
        <f>(SUM($E59:E59))*E$13</f>
        <v>0</v>
      </c>
      <c r="F77" s="23">
        <f>(SUM($E59:F59))*F$13</f>
        <v>0</v>
      </c>
      <c r="G77" s="23">
        <f>(SUM($E59:G59))*G$13</f>
        <v>0</v>
      </c>
      <c r="H77" s="23">
        <f>(SUM($E59:H59))*H$13</f>
        <v>3155609.5166183044</v>
      </c>
      <c r="I77" s="23">
        <f>(SUM($E59:I59))*I$13</f>
        <v>6591887.8505111672</v>
      </c>
      <c r="J77" s="23">
        <f>(SUM($E59:J59))*J$13</f>
        <v>13711126.729063228</v>
      </c>
      <c r="K77" s="23">
        <f>(SUM($E59:K59))*K$13</f>
        <v>24954250.646895073</v>
      </c>
      <c r="L77" s="23">
        <f>(SUM($E59:L59))*L$13</f>
        <v>37074886.675386965</v>
      </c>
      <c r="M77" s="23">
        <f>(SUM($E59:M59))*M$13</f>
        <v>53981034.99936343</v>
      </c>
      <c r="N77" s="23">
        <f>(SUM($E59:N59))*N$13</f>
        <v>72180355.370577395</v>
      </c>
      <c r="O77" s="23">
        <f>(SUM($E59:O59))*O$13</f>
        <v>95919672.248011723</v>
      </c>
      <c r="P77" s="23">
        <f>(SUM($E59:P59))*P$13</f>
        <v>121442645.9070479</v>
      </c>
      <c r="Q77" s="23">
        <f>(SUM($E59:Q59))*Q$13</f>
        <v>153364712.83118621</v>
      </c>
      <c r="R77" s="23">
        <f>(SUM(F59:R59))*R$13</f>
        <v>187646236.87580433</v>
      </c>
      <c r="S77" s="23">
        <f t="shared" ref="S77:W77" si="11">(SUM(G59:S59))*S$13</f>
        <v>229303701.46223289</v>
      </c>
      <c r="T77" s="23">
        <f t="shared" si="11"/>
        <v>273993529.23657447</v>
      </c>
      <c r="U77" s="23">
        <f t="shared" si="11"/>
        <v>321891657.31052375</v>
      </c>
      <c r="V77" s="23">
        <f t="shared" si="11"/>
        <v>373183245.98361051</v>
      </c>
      <c r="W77" s="23">
        <f t="shared" si="11"/>
        <v>428063135.09884739</v>
      </c>
    </row>
    <row r="78" spans="1:23">
      <c r="A78" s="22" t="s">
        <v>13</v>
      </c>
      <c r="D78" s="23">
        <f t="shared" si="10"/>
        <v>0</v>
      </c>
      <c r="E78" s="23">
        <f>(SUM($E60:E60))*E$13</f>
        <v>0</v>
      </c>
      <c r="F78" s="23">
        <f>(SUM($E60:F60))*F$13</f>
        <v>0</v>
      </c>
      <c r="G78" s="23">
        <f>(SUM($E60:G60))*G$13</f>
        <v>0</v>
      </c>
      <c r="H78" s="23">
        <f>(SUM($E60:H60))*H$13</f>
        <v>3155609.5166183044</v>
      </c>
      <c r="I78" s="23">
        <f>(SUM($E60:I60))*I$13</f>
        <v>6591887.8505111672</v>
      </c>
      <c r="J78" s="23">
        <f>(SUM($E60:J60))*J$13</f>
        <v>13711126.729063228</v>
      </c>
      <c r="K78" s="23">
        <f>(SUM($E60:K60))*K$13</f>
        <v>21389357.697338633</v>
      </c>
      <c r="L78" s="23">
        <f>(SUM($E60:L60))*L$13</f>
        <v>33367398.00784827</v>
      </c>
      <c r="M78" s="23">
        <f>(SUM(F60:M60))*M$13</f>
        <v>46269458.570882939</v>
      </c>
      <c r="N78" s="23">
        <f t="shared" ref="N78:W78" si="12">(SUM(G60:N60))*N$13</f>
        <v>64160315.884957679</v>
      </c>
      <c r="O78" s="23">
        <f t="shared" si="12"/>
        <v>83408410.650444984</v>
      </c>
      <c r="P78" s="23">
        <f t="shared" si="12"/>
        <v>99756459.137932211</v>
      </c>
      <c r="Q78" s="23">
        <f t="shared" si="12"/>
        <v>121789624.89535376</v>
      </c>
      <c r="R78" s="23">
        <f t="shared" si="12"/>
        <v>140734677.65685326</v>
      </c>
      <c r="S78" s="23">
        <f t="shared" si="12"/>
        <v>165879273.39821103</v>
      </c>
      <c r="T78" s="23">
        <f t="shared" si="12"/>
        <v>187736307.06950471</v>
      </c>
      <c r="U78" s="23">
        <f t="shared" si="12"/>
        <v>216353409.01199138</v>
      </c>
      <c r="V78" s="23">
        <f t="shared" si="12"/>
        <v>241471512.1070421</v>
      </c>
      <c r="W78" s="23">
        <f t="shared" si="12"/>
        <v>273960406.46326232</v>
      </c>
    </row>
    <row r="79" spans="1:23">
      <c r="A79" s="22" t="s">
        <v>14</v>
      </c>
      <c r="D79" s="23">
        <f t="shared" si="10"/>
        <v>0</v>
      </c>
      <c r="E79" s="23">
        <f>(SUM($E61:E61))*E$13</f>
        <v>0</v>
      </c>
      <c r="F79" s="23">
        <f>(SUM($E61:F61))*F$13</f>
        <v>0</v>
      </c>
      <c r="G79" s="23">
        <f>(SUM($E61:G61))*G$13</f>
        <v>0</v>
      </c>
      <c r="H79" s="23">
        <f>(SUM(F61:H61))*H$13</f>
        <v>3155609.5166183044</v>
      </c>
      <c r="I79" s="23">
        <f t="shared" ref="I79:W79" si="13">(SUM(G61:I61))*I$13</f>
        <v>6591887.8505111672</v>
      </c>
      <c r="J79" s="23">
        <f t="shared" si="13"/>
        <v>13711126.729063228</v>
      </c>
      <c r="K79" s="23">
        <f t="shared" si="13"/>
        <v>17824464.747782197</v>
      </c>
      <c r="L79" s="23">
        <f t="shared" si="13"/>
        <v>25952420.67277088</v>
      </c>
      <c r="M79" s="23">
        <f t="shared" si="13"/>
        <v>30846305.71392196</v>
      </c>
      <c r="N79" s="23">
        <f t="shared" si="13"/>
        <v>40100197.428098552</v>
      </c>
      <c r="O79" s="23">
        <f t="shared" si="13"/>
        <v>45874625.857744738</v>
      </c>
      <c r="P79" s="23">
        <f t="shared" si="13"/>
        <v>56384085.599700809</v>
      </c>
      <c r="Q79" s="23">
        <f t="shared" si="13"/>
        <v>63150175.871664912</v>
      </c>
      <c r="R79" s="23">
        <f t="shared" si="13"/>
        <v>75058494.750321731</v>
      </c>
      <c r="S79" s="23">
        <f t="shared" si="13"/>
        <v>82939636.699105516</v>
      </c>
      <c r="T79" s="23">
        <f t="shared" si="13"/>
        <v>96405130.657313228</v>
      </c>
      <c r="U79" s="23">
        <f t="shared" si="13"/>
        <v>105538248.29853238</v>
      </c>
      <c r="V79" s="23">
        <f t="shared" si="13"/>
        <v>120735756.05352105</v>
      </c>
      <c r="W79" s="23">
        <f t="shared" si="13"/>
        <v>131272694.76364653</v>
      </c>
    </row>
    <row r="80" spans="1:23">
      <c r="A80" s="22" t="s">
        <v>15</v>
      </c>
      <c r="D80" s="23">
        <f t="shared" si="10"/>
        <v>0</v>
      </c>
      <c r="E80" s="23">
        <f>(SUM($D62:E62))*E$13</f>
        <v>0</v>
      </c>
      <c r="F80" s="23">
        <f>(SUM($D62:F62))*F$13</f>
        <v>0</v>
      </c>
      <c r="G80" s="23">
        <f>(SUM($D62:G62))*G$13</f>
        <v>0</v>
      </c>
      <c r="H80" s="23">
        <f>(SUM($D62:H62))*H$13</f>
        <v>0</v>
      </c>
      <c r="I80" s="23">
        <f>(SUM($D62:I62))*I$13</f>
        <v>0</v>
      </c>
      <c r="J80" s="23">
        <f>(SUM($D62:J62))*J$13</f>
        <v>0</v>
      </c>
      <c r="K80" s="23">
        <f>(SUM($D62:K62))*K$13</f>
        <v>3564892.9495564392</v>
      </c>
      <c r="L80" s="23">
        <f>(SUM($D62:L62))*L$13</f>
        <v>7414977.3350773938</v>
      </c>
      <c r="M80" s="23">
        <f>(SUM($D62:M62))*M$13</f>
        <v>11567364.642720735</v>
      </c>
      <c r="N80" s="23">
        <f>(SUM($D62:N62))*N$13</f>
        <v>16040078.97123942</v>
      </c>
      <c r="O80" s="23">
        <f>(SUM($D62:O62))*O$13</f>
        <v>20852102.662611246</v>
      </c>
      <c r="P80" s="23">
        <f>(SUM($D62:P62))*P$13</f>
        <v>26023424.122938834</v>
      </c>
      <c r="Q80" s="23">
        <f>(SUM($D62:Q62))*Q$13</f>
        <v>31575087.935832456</v>
      </c>
      <c r="R80" s="23">
        <f>(SUM($D62:R62))*R$13</f>
        <v>37529247.375160865</v>
      </c>
      <c r="S80" s="23">
        <f>(SUM($D62:S62))*S$13</f>
        <v>43909219.42893821</v>
      </c>
      <c r="T80" s="23">
        <f>(SUM($D62:T62))*T$13</f>
        <v>55813496.696339242</v>
      </c>
      <c r="U80" s="23">
        <f>(SUM($D62:U62))*U$13</f>
        <v>68599861.394046053</v>
      </c>
      <c r="V80" s="23">
        <f>(SUM($D62:V62))*V$13</f>
        <v>82319833.672855258</v>
      </c>
      <c r="W80" s="23">
        <f>(SUM($D62:W62))*W$13</f>
        <v>97027643.955738738</v>
      </c>
    </row>
    <row r="81" spans="1:23">
      <c r="A81">
        <v>66</v>
      </c>
      <c r="D81" s="23"/>
      <c r="E81" s="23"/>
      <c r="F81" s="23"/>
      <c r="G81" s="23"/>
      <c r="H81" s="23"/>
      <c r="I81" s="23"/>
      <c r="J81" s="23"/>
      <c r="K81" s="23"/>
      <c r="L81" s="23"/>
      <c r="M81" s="23"/>
      <c r="N81" s="23"/>
      <c r="O81" s="23"/>
      <c r="P81" s="23"/>
      <c r="Q81" s="23"/>
      <c r="R81" s="23"/>
      <c r="S81" s="23"/>
      <c r="T81" s="23"/>
      <c r="U81" s="23"/>
      <c r="V81" s="23"/>
      <c r="W81" s="23"/>
    </row>
    <row r="82" spans="1:23">
      <c r="A82">
        <v>67</v>
      </c>
    </row>
    <row r="83" spans="1:23">
      <c r="A83">
        <v>68</v>
      </c>
    </row>
    <row r="84" spans="1:23">
      <c r="A84">
        <v>69</v>
      </c>
    </row>
    <row r="85" spans="1:23">
      <c r="A85">
        <v>70</v>
      </c>
      <c r="D85" s="3"/>
      <c r="E85" s="3"/>
      <c r="F85" s="3"/>
      <c r="G85" s="3"/>
      <c r="H85" s="3"/>
      <c r="I85" s="3"/>
      <c r="J85" s="3"/>
      <c r="K85" s="3"/>
      <c r="L85" s="3"/>
      <c r="M85" s="3"/>
      <c r="N85" s="3"/>
      <c r="O85" s="3"/>
      <c r="P85" s="3"/>
      <c r="Q85" s="3"/>
      <c r="R85" s="3"/>
      <c r="S85" s="3"/>
      <c r="T85" s="3"/>
      <c r="U85" s="3"/>
      <c r="V85" s="3"/>
      <c r="W85" s="3"/>
    </row>
    <row r="86" spans="1:23">
      <c r="A86" s="22" t="s">
        <v>43</v>
      </c>
      <c r="D86" s="23">
        <f>SUM(D70:D85)</f>
        <v>0</v>
      </c>
      <c r="E86" s="23">
        <f t="shared" ref="E86:W86" si="14">SUM(E70:E85)</f>
        <v>0</v>
      </c>
      <c r="F86" s="23">
        <f t="shared" si="14"/>
        <v>0</v>
      </c>
      <c r="G86" s="23">
        <f t="shared" si="14"/>
        <v>0</v>
      </c>
      <c r="H86" s="23">
        <f t="shared" si="14"/>
        <v>15778047.583091522</v>
      </c>
      <c r="I86" s="23">
        <f t="shared" si="14"/>
        <v>32959439.252555836</v>
      </c>
      <c r="J86" s="23">
        <f t="shared" si="14"/>
        <v>68555633.645316139</v>
      </c>
      <c r="K86" s="23">
        <f t="shared" si="14"/>
        <v>110511681.43624961</v>
      </c>
      <c r="L86" s="23">
        <f t="shared" si="14"/>
        <v>170544478.70678008</v>
      </c>
      <c r="M86" s="23">
        <f t="shared" si="14"/>
        <v>239058869.28289518</v>
      </c>
      <c r="N86" s="23">
        <f t="shared" si="14"/>
        <v>320801579.42478842</v>
      </c>
      <c r="O86" s="23">
        <f t="shared" si="14"/>
        <v>417042053.25222492</v>
      </c>
      <c r="P86" s="23">
        <f t="shared" si="14"/>
        <v>524805719.81259984</v>
      </c>
      <c r="Q86" s="23">
        <f t="shared" si="14"/>
        <v>654055392.9565295</v>
      </c>
      <c r="R86" s="23">
        <f t="shared" si="14"/>
        <v>792805350.80027318</v>
      </c>
      <c r="S86" s="23">
        <f t="shared" si="14"/>
        <v>956245223.11909866</v>
      </c>
      <c r="T86" s="23">
        <f t="shared" si="14"/>
        <v>1136565750.9072719</v>
      </c>
      <c r="U86" s="23">
        <f t="shared" si="14"/>
        <v>1329781928.5615079</v>
      </c>
      <c r="V86" s="23">
        <f t="shared" si="14"/>
        <v>1547612873.0496788</v>
      </c>
      <c r="W86" s="23">
        <f t="shared" si="14"/>
        <v>1786450150.4791899</v>
      </c>
    </row>
    <row r="87" spans="1:23">
      <c r="A87" s="22"/>
      <c r="D87" s="23"/>
      <c r="E87" s="23"/>
      <c r="F87" s="23"/>
      <c r="G87" s="23"/>
      <c r="H87" s="23"/>
      <c r="I87" s="23"/>
      <c r="J87" s="23"/>
      <c r="K87" s="23"/>
      <c r="L87" s="23"/>
      <c r="M87" s="23"/>
      <c r="N87" s="23"/>
      <c r="O87" s="23"/>
      <c r="P87" s="23"/>
      <c r="Q87" s="23"/>
      <c r="R87" s="23"/>
      <c r="S87" s="23"/>
      <c r="T87" s="23"/>
      <c r="U87" s="23"/>
      <c r="V87" s="23"/>
      <c r="W87" s="23"/>
    </row>
    <row r="88" spans="1:23">
      <c r="A88" t="s">
        <v>135</v>
      </c>
      <c r="D88" s="23"/>
      <c r="E88" s="23"/>
      <c r="F88" s="23"/>
      <c r="G88" s="23"/>
      <c r="H88" s="23"/>
      <c r="I88" s="23"/>
      <c r="J88" s="23"/>
      <c r="K88" s="21"/>
      <c r="L88" s="23"/>
      <c r="M88" s="23"/>
      <c r="N88" s="23"/>
      <c r="O88" s="23"/>
      <c r="P88" s="23"/>
      <c r="Q88" s="23"/>
      <c r="R88" s="23"/>
      <c r="S88" s="23"/>
      <c r="T88" s="23"/>
      <c r="U88" s="23"/>
      <c r="V88" s="23"/>
      <c r="W88" s="23"/>
    </row>
    <row r="89" spans="1:23">
      <c r="A89" t="s">
        <v>70</v>
      </c>
    </row>
    <row r="90" spans="1:23">
      <c r="B90" t="s">
        <v>71</v>
      </c>
      <c r="C90" t="s">
        <v>72</v>
      </c>
      <c r="D90">
        <v>1</v>
      </c>
      <c r="E90">
        <v>2</v>
      </c>
      <c r="F90">
        <v>3</v>
      </c>
      <c r="G90">
        <v>4</v>
      </c>
      <c r="H90">
        <v>5</v>
      </c>
      <c r="I90">
        <v>6</v>
      </c>
      <c r="J90">
        <v>7</v>
      </c>
      <c r="K90">
        <v>8</v>
      </c>
      <c r="L90">
        <v>9</v>
      </c>
      <c r="M90">
        <v>10</v>
      </c>
      <c r="N90">
        <v>11</v>
      </c>
      <c r="O90">
        <v>12</v>
      </c>
      <c r="P90">
        <v>13</v>
      </c>
      <c r="Q90">
        <v>14</v>
      </c>
      <c r="R90">
        <v>15</v>
      </c>
      <c r="S90">
        <v>16</v>
      </c>
      <c r="T90">
        <v>17</v>
      </c>
      <c r="U90">
        <v>18</v>
      </c>
      <c r="V90">
        <v>19</v>
      </c>
      <c r="W90">
        <v>20</v>
      </c>
    </row>
    <row r="91" spans="1:23">
      <c r="A91" s="22" t="s">
        <v>5</v>
      </c>
      <c r="B91">
        <v>10</v>
      </c>
      <c r="C91">
        <v>3</v>
      </c>
      <c r="D91">
        <f>NORMDIST(D$90,$B91,$C91,)</f>
        <v>1.4772828039793357E-3</v>
      </c>
      <c r="E91">
        <f t="shared" ref="E91:W101" si="15">NORMDIST(E$90,$B91,$C91,)</f>
        <v>3.798662007932481E-3</v>
      </c>
      <c r="F91">
        <f t="shared" si="15"/>
        <v>8.7406296979031604E-3</v>
      </c>
      <c r="G91">
        <f t="shared" si="15"/>
        <v>1.7996988837729353E-2</v>
      </c>
      <c r="H91">
        <f t="shared" si="15"/>
        <v>3.3159046264249557E-2</v>
      </c>
      <c r="I91">
        <f t="shared" si="15"/>
        <v>5.4670024891997876E-2</v>
      </c>
      <c r="J91">
        <f t="shared" si="15"/>
        <v>8.0656908173047798E-2</v>
      </c>
      <c r="K91">
        <f t="shared" si="15"/>
        <v>0.10648266850745074</v>
      </c>
      <c r="L91">
        <f t="shared" si="15"/>
        <v>0.12579440923099772</v>
      </c>
      <c r="M91">
        <f t="shared" si="15"/>
        <v>0.13298076013381088</v>
      </c>
      <c r="N91">
        <f t="shared" si="15"/>
        <v>0.12579440923099772</v>
      </c>
      <c r="O91">
        <f t="shared" si="15"/>
        <v>0.10648266850745074</v>
      </c>
      <c r="P91">
        <f t="shared" si="15"/>
        <v>8.0656908173047798E-2</v>
      </c>
      <c r="Q91">
        <f t="shared" si="15"/>
        <v>5.4670024891997876E-2</v>
      </c>
      <c r="R91">
        <f t="shared" si="15"/>
        <v>3.3159046264249557E-2</v>
      </c>
      <c r="S91">
        <f t="shared" si="15"/>
        <v>1.7996988837729353E-2</v>
      </c>
      <c r="T91">
        <f t="shared" si="15"/>
        <v>8.7406296979031604E-3</v>
      </c>
      <c r="U91">
        <f t="shared" si="15"/>
        <v>3.798662007932481E-3</v>
      </c>
      <c r="V91">
        <f t="shared" si="15"/>
        <v>1.4772828039793357E-3</v>
      </c>
      <c r="W91">
        <f t="shared" si="15"/>
        <v>5.140929987637018E-4</v>
      </c>
    </row>
    <row r="92" spans="1:23">
      <c r="A92" s="22" t="s">
        <v>6</v>
      </c>
      <c r="B92">
        <v>10</v>
      </c>
      <c r="C92">
        <v>3</v>
      </c>
      <c r="D92">
        <f t="shared" ref="D92:D101" si="16">NORMDIST(D$90,$B92,$C92,)</f>
        <v>1.4772828039793357E-3</v>
      </c>
      <c r="E92">
        <f t="shared" si="15"/>
        <v>3.798662007932481E-3</v>
      </c>
      <c r="F92">
        <f t="shared" si="15"/>
        <v>8.7406296979031604E-3</v>
      </c>
      <c r="G92">
        <f t="shared" si="15"/>
        <v>1.7996988837729353E-2</v>
      </c>
      <c r="H92">
        <f t="shared" si="15"/>
        <v>3.3159046264249557E-2</v>
      </c>
      <c r="I92">
        <f t="shared" si="15"/>
        <v>5.4670024891997876E-2</v>
      </c>
      <c r="J92">
        <f t="shared" si="15"/>
        <v>8.0656908173047798E-2</v>
      </c>
      <c r="K92">
        <f t="shared" si="15"/>
        <v>0.10648266850745074</v>
      </c>
      <c r="L92">
        <f t="shared" si="15"/>
        <v>0.12579440923099772</v>
      </c>
      <c r="M92">
        <f t="shared" si="15"/>
        <v>0.13298076013381088</v>
      </c>
      <c r="N92">
        <f t="shared" si="15"/>
        <v>0.12579440923099772</v>
      </c>
      <c r="O92">
        <f t="shared" si="15"/>
        <v>0.10648266850745074</v>
      </c>
      <c r="P92">
        <f t="shared" si="15"/>
        <v>8.0656908173047798E-2</v>
      </c>
      <c r="Q92">
        <f t="shared" si="15"/>
        <v>5.4670024891997876E-2</v>
      </c>
      <c r="R92">
        <f t="shared" si="15"/>
        <v>3.3159046264249557E-2</v>
      </c>
      <c r="S92">
        <f t="shared" si="15"/>
        <v>1.7996988837729353E-2</v>
      </c>
      <c r="T92">
        <f t="shared" si="15"/>
        <v>8.7406296979031604E-3</v>
      </c>
      <c r="U92">
        <f t="shared" si="15"/>
        <v>3.798662007932481E-3</v>
      </c>
      <c r="V92">
        <f t="shared" si="15"/>
        <v>1.4772828039793357E-3</v>
      </c>
      <c r="W92">
        <f t="shared" si="15"/>
        <v>5.140929987637018E-4</v>
      </c>
    </row>
    <row r="93" spans="1:23">
      <c r="A93" s="22" t="s">
        <v>7</v>
      </c>
      <c r="B93">
        <v>9</v>
      </c>
      <c r="C93">
        <v>3</v>
      </c>
      <c r="D93">
        <f t="shared" si="16"/>
        <v>3.798662007932481E-3</v>
      </c>
      <c r="E93">
        <f t="shared" si="15"/>
        <v>8.7406296979031604E-3</v>
      </c>
      <c r="F93">
        <f t="shared" si="15"/>
        <v>1.7996988837729353E-2</v>
      </c>
      <c r="G93">
        <f t="shared" si="15"/>
        <v>3.3159046264249557E-2</v>
      </c>
      <c r="H93">
        <f t="shared" si="15"/>
        <v>5.4670024891997876E-2</v>
      </c>
      <c r="I93">
        <f t="shared" si="15"/>
        <v>8.0656908173047798E-2</v>
      </c>
      <c r="J93">
        <f t="shared" si="15"/>
        <v>0.10648266850745074</v>
      </c>
      <c r="K93">
        <f t="shared" si="15"/>
        <v>0.12579440923099772</v>
      </c>
      <c r="L93">
        <f t="shared" si="15"/>
        <v>0.13298076013381088</v>
      </c>
      <c r="M93">
        <f t="shared" si="15"/>
        <v>0.12579440923099772</v>
      </c>
      <c r="N93">
        <f t="shared" si="15"/>
        <v>0.10648266850745074</v>
      </c>
      <c r="O93">
        <f t="shared" si="15"/>
        <v>8.0656908173047798E-2</v>
      </c>
      <c r="P93">
        <f t="shared" si="15"/>
        <v>5.4670024891997876E-2</v>
      </c>
      <c r="Q93">
        <f t="shared" si="15"/>
        <v>3.3159046264249557E-2</v>
      </c>
      <c r="R93">
        <f t="shared" si="15"/>
        <v>1.7996988837729353E-2</v>
      </c>
      <c r="S93">
        <f t="shared" si="15"/>
        <v>8.7406296979031604E-3</v>
      </c>
      <c r="T93">
        <f t="shared" si="15"/>
        <v>3.798662007932481E-3</v>
      </c>
      <c r="U93">
        <f t="shared" si="15"/>
        <v>1.4772828039793357E-3</v>
      </c>
      <c r="V93">
        <f t="shared" si="15"/>
        <v>5.140929987637018E-4</v>
      </c>
      <c r="W93">
        <f t="shared" si="15"/>
        <v>1.6009021720694023E-4</v>
      </c>
    </row>
    <row r="94" spans="1:23">
      <c r="A94" s="22" t="s">
        <v>8</v>
      </c>
      <c r="B94">
        <v>9</v>
      </c>
      <c r="C94">
        <v>3</v>
      </c>
      <c r="D94">
        <f t="shared" si="16"/>
        <v>3.798662007932481E-3</v>
      </c>
      <c r="E94">
        <f t="shared" si="15"/>
        <v>8.7406296979031604E-3</v>
      </c>
      <c r="F94">
        <f t="shared" si="15"/>
        <v>1.7996988837729353E-2</v>
      </c>
      <c r="G94">
        <f t="shared" si="15"/>
        <v>3.3159046264249557E-2</v>
      </c>
      <c r="H94">
        <f t="shared" si="15"/>
        <v>5.4670024891997876E-2</v>
      </c>
      <c r="I94">
        <f t="shared" si="15"/>
        <v>8.0656908173047798E-2</v>
      </c>
      <c r="J94">
        <f t="shared" si="15"/>
        <v>0.10648266850745074</v>
      </c>
      <c r="K94">
        <f t="shared" si="15"/>
        <v>0.12579440923099772</v>
      </c>
      <c r="L94">
        <f t="shared" si="15"/>
        <v>0.13298076013381088</v>
      </c>
      <c r="M94">
        <f t="shared" si="15"/>
        <v>0.12579440923099772</v>
      </c>
      <c r="N94">
        <f t="shared" si="15"/>
        <v>0.10648266850745074</v>
      </c>
      <c r="O94">
        <f t="shared" si="15"/>
        <v>8.0656908173047798E-2</v>
      </c>
      <c r="P94">
        <f t="shared" si="15"/>
        <v>5.4670024891997876E-2</v>
      </c>
      <c r="Q94">
        <f t="shared" si="15"/>
        <v>3.3159046264249557E-2</v>
      </c>
      <c r="R94">
        <f t="shared" si="15"/>
        <v>1.7996988837729353E-2</v>
      </c>
      <c r="S94">
        <f t="shared" si="15"/>
        <v>8.7406296979031604E-3</v>
      </c>
      <c r="T94">
        <f t="shared" si="15"/>
        <v>3.798662007932481E-3</v>
      </c>
      <c r="U94">
        <f t="shared" si="15"/>
        <v>1.4772828039793357E-3</v>
      </c>
      <c r="V94">
        <f t="shared" si="15"/>
        <v>5.140929987637018E-4</v>
      </c>
      <c r="W94">
        <f t="shared" si="15"/>
        <v>1.6009021720694023E-4</v>
      </c>
    </row>
    <row r="95" spans="1:23">
      <c r="A95" s="22" t="s">
        <v>9</v>
      </c>
      <c r="B95">
        <v>8</v>
      </c>
      <c r="C95">
        <v>3</v>
      </c>
      <c r="D95">
        <f t="shared" si="16"/>
        <v>8.7406296979031604E-3</v>
      </c>
      <c r="E95">
        <f t="shared" si="15"/>
        <v>1.7996988837729353E-2</v>
      </c>
      <c r="F95">
        <f t="shared" si="15"/>
        <v>3.3159046264249557E-2</v>
      </c>
      <c r="G95">
        <f t="shared" si="15"/>
        <v>5.4670024891997876E-2</v>
      </c>
      <c r="H95">
        <f t="shared" si="15"/>
        <v>8.0656908173047798E-2</v>
      </c>
      <c r="I95">
        <f t="shared" si="15"/>
        <v>0.10648266850745074</v>
      </c>
      <c r="J95">
        <f t="shared" si="15"/>
        <v>0.12579440923099772</v>
      </c>
      <c r="K95">
        <f t="shared" si="15"/>
        <v>0.13298076013381088</v>
      </c>
      <c r="L95">
        <f t="shared" si="15"/>
        <v>0.12579440923099772</v>
      </c>
      <c r="M95">
        <f t="shared" si="15"/>
        <v>0.10648266850745074</v>
      </c>
      <c r="N95">
        <f t="shared" si="15"/>
        <v>8.0656908173047798E-2</v>
      </c>
      <c r="O95">
        <f t="shared" si="15"/>
        <v>5.4670024891997876E-2</v>
      </c>
      <c r="P95">
        <f t="shared" si="15"/>
        <v>3.3159046264249557E-2</v>
      </c>
      <c r="Q95">
        <f t="shared" si="15"/>
        <v>1.7996988837729353E-2</v>
      </c>
      <c r="R95">
        <f t="shared" si="15"/>
        <v>8.7406296979031604E-3</v>
      </c>
      <c r="S95">
        <f t="shared" si="15"/>
        <v>3.798662007932481E-3</v>
      </c>
      <c r="T95">
        <f t="shared" si="15"/>
        <v>1.4772828039793357E-3</v>
      </c>
      <c r="U95">
        <f t="shared" si="15"/>
        <v>5.140929987637018E-4</v>
      </c>
      <c r="V95">
        <f t="shared" si="15"/>
        <v>1.6009021720694023E-4</v>
      </c>
      <c r="W95">
        <f t="shared" si="15"/>
        <v>4.4610075254961789E-5</v>
      </c>
    </row>
    <row r="96" spans="1:23">
      <c r="A96" s="22" t="s">
        <v>10</v>
      </c>
      <c r="B96">
        <v>8</v>
      </c>
      <c r="C96">
        <v>3</v>
      </c>
      <c r="D96">
        <f t="shared" si="16"/>
        <v>8.7406296979031604E-3</v>
      </c>
      <c r="E96">
        <f t="shared" si="15"/>
        <v>1.7996988837729353E-2</v>
      </c>
      <c r="F96">
        <f t="shared" si="15"/>
        <v>3.3159046264249557E-2</v>
      </c>
      <c r="G96">
        <f t="shared" si="15"/>
        <v>5.4670024891997876E-2</v>
      </c>
      <c r="H96">
        <f t="shared" si="15"/>
        <v>8.0656908173047798E-2</v>
      </c>
      <c r="I96">
        <f t="shared" si="15"/>
        <v>0.10648266850745074</v>
      </c>
      <c r="J96">
        <f t="shared" si="15"/>
        <v>0.12579440923099772</v>
      </c>
      <c r="K96">
        <f t="shared" si="15"/>
        <v>0.13298076013381088</v>
      </c>
      <c r="L96">
        <f t="shared" si="15"/>
        <v>0.12579440923099772</v>
      </c>
      <c r="M96">
        <f t="shared" si="15"/>
        <v>0.10648266850745074</v>
      </c>
      <c r="N96">
        <f t="shared" si="15"/>
        <v>8.0656908173047798E-2</v>
      </c>
      <c r="O96">
        <f t="shared" si="15"/>
        <v>5.4670024891997876E-2</v>
      </c>
      <c r="P96">
        <f t="shared" si="15"/>
        <v>3.3159046264249557E-2</v>
      </c>
      <c r="Q96">
        <f t="shared" si="15"/>
        <v>1.7996988837729353E-2</v>
      </c>
      <c r="R96">
        <f t="shared" si="15"/>
        <v>8.7406296979031604E-3</v>
      </c>
      <c r="S96">
        <f t="shared" si="15"/>
        <v>3.798662007932481E-3</v>
      </c>
      <c r="T96">
        <f t="shared" si="15"/>
        <v>1.4772828039793357E-3</v>
      </c>
      <c r="U96">
        <f t="shared" si="15"/>
        <v>5.140929987637018E-4</v>
      </c>
      <c r="V96">
        <f t="shared" si="15"/>
        <v>1.6009021720694023E-4</v>
      </c>
      <c r="W96">
        <f t="shared" si="15"/>
        <v>4.4610075254961789E-5</v>
      </c>
    </row>
    <row r="97" spans="1:23">
      <c r="A97" s="22" t="s">
        <v>11</v>
      </c>
      <c r="B97">
        <v>7</v>
      </c>
      <c r="C97">
        <v>3</v>
      </c>
      <c r="D97">
        <f t="shared" si="16"/>
        <v>1.7996988837729353E-2</v>
      </c>
      <c r="E97">
        <f t="shared" si="15"/>
        <v>3.3159046264249557E-2</v>
      </c>
      <c r="F97">
        <f t="shared" si="15"/>
        <v>5.4670024891997876E-2</v>
      </c>
      <c r="G97">
        <f t="shared" si="15"/>
        <v>8.0656908173047798E-2</v>
      </c>
      <c r="H97">
        <f t="shared" si="15"/>
        <v>0.10648266850745074</v>
      </c>
      <c r="I97">
        <f t="shared" si="15"/>
        <v>0.12579440923099772</v>
      </c>
      <c r="J97">
        <f t="shared" si="15"/>
        <v>0.13298076013381088</v>
      </c>
      <c r="K97">
        <f t="shared" si="15"/>
        <v>0.12579440923099772</v>
      </c>
      <c r="L97">
        <f t="shared" si="15"/>
        <v>0.10648266850745074</v>
      </c>
      <c r="M97">
        <f t="shared" si="15"/>
        <v>8.0656908173047798E-2</v>
      </c>
      <c r="N97">
        <f t="shared" si="15"/>
        <v>5.4670024891997876E-2</v>
      </c>
      <c r="O97">
        <f t="shared" si="15"/>
        <v>3.3159046264249557E-2</v>
      </c>
      <c r="P97">
        <f t="shared" si="15"/>
        <v>1.7996988837729353E-2</v>
      </c>
      <c r="Q97">
        <f t="shared" si="15"/>
        <v>8.7406296979031604E-3</v>
      </c>
      <c r="R97">
        <f t="shared" si="15"/>
        <v>3.798662007932481E-3</v>
      </c>
      <c r="S97">
        <f t="shared" si="15"/>
        <v>1.4772828039793357E-3</v>
      </c>
      <c r="T97">
        <f t="shared" si="15"/>
        <v>5.140929987637018E-4</v>
      </c>
      <c r="U97">
        <f t="shared" si="15"/>
        <v>1.6009021720694023E-4</v>
      </c>
      <c r="V97">
        <f t="shared" si="15"/>
        <v>4.4610075254961789E-5</v>
      </c>
      <c r="W97">
        <f t="shared" si="15"/>
        <v>1.1123620798546141E-5</v>
      </c>
    </row>
    <row r="98" spans="1:23">
      <c r="A98" s="22" t="s">
        <v>12</v>
      </c>
      <c r="B98">
        <v>7</v>
      </c>
      <c r="C98">
        <v>3</v>
      </c>
      <c r="D98">
        <f t="shared" si="16"/>
        <v>1.7996988837729353E-2</v>
      </c>
      <c r="E98">
        <f t="shared" si="15"/>
        <v>3.3159046264249557E-2</v>
      </c>
      <c r="F98">
        <f t="shared" si="15"/>
        <v>5.4670024891997876E-2</v>
      </c>
      <c r="G98">
        <f t="shared" si="15"/>
        <v>8.0656908173047798E-2</v>
      </c>
      <c r="H98">
        <f t="shared" si="15"/>
        <v>0.10648266850745074</v>
      </c>
      <c r="I98">
        <f t="shared" si="15"/>
        <v>0.12579440923099772</v>
      </c>
      <c r="J98">
        <f t="shared" si="15"/>
        <v>0.13298076013381088</v>
      </c>
      <c r="K98">
        <f t="shared" si="15"/>
        <v>0.12579440923099772</v>
      </c>
      <c r="L98">
        <f t="shared" si="15"/>
        <v>0.10648266850745074</v>
      </c>
      <c r="M98">
        <f t="shared" si="15"/>
        <v>8.0656908173047798E-2</v>
      </c>
      <c r="N98">
        <f t="shared" si="15"/>
        <v>5.4670024891997876E-2</v>
      </c>
      <c r="O98">
        <f t="shared" si="15"/>
        <v>3.3159046264249557E-2</v>
      </c>
      <c r="P98">
        <f t="shared" si="15"/>
        <v>1.7996988837729353E-2</v>
      </c>
      <c r="Q98">
        <f t="shared" si="15"/>
        <v>8.7406296979031604E-3</v>
      </c>
      <c r="R98">
        <f t="shared" si="15"/>
        <v>3.798662007932481E-3</v>
      </c>
      <c r="S98">
        <f t="shared" si="15"/>
        <v>1.4772828039793357E-3</v>
      </c>
      <c r="T98">
        <f t="shared" si="15"/>
        <v>5.140929987637018E-4</v>
      </c>
      <c r="U98">
        <f t="shared" si="15"/>
        <v>1.6009021720694023E-4</v>
      </c>
      <c r="V98">
        <f t="shared" si="15"/>
        <v>4.4610075254961789E-5</v>
      </c>
      <c r="W98">
        <f t="shared" si="15"/>
        <v>1.1123620798546141E-5</v>
      </c>
    </row>
    <row r="99" spans="1:23">
      <c r="A99" s="22" t="s">
        <v>13</v>
      </c>
      <c r="B99">
        <v>6</v>
      </c>
      <c r="C99">
        <v>2</v>
      </c>
      <c r="D99">
        <f t="shared" si="16"/>
        <v>8.7641502467842702E-3</v>
      </c>
      <c r="E99">
        <f t="shared" si="15"/>
        <v>2.6995483256594031E-2</v>
      </c>
      <c r="F99">
        <f t="shared" si="15"/>
        <v>6.4758797832945872E-2</v>
      </c>
      <c r="G99">
        <f t="shared" si="15"/>
        <v>0.12098536225957168</v>
      </c>
      <c r="H99">
        <f t="shared" si="15"/>
        <v>0.17603266338214976</v>
      </c>
      <c r="I99">
        <f t="shared" si="15"/>
        <v>0.19947114020071635</v>
      </c>
      <c r="J99">
        <f t="shared" si="15"/>
        <v>0.17603266338214976</v>
      </c>
      <c r="K99">
        <f t="shared" si="15"/>
        <v>0.12098536225957168</v>
      </c>
      <c r="L99">
        <f t="shared" si="15"/>
        <v>6.4758797832945872E-2</v>
      </c>
      <c r="M99">
        <f t="shared" si="15"/>
        <v>2.6995483256594031E-2</v>
      </c>
      <c r="N99">
        <f t="shared" si="15"/>
        <v>8.7641502467842702E-3</v>
      </c>
      <c r="O99">
        <f t="shared" si="15"/>
        <v>2.2159242059690038E-3</v>
      </c>
      <c r="P99">
        <f t="shared" si="15"/>
        <v>4.3634134752288008E-4</v>
      </c>
      <c r="Q99">
        <f t="shared" si="15"/>
        <v>6.6915112882442684E-5</v>
      </c>
      <c r="R99">
        <f t="shared" si="15"/>
        <v>7.9918705534527373E-6</v>
      </c>
      <c r="S99">
        <f t="shared" si="15"/>
        <v>7.4335975736714884E-7</v>
      </c>
      <c r="T99">
        <f t="shared" si="15"/>
        <v>5.384880021271638E-8</v>
      </c>
      <c r="U99">
        <f t="shared" si="15"/>
        <v>3.037941424911643E-9</v>
      </c>
      <c r="V99">
        <f t="shared" si="15"/>
        <v>1.334778307381426E-10</v>
      </c>
      <c r="W99">
        <f t="shared" si="15"/>
        <v>4.5673602041822968E-12</v>
      </c>
    </row>
    <row r="100" spans="1:23">
      <c r="A100" s="22" t="s">
        <v>14</v>
      </c>
      <c r="B100">
        <v>6</v>
      </c>
      <c r="C100">
        <v>2</v>
      </c>
      <c r="D100">
        <f t="shared" si="16"/>
        <v>8.7641502467842702E-3</v>
      </c>
      <c r="E100">
        <f t="shared" si="15"/>
        <v>2.6995483256594031E-2</v>
      </c>
      <c r="F100">
        <f t="shared" si="15"/>
        <v>6.4758797832945872E-2</v>
      </c>
      <c r="G100">
        <f t="shared" si="15"/>
        <v>0.12098536225957168</v>
      </c>
      <c r="H100">
        <f t="shared" si="15"/>
        <v>0.17603266338214976</v>
      </c>
      <c r="I100">
        <f t="shared" si="15"/>
        <v>0.19947114020071635</v>
      </c>
      <c r="J100">
        <f t="shared" si="15"/>
        <v>0.17603266338214976</v>
      </c>
      <c r="K100">
        <f t="shared" si="15"/>
        <v>0.12098536225957168</v>
      </c>
      <c r="L100">
        <f t="shared" si="15"/>
        <v>6.4758797832945872E-2</v>
      </c>
      <c r="M100">
        <f t="shared" si="15"/>
        <v>2.6995483256594031E-2</v>
      </c>
      <c r="N100">
        <f t="shared" si="15"/>
        <v>8.7641502467842702E-3</v>
      </c>
      <c r="O100">
        <f t="shared" si="15"/>
        <v>2.2159242059690038E-3</v>
      </c>
      <c r="P100">
        <f t="shared" si="15"/>
        <v>4.3634134752288008E-4</v>
      </c>
      <c r="Q100">
        <f t="shared" si="15"/>
        <v>6.6915112882442684E-5</v>
      </c>
      <c r="R100">
        <f t="shared" si="15"/>
        <v>7.9918705534527373E-6</v>
      </c>
      <c r="S100">
        <f t="shared" si="15"/>
        <v>7.4335975736714884E-7</v>
      </c>
      <c r="T100">
        <f t="shared" si="15"/>
        <v>5.384880021271638E-8</v>
      </c>
      <c r="U100">
        <f t="shared" si="15"/>
        <v>3.037941424911643E-9</v>
      </c>
      <c r="V100">
        <f t="shared" si="15"/>
        <v>1.334778307381426E-10</v>
      </c>
      <c r="W100">
        <f t="shared" si="15"/>
        <v>4.5673602041822968E-12</v>
      </c>
    </row>
    <row r="101" spans="1:23">
      <c r="A101" s="22" t="s">
        <v>15</v>
      </c>
      <c r="B101">
        <v>5</v>
      </c>
      <c r="C101">
        <v>2</v>
      </c>
      <c r="D101">
        <f t="shared" si="16"/>
        <v>2.6995483256594031E-2</v>
      </c>
      <c r="E101">
        <f t="shared" si="15"/>
        <v>6.4758797832945872E-2</v>
      </c>
      <c r="F101">
        <f t="shared" si="15"/>
        <v>0.12098536225957168</v>
      </c>
      <c r="G101">
        <f t="shared" si="15"/>
        <v>0.17603266338214976</v>
      </c>
      <c r="H101">
        <f t="shared" si="15"/>
        <v>0.19947114020071635</v>
      </c>
      <c r="I101">
        <f t="shared" si="15"/>
        <v>0.17603266338214976</v>
      </c>
      <c r="J101">
        <f t="shared" si="15"/>
        <v>0.12098536225957168</v>
      </c>
      <c r="K101">
        <f t="shared" si="15"/>
        <v>6.4758797832945872E-2</v>
      </c>
      <c r="L101">
        <f t="shared" si="15"/>
        <v>2.6995483256594031E-2</v>
      </c>
      <c r="M101">
        <f t="shared" si="15"/>
        <v>8.7641502467842702E-3</v>
      </c>
      <c r="N101">
        <f t="shared" si="15"/>
        <v>2.2159242059690038E-3</v>
      </c>
      <c r="O101">
        <f t="shared" si="15"/>
        <v>4.3634134752288008E-4</v>
      </c>
      <c r="P101">
        <f t="shared" si="15"/>
        <v>6.6915112882442684E-5</v>
      </c>
      <c r="Q101">
        <f t="shared" si="15"/>
        <v>7.9918705534527373E-6</v>
      </c>
      <c r="R101">
        <f t="shared" si="15"/>
        <v>7.4335975736714884E-7</v>
      </c>
      <c r="S101">
        <f t="shared" si="15"/>
        <v>5.384880021271638E-8</v>
      </c>
      <c r="T101">
        <f t="shared" si="15"/>
        <v>3.037941424911643E-9</v>
      </c>
      <c r="U101">
        <f t="shared" si="15"/>
        <v>1.334778307381426E-10</v>
      </c>
      <c r="V101">
        <f t="shared" si="15"/>
        <v>4.5673602041822968E-12</v>
      </c>
      <c r="W101">
        <f t="shared" si="15"/>
        <v>1.2171602665145048E-13</v>
      </c>
    </row>
    <row r="102" spans="1:23">
      <c r="A102" s="22"/>
    </row>
    <row r="103" spans="1:23">
      <c r="A103" s="30" t="s">
        <v>136</v>
      </c>
    </row>
    <row r="104" spans="1:23">
      <c r="A104" s="30"/>
    </row>
    <row r="105" spans="1:23">
      <c r="A105" s="22" t="s">
        <v>73</v>
      </c>
    </row>
    <row r="106" spans="1:23">
      <c r="A106" s="22" t="s">
        <v>41</v>
      </c>
      <c r="D106" s="3">
        <v>1</v>
      </c>
      <c r="E106" s="3">
        <v>2</v>
      </c>
      <c r="F106" s="3">
        <v>3</v>
      </c>
      <c r="G106" s="3">
        <v>4</v>
      </c>
      <c r="H106" s="3">
        <v>5</v>
      </c>
      <c r="I106" s="3">
        <v>6</v>
      </c>
      <c r="J106" s="3">
        <v>7</v>
      </c>
      <c r="K106" s="3">
        <v>8</v>
      </c>
      <c r="L106" s="3">
        <v>9</v>
      </c>
      <c r="M106" s="3">
        <v>10</v>
      </c>
      <c r="N106" s="3">
        <v>11</v>
      </c>
      <c r="O106" s="3">
        <v>12</v>
      </c>
      <c r="P106" s="3">
        <v>13</v>
      </c>
      <c r="Q106" s="3">
        <v>14</v>
      </c>
      <c r="R106" s="3">
        <v>15</v>
      </c>
      <c r="S106" s="3">
        <v>16</v>
      </c>
      <c r="T106" s="3">
        <v>17</v>
      </c>
      <c r="U106" s="3">
        <v>18</v>
      </c>
      <c r="V106" s="3">
        <v>19</v>
      </c>
      <c r="W106" s="3">
        <v>20</v>
      </c>
    </row>
    <row r="107" spans="1:23">
      <c r="A107" s="22" t="s">
        <v>5</v>
      </c>
      <c r="D107">
        <f>IF(D52&lt;=4,D52,0)</f>
        <v>0</v>
      </c>
      <c r="E107">
        <f t="shared" ref="E107:W117" si="17">IF(E52&lt;=4,E52,0)</f>
        <v>0</v>
      </c>
      <c r="F107">
        <f t="shared" si="17"/>
        <v>0</v>
      </c>
      <c r="G107">
        <f t="shared" si="17"/>
        <v>0</v>
      </c>
      <c r="H107">
        <f t="shared" si="17"/>
        <v>0</v>
      </c>
      <c r="I107">
        <f t="shared" si="17"/>
        <v>0</v>
      </c>
      <c r="J107">
        <f t="shared" si="17"/>
        <v>0</v>
      </c>
      <c r="K107">
        <f t="shared" si="17"/>
        <v>0</v>
      </c>
      <c r="L107">
        <f t="shared" si="17"/>
        <v>0</v>
      </c>
      <c r="M107">
        <f t="shared" si="17"/>
        <v>0</v>
      </c>
      <c r="N107">
        <f t="shared" si="17"/>
        <v>0</v>
      </c>
      <c r="O107">
        <f t="shared" si="17"/>
        <v>0</v>
      </c>
      <c r="P107">
        <f t="shared" si="17"/>
        <v>0</v>
      </c>
      <c r="Q107">
        <f t="shared" si="17"/>
        <v>0</v>
      </c>
      <c r="R107">
        <f t="shared" si="17"/>
        <v>0</v>
      </c>
      <c r="S107">
        <f t="shared" si="17"/>
        <v>0</v>
      </c>
      <c r="T107">
        <f t="shared" si="17"/>
        <v>0</v>
      </c>
      <c r="U107">
        <f t="shared" si="17"/>
        <v>0</v>
      </c>
      <c r="V107">
        <f t="shared" si="17"/>
        <v>0</v>
      </c>
      <c r="W107">
        <f t="shared" si="17"/>
        <v>0</v>
      </c>
    </row>
    <row r="108" spans="1:23">
      <c r="A108" s="22" t="s">
        <v>6</v>
      </c>
      <c r="D108">
        <f t="shared" ref="D108:S117" si="18">IF(D53&lt;=4,D53,0)</f>
        <v>0</v>
      </c>
      <c r="E108">
        <f t="shared" si="18"/>
        <v>0</v>
      </c>
      <c r="F108">
        <f t="shared" si="18"/>
        <v>0</v>
      </c>
      <c r="G108">
        <f t="shared" si="18"/>
        <v>0</v>
      </c>
      <c r="H108">
        <f t="shared" si="18"/>
        <v>0</v>
      </c>
      <c r="I108">
        <f t="shared" si="18"/>
        <v>0</v>
      </c>
      <c r="J108">
        <f t="shared" si="18"/>
        <v>0</v>
      </c>
      <c r="K108">
        <f t="shared" si="18"/>
        <v>0</v>
      </c>
      <c r="L108">
        <f t="shared" si="18"/>
        <v>0</v>
      </c>
      <c r="M108">
        <f t="shared" si="18"/>
        <v>0</v>
      </c>
      <c r="N108">
        <f t="shared" si="18"/>
        <v>0</v>
      </c>
      <c r="O108">
        <f t="shared" si="18"/>
        <v>0</v>
      </c>
      <c r="P108">
        <f t="shared" si="18"/>
        <v>0</v>
      </c>
      <c r="Q108">
        <f t="shared" si="18"/>
        <v>0</v>
      </c>
      <c r="R108">
        <f t="shared" si="18"/>
        <v>0</v>
      </c>
      <c r="S108">
        <f t="shared" si="18"/>
        <v>0</v>
      </c>
      <c r="T108">
        <f t="shared" si="17"/>
        <v>0</v>
      </c>
      <c r="U108">
        <f t="shared" si="17"/>
        <v>0</v>
      </c>
      <c r="V108">
        <f t="shared" si="17"/>
        <v>0</v>
      </c>
      <c r="W108">
        <f t="shared" si="17"/>
        <v>0</v>
      </c>
    </row>
    <row r="109" spans="1:23">
      <c r="A109" s="22" t="s">
        <v>7</v>
      </c>
      <c r="D109">
        <f t="shared" si="18"/>
        <v>0</v>
      </c>
      <c r="E109">
        <f t="shared" si="17"/>
        <v>0</v>
      </c>
      <c r="F109">
        <f t="shared" si="17"/>
        <v>0</v>
      </c>
      <c r="G109">
        <f t="shared" si="17"/>
        <v>0</v>
      </c>
      <c r="H109">
        <f t="shared" si="17"/>
        <v>0</v>
      </c>
      <c r="I109">
        <f t="shared" si="17"/>
        <v>0</v>
      </c>
      <c r="J109">
        <f t="shared" si="17"/>
        <v>0</v>
      </c>
      <c r="K109">
        <f t="shared" si="17"/>
        <v>0</v>
      </c>
      <c r="L109">
        <f t="shared" si="17"/>
        <v>0</v>
      </c>
      <c r="M109">
        <f t="shared" si="17"/>
        <v>0</v>
      </c>
      <c r="N109">
        <f t="shared" si="17"/>
        <v>0</v>
      </c>
      <c r="O109">
        <f t="shared" si="17"/>
        <v>0</v>
      </c>
      <c r="P109">
        <f t="shared" si="17"/>
        <v>1</v>
      </c>
      <c r="Q109">
        <f t="shared" si="17"/>
        <v>1</v>
      </c>
      <c r="R109">
        <f t="shared" si="17"/>
        <v>1</v>
      </c>
      <c r="S109">
        <f t="shared" si="17"/>
        <v>1</v>
      </c>
      <c r="T109">
        <f t="shared" si="17"/>
        <v>1</v>
      </c>
      <c r="U109">
        <f t="shared" si="17"/>
        <v>1</v>
      </c>
      <c r="V109">
        <f t="shared" si="17"/>
        <v>1</v>
      </c>
      <c r="W109">
        <f t="shared" si="17"/>
        <v>1</v>
      </c>
    </row>
    <row r="110" spans="1:23">
      <c r="A110" s="22" t="s">
        <v>8</v>
      </c>
      <c r="D110">
        <f t="shared" si="18"/>
        <v>0</v>
      </c>
      <c r="E110">
        <f t="shared" si="17"/>
        <v>0</v>
      </c>
      <c r="F110">
        <f t="shared" si="17"/>
        <v>0</v>
      </c>
      <c r="G110">
        <f t="shared" si="17"/>
        <v>0</v>
      </c>
      <c r="H110">
        <f t="shared" si="17"/>
        <v>0</v>
      </c>
      <c r="I110">
        <f t="shared" si="17"/>
        <v>0</v>
      </c>
      <c r="J110">
        <f t="shared" si="17"/>
        <v>0</v>
      </c>
      <c r="K110">
        <f t="shared" si="17"/>
        <v>0</v>
      </c>
      <c r="L110">
        <f t="shared" si="17"/>
        <v>0</v>
      </c>
      <c r="M110">
        <f t="shared" si="17"/>
        <v>1</v>
      </c>
      <c r="N110">
        <f t="shared" si="17"/>
        <v>1</v>
      </c>
      <c r="O110">
        <f t="shared" si="17"/>
        <v>1</v>
      </c>
      <c r="P110">
        <f t="shared" si="17"/>
        <v>1</v>
      </c>
      <c r="Q110">
        <f t="shared" si="17"/>
        <v>1</v>
      </c>
      <c r="R110">
        <f t="shared" si="17"/>
        <v>1</v>
      </c>
      <c r="S110">
        <f t="shared" si="17"/>
        <v>1</v>
      </c>
      <c r="T110">
        <f t="shared" si="17"/>
        <v>1</v>
      </c>
      <c r="U110">
        <f t="shared" si="17"/>
        <v>1</v>
      </c>
      <c r="V110">
        <f t="shared" si="17"/>
        <v>1</v>
      </c>
      <c r="W110">
        <f t="shared" si="17"/>
        <v>1</v>
      </c>
    </row>
    <row r="111" spans="1:23">
      <c r="A111" s="22" t="s">
        <v>9</v>
      </c>
      <c r="D111">
        <f t="shared" si="18"/>
        <v>0</v>
      </c>
      <c r="E111">
        <f t="shared" si="17"/>
        <v>0</v>
      </c>
      <c r="F111">
        <f t="shared" si="17"/>
        <v>0</v>
      </c>
      <c r="G111">
        <f t="shared" si="17"/>
        <v>0</v>
      </c>
      <c r="H111">
        <f t="shared" si="17"/>
        <v>0</v>
      </c>
      <c r="I111">
        <f t="shared" si="17"/>
        <v>0</v>
      </c>
      <c r="J111">
        <f t="shared" si="17"/>
        <v>1</v>
      </c>
      <c r="K111">
        <f t="shared" si="17"/>
        <v>1</v>
      </c>
      <c r="L111">
        <f t="shared" si="17"/>
        <v>1</v>
      </c>
      <c r="M111">
        <f t="shared" si="17"/>
        <v>1</v>
      </c>
      <c r="N111">
        <f t="shared" si="17"/>
        <v>1</v>
      </c>
      <c r="O111">
        <f t="shared" si="17"/>
        <v>1</v>
      </c>
      <c r="P111">
        <f t="shared" si="17"/>
        <v>1</v>
      </c>
      <c r="Q111">
        <f t="shared" si="17"/>
        <v>2</v>
      </c>
      <c r="R111">
        <f t="shared" si="17"/>
        <v>2</v>
      </c>
      <c r="S111">
        <f t="shared" si="17"/>
        <v>2</v>
      </c>
      <c r="T111">
        <f t="shared" si="17"/>
        <v>2</v>
      </c>
      <c r="U111">
        <f t="shared" si="17"/>
        <v>2</v>
      </c>
      <c r="V111">
        <f t="shared" si="17"/>
        <v>2</v>
      </c>
      <c r="W111">
        <f t="shared" si="17"/>
        <v>3</v>
      </c>
    </row>
    <row r="112" spans="1:23">
      <c r="A112" s="22" t="s">
        <v>10</v>
      </c>
      <c r="D112">
        <f t="shared" si="18"/>
        <v>0</v>
      </c>
      <c r="E112">
        <f t="shared" si="17"/>
        <v>0</v>
      </c>
      <c r="F112">
        <f t="shared" si="17"/>
        <v>0</v>
      </c>
      <c r="G112">
        <f t="shared" si="17"/>
        <v>0</v>
      </c>
      <c r="H112">
        <f t="shared" si="17"/>
        <v>1</v>
      </c>
      <c r="I112">
        <f t="shared" si="17"/>
        <v>1</v>
      </c>
      <c r="J112">
        <f t="shared" si="17"/>
        <v>1</v>
      </c>
      <c r="K112">
        <f t="shared" si="17"/>
        <v>1</v>
      </c>
      <c r="L112">
        <f t="shared" si="17"/>
        <v>2</v>
      </c>
      <c r="M112">
        <f t="shared" si="17"/>
        <v>2</v>
      </c>
      <c r="N112">
        <f t="shared" si="17"/>
        <v>2</v>
      </c>
      <c r="O112">
        <f t="shared" si="17"/>
        <v>3</v>
      </c>
      <c r="P112">
        <f t="shared" si="17"/>
        <v>3</v>
      </c>
      <c r="Q112">
        <f t="shared" si="17"/>
        <v>3</v>
      </c>
      <c r="R112">
        <f t="shared" si="17"/>
        <v>3</v>
      </c>
      <c r="S112">
        <f t="shared" si="17"/>
        <v>4</v>
      </c>
      <c r="T112">
        <f t="shared" si="17"/>
        <v>4</v>
      </c>
      <c r="U112">
        <f t="shared" si="17"/>
        <v>4</v>
      </c>
      <c r="V112">
        <f t="shared" si="17"/>
        <v>0</v>
      </c>
      <c r="W112">
        <f t="shared" si="17"/>
        <v>0</v>
      </c>
    </row>
    <row r="113" spans="1:23">
      <c r="A113" s="22" t="s">
        <v>11</v>
      </c>
      <c r="D113">
        <f t="shared" si="18"/>
        <v>0</v>
      </c>
      <c r="E113">
        <f t="shared" si="17"/>
        <v>0</v>
      </c>
      <c r="F113">
        <f t="shared" si="17"/>
        <v>0</v>
      </c>
      <c r="G113">
        <f t="shared" si="17"/>
        <v>0</v>
      </c>
      <c r="H113">
        <f t="shared" si="17"/>
        <v>1</v>
      </c>
      <c r="I113">
        <f t="shared" si="17"/>
        <v>1</v>
      </c>
      <c r="J113">
        <f t="shared" si="17"/>
        <v>2</v>
      </c>
      <c r="K113">
        <f t="shared" si="17"/>
        <v>2</v>
      </c>
      <c r="L113">
        <f t="shared" si="17"/>
        <v>3</v>
      </c>
      <c r="M113">
        <f t="shared" si="17"/>
        <v>3</v>
      </c>
      <c r="N113">
        <f t="shared" si="17"/>
        <v>3</v>
      </c>
      <c r="O113">
        <f t="shared" si="17"/>
        <v>4</v>
      </c>
      <c r="P113">
        <f t="shared" si="17"/>
        <v>4</v>
      </c>
      <c r="Q113">
        <f t="shared" si="17"/>
        <v>0</v>
      </c>
      <c r="R113">
        <f t="shared" si="17"/>
        <v>0</v>
      </c>
      <c r="S113">
        <f t="shared" si="17"/>
        <v>0</v>
      </c>
      <c r="T113">
        <f t="shared" si="17"/>
        <v>0</v>
      </c>
      <c r="U113">
        <f t="shared" si="17"/>
        <v>0</v>
      </c>
      <c r="V113">
        <f t="shared" si="17"/>
        <v>0</v>
      </c>
      <c r="W113">
        <f t="shared" si="17"/>
        <v>0</v>
      </c>
    </row>
    <row r="114" spans="1:23">
      <c r="A114" s="22" t="s">
        <v>12</v>
      </c>
      <c r="D114">
        <f t="shared" si="18"/>
        <v>0</v>
      </c>
      <c r="E114">
        <f t="shared" si="17"/>
        <v>0</v>
      </c>
      <c r="F114">
        <f t="shared" si="17"/>
        <v>0</v>
      </c>
      <c r="G114">
        <f t="shared" si="17"/>
        <v>0</v>
      </c>
      <c r="H114">
        <f t="shared" si="17"/>
        <v>1</v>
      </c>
      <c r="I114">
        <f t="shared" si="17"/>
        <v>1</v>
      </c>
      <c r="J114">
        <f t="shared" si="17"/>
        <v>2</v>
      </c>
      <c r="K114">
        <f t="shared" si="17"/>
        <v>3</v>
      </c>
      <c r="L114">
        <f t="shared" si="17"/>
        <v>3</v>
      </c>
      <c r="M114">
        <f t="shared" si="17"/>
        <v>4</v>
      </c>
      <c r="N114">
        <f t="shared" si="17"/>
        <v>4</v>
      </c>
      <c r="O114">
        <f t="shared" si="17"/>
        <v>0</v>
      </c>
      <c r="P114">
        <f t="shared" si="17"/>
        <v>0</v>
      </c>
      <c r="Q114">
        <f t="shared" si="17"/>
        <v>0</v>
      </c>
      <c r="R114">
        <f t="shared" si="17"/>
        <v>0</v>
      </c>
      <c r="S114">
        <f t="shared" si="17"/>
        <v>0</v>
      </c>
      <c r="T114">
        <f t="shared" si="17"/>
        <v>0</v>
      </c>
      <c r="U114">
        <f t="shared" si="17"/>
        <v>0</v>
      </c>
      <c r="V114">
        <f t="shared" si="17"/>
        <v>0</v>
      </c>
      <c r="W114">
        <f t="shared" si="17"/>
        <v>0</v>
      </c>
    </row>
    <row r="115" spans="1:23">
      <c r="A115" s="22" t="s">
        <v>13</v>
      </c>
      <c r="D115">
        <f t="shared" si="18"/>
        <v>0</v>
      </c>
      <c r="E115">
        <f t="shared" si="17"/>
        <v>0</v>
      </c>
      <c r="F115">
        <f t="shared" si="17"/>
        <v>0</v>
      </c>
      <c r="G115">
        <f t="shared" si="17"/>
        <v>0</v>
      </c>
      <c r="H115">
        <f t="shared" si="17"/>
        <v>1</v>
      </c>
      <c r="I115">
        <f t="shared" si="17"/>
        <v>1</v>
      </c>
      <c r="J115">
        <f t="shared" si="17"/>
        <v>2</v>
      </c>
      <c r="K115">
        <f t="shared" si="17"/>
        <v>2</v>
      </c>
      <c r="L115">
        <f t="shared" si="17"/>
        <v>3</v>
      </c>
      <c r="M115">
        <f t="shared" si="17"/>
        <v>3</v>
      </c>
      <c r="N115">
        <f t="shared" si="17"/>
        <v>4</v>
      </c>
      <c r="O115">
        <f t="shared" si="17"/>
        <v>4</v>
      </c>
      <c r="P115">
        <f t="shared" si="17"/>
        <v>4</v>
      </c>
      <c r="Q115">
        <f t="shared" si="17"/>
        <v>0</v>
      </c>
      <c r="R115">
        <f t="shared" si="17"/>
        <v>0</v>
      </c>
      <c r="S115">
        <f t="shared" si="17"/>
        <v>0</v>
      </c>
      <c r="T115">
        <f t="shared" si="17"/>
        <v>0</v>
      </c>
      <c r="U115">
        <f t="shared" si="17"/>
        <v>0</v>
      </c>
      <c r="V115">
        <f t="shared" si="17"/>
        <v>0</v>
      </c>
      <c r="W115">
        <f t="shared" si="17"/>
        <v>0</v>
      </c>
    </row>
    <row r="116" spans="1:23">
      <c r="A116" s="22" t="s">
        <v>14</v>
      </c>
      <c r="D116">
        <f t="shared" si="18"/>
        <v>0</v>
      </c>
      <c r="E116">
        <f t="shared" si="17"/>
        <v>0</v>
      </c>
      <c r="F116">
        <f t="shared" si="17"/>
        <v>0</v>
      </c>
      <c r="G116">
        <f t="shared" si="17"/>
        <v>0</v>
      </c>
      <c r="H116">
        <f t="shared" si="17"/>
        <v>1</v>
      </c>
      <c r="I116">
        <f t="shared" si="17"/>
        <v>1</v>
      </c>
      <c r="J116">
        <f t="shared" si="17"/>
        <v>2</v>
      </c>
      <c r="K116">
        <f t="shared" si="17"/>
        <v>2</v>
      </c>
      <c r="L116">
        <f t="shared" si="17"/>
        <v>3</v>
      </c>
      <c r="M116">
        <f t="shared" si="17"/>
        <v>3</v>
      </c>
      <c r="N116">
        <f t="shared" si="17"/>
        <v>4</v>
      </c>
      <c r="O116">
        <f t="shared" si="17"/>
        <v>4</v>
      </c>
      <c r="P116">
        <f t="shared" si="17"/>
        <v>0</v>
      </c>
      <c r="Q116">
        <f t="shared" si="17"/>
        <v>0</v>
      </c>
      <c r="R116">
        <f t="shared" si="17"/>
        <v>0</v>
      </c>
      <c r="S116">
        <f t="shared" si="17"/>
        <v>0</v>
      </c>
      <c r="T116">
        <f t="shared" si="17"/>
        <v>0</v>
      </c>
      <c r="U116">
        <f t="shared" si="17"/>
        <v>0</v>
      </c>
      <c r="V116">
        <f t="shared" si="17"/>
        <v>0</v>
      </c>
      <c r="W116">
        <f t="shared" si="17"/>
        <v>0</v>
      </c>
    </row>
    <row r="117" spans="1:23">
      <c r="A117" s="22" t="s">
        <v>15</v>
      </c>
      <c r="D117">
        <f t="shared" si="18"/>
        <v>0</v>
      </c>
      <c r="E117">
        <f t="shared" si="17"/>
        <v>0</v>
      </c>
      <c r="F117">
        <f t="shared" si="17"/>
        <v>0</v>
      </c>
      <c r="G117">
        <f t="shared" si="17"/>
        <v>0</v>
      </c>
      <c r="H117">
        <f t="shared" si="17"/>
        <v>0</v>
      </c>
      <c r="I117">
        <f t="shared" si="17"/>
        <v>0</v>
      </c>
      <c r="J117">
        <f t="shared" si="17"/>
        <v>0</v>
      </c>
      <c r="K117">
        <f t="shared" si="17"/>
        <v>1</v>
      </c>
      <c r="L117">
        <f t="shared" si="17"/>
        <v>1</v>
      </c>
      <c r="M117">
        <f t="shared" si="17"/>
        <v>1</v>
      </c>
      <c r="N117">
        <f t="shared" si="17"/>
        <v>1</v>
      </c>
      <c r="O117">
        <f t="shared" si="17"/>
        <v>1</v>
      </c>
      <c r="P117">
        <f t="shared" si="17"/>
        <v>1</v>
      </c>
      <c r="Q117">
        <f t="shared" si="17"/>
        <v>1</v>
      </c>
      <c r="R117">
        <f t="shared" si="17"/>
        <v>1</v>
      </c>
      <c r="S117">
        <f t="shared" si="17"/>
        <v>1</v>
      </c>
      <c r="T117">
        <f t="shared" si="17"/>
        <v>2</v>
      </c>
      <c r="U117">
        <f t="shared" si="17"/>
        <v>2</v>
      </c>
      <c r="V117">
        <f t="shared" si="17"/>
        <v>2</v>
      </c>
      <c r="W117">
        <f t="shared" si="17"/>
        <v>2</v>
      </c>
    </row>
    <row r="119" spans="1:23">
      <c r="A119" s="22" t="s">
        <v>76</v>
      </c>
      <c r="B119" t="s">
        <v>86</v>
      </c>
      <c r="C119" t="s">
        <v>72</v>
      </c>
      <c r="D119" s="3">
        <v>1</v>
      </c>
      <c r="E119" s="3">
        <v>2</v>
      </c>
      <c r="F119" s="3">
        <v>3</v>
      </c>
      <c r="G119" s="3">
        <v>4</v>
      </c>
      <c r="H119" s="3">
        <v>5</v>
      </c>
      <c r="I119" s="3">
        <v>6</v>
      </c>
      <c r="J119" s="3">
        <v>7</v>
      </c>
      <c r="K119" s="3">
        <v>8</v>
      </c>
      <c r="L119" s="3">
        <v>9</v>
      </c>
      <c r="M119" s="3">
        <v>10</v>
      </c>
      <c r="N119" s="3">
        <v>11</v>
      </c>
      <c r="O119" s="3">
        <v>12</v>
      </c>
      <c r="P119" s="3">
        <v>13</v>
      </c>
      <c r="Q119" s="3">
        <v>14</v>
      </c>
      <c r="R119" s="3">
        <v>15</v>
      </c>
      <c r="S119" s="3">
        <v>16</v>
      </c>
      <c r="T119" s="3">
        <v>17</v>
      </c>
      <c r="U119" s="3">
        <v>18</v>
      </c>
      <c r="V119" s="3">
        <v>19</v>
      </c>
      <c r="W119" s="3">
        <v>20</v>
      </c>
    </row>
    <row r="120" spans="1:23">
      <c r="A120" s="22" t="s">
        <v>5</v>
      </c>
      <c r="B120">
        <v>10</v>
      </c>
      <c r="C120">
        <v>3</v>
      </c>
      <c r="D120">
        <f t="shared" ref="D120:M120" ca="1" si="19">IF($B120&lt;D119,OFFSET(D120,-13,-$B120),0)</f>
        <v>0</v>
      </c>
      <c r="E120">
        <f t="shared" ca="1" si="19"/>
        <v>0</v>
      </c>
      <c r="F120">
        <f t="shared" ca="1" si="19"/>
        <v>0</v>
      </c>
      <c r="G120">
        <f t="shared" ca="1" si="19"/>
        <v>0</v>
      </c>
      <c r="H120">
        <f t="shared" ca="1" si="19"/>
        <v>0</v>
      </c>
      <c r="I120">
        <f t="shared" ca="1" si="19"/>
        <v>0</v>
      </c>
      <c r="J120">
        <f t="shared" ca="1" si="19"/>
        <v>0</v>
      </c>
      <c r="K120">
        <f t="shared" ca="1" si="19"/>
        <v>0</v>
      </c>
      <c r="L120">
        <f t="shared" ca="1" si="19"/>
        <v>0</v>
      </c>
      <c r="M120">
        <f t="shared" ca="1" si="19"/>
        <v>0</v>
      </c>
      <c r="N120">
        <f ca="1">IF($B120&lt;N119,OFFSET(N120,-13,-$B120),0)</f>
        <v>0</v>
      </c>
      <c r="O120">
        <f t="shared" ref="O120:W120" ca="1" si="20">IF($B120&lt;O119,OFFSET(O120,-13,-$B120),0)</f>
        <v>0</v>
      </c>
      <c r="P120">
        <f t="shared" ca="1" si="20"/>
        <v>0</v>
      </c>
      <c r="Q120">
        <f t="shared" ca="1" si="20"/>
        <v>0</v>
      </c>
      <c r="R120">
        <f t="shared" ca="1" si="20"/>
        <v>0</v>
      </c>
      <c r="S120">
        <f t="shared" ca="1" si="20"/>
        <v>0</v>
      </c>
      <c r="T120">
        <f t="shared" ca="1" si="20"/>
        <v>0</v>
      </c>
      <c r="U120">
        <f t="shared" ca="1" si="20"/>
        <v>0</v>
      </c>
      <c r="V120">
        <f t="shared" ca="1" si="20"/>
        <v>0</v>
      </c>
      <c r="W120">
        <f t="shared" ca="1" si="20"/>
        <v>0</v>
      </c>
    </row>
    <row r="121" spans="1:23">
      <c r="A121" s="22" t="s">
        <v>6</v>
      </c>
      <c r="B121">
        <v>10</v>
      </c>
      <c r="C121">
        <v>3</v>
      </c>
      <c r="D121">
        <f t="shared" ref="D121:M121" ca="1" si="21">IF($B121&lt;D119,OFFSET(D121,-13,-$B121),0)</f>
        <v>0</v>
      </c>
      <c r="E121">
        <f t="shared" ca="1" si="21"/>
        <v>0</v>
      </c>
      <c r="F121">
        <f t="shared" ca="1" si="21"/>
        <v>0</v>
      </c>
      <c r="G121">
        <f t="shared" ca="1" si="21"/>
        <v>0</v>
      </c>
      <c r="H121">
        <f t="shared" ca="1" si="21"/>
        <v>0</v>
      </c>
      <c r="I121">
        <f t="shared" ca="1" si="21"/>
        <v>0</v>
      </c>
      <c r="J121">
        <f t="shared" ca="1" si="21"/>
        <v>0</v>
      </c>
      <c r="K121">
        <f t="shared" ca="1" si="21"/>
        <v>0</v>
      </c>
      <c r="L121">
        <f t="shared" ca="1" si="21"/>
        <v>0</v>
      </c>
      <c r="M121">
        <f t="shared" ca="1" si="21"/>
        <v>0</v>
      </c>
      <c r="N121">
        <f ca="1">IF($B121&lt;N119,OFFSET(N121,-13,-$B121),0)</f>
        <v>0</v>
      </c>
      <c r="O121">
        <f t="shared" ref="O121:W121" ca="1" si="22">IF($B121&lt;O119,OFFSET(O121,-13,-$B121),0)</f>
        <v>0</v>
      </c>
      <c r="P121">
        <f t="shared" ca="1" si="22"/>
        <v>0</v>
      </c>
      <c r="Q121">
        <f t="shared" ca="1" si="22"/>
        <v>0</v>
      </c>
      <c r="R121">
        <f t="shared" ca="1" si="22"/>
        <v>0</v>
      </c>
      <c r="S121">
        <f t="shared" ca="1" si="22"/>
        <v>0</v>
      </c>
      <c r="T121">
        <f t="shared" ca="1" si="22"/>
        <v>0</v>
      </c>
      <c r="U121">
        <f t="shared" ca="1" si="22"/>
        <v>0</v>
      </c>
      <c r="V121">
        <f t="shared" ca="1" si="22"/>
        <v>0</v>
      </c>
      <c r="W121">
        <f t="shared" ca="1" si="22"/>
        <v>0</v>
      </c>
    </row>
    <row r="122" spans="1:23">
      <c r="A122" s="22" t="s">
        <v>7</v>
      </c>
      <c r="B122">
        <v>9</v>
      </c>
      <c r="C122">
        <v>3</v>
      </c>
      <c r="D122">
        <f t="shared" ref="D122:M122" ca="1" si="23">IF($B122&lt;D119,OFFSET(D122,-13,-$B122),0)</f>
        <v>0</v>
      </c>
      <c r="E122">
        <f t="shared" ca="1" si="23"/>
        <v>0</v>
      </c>
      <c r="F122">
        <f t="shared" ca="1" si="23"/>
        <v>0</v>
      </c>
      <c r="G122">
        <f t="shared" ca="1" si="23"/>
        <v>0</v>
      </c>
      <c r="H122">
        <f t="shared" ca="1" si="23"/>
        <v>0</v>
      </c>
      <c r="I122">
        <f t="shared" ca="1" si="23"/>
        <v>0</v>
      </c>
      <c r="J122">
        <f t="shared" ca="1" si="23"/>
        <v>0</v>
      </c>
      <c r="K122">
        <f t="shared" ca="1" si="23"/>
        <v>0</v>
      </c>
      <c r="L122">
        <f t="shared" ca="1" si="23"/>
        <v>0</v>
      </c>
      <c r="M122">
        <f t="shared" ca="1" si="23"/>
        <v>0</v>
      </c>
      <c r="N122">
        <f ca="1">IF($B122&lt;N119,OFFSET(N122,-13,-$B122),0)</f>
        <v>0</v>
      </c>
      <c r="O122">
        <f t="shared" ref="O122:W122" ca="1" si="24">IF($B122&lt;O119,OFFSET(O122,-13,-$B122),0)</f>
        <v>0</v>
      </c>
      <c r="P122">
        <f t="shared" ca="1" si="24"/>
        <v>0</v>
      </c>
      <c r="Q122">
        <f t="shared" ca="1" si="24"/>
        <v>0</v>
      </c>
      <c r="R122">
        <f t="shared" ca="1" si="24"/>
        <v>0</v>
      </c>
      <c r="S122">
        <f t="shared" ca="1" si="24"/>
        <v>0</v>
      </c>
      <c r="T122">
        <f t="shared" ca="1" si="24"/>
        <v>0</v>
      </c>
      <c r="U122">
        <f t="shared" ca="1" si="24"/>
        <v>0</v>
      </c>
      <c r="V122">
        <f t="shared" ca="1" si="24"/>
        <v>0</v>
      </c>
      <c r="W122">
        <f t="shared" ca="1" si="24"/>
        <v>0</v>
      </c>
    </row>
    <row r="123" spans="1:23">
      <c r="A123" s="22" t="s">
        <v>8</v>
      </c>
      <c r="B123">
        <v>9</v>
      </c>
      <c r="C123">
        <v>3</v>
      </c>
      <c r="D123">
        <f t="shared" ref="D123:M123" ca="1" si="25">IF($B123&lt;D119,OFFSET(D123,-13,-$B123),0)</f>
        <v>0</v>
      </c>
      <c r="E123">
        <f t="shared" ca="1" si="25"/>
        <v>0</v>
      </c>
      <c r="F123">
        <f t="shared" ca="1" si="25"/>
        <v>0</v>
      </c>
      <c r="G123">
        <f t="shared" ca="1" si="25"/>
        <v>0</v>
      </c>
      <c r="H123">
        <f t="shared" ca="1" si="25"/>
        <v>0</v>
      </c>
      <c r="I123">
        <f t="shared" ca="1" si="25"/>
        <v>0</v>
      </c>
      <c r="J123">
        <f t="shared" ca="1" si="25"/>
        <v>0</v>
      </c>
      <c r="K123">
        <f t="shared" ca="1" si="25"/>
        <v>0</v>
      </c>
      <c r="L123">
        <f t="shared" ca="1" si="25"/>
        <v>0</v>
      </c>
      <c r="M123">
        <f t="shared" ca="1" si="25"/>
        <v>0</v>
      </c>
      <c r="N123">
        <f ca="1">IF($B123&lt;N119,OFFSET(N123,-13,-$B123),0)</f>
        <v>0</v>
      </c>
      <c r="O123">
        <f t="shared" ref="O123:W123" ca="1" si="26">IF($B123&lt;O119,OFFSET(O123,-13,-$B123),0)</f>
        <v>0</v>
      </c>
      <c r="P123">
        <f t="shared" ca="1" si="26"/>
        <v>0</v>
      </c>
      <c r="Q123">
        <f t="shared" ca="1" si="26"/>
        <v>0</v>
      </c>
      <c r="R123">
        <f t="shared" ca="1" si="26"/>
        <v>0</v>
      </c>
      <c r="S123">
        <f t="shared" ca="1" si="26"/>
        <v>0</v>
      </c>
      <c r="T123">
        <f t="shared" ca="1" si="26"/>
        <v>0</v>
      </c>
      <c r="U123">
        <f t="shared" ca="1" si="26"/>
        <v>0</v>
      </c>
      <c r="V123">
        <f t="shared" ca="1" si="26"/>
        <v>1</v>
      </c>
      <c r="W123">
        <f t="shared" ca="1" si="26"/>
        <v>1</v>
      </c>
    </row>
    <row r="124" spans="1:23">
      <c r="A124" s="22" t="s">
        <v>9</v>
      </c>
      <c r="B124">
        <v>8</v>
      </c>
      <c r="C124">
        <v>3</v>
      </c>
      <c r="D124">
        <f t="shared" ref="D124:W124" ca="1" si="27">IF($B124&lt;D119,OFFSET(D124,-13,-$B124),0)</f>
        <v>0</v>
      </c>
      <c r="E124">
        <f t="shared" ca="1" si="27"/>
        <v>0</v>
      </c>
      <c r="F124">
        <f t="shared" ca="1" si="27"/>
        <v>0</v>
      </c>
      <c r="G124">
        <f t="shared" ca="1" si="27"/>
        <v>0</v>
      </c>
      <c r="H124">
        <f t="shared" ca="1" si="27"/>
        <v>0</v>
      </c>
      <c r="I124">
        <f t="shared" ca="1" si="27"/>
        <v>0</v>
      </c>
      <c r="J124">
        <f t="shared" ca="1" si="27"/>
        <v>0</v>
      </c>
      <c r="K124">
        <f t="shared" ca="1" si="27"/>
        <v>0</v>
      </c>
      <c r="L124">
        <f t="shared" ca="1" si="27"/>
        <v>0</v>
      </c>
      <c r="M124">
        <f t="shared" ca="1" si="27"/>
        <v>0</v>
      </c>
      <c r="N124">
        <f t="shared" ca="1" si="27"/>
        <v>0</v>
      </c>
      <c r="O124">
        <f t="shared" ca="1" si="27"/>
        <v>0</v>
      </c>
      <c r="P124">
        <f t="shared" ca="1" si="27"/>
        <v>0</v>
      </c>
      <c r="Q124">
        <f t="shared" ca="1" si="27"/>
        <v>0</v>
      </c>
      <c r="R124">
        <f t="shared" ca="1" si="27"/>
        <v>1</v>
      </c>
      <c r="S124">
        <f t="shared" ca="1" si="27"/>
        <v>1</v>
      </c>
      <c r="T124">
        <f t="shared" ca="1" si="27"/>
        <v>1</v>
      </c>
      <c r="U124">
        <f t="shared" ca="1" si="27"/>
        <v>1</v>
      </c>
      <c r="V124">
        <f t="shared" ca="1" si="27"/>
        <v>1</v>
      </c>
      <c r="W124">
        <f t="shared" ca="1" si="27"/>
        <v>1</v>
      </c>
    </row>
    <row r="125" spans="1:23">
      <c r="A125" s="22" t="s">
        <v>10</v>
      </c>
      <c r="B125">
        <v>8</v>
      </c>
      <c r="C125">
        <v>3</v>
      </c>
      <c r="D125">
        <f t="shared" ref="D125:W125" ca="1" si="28">IF($B125&lt;D119,OFFSET(D125,-13,-$B125),0)</f>
        <v>0</v>
      </c>
      <c r="E125">
        <f t="shared" ca="1" si="28"/>
        <v>0</v>
      </c>
      <c r="F125">
        <f t="shared" ca="1" si="28"/>
        <v>0</v>
      </c>
      <c r="G125">
        <f t="shared" ca="1" si="28"/>
        <v>0</v>
      </c>
      <c r="H125">
        <f t="shared" ca="1" si="28"/>
        <v>0</v>
      </c>
      <c r="I125">
        <f t="shared" ca="1" si="28"/>
        <v>0</v>
      </c>
      <c r="J125">
        <f t="shared" ca="1" si="28"/>
        <v>0</v>
      </c>
      <c r="K125">
        <f t="shared" ca="1" si="28"/>
        <v>0</v>
      </c>
      <c r="L125">
        <f t="shared" ca="1" si="28"/>
        <v>0</v>
      </c>
      <c r="M125">
        <f t="shared" ca="1" si="28"/>
        <v>0</v>
      </c>
      <c r="N125">
        <f t="shared" ca="1" si="28"/>
        <v>0</v>
      </c>
      <c r="O125">
        <f t="shared" ca="1" si="28"/>
        <v>0</v>
      </c>
      <c r="P125">
        <f t="shared" ca="1" si="28"/>
        <v>1</v>
      </c>
      <c r="Q125">
        <f t="shared" ca="1" si="28"/>
        <v>1</v>
      </c>
      <c r="R125">
        <f t="shared" ca="1" si="28"/>
        <v>1</v>
      </c>
      <c r="S125">
        <f t="shared" ca="1" si="28"/>
        <v>1</v>
      </c>
      <c r="T125">
        <f t="shared" ca="1" si="28"/>
        <v>2</v>
      </c>
      <c r="U125">
        <f t="shared" ca="1" si="28"/>
        <v>2</v>
      </c>
      <c r="V125">
        <f t="shared" ca="1" si="28"/>
        <v>2</v>
      </c>
      <c r="W125">
        <f t="shared" ca="1" si="28"/>
        <v>3</v>
      </c>
    </row>
    <row r="126" spans="1:23">
      <c r="A126" s="22" t="s">
        <v>11</v>
      </c>
      <c r="B126">
        <v>7</v>
      </c>
      <c r="C126">
        <v>3</v>
      </c>
      <c r="D126">
        <f t="shared" ref="D126:W126" ca="1" si="29">IF($B126&lt;D119,OFFSET(D126,-13,-$B126),0)</f>
        <v>0</v>
      </c>
      <c r="E126">
        <f t="shared" ca="1" si="29"/>
        <v>0</v>
      </c>
      <c r="F126">
        <f t="shared" ca="1" si="29"/>
        <v>0</v>
      </c>
      <c r="G126">
        <f t="shared" ca="1" si="29"/>
        <v>0</v>
      </c>
      <c r="H126">
        <f t="shared" ca="1" si="29"/>
        <v>0</v>
      </c>
      <c r="I126">
        <f t="shared" ca="1" si="29"/>
        <v>0</v>
      </c>
      <c r="J126">
        <f t="shared" ca="1" si="29"/>
        <v>0</v>
      </c>
      <c r="K126">
        <f t="shared" ca="1" si="29"/>
        <v>0</v>
      </c>
      <c r="L126">
        <f t="shared" ca="1" si="29"/>
        <v>0</v>
      </c>
      <c r="M126">
        <f t="shared" ca="1" si="29"/>
        <v>0</v>
      </c>
      <c r="N126">
        <f t="shared" ca="1" si="29"/>
        <v>0</v>
      </c>
      <c r="O126">
        <f t="shared" ca="1" si="29"/>
        <v>1</v>
      </c>
      <c r="P126">
        <f t="shared" ca="1" si="29"/>
        <v>1</v>
      </c>
      <c r="Q126">
        <f t="shared" ca="1" si="29"/>
        <v>2</v>
      </c>
      <c r="R126">
        <f t="shared" ca="1" si="29"/>
        <v>2</v>
      </c>
      <c r="S126">
        <f t="shared" ca="1" si="29"/>
        <v>3</v>
      </c>
      <c r="T126">
        <f t="shared" ca="1" si="29"/>
        <v>3</v>
      </c>
      <c r="U126">
        <f t="shared" ca="1" si="29"/>
        <v>3</v>
      </c>
      <c r="V126">
        <f t="shared" ca="1" si="29"/>
        <v>4</v>
      </c>
      <c r="W126">
        <f t="shared" ca="1" si="29"/>
        <v>4</v>
      </c>
    </row>
    <row r="127" spans="1:23">
      <c r="A127" s="22" t="s">
        <v>12</v>
      </c>
      <c r="B127">
        <v>7</v>
      </c>
      <c r="C127">
        <v>3</v>
      </c>
      <c r="D127">
        <f t="shared" ref="D127:W127" ca="1" si="30">IF($B127&lt;D119,OFFSET(D127,-13,-$B127),0)</f>
        <v>0</v>
      </c>
      <c r="E127">
        <f t="shared" ca="1" si="30"/>
        <v>0</v>
      </c>
      <c r="F127">
        <f t="shared" ca="1" si="30"/>
        <v>0</v>
      </c>
      <c r="G127">
        <f t="shared" ca="1" si="30"/>
        <v>0</v>
      </c>
      <c r="H127">
        <f t="shared" ca="1" si="30"/>
        <v>0</v>
      </c>
      <c r="I127">
        <f t="shared" ca="1" si="30"/>
        <v>0</v>
      </c>
      <c r="J127">
        <f t="shared" ca="1" si="30"/>
        <v>0</v>
      </c>
      <c r="K127">
        <f t="shared" ca="1" si="30"/>
        <v>0</v>
      </c>
      <c r="L127">
        <f t="shared" ca="1" si="30"/>
        <v>0</v>
      </c>
      <c r="M127">
        <f t="shared" ca="1" si="30"/>
        <v>0</v>
      </c>
      <c r="N127">
        <f t="shared" ca="1" si="30"/>
        <v>0</v>
      </c>
      <c r="O127">
        <f t="shared" ca="1" si="30"/>
        <v>1</v>
      </c>
      <c r="P127">
        <f t="shared" ca="1" si="30"/>
        <v>1</v>
      </c>
      <c r="Q127">
        <f t="shared" ca="1" si="30"/>
        <v>2</v>
      </c>
      <c r="R127">
        <f t="shared" ca="1" si="30"/>
        <v>3</v>
      </c>
      <c r="S127">
        <f t="shared" ca="1" si="30"/>
        <v>3</v>
      </c>
      <c r="T127">
        <f t="shared" ca="1" si="30"/>
        <v>4</v>
      </c>
      <c r="U127">
        <f t="shared" ca="1" si="30"/>
        <v>4</v>
      </c>
      <c r="V127">
        <f t="shared" ca="1" si="30"/>
        <v>0</v>
      </c>
      <c r="W127">
        <f t="shared" ca="1" si="30"/>
        <v>0</v>
      </c>
    </row>
    <row r="128" spans="1:23">
      <c r="A128" s="22" t="s">
        <v>13</v>
      </c>
      <c r="B128">
        <v>6</v>
      </c>
      <c r="C128">
        <v>2</v>
      </c>
      <c r="D128">
        <f t="shared" ref="D128:W128" ca="1" si="31">IF($B128&lt;D119,OFFSET(D128,-13,-$B128),0)</f>
        <v>0</v>
      </c>
      <c r="E128">
        <f t="shared" ca="1" si="31"/>
        <v>0</v>
      </c>
      <c r="F128">
        <f t="shared" ca="1" si="31"/>
        <v>0</v>
      </c>
      <c r="G128">
        <f t="shared" ca="1" si="31"/>
        <v>0</v>
      </c>
      <c r="H128">
        <f t="shared" ca="1" si="31"/>
        <v>0</v>
      </c>
      <c r="I128">
        <f t="shared" ca="1" si="31"/>
        <v>0</v>
      </c>
      <c r="J128">
        <f t="shared" ca="1" si="31"/>
        <v>0</v>
      </c>
      <c r="K128">
        <f t="shared" ca="1" si="31"/>
        <v>0</v>
      </c>
      <c r="L128">
        <f t="shared" ca="1" si="31"/>
        <v>0</v>
      </c>
      <c r="M128">
        <f t="shared" ca="1" si="31"/>
        <v>0</v>
      </c>
      <c r="N128">
        <f t="shared" ca="1" si="31"/>
        <v>1</v>
      </c>
      <c r="O128">
        <f t="shared" ca="1" si="31"/>
        <v>1</v>
      </c>
      <c r="P128">
        <f t="shared" ca="1" si="31"/>
        <v>2</v>
      </c>
      <c r="Q128">
        <f t="shared" ca="1" si="31"/>
        <v>2</v>
      </c>
      <c r="R128">
        <f t="shared" ca="1" si="31"/>
        <v>3</v>
      </c>
      <c r="S128">
        <f t="shared" ca="1" si="31"/>
        <v>3</v>
      </c>
      <c r="T128">
        <f t="shared" ca="1" si="31"/>
        <v>4</v>
      </c>
      <c r="U128">
        <f t="shared" ca="1" si="31"/>
        <v>4</v>
      </c>
      <c r="V128">
        <f t="shared" ca="1" si="31"/>
        <v>4</v>
      </c>
      <c r="W128">
        <f t="shared" ca="1" si="31"/>
        <v>0</v>
      </c>
    </row>
    <row r="129" spans="1:23">
      <c r="A129" s="22" t="s">
        <v>14</v>
      </c>
      <c r="B129">
        <v>6</v>
      </c>
      <c r="C129">
        <v>2</v>
      </c>
      <c r="D129">
        <f t="shared" ref="D129:W129" ca="1" si="32">IF($B129&lt;D119,OFFSET(D129,-13,-$B129),0)</f>
        <v>0</v>
      </c>
      <c r="E129">
        <f t="shared" ca="1" si="32"/>
        <v>0</v>
      </c>
      <c r="F129">
        <f t="shared" ca="1" si="32"/>
        <v>0</v>
      </c>
      <c r="G129">
        <f t="shared" ca="1" si="32"/>
        <v>0</v>
      </c>
      <c r="H129">
        <f t="shared" ca="1" si="32"/>
        <v>0</v>
      </c>
      <c r="I129">
        <f t="shared" ca="1" si="32"/>
        <v>0</v>
      </c>
      <c r="J129">
        <f t="shared" ca="1" si="32"/>
        <v>0</v>
      </c>
      <c r="K129">
        <f t="shared" ca="1" si="32"/>
        <v>0</v>
      </c>
      <c r="L129">
        <f t="shared" ca="1" si="32"/>
        <v>0</v>
      </c>
      <c r="M129">
        <f t="shared" ca="1" si="32"/>
        <v>0</v>
      </c>
      <c r="N129">
        <f t="shared" ca="1" si="32"/>
        <v>1</v>
      </c>
      <c r="O129">
        <f t="shared" ca="1" si="32"/>
        <v>1</v>
      </c>
      <c r="P129">
        <f t="shared" ca="1" si="32"/>
        <v>2</v>
      </c>
      <c r="Q129">
        <f t="shared" ca="1" si="32"/>
        <v>2</v>
      </c>
      <c r="R129">
        <f t="shared" ca="1" si="32"/>
        <v>3</v>
      </c>
      <c r="S129">
        <f t="shared" ca="1" si="32"/>
        <v>3</v>
      </c>
      <c r="T129">
        <f t="shared" ca="1" si="32"/>
        <v>4</v>
      </c>
      <c r="U129">
        <f t="shared" ca="1" si="32"/>
        <v>4</v>
      </c>
      <c r="V129">
        <f t="shared" ca="1" si="32"/>
        <v>0</v>
      </c>
      <c r="W129">
        <f t="shared" ca="1" si="32"/>
        <v>0</v>
      </c>
    </row>
    <row r="130" spans="1:23">
      <c r="A130" s="22" t="s">
        <v>15</v>
      </c>
      <c r="B130">
        <v>5</v>
      </c>
      <c r="C130">
        <v>2</v>
      </c>
      <c r="D130">
        <f t="shared" ref="D130:W130" ca="1" si="33">IF($B130&lt;D119,OFFSET(D130,-13,-$B130),0)</f>
        <v>0</v>
      </c>
      <c r="E130">
        <f t="shared" ca="1" si="33"/>
        <v>0</v>
      </c>
      <c r="F130">
        <f t="shared" ca="1" si="33"/>
        <v>0</v>
      </c>
      <c r="G130">
        <f t="shared" ca="1" si="33"/>
        <v>0</v>
      </c>
      <c r="H130">
        <f t="shared" ca="1" si="33"/>
        <v>0</v>
      </c>
      <c r="I130">
        <f t="shared" ca="1" si="33"/>
        <v>0</v>
      </c>
      <c r="J130">
        <f t="shared" ca="1" si="33"/>
        <v>0</v>
      </c>
      <c r="K130">
        <f t="shared" ca="1" si="33"/>
        <v>0</v>
      </c>
      <c r="L130">
        <f t="shared" ca="1" si="33"/>
        <v>0</v>
      </c>
      <c r="M130">
        <f t="shared" ca="1" si="33"/>
        <v>0</v>
      </c>
      <c r="N130">
        <f t="shared" ca="1" si="33"/>
        <v>0</v>
      </c>
      <c r="O130">
        <f t="shared" ca="1" si="33"/>
        <v>0</v>
      </c>
      <c r="P130">
        <f t="shared" ca="1" si="33"/>
        <v>1</v>
      </c>
      <c r="Q130">
        <f t="shared" ca="1" si="33"/>
        <v>1</v>
      </c>
      <c r="R130">
        <f t="shared" ca="1" si="33"/>
        <v>1</v>
      </c>
      <c r="S130">
        <f t="shared" ca="1" si="33"/>
        <v>1</v>
      </c>
      <c r="T130">
        <f t="shared" ca="1" si="33"/>
        <v>1</v>
      </c>
      <c r="U130">
        <f t="shared" ca="1" si="33"/>
        <v>1</v>
      </c>
      <c r="V130">
        <f t="shared" ca="1" si="33"/>
        <v>1</v>
      </c>
      <c r="W130">
        <f t="shared" ca="1" si="33"/>
        <v>1</v>
      </c>
    </row>
    <row r="132" spans="1:23">
      <c r="A132" s="22" t="s">
        <v>74</v>
      </c>
    </row>
    <row r="133" spans="1:23">
      <c r="A133" s="22" t="s">
        <v>41</v>
      </c>
      <c r="D133" s="3">
        <v>1</v>
      </c>
      <c r="E133" s="3">
        <v>2</v>
      </c>
      <c r="F133" s="3">
        <v>3</v>
      </c>
      <c r="G133" s="3">
        <v>4</v>
      </c>
      <c r="H133" s="3">
        <v>5</v>
      </c>
      <c r="I133" s="3">
        <v>6</v>
      </c>
      <c r="J133" s="3">
        <v>7</v>
      </c>
      <c r="K133" s="3">
        <v>8</v>
      </c>
      <c r="L133" s="3">
        <v>9</v>
      </c>
      <c r="M133" s="3">
        <v>10</v>
      </c>
      <c r="N133" s="3">
        <v>11</v>
      </c>
      <c r="O133" s="3">
        <v>12</v>
      </c>
      <c r="P133" s="3">
        <v>13</v>
      </c>
      <c r="Q133" s="3">
        <v>14</v>
      </c>
      <c r="R133" s="3">
        <v>15</v>
      </c>
      <c r="S133" s="3">
        <v>16</v>
      </c>
      <c r="T133" s="3">
        <v>17</v>
      </c>
      <c r="U133" s="3">
        <v>18</v>
      </c>
      <c r="V133" s="3">
        <v>19</v>
      </c>
      <c r="W133" s="3">
        <v>20</v>
      </c>
    </row>
    <row r="134" spans="1:23">
      <c r="A134" s="22" t="s">
        <v>5</v>
      </c>
      <c r="C134">
        <f>SUM(D134:W134)</f>
        <v>0</v>
      </c>
      <c r="D134">
        <f>IF(D52&gt;4,D52,0)</f>
        <v>0</v>
      </c>
      <c r="E134">
        <f t="shared" ref="E134:W144" si="34">IF(E52&gt;4,E52,0)</f>
        <v>0</v>
      </c>
      <c r="F134">
        <f t="shared" si="34"/>
        <v>0</v>
      </c>
      <c r="G134">
        <f t="shared" si="34"/>
        <v>0</v>
      </c>
      <c r="H134">
        <f t="shared" si="34"/>
        <v>0</v>
      </c>
      <c r="I134">
        <f t="shared" si="34"/>
        <v>0</v>
      </c>
      <c r="J134">
        <f t="shared" si="34"/>
        <v>0</v>
      </c>
      <c r="K134">
        <f t="shared" si="34"/>
        <v>0</v>
      </c>
      <c r="L134">
        <f t="shared" si="34"/>
        <v>0</v>
      </c>
      <c r="M134">
        <f t="shared" si="34"/>
        <v>0</v>
      </c>
      <c r="N134">
        <f t="shared" si="34"/>
        <v>0</v>
      </c>
      <c r="O134">
        <f t="shared" si="34"/>
        <v>0</v>
      </c>
      <c r="P134">
        <f t="shared" si="34"/>
        <v>0</v>
      </c>
      <c r="Q134">
        <f t="shared" si="34"/>
        <v>0</v>
      </c>
      <c r="R134">
        <f t="shared" si="34"/>
        <v>0</v>
      </c>
      <c r="S134">
        <f t="shared" si="34"/>
        <v>0</v>
      </c>
      <c r="T134">
        <f t="shared" si="34"/>
        <v>0</v>
      </c>
      <c r="U134">
        <f t="shared" si="34"/>
        <v>0</v>
      </c>
      <c r="V134">
        <f t="shared" si="34"/>
        <v>0</v>
      </c>
      <c r="W134">
        <f t="shared" si="34"/>
        <v>0</v>
      </c>
    </row>
    <row r="135" spans="1:23">
      <c r="A135" s="22" t="s">
        <v>6</v>
      </c>
      <c r="C135">
        <f>SUM(D135:W135)</f>
        <v>0</v>
      </c>
      <c r="D135">
        <f t="shared" ref="D135:S144" si="35">IF(D53&gt;4,D53,0)</f>
        <v>0</v>
      </c>
      <c r="E135">
        <f t="shared" si="35"/>
        <v>0</v>
      </c>
      <c r="F135">
        <f t="shared" si="35"/>
        <v>0</v>
      </c>
      <c r="G135">
        <f t="shared" si="35"/>
        <v>0</v>
      </c>
      <c r="H135">
        <f t="shared" si="35"/>
        <v>0</v>
      </c>
      <c r="I135">
        <f t="shared" si="35"/>
        <v>0</v>
      </c>
      <c r="J135">
        <f t="shared" si="35"/>
        <v>0</v>
      </c>
      <c r="K135">
        <f t="shared" si="35"/>
        <v>0</v>
      </c>
      <c r="L135">
        <f t="shared" si="35"/>
        <v>0</v>
      </c>
      <c r="M135">
        <f t="shared" si="35"/>
        <v>0</v>
      </c>
      <c r="N135">
        <f t="shared" si="35"/>
        <v>0</v>
      </c>
      <c r="O135">
        <f t="shared" si="35"/>
        <v>0</v>
      </c>
      <c r="P135">
        <f t="shared" si="35"/>
        <v>0</v>
      </c>
      <c r="Q135">
        <f t="shared" si="35"/>
        <v>0</v>
      </c>
      <c r="R135">
        <f t="shared" si="35"/>
        <v>0</v>
      </c>
      <c r="S135">
        <f t="shared" si="35"/>
        <v>0</v>
      </c>
      <c r="T135">
        <f t="shared" si="34"/>
        <v>0</v>
      </c>
      <c r="U135">
        <f t="shared" si="34"/>
        <v>0</v>
      </c>
      <c r="V135">
        <f t="shared" si="34"/>
        <v>0</v>
      </c>
      <c r="W135">
        <f t="shared" si="34"/>
        <v>0</v>
      </c>
    </row>
    <row r="136" spans="1:23">
      <c r="A136" s="22" t="s">
        <v>7</v>
      </c>
      <c r="C136">
        <f t="shared" ref="C136:C144" si="36">SUM(D136:W136)</f>
        <v>0</v>
      </c>
      <c r="D136">
        <f t="shared" si="35"/>
        <v>0</v>
      </c>
      <c r="E136">
        <f t="shared" si="34"/>
        <v>0</v>
      </c>
      <c r="F136">
        <f t="shared" si="34"/>
        <v>0</v>
      </c>
      <c r="G136">
        <f t="shared" si="34"/>
        <v>0</v>
      </c>
      <c r="H136">
        <f t="shared" si="34"/>
        <v>0</v>
      </c>
      <c r="I136">
        <f t="shared" si="34"/>
        <v>0</v>
      </c>
      <c r="J136">
        <f t="shared" si="34"/>
        <v>0</v>
      </c>
      <c r="K136">
        <f t="shared" si="34"/>
        <v>0</v>
      </c>
      <c r="L136">
        <f t="shared" si="34"/>
        <v>0</v>
      </c>
      <c r="M136">
        <f t="shared" si="34"/>
        <v>0</v>
      </c>
      <c r="N136">
        <f t="shared" si="34"/>
        <v>0</v>
      </c>
      <c r="O136">
        <f t="shared" si="34"/>
        <v>0</v>
      </c>
      <c r="P136">
        <f t="shared" si="34"/>
        <v>0</v>
      </c>
      <c r="Q136">
        <f t="shared" si="34"/>
        <v>0</v>
      </c>
      <c r="R136">
        <f t="shared" si="34"/>
        <v>0</v>
      </c>
      <c r="S136">
        <f t="shared" si="34"/>
        <v>0</v>
      </c>
      <c r="T136">
        <f t="shared" si="34"/>
        <v>0</v>
      </c>
      <c r="U136">
        <f t="shared" si="34"/>
        <v>0</v>
      </c>
      <c r="V136">
        <f t="shared" si="34"/>
        <v>0</v>
      </c>
      <c r="W136">
        <f t="shared" si="34"/>
        <v>0</v>
      </c>
    </row>
    <row r="137" spans="1:23">
      <c r="A137" s="22" t="s">
        <v>8</v>
      </c>
      <c r="C137">
        <f t="shared" si="36"/>
        <v>0</v>
      </c>
      <c r="D137">
        <f t="shared" si="35"/>
        <v>0</v>
      </c>
      <c r="E137">
        <f t="shared" si="34"/>
        <v>0</v>
      </c>
      <c r="F137">
        <f t="shared" si="34"/>
        <v>0</v>
      </c>
      <c r="G137">
        <f t="shared" si="34"/>
        <v>0</v>
      </c>
      <c r="H137">
        <f t="shared" si="34"/>
        <v>0</v>
      </c>
      <c r="I137">
        <f t="shared" si="34"/>
        <v>0</v>
      </c>
      <c r="J137">
        <f t="shared" si="34"/>
        <v>0</v>
      </c>
      <c r="K137">
        <f t="shared" si="34"/>
        <v>0</v>
      </c>
      <c r="L137">
        <f t="shared" si="34"/>
        <v>0</v>
      </c>
      <c r="M137">
        <f t="shared" si="34"/>
        <v>0</v>
      </c>
      <c r="N137">
        <f t="shared" si="34"/>
        <v>0</v>
      </c>
      <c r="O137">
        <f t="shared" si="34"/>
        <v>0</v>
      </c>
      <c r="P137">
        <f t="shared" si="34"/>
        <v>0</v>
      </c>
      <c r="Q137">
        <f t="shared" si="34"/>
        <v>0</v>
      </c>
      <c r="R137">
        <f t="shared" si="34"/>
        <v>0</v>
      </c>
      <c r="S137">
        <f t="shared" si="34"/>
        <v>0</v>
      </c>
      <c r="T137">
        <f t="shared" si="34"/>
        <v>0</v>
      </c>
      <c r="U137">
        <f t="shared" si="34"/>
        <v>0</v>
      </c>
      <c r="V137">
        <f t="shared" si="34"/>
        <v>0</v>
      </c>
      <c r="W137">
        <f t="shared" si="34"/>
        <v>0</v>
      </c>
    </row>
    <row r="138" spans="1:23">
      <c r="A138" s="22" t="s">
        <v>9</v>
      </c>
      <c r="C138">
        <f t="shared" si="36"/>
        <v>0</v>
      </c>
      <c r="D138">
        <f t="shared" si="35"/>
        <v>0</v>
      </c>
      <c r="E138">
        <f t="shared" si="34"/>
        <v>0</v>
      </c>
      <c r="F138">
        <f t="shared" si="34"/>
        <v>0</v>
      </c>
      <c r="G138">
        <f t="shared" si="34"/>
        <v>0</v>
      </c>
      <c r="H138">
        <f t="shared" si="34"/>
        <v>0</v>
      </c>
      <c r="I138">
        <f t="shared" si="34"/>
        <v>0</v>
      </c>
      <c r="J138">
        <f t="shared" si="34"/>
        <v>0</v>
      </c>
      <c r="K138">
        <f t="shared" si="34"/>
        <v>0</v>
      </c>
      <c r="L138">
        <f t="shared" si="34"/>
        <v>0</v>
      </c>
      <c r="M138">
        <f t="shared" si="34"/>
        <v>0</v>
      </c>
      <c r="N138">
        <f t="shared" si="34"/>
        <v>0</v>
      </c>
      <c r="O138">
        <f t="shared" si="34"/>
        <v>0</v>
      </c>
      <c r="P138">
        <f t="shared" si="34"/>
        <v>0</v>
      </c>
      <c r="Q138">
        <f t="shared" si="34"/>
        <v>0</v>
      </c>
      <c r="R138">
        <f t="shared" si="34"/>
        <v>0</v>
      </c>
      <c r="S138">
        <f t="shared" si="34"/>
        <v>0</v>
      </c>
      <c r="T138">
        <f t="shared" si="34"/>
        <v>0</v>
      </c>
      <c r="U138">
        <f t="shared" si="34"/>
        <v>0</v>
      </c>
      <c r="V138">
        <f t="shared" si="34"/>
        <v>0</v>
      </c>
      <c r="W138">
        <f t="shared" si="34"/>
        <v>0</v>
      </c>
    </row>
    <row r="139" spans="1:23">
      <c r="A139" s="22" t="s">
        <v>10</v>
      </c>
      <c r="C139">
        <f t="shared" si="36"/>
        <v>10</v>
      </c>
      <c r="D139">
        <f t="shared" si="35"/>
        <v>0</v>
      </c>
      <c r="E139">
        <f t="shared" si="34"/>
        <v>0</v>
      </c>
      <c r="F139">
        <f t="shared" si="34"/>
        <v>0</v>
      </c>
      <c r="G139">
        <f t="shared" si="34"/>
        <v>0</v>
      </c>
      <c r="H139">
        <f t="shared" si="34"/>
        <v>0</v>
      </c>
      <c r="I139">
        <f t="shared" si="34"/>
        <v>0</v>
      </c>
      <c r="J139">
        <f t="shared" si="34"/>
        <v>0</v>
      </c>
      <c r="K139">
        <f t="shared" si="34"/>
        <v>0</v>
      </c>
      <c r="L139">
        <f t="shared" si="34"/>
        <v>0</v>
      </c>
      <c r="M139">
        <f t="shared" si="34"/>
        <v>0</v>
      </c>
      <c r="N139">
        <f t="shared" si="34"/>
        <v>0</v>
      </c>
      <c r="O139">
        <f t="shared" si="34"/>
        <v>0</v>
      </c>
      <c r="P139">
        <f t="shared" si="34"/>
        <v>0</v>
      </c>
      <c r="Q139">
        <f t="shared" si="34"/>
        <v>0</v>
      </c>
      <c r="R139">
        <f t="shared" si="34"/>
        <v>0</v>
      </c>
      <c r="S139">
        <f t="shared" si="34"/>
        <v>0</v>
      </c>
      <c r="T139">
        <f t="shared" si="34"/>
        <v>0</v>
      </c>
      <c r="U139">
        <f t="shared" si="34"/>
        <v>0</v>
      </c>
      <c r="V139">
        <f t="shared" si="34"/>
        <v>5</v>
      </c>
      <c r="W139">
        <f t="shared" si="34"/>
        <v>5</v>
      </c>
    </row>
    <row r="140" spans="1:23">
      <c r="A140" s="22" t="s">
        <v>11</v>
      </c>
      <c r="C140">
        <f t="shared" si="36"/>
        <v>42</v>
      </c>
      <c r="D140">
        <f t="shared" si="35"/>
        <v>0</v>
      </c>
      <c r="E140">
        <f t="shared" si="34"/>
        <v>0</v>
      </c>
      <c r="F140">
        <f t="shared" si="34"/>
        <v>0</v>
      </c>
      <c r="G140">
        <f t="shared" si="34"/>
        <v>0</v>
      </c>
      <c r="H140">
        <f t="shared" si="34"/>
        <v>0</v>
      </c>
      <c r="I140">
        <f t="shared" si="34"/>
        <v>0</v>
      </c>
      <c r="J140">
        <f t="shared" si="34"/>
        <v>0</v>
      </c>
      <c r="K140">
        <f t="shared" si="34"/>
        <v>0</v>
      </c>
      <c r="L140">
        <f t="shared" si="34"/>
        <v>0</v>
      </c>
      <c r="M140">
        <f t="shared" si="34"/>
        <v>0</v>
      </c>
      <c r="N140">
        <f t="shared" si="34"/>
        <v>0</v>
      </c>
      <c r="O140">
        <f t="shared" si="34"/>
        <v>0</v>
      </c>
      <c r="P140">
        <f t="shared" si="34"/>
        <v>0</v>
      </c>
      <c r="Q140">
        <f t="shared" si="34"/>
        <v>5</v>
      </c>
      <c r="R140">
        <f t="shared" si="34"/>
        <v>5</v>
      </c>
      <c r="S140">
        <f t="shared" si="34"/>
        <v>6</v>
      </c>
      <c r="T140">
        <f t="shared" si="34"/>
        <v>6</v>
      </c>
      <c r="U140">
        <f t="shared" si="34"/>
        <v>6</v>
      </c>
      <c r="V140">
        <f t="shared" si="34"/>
        <v>7</v>
      </c>
      <c r="W140">
        <f t="shared" si="34"/>
        <v>7</v>
      </c>
    </row>
    <row r="141" spans="1:23">
      <c r="A141" s="22" t="s">
        <v>12</v>
      </c>
      <c r="C141">
        <f t="shared" si="36"/>
        <v>61</v>
      </c>
      <c r="D141">
        <f t="shared" si="35"/>
        <v>0</v>
      </c>
      <c r="E141">
        <f t="shared" si="34"/>
        <v>0</v>
      </c>
      <c r="F141">
        <f t="shared" si="34"/>
        <v>0</v>
      </c>
      <c r="G141">
        <f t="shared" si="34"/>
        <v>0</v>
      </c>
      <c r="H141">
        <f t="shared" si="34"/>
        <v>0</v>
      </c>
      <c r="I141">
        <f t="shared" si="34"/>
        <v>0</v>
      </c>
      <c r="J141">
        <f t="shared" si="34"/>
        <v>0</v>
      </c>
      <c r="K141">
        <f t="shared" si="34"/>
        <v>0</v>
      </c>
      <c r="L141">
        <f t="shared" si="34"/>
        <v>0</v>
      </c>
      <c r="M141">
        <f t="shared" si="34"/>
        <v>0</v>
      </c>
      <c r="N141">
        <f t="shared" si="34"/>
        <v>0</v>
      </c>
      <c r="O141">
        <f t="shared" si="34"/>
        <v>5</v>
      </c>
      <c r="P141">
        <f t="shared" si="34"/>
        <v>5</v>
      </c>
      <c r="Q141">
        <f t="shared" si="34"/>
        <v>6</v>
      </c>
      <c r="R141">
        <f t="shared" si="34"/>
        <v>6</v>
      </c>
      <c r="S141">
        <f t="shared" si="34"/>
        <v>7</v>
      </c>
      <c r="T141">
        <f t="shared" si="34"/>
        <v>7</v>
      </c>
      <c r="U141">
        <f t="shared" si="34"/>
        <v>8</v>
      </c>
      <c r="V141">
        <f t="shared" si="34"/>
        <v>8</v>
      </c>
      <c r="W141">
        <f t="shared" si="34"/>
        <v>9</v>
      </c>
    </row>
    <row r="142" spans="1:23">
      <c r="A142" s="22" t="s">
        <v>13</v>
      </c>
      <c r="C142">
        <f t="shared" si="36"/>
        <v>44</v>
      </c>
      <c r="D142">
        <f t="shared" si="35"/>
        <v>0</v>
      </c>
      <c r="E142">
        <f t="shared" si="34"/>
        <v>0</v>
      </c>
      <c r="F142">
        <f t="shared" si="34"/>
        <v>0</v>
      </c>
      <c r="G142">
        <f t="shared" si="34"/>
        <v>0</v>
      </c>
      <c r="H142">
        <f t="shared" si="34"/>
        <v>0</v>
      </c>
      <c r="I142">
        <f t="shared" si="34"/>
        <v>0</v>
      </c>
      <c r="J142">
        <f t="shared" si="34"/>
        <v>0</v>
      </c>
      <c r="K142">
        <f t="shared" si="34"/>
        <v>0</v>
      </c>
      <c r="L142">
        <f t="shared" si="34"/>
        <v>0</v>
      </c>
      <c r="M142">
        <f t="shared" si="34"/>
        <v>0</v>
      </c>
      <c r="N142">
        <f t="shared" si="34"/>
        <v>0</v>
      </c>
      <c r="O142">
        <f t="shared" si="34"/>
        <v>0</v>
      </c>
      <c r="P142">
        <f t="shared" si="34"/>
        <v>0</v>
      </c>
      <c r="Q142">
        <f t="shared" si="34"/>
        <v>5</v>
      </c>
      <c r="R142">
        <f t="shared" si="34"/>
        <v>5</v>
      </c>
      <c r="S142">
        <f t="shared" si="34"/>
        <v>6</v>
      </c>
      <c r="T142">
        <f t="shared" si="34"/>
        <v>6</v>
      </c>
      <c r="U142">
        <f t="shared" si="34"/>
        <v>7</v>
      </c>
      <c r="V142">
        <f t="shared" si="34"/>
        <v>7</v>
      </c>
      <c r="W142">
        <f t="shared" si="34"/>
        <v>8</v>
      </c>
    </row>
    <row r="143" spans="1:23">
      <c r="A143" s="22" t="s">
        <v>14</v>
      </c>
      <c r="C143">
        <f t="shared" si="36"/>
        <v>52</v>
      </c>
      <c r="D143">
        <f t="shared" si="35"/>
        <v>0</v>
      </c>
      <c r="E143">
        <f t="shared" si="34"/>
        <v>0</v>
      </c>
      <c r="F143">
        <f t="shared" si="34"/>
        <v>0</v>
      </c>
      <c r="G143">
        <f t="shared" si="34"/>
        <v>0</v>
      </c>
      <c r="H143">
        <f t="shared" si="34"/>
        <v>0</v>
      </c>
      <c r="I143">
        <f t="shared" si="34"/>
        <v>0</v>
      </c>
      <c r="J143">
        <f t="shared" si="34"/>
        <v>0</v>
      </c>
      <c r="K143">
        <f t="shared" si="34"/>
        <v>0</v>
      </c>
      <c r="L143">
        <f t="shared" si="34"/>
        <v>0</v>
      </c>
      <c r="M143">
        <f t="shared" si="34"/>
        <v>0</v>
      </c>
      <c r="N143">
        <f t="shared" si="34"/>
        <v>0</v>
      </c>
      <c r="O143">
        <f t="shared" si="34"/>
        <v>0</v>
      </c>
      <c r="P143">
        <f t="shared" si="34"/>
        <v>5</v>
      </c>
      <c r="Q143">
        <f t="shared" si="34"/>
        <v>5</v>
      </c>
      <c r="R143">
        <f t="shared" si="34"/>
        <v>6</v>
      </c>
      <c r="S143">
        <f t="shared" si="34"/>
        <v>6</v>
      </c>
      <c r="T143">
        <f t="shared" si="34"/>
        <v>7</v>
      </c>
      <c r="U143">
        <f t="shared" si="34"/>
        <v>7</v>
      </c>
      <c r="V143">
        <f t="shared" si="34"/>
        <v>8</v>
      </c>
      <c r="W143">
        <f t="shared" si="34"/>
        <v>8</v>
      </c>
    </row>
    <row r="144" spans="1:23">
      <c r="A144" s="22" t="s">
        <v>15</v>
      </c>
      <c r="C144">
        <f t="shared" si="36"/>
        <v>0</v>
      </c>
      <c r="D144">
        <f t="shared" si="35"/>
        <v>0</v>
      </c>
      <c r="E144">
        <f t="shared" si="34"/>
        <v>0</v>
      </c>
      <c r="F144">
        <f t="shared" si="34"/>
        <v>0</v>
      </c>
      <c r="G144">
        <f t="shared" si="34"/>
        <v>0</v>
      </c>
      <c r="H144">
        <f t="shared" si="34"/>
        <v>0</v>
      </c>
      <c r="I144">
        <f t="shared" si="34"/>
        <v>0</v>
      </c>
      <c r="J144">
        <f t="shared" si="34"/>
        <v>0</v>
      </c>
      <c r="K144">
        <f t="shared" si="34"/>
        <v>0</v>
      </c>
      <c r="L144">
        <f t="shared" si="34"/>
        <v>0</v>
      </c>
      <c r="M144">
        <f t="shared" si="34"/>
        <v>0</v>
      </c>
      <c r="N144">
        <f t="shared" si="34"/>
        <v>0</v>
      </c>
      <c r="O144">
        <f t="shared" si="34"/>
        <v>0</v>
      </c>
      <c r="P144">
        <f t="shared" si="34"/>
        <v>0</v>
      </c>
      <c r="Q144">
        <f t="shared" si="34"/>
        <v>0</v>
      </c>
      <c r="R144">
        <f t="shared" si="34"/>
        <v>0</v>
      </c>
      <c r="S144">
        <f t="shared" si="34"/>
        <v>0</v>
      </c>
      <c r="T144">
        <f t="shared" si="34"/>
        <v>0</v>
      </c>
      <c r="U144">
        <f t="shared" si="34"/>
        <v>0</v>
      </c>
      <c r="V144">
        <f t="shared" si="34"/>
        <v>0</v>
      </c>
      <c r="W144">
        <f t="shared" si="34"/>
        <v>0</v>
      </c>
    </row>
    <row r="146" spans="1:23">
      <c r="A146" s="22" t="s">
        <v>75</v>
      </c>
    </row>
    <row r="147" spans="1:23">
      <c r="A147" s="22" t="s">
        <v>5</v>
      </c>
      <c r="C147">
        <f>SUM(D147:W147)</f>
        <v>0</v>
      </c>
      <c r="D147">
        <f t="shared" ref="D147:D157" si="37">ROUND($D134*D91,0)</f>
        <v>0</v>
      </c>
      <c r="E147">
        <f t="shared" ref="E147:E157" si="38">ROUND($D134*E91,0)+ROUND($E134*D91,0)</f>
        <v>0</v>
      </c>
      <c r="F147">
        <f t="shared" ref="F147:F157" si="39">ROUND($D134*F91,0)+ROUND($E134*E91,0)+ROUND($F134*D91,0)</f>
        <v>0</v>
      </c>
      <c r="G147">
        <f t="shared" ref="G147:G157" si="40">ROUND($D134*G91,0)+ROUND($E134*F91,0)+ROUND($F134*E91,0)+ROUND($G134*D91,0)</f>
        <v>0</v>
      </c>
      <c r="H147">
        <f t="shared" ref="H147:H157" si="41">ROUND($D134*H91,0)+ROUND($E134*G91,0)+ROUND($F134*F91,0)+ROUND($G134*E91,0)+ROUND($H134*D91,0)</f>
        <v>0</v>
      </c>
      <c r="I147">
        <f t="shared" ref="I147:I157" si="42">ROUND($D134*I91,0)+ROUND($E134*H91,0)+ROUND($F134*G91,0)+ROUND($G134*F91,0)+ROUND($H134*E91,0)+ROUND($I134*D91,0)</f>
        <v>0</v>
      </c>
      <c r="J147">
        <f t="shared" ref="J147:J157" si="43">ROUND($D134*J91,0)+ROUND($E134*I91,0)+ROUND($F134*H91,0)+ROUND($G134*G91,0)+ROUND($H134*F91,0)+ROUND($I134*E91,0)+ROUND($J134*D91,0)</f>
        <v>0</v>
      </c>
      <c r="K147">
        <f t="shared" ref="K147:K157" si="44">ROUND($D134*K91,0)+ROUND($E134*J91,0)+ROUND($F134*I91,0)+ROUND($G134*H91,0)+ROUND($H134*G91,0)+ROUND($I134*F91,0)+ROUND($J134*E91,0)+ROUND($K134*D91,0)</f>
        <v>0</v>
      </c>
      <c r="L147">
        <f t="shared" ref="L147:L157" si="45">ROUND($D134*L91,0)+ROUND($E134*K91,0)+ROUND($F134*J91,0)+ROUND($G134*I91,0)+ROUND($H134*H91,0)+ROUND($I134*G91,0)+ROUND($J134*F91,0)+ROUND($K134*E91,0)+ROUND($L134*D91,0)</f>
        <v>0</v>
      </c>
      <c r="M147">
        <f t="shared" ref="M147:M157" si="46">ROUND($D134*M91,0)+ROUND($E134*L91,0)+ROUND($F134*K91,0)+ROUND($G134*J91,0)+ROUND($H134*I91,0)+ROUND($I134*H91,0)+ROUND($J134*G91,0)+ROUND($K134*F91,0)+ROUND($L134*E91,0)+ROUND($M134*D91,0)</f>
        <v>0</v>
      </c>
      <c r="N147">
        <f t="shared" ref="N147:N157" si="47">ROUND($D134*N91,0)+ROUND($E134*M91,0)+ROUND($F134*L91,0)+ROUND($G134*K91,0)+ROUND($H134*J91,0)+ROUND($I134*I91,0)+ROUND($J134*H91,0)+ROUND($K134*G91,0)+ROUND($L134*F91,0)+ROUND($M134*E91,0)+ROUND($N134*D91,0)</f>
        <v>0</v>
      </c>
      <c r="O147">
        <f t="shared" ref="O147:O157" si="48">ROUND($D134*O91,0)+ROUND($E134*N91,0)+ROUND($F134*M91,0)+ROUND($G134*L91,0)+ROUND($H134*K91,0)+ROUND($I134*J91,0)+ROUND($J134*I91,0)+ROUND($K134*H91,0)+ROUND($L134*G91,0)+ROUND($M134*F91,0)+ROUND($N134*E91,0)+ROUND($O134*D91,0)</f>
        <v>0</v>
      </c>
      <c r="P147">
        <f t="shared" ref="P147:P157" si="49">ROUND($D134*P91,0)+ROUND($E134*O91,0)+ROUND($F134*N91,0)+ROUND($G134*M91,0)+ROUND($H134*L91,0)+ROUND($I134*K91,0)+ROUND($J134*J91,0)+ROUND($K134*I91,0)+ROUND($L134*H91,0)+ROUND($M134*G91,0)+ROUND($N134*F91,0)+ROUND($O134*E91,0)+ROUND($P134*D91,0)</f>
        <v>0</v>
      </c>
      <c r="Q147">
        <f t="shared" ref="Q147:Q157" si="50">ROUND($D134*Q91,0)+ROUND($E134*P91,0)+ROUND($F134*O91,0)+ROUND($G134*N91,0)+ROUND($H134*M91,0)+ROUND($I134*L91,0)+ROUND($J134*K91,0)+ROUND($K134*J91,0)+ROUND($L134*I91,0)+ROUND($M134*H91,0)+ROUND($N134*G91,0)+ROUND($O134*F91,0)+ROUND($P134*E91,0)+ROUND($Q134*D91,0)</f>
        <v>0</v>
      </c>
      <c r="R147">
        <f t="shared" ref="R147:R157" si="51">ROUND($D134*R91,0)+ROUND($E134*Q91,0)+ROUND($F134*P91,0)+ROUND($G134*O91,0)+ROUND($H134*N91,0)+ROUND($I134*M91,0)+ROUND($J134*L91,0)+ROUND($K134*K91,0)+ROUND($L134*J91,0)+ROUND($M134*I91,0)+ROUND($N134*H91,0)+ROUND($O134*G91,0)+ROUND($P134*F91,0)+ROUND($Q134*E91,0)+ROUND($R134*D91,0)</f>
        <v>0</v>
      </c>
      <c r="S147">
        <f t="shared" ref="S147:S157" si="52">ROUND($D134*S91,0)+ROUND($E134*R91,0)+ROUND($F134*Q91,0)+ROUND($G134*P91,0)+ROUND($H134*O91,0)+ROUND($I134*N91,0)+ROUND($J134*M91,0)+ROUND($K134*L91,0)+ROUND($L134*K91,0)+ROUND($M134*J91,0)+ROUND($N134*I91,0)+ROUND($O134*H91,0)+ROUND($P134*G91,0)+ROUND($Q134*F91,0)+ROUND($R134*E91,0)+ROUND($S134*D91,0)</f>
        <v>0</v>
      </c>
      <c r="T147">
        <f t="shared" ref="T147:T157" si="53">ROUND($D134*T91,0)+ROUND($E134*S91,0)+ROUND($F134*R91,0)+ROUND($G134*Q91,0)+ROUND($H134*P91,0)+ROUND($I134*O91,0)+ROUND($J134*N91,0)+ROUND($K134*M91,0)+ROUND($L134*L91,0)+ROUND($M134*K91,0)+ROUND($N134*J91,0)+ROUND($O134*I91,0)+ROUND($P134*H91,0)+ROUND($Q134*G91,0)+ROUND($R134*F91,0)+ROUND($S134*E91,0)+ROUND($T134*D91,0)</f>
        <v>0</v>
      </c>
      <c r="U147">
        <f t="shared" ref="U147:U157" si="54">ROUND($D134*U91,0)+ROUND($E134*T91,0)+ROUND($F134*S91,0)+ROUND($G134*R91,0)+ROUND($H134*Q91,0)+ROUND($I134*P91,0)+ROUND($J134*O91,0)+ROUND($K134*N91,0)+ROUND($L134*M91,0)+ROUND($M134*L91,0)+ROUND($N134*K91,0)+ROUND($O134*J91,0)+ROUND($P134*I91,0)+ROUND($Q134*H91,0)+ROUND($R134*G91,0)+ROUND($S134*F91,0)+ROUND($T134*E91,0)+ROUND($U134*D91,0)</f>
        <v>0</v>
      </c>
      <c r="V147">
        <f t="shared" ref="V147:V157" si="55">ROUND($D134*V91,0)+ROUND($E134*U91,0)+ROUND($F134*T91,0)+ROUND($G134*S91,0)+ROUND($H134*R91,0)+ROUND($I134*Q91,0)+ROUND($J134*P91,0)+ROUND($K134*O91,0)+ROUND($L134*N91,0)+ROUND($M134*M91,0)+ROUND($N134*L91,0)+ROUND($O134*K91,0)+ROUND($P134*J91,0)+ROUND($Q134*I91,0)+ROUND($R134*H91,0)+ROUND($S134*G91,0)+ROUND($T134*F91,0)+ROUND($U134*E91,0)+ROUND($V134*D91,0)</f>
        <v>0</v>
      </c>
      <c r="W147">
        <f t="shared" ref="W147:W157" si="56">ROUND($D134*W91,0)+ROUND($E134*V91,0)+ROUND($F134*U91,0)+ROUND($G134*T91,0)+ROUND($H134*S91,0)+ROUND($I134*R91,0)+ROUND($J134*Q91,0)+ROUND($K134*P91,0)+ROUND($L134*O91,0)+ROUND($M134*N91,0)+ROUND($N134*M91,0)+ROUND($O134*L91,0)+ROUND($P134*K91,0)+ROUND($Q134*J91,0)+ROUND($R134*I91,0)+ROUND($S134*H91,0)+ROUND($T134*G91,0)+ROUND($U134*F91,0)+ROUND($V134*E91,0)+ROUND($W134*D91,0)</f>
        <v>0</v>
      </c>
    </row>
    <row r="148" spans="1:23">
      <c r="A148" s="22" t="s">
        <v>6</v>
      </c>
      <c r="C148">
        <f>SUM(D148:W148)</f>
        <v>0</v>
      </c>
      <c r="D148">
        <f t="shared" si="37"/>
        <v>0</v>
      </c>
      <c r="E148">
        <f t="shared" si="38"/>
        <v>0</v>
      </c>
      <c r="F148">
        <f t="shared" si="39"/>
        <v>0</v>
      </c>
      <c r="G148">
        <f t="shared" si="40"/>
        <v>0</v>
      </c>
      <c r="H148">
        <f t="shared" si="41"/>
        <v>0</v>
      </c>
      <c r="I148">
        <f t="shared" si="42"/>
        <v>0</v>
      </c>
      <c r="J148">
        <f t="shared" si="43"/>
        <v>0</v>
      </c>
      <c r="K148">
        <f t="shared" si="44"/>
        <v>0</v>
      </c>
      <c r="L148">
        <f t="shared" si="45"/>
        <v>0</v>
      </c>
      <c r="M148">
        <f t="shared" si="46"/>
        <v>0</v>
      </c>
      <c r="N148">
        <f t="shared" si="47"/>
        <v>0</v>
      </c>
      <c r="O148">
        <f t="shared" si="48"/>
        <v>0</v>
      </c>
      <c r="P148">
        <f t="shared" si="49"/>
        <v>0</v>
      </c>
      <c r="Q148">
        <f t="shared" si="50"/>
        <v>0</v>
      </c>
      <c r="R148">
        <f t="shared" si="51"/>
        <v>0</v>
      </c>
      <c r="S148">
        <f t="shared" si="52"/>
        <v>0</v>
      </c>
      <c r="T148">
        <f t="shared" si="53"/>
        <v>0</v>
      </c>
      <c r="U148">
        <f t="shared" si="54"/>
        <v>0</v>
      </c>
      <c r="V148">
        <f t="shared" si="55"/>
        <v>0</v>
      </c>
      <c r="W148">
        <f t="shared" si="56"/>
        <v>0</v>
      </c>
    </row>
    <row r="149" spans="1:23">
      <c r="A149" s="22" t="s">
        <v>7</v>
      </c>
      <c r="C149">
        <f t="shared" ref="C149:C157" si="57">SUM(D149:W149)</f>
        <v>0</v>
      </c>
      <c r="D149">
        <f t="shared" si="37"/>
        <v>0</v>
      </c>
      <c r="E149">
        <f t="shared" si="38"/>
        <v>0</v>
      </c>
      <c r="F149">
        <f t="shared" si="39"/>
        <v>0</v>
      </c>
      <c r="G149">
        <f t="shared" si="40"/>
        <v>0</v>
      </c>
      <c r="H149">
        <f t="shared" si="41"/>
        <v>0</v>
      </c>
      <c r="I149">
        <f t="shared" si="42"/>
        <v>0</v>
      </c>
      <c r="J149">
        <f t="shared" si="43"/>
        <v>0</v>
      </c>
      <c r="K149">
        <f t="shared" si="44"/>
        <v>0</v>
      </c>
      <c r="L149">
        <f t="shared" si="45"/>
        <v>0</v>
      </c>
      <c r="M149">
        <f t="shared" si="46"/>
        <v>0</v>
      </c>
      <c r="N149">
        <f t="shared" si="47"/>
        <v>0</v>
      </c>
      <c r="O149">
        <f t="shared" si="48"/>
        <v>0</v>
      </c>
      <c r="P149">
        <f t="shared" si="49"/>
        <v>0</v>
      </c>
      <c r="Q149">
        <f t="shared" si="50"/>
        <v>0</v>
      </c>
      <c r="R149">
        <f t="shared" si="51"/>
        <v>0</v>
      </c>
      <c r="S149">
        <f t="shared" si="52"/>
        <v>0</v>
      </c>
      <c r="T149">
        <f t="shared" si="53"/>
        <v>0</v>
      </c>
      <c r="U149">
        <f t="shared" si="54"/>
        <v>0</v>
      </c>
      <c r="V149">
        <f t="shared" si="55"/>
        <v>0</v>
      </c>
      <c r="W149">
        <f t="shared" si="56"/>
        <v>0</v>
      </c>
    </row>
    <row r="150" spans="1:23">
      <c r="A150" s="22" t="s">
        <v>8</v>
      </c>
      <c r="C150">
        <f t="shared" si="57"/>
        <v>0</v>
      </c>
      <c r="D150">
        <f t="shared" si="37"/>
        <v>0</v>
      </c>
      <c r="E150">
        <f t="shared" si="38"/>
        <v>0</v>
      </c>
      <c r="F150">
        <f t="shared" si="39"/>
        <v>0</v>
      </c>
      <c r="G150">
        <f t="shared" si="40"/>
        <v>0</v>
      </c>
      <c r="H150">
        <f t="shared" si="41"/>
        <v>0</v>
      </c>
      <c r="I150">
        <f t="shared" si="42"/>
        <v>0</v>
      </c>
      <c r="J150">
        <f t="shared" si="43"/>
        <v>0</v>
      </c>
      <c r="K150">
        <f t="shared" si="44"/>
        <v>0</v>
      </c>
      <c r="L150">
        <f t="shared" si="45"/>
        <v>0</v>
      </c>
      <c r="M150">
        <f t="shared" si="46"/>
        <v>0</v>
      </c>
      <c r="N150">
        <f t="shared" si="47"/>
        <v>0</v>
      </c>
      <c r="O150">
        <f t="shared" si="48"/>
        <v>0</v>
      </c>
      <c r="P150">
        <f t="shared" si="49"/>
        <v>0</v>
      </c>
      <c r="Q150">
        <f t="shared" si="50"/>
        <v>0</v>
      </c>
      <c r="R150">
        <f t="shared" si="51"/>
        <v>0</v>
      </c>
      <c r="S150">
        <f t="shared" si="52"/>
        <v>0</v>
      </c>
      <c r="T150">
        <f t="shared" si="53"/>
        <v>0</v>
      </c>
      <c r="U150">
        <f t="shared" si="54"/>
        <v>0</v>
      </c>
      <c r="V150">
        <f t="shared" si="55"/>
        <v>0</v>
      </c>
      <c r="W150">
        <f t="shared" si="56"/>
        <v>0</v>
      </c>
    </row>
    <row r="151" spans="1:23">
      <c r="A151" s="22" t="s">
        <v>9</v>
      </c>
      <c r="C151">
        <f t="shared" si="57"/>
        <v>0</v>
      </c>
      <c r="D151">
        <f t="shared" si="37"/>
        <v>0</v>
      </c>
      <c r="E151">
        <f t="shared" si="38"/>
        <v>0</v>
      </c>
      <c r="F151">
        <f t="shared" si="39"/>
        <v>0</v>
      </c>
      <c r="G151">
        <f t="shared" si="40"/>
        <v>0</v>
      </c>
      <c r="H151">
        <f t="shared" si="41"/>
        <v>0</v>
      </c>
      <c r="I151">
        <f t="shared" si="42"/>
        <v>0</v>
      </c>
      <c r="J151">
        <f t="shared" si="43"/>
        <v>0</v>
      </c>
      <c r="K151">
        <f t="shared" si="44"/>
        <v>0</v>
      </c>
      <c r="L151">
        <f t="shared" si="45"/>
        <v>0</v>
      </c>
      <c r="M151">
        <f t="shared" si="46"/>
        <v>0</v>
      </c>
      <c r="N151">
        <f t="shared" si="47"/>
        <v>0</v>
      </c>
      <c r="O151">
        <f t="shared" si="48"/>
        <v>0</v>
      </c>
      <c r="P151">
        <f t="shared" si="49"/>
        <v>0</v>
      </c>
      <c r="Q151">
        <f t="shared" si="50"/>
        <v>0</v>
      </c>
      <c r="R151">
        <f t="shared" si="51"/>
        <v>0</v>
      </c>
      <c r="S151">
        <f t="shared" si="52"/>
        <v>0</v>
      </c>
      <c r="T151">
        <f t="shared" si="53"/>
        <v>0</v>
      </c>
      <c r="U151">
        <f t="shared" si="54"/>
        <v>0</v>
      </c>
      <c r="V151">
        <f t="shared" si="55"/>
        <v>0</v>
      </c>
      <c r="W151">
        <f t="shared" si="56"/>
        <v>0</v>
      </c>
    </row>
    <row r="152" spans="1:23">
      <c r="A152" s="22" t="s">
        <v>10</v>
      </c>
      <c r="C152">
        <f t="shared" si="57"/>
        <v>0</v>
      </c>
      <c r="D152">
        <f t="shared" si="37"/>
        <v>0</v>
      </c>
      <c r="E152">
        <f t="shared" si="38"/>
        <v>0</v>
      </c>
      <c r="F152">
        <f t="shared" si="39"/>
        <v>0</v>
      </c>
      <c r="G152">
        <f t="shared" si="40"/>
        <v>0</v>
      </c>
      <c r="H152">
        <f t="shared" si="41"/>
        <v>0</v>
      </c>
      <c r="I152">
        <f t="shared" si="42"/>
        <v>0</v>
      </c>
      <c r="J152">
        <f t="shared" si="43"/>
        <v>0</v>
      </c>
      <c r="K152">
        <f t="shared" si="44"/>
        <v>0</v>
      </c>
      <c r="L152">
        <f t="shared" si="45"/>
        <v>0</v>
      </c>
      <c r="M152">
        <f t="shared" si="46"/>
        <v>0</v>
      </c>
      <c r="N152">
        <f t="shared" si="47"/>
        <v>0</v>
      </c>
      <c r="O152">
        <f t="shared" si="48"/>
        <v>0</v>
      </c>
      <c r="P152">
        <f t="shared" si="49"/>
        <v>0</v>
      </c>
      <c r="Q152">
        <f t="shared" si="50"/>
        <v>0</v>
      </c>
      <c r="R152">
        <f t="shared" si="51"/>
        <v>0</v>
      </c>
      <c r="S152">
        <f t="shared" si="52"/>
        <v>0</v>
      </c>
      <c r="T152">
        <f t="shared" si="53"/>
        <v>0</v>
      </c>
      <c r="U152">
        <f t="shared" si="54"/>
        <v>0</v>
      </c>
      <c r="V152">
        <f t="shared" si="55"/>
        <v>0</v>
      </c>
      <c r="W152">
        <f t="shared" si="56"/>
        <v>0</v>
      </c>
    </row>
    <row r="153" spans="1:23">
      <c r="A153" s="22" t="s">
        <v>11</v>
      </c>
      <c r="C153">
        <f t="shared" si="57"/>
        <v>6</v>
      </c>
      <c r="D153">
        <f t="shared" si="37"/>
        <v>0</v>
      </c>
      <c r="E153">
        <f t="shared" si="38"/>
        <v>0</v>
      </c>
      <c r="F153">
        <f t="shared" si="39"/>
        <v>0</v>
      </c>
      <c r="G153">
        <f t="shared" si="40"/>
        <v>0</v>
      </c>
      <c r="H153">
        <f t="shared" si="41"/>
        <v>0</v>
      </c>
      <c r="I153">
        <f t="shared" si="42"/>
        <v>0</v>
      </c>
      <c r="J153">
        <f t="shared" si="43"/>
        <v>0</v>
      </c>
      <c r="K153">
        <f t="shared" si="44"/>
        <v>0</v>
      </c>
      <c r="L153">
        <f t="shared" si="45"/>
        <v>0</v>
      </c>
      <c r="M153">
        <f t="shared" si="46"/>
        <v>0</v>
      </c>
      <c r="N153">
        <f t="shared" si="47"/>
        <v>0</v>
      </c>
      <c r="O153">
        <f t="shared" si="48"/>
        <v>0</v>
      </c>
      <c r="P153">
        <f t="shared" si="49"/>
        <v>0</v>
      </c>
      <c r="Q153">
        <f t="shared" si="50"/>
        <v>0</v>
      </c>
      <c r="R153">
        <f t="shared" si="51"/>
        <v>0</v>
      </c>
      <c r="S153">
        <f t="shared" si="52"/>
        <v>0</v>
      </c>
      <c r="T153">
        <f t="shared" si="53"/>
        <v>0</v>
      </c>
      <c r="U153">
        <f t="shared" si="54"/>
        <v>1</v>
      </c>
      <c r="V153">
        <f t="shared" si="55"/>
        <v>2</v>
      </c>
      <c r="W153">
        <f t="shared" si="56"/>
        <v>3</v>
      </c>
    </row>
    <row r="154" spans="1:23">
      <c r="A154" s="22" t="s">
        <v>12</v>
      </c>
      <c r="C154">
        <f t="shared" si="57"/>
        <v>17</v>
      </c>
      <c r="D154">
        <f t="shared" si="37"/>
        <v>0</v>
      </c>
      <c r="E154">
        <f t="shared" si="38"/>
        <v>0</v>
      </c>
      <c r="F154">
        <f t="shared" si="39"/>
        <v>0</v>
      </c>
      <c r="G154">
        <f t="shared" si="40"/>
        <v>0</v>
      </c>
      <c r="H154">
        <f t="shared" si="41"/>
        <v>0</v>
      </c>
      <c r="I154">
        <f t="shared" si="42"/>
        <v>0</v>
      </c>
      <c r="J154">
        <f t="shared" si="43"/>
        <v>0</v>
      </c>
      <c r="K154">
        <f t="shared" si="44"/>
        <v>0</v>
      </c>
      <c r="L154">
        <f t="shared" si="45"/>
        <v>0</v>
      </c>
      <c r="M154">
        <f t="shared" si="46"/>
        <v>0</v>
      </c>
      <c r="N154">
        <f t="shared" si="47"/>
        <v>0</v>
      </c>
      <c r="O154">
        <f t="shared" si="48"/>
        <v>0</v>
      </c>
      <c r="P154">
        <f t="shared" si="49"/>
        <v>0</v>
      </c>
      <c r="Q154">
        <f t="shared" si="50"/>
        <v>0</v>
      </c>
      <c r="R154">
        <f t="shared" si="51"/>
        <v>0</v>
      </c>
      <c r="S154">
        <f t="shared" si="52"/>
        <v>1</v>
      </c>
      <c r="T154">
        <f t="shared" si="53"/>
        <v>2</v>
      </c>
      <c r="U154">
        <f t="shared" si="54"/>
        <v>3</v>
      </c>
      <c r="V154">
        <f t="shared" si="55"/>
        <v>5</v>
      </c>
      <c r="W154">
        <f t="shared" si="56"/>
        <v>6</v>
      </c>
    </row>
    <row r="155" spans="1:23">
      <c r="A155" s="22" t="s">
        <v>13</v>
      </c>
      <c r="C155">
        <f t="shared" si="57"/>
        <v>10</v>
      </c>
      <c r="D155">
        <f t="shared" si="37"/>
        <v>0</v>
      </c>
      <c r="E155">
        <f t="shared" si="38"/>
        <v>0</v>
      </c>
      <c r="F155">
        <f t="shared" si="39"/>
        <v>0</v>
      </c>
      <c r="G155">
        <f t="shared" si="40"/>
        <v>0</v>
      </c>
      <c r="H155">
        <f t="shared" si="41"/>
        <v>0</v>
      </c>
      <c r="I155">
        <f t="shared" si="42"/>
        <v>0</v>
      </c>
      <c r="J155">
        <f t="shared" si="43"/>
        <v>0</v>
      </c>
      <c r="K155">
        <f t="shared" si="44"/>
        <v>0</v>
      </c>
      <c r="L155">
        <f t="shared" si="45"/>
        <v>0</v>
      </c>
      <c r="M155">
        <f t="shared" si="46"/>
        <v>0</v>
      </c>
      <c r="N155">
        <f t="shared" si="47"/>
        <v>0</v>
      </c>
      <c r="O155">
        <f t="shared" si="48"/>
        <v>0</v>
      </c>
      <c r="P155">
        <f t="shared" si="49"/>
        <v>0</v>
      </c>
      <c r="Q155">
        <f t="shared" si="50"/>
        <v>0</v>
      </c>
      <c r="R155">
        <f t="shared" si="51"/>
        <v>0</v>
      </c>
      <c r="S155">
        <f t="shared" si="52"/>
        <v>0</v>
      </c>
      <c r="T155">
        <f t="shared" si="53"/>
        <v>1</v>
      </c>
      <c r="U155">
        <f t="shared" si="54"/>
        <v>2</v>
      </c>
      <c r="V155">
        <f t="shared" si="55"/>
        <v>3</v>
      </c>
      <c r="W155">
        <f t="shared" si="56"/>
        <v>4</v>
      </c>
    </row>
    <row r="156" spans="1:23">
      <c r="A156" s="22" t="s">
        <v>14</v>
      </c>
      <c r="C156">
        <f t="shared" si="57"/>
        <v>15</v>
      </c>
      <c r="D156">
        <f t="shared" si="37"/>
        <v>0</v>
      </c>
      <c r="E156">
        <f t="shared" si="38"/>
        <v>0</v>
      </c>
      <c r="F156">
        <f t="shared" si="39"/>
        <v>0</v>
      </c>
      <c r="G156">
        <f t="shared" si="40"/>
        <v>0</v>
      </c>
      <c r="H156">
        <f t="shared" si="41"/>
        <v>0</v>
      </c>
      <c r="I156">
        <f t="shared" si="42"/>
        <v>0</v>
      </c>
      <c r="J156">
        <f t="shared" si="43"/>
        <v>0</v>
      </c>
      <c r="K156">
        <f t="shared" si="44"/>
        <v>0</v>
      </c>
      <c r="L156">
        <f t="shared" si="45"/>
        <v>0</v>
      </c>
      <c r="M156">
        <f t="shared" si="46"/>
        <v>0</v>
      </c>
      <c r="N156">
        <f t="shared" si="47"/>
        <v>0</v>
      </c>
      <c r="O156">
        <f t="shared" si="48"/>
        <v>0</v>
      </c>
      <c r="P156">
        <f t="shared" si="49"/>
        <v>0</v>
      </c>
      <c r="Q156">
        <f t="shared" si="50"/>
        <v>0</v>
      </c>
      <c r="R156">
        <f t="shared" si="51"/>
        <v>0</v>
      </c>
      <c r="S156">
        <f t="shared" si="52"/>
        <v>1</v>
      </c>
      <c r="T156">
        <f t="shared" si="53"/>
        <v>2</v>
      </c>
      <c r="U156">
        <f t="shared" si="54"/>
        <v>3</v>
      </c>
      <c r="V156">
        <f t="shared" si="55"/>
        <v>4</v>
      </c>
      <c r="W156">
        <f t="shared" si="56"/>
        <v>5</v>
      </c>
    </row>
    <row r="157" spans="1:23">
      <c r="A157" s="22" t="s">
        <v>15</v>
      </c>
      <c r="C157">
        <f t="shared" si="57"/>
        <v>0</v>
      </c>
      <c r="D157">
        <f t="shared" si="37"/>
        <v>0</v>
      </c>
      <c r="E157">
        <f t="shared" si="38"/>
        <v>0</v>
      </c>
      <c r="F157">
        <f t="shared" si="39"/>
        <v>0</v>
      </c>
      <c r="G157">
        <f t="shared" si="40"/>
        <v>0</v>
      </c>
      <c r="H157">
        <f t="shared" si="41"/>
        <v>0</v>
      </c>
      <c r="I157">
        <f t="shared" si="42"/>
        <v>0</v>
      </c>
      <c r="J157">
        <f t="shared" si="43"/>
        <v>0</v>
      </c>
      <c r="K157">
        <f t="shared" si="44"/>
        <v>0</v>
      </c>
      <c r="L157">
        <f t="shared" si="45"/>
        <v>0</v>
      </c>
      <c r="M157">
        <f t="shared" si="46"/>
        <v>0</v>
      </c>
      <c r="N157">
        <f t="shared" si="47"/>
        <v>0</v>
      </c>
      <c r="O157">
        <f t="shared" si="48"/>
        <v>0</v>
      </c>
      <c r="P157">
        <f t="shared" si="49"/>
        <v>0</v>
      </c>
      <c r="Q157">
        <f t="shared" si="50"/>
        <v>0</v>
      </c>
      <c r="R157">
        <f t="shared" si="51"/>
        <v>0</v>
      </c>
      <c r="S157">
        <f t="shared" si="52"/>
        <v>0</v>
      </c>
      <c r="T157">
        <f t="shared" si="53"/>
        <v>0</v>
      </c>
      <c r="U157">
        <f t="shared" si="54"/>
        <v>0</v>
      </c>
      <c r="V157">
        <f t="shared" si="55"/>
        <v>0</v>
      </c>
      <c r="W157">
        <f t="shared" si="56"/>
        <v>0</v>
      </c>
    </row>
    <row r="159" spans="1:23">
      <c r="A159" s="22" t="s">
        <v>77</v>
      </c>
    </row>
    <row r="160" spans="1:23">
      <c r="A160" s="22" t="s">
        <v>5</v>
      </c>
      <c r="C160">
        <f ca="1">SUM(D160:W160)</f>
        <v>0</v>
      </c>
      <c r="D160">
        <f ca="1">D120+D147</f>
        <v>0</v>
      </c>
      <c r="E160">
        <f t="shared" ref="E160:W170" ca="1" si="58">E120+E147</f>
        <v>0</v>
      </c>
      <c r="F160">
        <f t="shared" ca="1" si="58"/>
        <v>0</v>
      </c>
      <c r="G160">
        <f t="shared" ca="1" si="58"/>
        <v>0</v>
      </c>
      <c r="H160">
        <f t="shared" ca="1" si="58"/>
        <v>0</v>
      </c>
      <c r="I160">
        <f t="shared" ca="1" si="58"/>
        <v>0</v>
      </c>
      <c r="J160">
        <f t="shared" ca="1" si="58"/>
        <v>0</v>
      </c>
      <c r="K160">
        <f t="shared" ca="1" si="58"/>
        <v>0</v>
      </c>
      <c r="L160">
        <f t="shared" ca="1" si="58"/>
        <v>0</v>
      </c>
      <c r="M160">
        <f t="shared" ca="1" si="58"/>
        <v>0</v>
      </c>
      <c r="N160">
        <f t="shared" ca="1" si="58"/>
        <v>0</v>
      </c>
      <c r="O160">
        <f t="shared" ca="1" si="58"/>
        <v>0</v>
      </c>
      <c r="P160">
        <f t="shared" ca="1" si="58"/>
        <v>0</v>
      </c>
      <c r="Q160">
        <f t="shared" ca="1" si="58"/>
        <v>0</v>
      </c>
      <c r="R160">
        <f t="shared" ca="1" si="58"/>
        <v>0</v>
      </c>
      <c r="S160">
        <f t="shared" ca="1" si="58"/>
        <v>0</v>
      </c>
      <c r="T160">
        <f t="shared" ca="1" si="58"/>
        <v>0</v>
      </c>
      <c r="U160">
        <f t="shared" ca="1" si="58"/>
        <v>0</v>
      </c>
      <c r="V160">
        <f t="shared" ca="1" si="58"/>
        <v>0</v>
      </c>
      <c r="W160">
        <f t="shared" ca="1" si="58"/>
        <v>0</v>
      </c>
    </row>
    <row r="161" spans="1:23">
      <c r="A161" s="22" t="s">
        <v>6</v>
      </c>
      <c r="C161">
        <f ca="1">SUM(D161:W161)</f>
        <v>0</v>
      </c>
      <c r="D161">
        <f t="shared" ref="D161:S170" ca="1" si="59">D121+D148</f>
        <v>0</v>
      </c>
      <c r="E161">
        <f t="shared" ca="1" si="59"/>
        <v>0</v>
      </c>
      <c r="F161">
        <f t="shared" ca="1" si="59"/>
        <v>0</v>
      </c>
      <c r="G161">
        <f t="shared" ca="1" si="59"/>
        <v>0</v>
      </c>
      <c r="H161">
        <f t="shared" ca="1" si="59"/>
        <v>0</v>
      </c>
      <c r="I161">
        <f t="shared" ca="1" si="59"/>
        <v>0</v>
      </c>
      <c r="J161">
        <f t="shared" ca="1" si="59"/>
        <v>0</v>
      </c>
      <c r="K161">
        <f t="shared" ca="1" si="59"/>
        <v>0</v>
      </c>
      <c r="L161">
        <f t="shared" ca="1" si="59"/>
        <v>0</v>
      </c>
      <c r="M161">
        <f t="shared" ca="1" si="59"/>
        <v>0</v>
      </c>
      <c r="N161">
        <f t="shared" ca="1" si="59"/>
        <v>0</v>
      </c>
      <c r="O161">
        <f t="shared" ca="1" si="59"/>
        <v>0</v>
      </c>
      <c r="P161">
        <f t="shared" ca="1" si="59"/>
        <v>0</v>
      </c>
      <c r="Q161">
        <f t="shared" ca="1" si="59"/>
        <v>0</v>
      </c>
      <c r="R161">
        <f t="shared" ca="1" si="59"/>
        <v>0</v>
      </c>
      <c r="S161">
        <f t="shared" ca="1" si="59"/>
        <v>0</v>
      </c>
      <c r="T161">
        <f t="shared" ca="1" si="58"/>
        <v>0</v>
      </c>
      <c r="U161">
        <f t="shared" ca="1" si="58"/>
        <v>0</v>
      </c>
      <c r="V161">
        <f t="shared" ca="1" si="58"/>
        <v>0</v>
      </c>
      <c r="W161">
        <f t="shared" ca="1" si="58"/>
        <v>0</v>
      </c>
    </row>
    <row r="162" spans="1:23">
      <c r="A162" s="22" t="s">
        <v>7</v>
      </c>
      <c r="C162">
        <f t="shared" ref="C162:C170" ca="1" si="60">SUM(D162:W162)</f>
        <v>0</v>
      </c>
      <c r="D162">
        <f t="shared" ca="1" si="59"/>
        <v>0</v>
      </c>
      <c r="E162">
        <f t="shared" ca="1" si="58"/>
        <v>0</v>
      </c>
      <c r="F162">
        <f t="shared" ca="1" si="58"/>
        <v>0</v>
      </c>
      <c r="G162">
        <f t="shared" ca="1" si="58"/>
        <v>0</v>
      </c>
      <c r="H162">
        <f t="shared" ca="1" si="58"/>
        <v>0</v>
      </c>
      <c r="I162">
        <f t="shared" ca="1" si="58"/>
        <v>0</v>
      </c>
      <c r="J162">
        <f t="shared" ca="1" si="58"/>
        <v>0</v>
      </c>
      <c r="K162">
        <f t="shared" ca="1" si="58"/>
        <v>0</v>
      </c>
      <c r="L162">
        <f t="shared" ca="1" si="58"/>
        <v>0</v>
      </c>
      <c r="M162">
        <f t="shared" ca="1" si="58"/>
        <v>0</v>
      </c>
      <c r="N162">
        <f t="shared" ca="1" si="58"/>
        <v>0</v>
      </c>
      <c r="O162">
        <f t="shared" ca="1" si="58"/>
        <v>0</v>
      </c>
      <c r="P162">
        <f t="shared" ca="1" si="58"/>
        <v>0</v>
      </c>
      <c r="Q162">
        <f t="shared" ca="1" si="58"/>
        <v>0</v>
      </c>
      <c r="R162">
        <f t="shared" ca="1" si="58"/>
        <v>0</v>
      </c>
      <c r="S162">
        <f t="shared" ca="1" si="58"/>
        <v>0</v>
      </c>
      <c r="T162">
        <f t="shared" ca="1" si="58"/>
        <v>0</v>
      </c>
      <c r="U162">
        <f t="shared" ca="1" si="58"/>
        <v>0</v>
      </c>
      <c r="V162">
        <f t="shared" ca="1" si="58"/>
        <v>0</v>
      </c>
      <c r="W162">
        <f t="shared" ca="1" si="58"/>
        <v>0</v>
      </c>
    </row>
    <row r="163" spans="1:23">
      <c r="A163" s="22" t="s">
        <v>8</v>
      </c>
      <c r="C163">
        <f t="shared" ca="1" si="60"/>
        <v>2</v>
      </c>
      <c r="D163">
        <f t="shared" ca="1" si="59"/>
        <v>0</v>
      </c>
      <c r="E163">
        <f t="shared" ca="1" si="58"/>
        <v>0</v>
      </c>
      <c r="F163">
        <f t="shared" ca="1" si="58"/>
        <v>0</v>
      </c>
      <c r="G163">
        <f t="shared" ca="1" si="58"/>
        <v>0</v>
      </c>
      <c r="H163">
        <f t="shared" ca="1" si="58"/>
        <v>0</v>
      </c>
      <c r="I163">
        <f t="shared" ca="1" si="58"/>
        <v>0</v>
      </c>
      <c r="J163">
        <f t="shared" ca="1" si="58"/>
        <v>0</v>
      </c>
      <c r="K163">
        <f t="shared" ca="1" si="58"/>
        <v>0</v>
      </c>
      <c r="L163">
        <f t="shared" ca="1" si="58"/>
        <v>0</v>
      </c>
      <c r="M163">
        <f t="shared" ca="1" si="58"/>
        <v>0</v>
      </c>
      <c r="N163">
        <f t="shared" ca="1" si="58"/>
        <v>0</v>
      </c>
      <c r="O163">
        <f t="shared" ca="1" si="58"/>
        <v>0</v>
      </c>
      <c r="P163">
        <f t="shared" ca="1" si="58"/>
        <v>0</v>
      </c>
      <c r="Q163">
        <f t="shared" ca="1" si="58"/>
        <v>0</v>
      </c>
      <c r="R163">
        <f t="shared" ca="1" si="58"/>
        <v>0</v>
      </c>
      <c r="S163">
        <f t="shared" ca="1" si="58"/>
        <v>0</v>
      </c>
      <c r="T163">
        <f t="shared" ca="1" si="58"/>
        <v>0</v>
      </c>
      <c r="U163">
        <f t="shared" ca="1" si="58"/>
        <v>0</v>
      </c>
      <c r="V163">
        <f t="shared" ca="1" si="58"/>
        <v>1</v>
      </c>
      <c r="W163">
        <f t="shared" ca="1" si="58"/>
        <v>1</v>
      </c>
    </row>
    <row r="164" spans="1:23">
      <c r="A164" s="22" t="s">
        <v>9</v>
      </c>
      <c r="C164">
        <f t="shared" ca="1" si="60"/>
        <v>6</v>
      </c>
      <c r="D164">
        <f t="shared" ca="1" si="59"/>
        <v>0</v>
      </c>
      <c r="E164">
        <f t="shared" ca="1" si="58"/>
        <v>0</v>
      </c>
      <c r="F164">
        <f t="shared" ca="1" si="58"/>
        <v>0</v>
      </c>
      <c r="G164">
        <f t="shared" ca="1" si="58"/>
        <v>0</v>
      </c>
      <c r="H164">
        <f t="shared" ca="1" si="58"/>
        <v>0</v>
      </c>
      <c r="I164">
        <f t="shared" ca="1" si="58"/>
        <v>0</v>
      </c>
      <c r="J164">
        <f t="shared" ca="1" si="58"/>
        <v>0</v>
      </c>
      <c r="K164">
        <f t="shared" ca="1" si="58"/>
        <v>0</v>
      </c>
      <c r="L164">
        <f t="shared" ca="1" si="58"/>
        <v>0</v>
      </c>
      <c r="M164">
        <f t="shared" ca="1" si="58"/>
        <v>0</v>
      </c>
      <c r="N164">
        <f t="shared" ca="1" si="58"/>
        <v>0</v>
      </c>
      <c r="O164">
        <f t="shared" ca="1" si="58"/>
        <v>0</v>
      </c>
      <c r="P164">
        <f t="shared" ca="1" si="58"/>
        <v>0</v>
      </c>
      <c r="Q164">
        <f t="shared" ca="1" si="58"/>
        <v>0</v>
      </c>
      <c r="R164">
        <f t="shared" ca="1" si="58"/>
        <v>1</v>
      </c>
      <c r="S164">
        <f t="shared" ca="1" si="58"/>
        <v>1</v>
      </c>
      <c r="T164">
        <f t="shared" ca="1" si="58"/>
        <v>1</v>
      </c>
      <c r="U164">
        <f t="shared" ca="1" si="58"/>
        <v>1</v>
      </c>
      <c r="V164">
        <f t="shared" ca="1" si="58"/>
        <v>1</v>
      </c>
      <c r="W164">
        <f t="shared" ca="1" si="58"/>
        <v>1</v>
      </c>
    </row>
    <row r="165" spans="1:23">
      <c r="A165" s="22" t="s">
        <v>10</v>
      </c>
      <c r="C165">
        <f t="shared" ca="1" si="60"/>
        <v>13</v>
      </c>
      <c r="D165">
        <f t="shared" ca="1" si="59"/>
        <v>0</v>
      </c>
      <c r="E165">
        <f t="shared" ca="1" si="58"/>
        <v>0</v>
      </c>
      <c r="F165">
        <f t="shared" ca="1" si="58"/>
        <v>0</v>
      </c>
      <c r="G165">
        <f t="shared" ca="1" si="58"/>
        <v>0</v>
      </c>
      <c r="H165">
        <f t="shared" ca="1" si="58"/>
        <v>0</v>
      </c>
      <c r="I165">
        <f t="shared" ca="1" si="58"/>
        <v>0</v>
      </c>
      <c r="J165">
        <f t="shared" ca="1" si="58"/>
        <v>0</v>
      </c>
      <c r="K165">
        <f t="shared" ca="1" si="58"/>
        <v>0</v>
      </c>
      <c r="L165">
        <f t="shared" ca="1" si="58"/>
        <v>0</v>
      </c>
      <c r="M165">
        <f t="shared" ca="1" si="58"/>
        <v>0</v>
      </c>
      <c r="N165">
        <f t="shared" ca="1" si="58"/>
        <v>0</v>
      </c>
      <c r="O165">
        <f t="shared" ca="1" si="58"/>
        <v>0</v>
      </c>
      <c r="P165">
        <f t="shared" ca="1" si="58"/>
        <v>1</v>
      </c>
      <c r="Q165">
        <f t="shared" ca="1" si="58"/>
        <v>1</v>
      </c>
      <c r="R165">
        <f t="shared" ca="1" si="58"/>
        <v>1</v>
      </c>
      <c r="S165">
        <f t="shared" ca="1" si="58"/>
        <v>1</v>
      </c>
      <c r="T165">
        <f t="shared" ca="1" si="58"/>
        <v>2</v>
      </c>
      <c r="U165">
        <f t="shared" ca="1" si="58"/>
        <v>2</v>
      </c>
      <c r="V165">
        <f t="shared" ca="1" si="58"/>
        <v>2</v>
      </c>
      <c r="W165">
        <f t="shared" ca="1" si="58"/>
        <v>3</v>
      </c>
    </row>
    <row r="166" spans="1:23">
      <c r="A166" s="22" t="s">
        <v>11</v>
      </c>
      <c r="C166">
        <f t="shared" ca="1" si="60"/>
        <v>29</v>
      </c>
      <c r="D166">
        <f t="shared" ca="1" si="59"/>
        <v>0</v>
      </c>
      <c r="E166">
        <f t="shared" ca="1" si="58"/>
        <v>0</v>
      </c>
      <c r="F166">
        <f t="shared" ca="1" si="58"/>
        <v>0</v>
      </c>
      <c r="G166">
        <f t="shared" ca="1" si="58"/>
        <v>0</v>
      </c>
      <c r="H166">
        <f t="shared" ca="1" si="58"/>
        <v>0</v>
      </c>
      <c r="I166">
        <f t="shared" ca="1" si="58"/>
        <v>0</v>
      </c>
      <c r="J166">
        <f t="shared" ca="1" si="58"/>
        <v>0</v>
      </c>
      <c r="K166">
        <f t="shared" ca="1" si="58"/>
        <v>0</v>
      </c>
      <c r="L166">
        <f t="shared" ca="1" si="58"/>
        <v>0</v>
      </c>
      <c r="M166">
        <f t="shared" ca="1" si="58"/>
        <v>0</v>
      </c>
      <c r="N166">
        <f t="shared" ca="1" si="58"/>
        <v>0</v>
      </c>
      <c r="O166">
        <f t="shared" ca="1" si="58"/>
        <v>1</v>
      </c>
      <c r="P166">
        <f t="shared" ca="1" si="58"/>
        <v>1</v>
      </c>
      <c r="Q166">
        <f t="shared" ca="1" si="58"/>
        <v>2</v>
      </c>
      <c r="R166">
        <f t="shared" ca="1" si="58"/>
        <v>2</v>
      </c>
      <c r="S166">
        <f t="shared" ca="1" si="58"/>
        <v>3</v>
      </c>
      <c r="T166">
        <f t="shared" ca="1" si="58"/>
        <v>3</v>
      </c>
      <c r="U166">
        <f t="shared" ca="1" si="58"/>
        <v>4</v>
      </c>
      <c r="V166">
        <f t="shared" ca="1" si="58"/>
        <v>6</v>
      </c>
      <c r="W166">
        <f t="shared" ca="1" si="58"/>
        <v>7</v>
      </c>
    </row>
    <row r="167" spans="1:23">
      <c r="A167" s="22" t="s">
        <v>12</v>
      </c>
      <c r="C167">
        <f t="shared" ca="1" si="60"/>
        <v>35</v>
      </c>
      <c r="D167">
        <f t="shared" ca="1" si="59"/>
        <v>0</v>
      </c>
      <c r="E167">
        <f t="shared" ca="1" si="58"/>
        <v>0</v>
      </c>
      <c r="F167">
        <f t="shared" ca="1" si="58"/>
        <v>0</v>
      </c>
      <c r="G167">
        <f t="shared" ca="1" si="58"/>
        <v>0</v>
      </c>
      <c r="H167">
        <f t="shared" ca="1" si="58"/>
        <v>0</v>
      </c>
      <c r="I167">
        <f t="shared" ca="1" si="58"/>
        <v>0</v>
      </c>
      <c r="J167">
        <f t="shared" ca="1" si="58"/>
        <v>0</v>
      </c>
      <c r="K167">
        <f t="shared" ca="1" si="58"/>
        <v>0</v>
      </c>
      <c r="L167">
        <f t="shared" ca="1" si="58"/>
        <v>0</v>
      </c>
      <c r="M167">
        <f t="shared" ca="1" si="58"/>
        <v>0</v>
      </c>
      <c r="N167">
        <f t="shared" ca="1" si="58"/>
        <v>0</v>
      </c>
      <c r="O167">
        <f t="shared" ca="1" si="58"/>
        <v>1</v>
      </c>
      <c r="P167">
        <f t="shared" ca="1" si="58"/>
        <v>1</v>
      </c>
      <c r="Q167">
        <f t="shared" ca="1" si="58"/>
        <v>2</v>
      </c>
      <c r="R167">
        <f t="shared" ca="1" si="58"/>
        <v>3</v>
      </c>
      <c r="S167">
        <f t="shared" ca="1" si="58"/>
        <v>4</v>
      </c>
      <c r="T167">
        <f t="shared" ca="1" si="58"/>
        <v>6</v>
      </c>
      <c r="U167">
        <f t="shared" ca="1" si="58"/>
        <v>7</v>
      </c>
      <c r="V167">
        <f t="shared" ca="1" si="58"/>
        <v>5</v>
      </c>
      <c r="W167">
        <f t="shared" ca="1" si="58"/>
        <v>6</v>
      </c>
    </row>
    <row r="168" spans="1:23">
      <c r="A168" s="22" t="s">
        <v>13</v>
      </c>
      <c r="C168">
        <f t="shared" ca="1" si="60"/>
        <v>34</v>
      </c>
      <c r="D168">
        <f t="shared" ca="1" si="59"/>
        <v>0</v>
      </c>
      <c r="E168">
        <f t="shared" ca="1" si="58"/>
        <v>0</v>
      </c>
      <c r="F168">
        <f t="shared" ca="1" si="58"/>
        <v>0</v>
      </c>
      <c r="G168">
        <f t="shared" ca="1" si="58"/>
        <v>0</v>
      </c>
      <c r="H168">
        <f t="shared" ca="1" si="58"/>
        <v>0</v>
      </c>
      <c r="I168">
        <f t="shared" ca="1" si="58"/>
        <v>0</v>
      </c>
      <c r="J168">
        <f t="shared" ca="1" si="58"/>
        <v>0</v>
      </c>
      <c r="K168">
        <f t="shared" ca="1" si="58"/>
        <v>0</v>
      </c>
      <c r="L168">
        <f t="shared" ca="1" si="58"/>
        <v>0</v>
      </c>
      <c r="M168">
        <f t="shared" ca="1" si="58"/>
        <v>0</v>
      </c>
      <c r="N168">
        <f t="shared" ca="1" si="58"/>
        <v>1</v>
      </c>
      <c r="O168">
        <f t="shared" ca="1" si="58"/>
        <v>1</v>
      </c>
      <c r="P168">
        <f t="shared" ca="1" si="58"/>
        <v>2</v>
      </c>
      <c r="Q168">
        <f t="shared" ca="1" si="58"/>
        <v>2</v>
      </c>
      <c r="R168">
        <f t="shared" ca="1" si="58"/>
        <v>3</v>
      </c>
      <c r="S168">
        <f t="shared" ca="1" si="58"/>
        <v>3</v>
      </c>
      <c r="T168">
        <f t="shared" ca="1" si="58"/>
        <v>5</v>
      </c>
      <c r="U168">
        <f t="shared" ca="1" si="58"/>
        <v>6</v>
      </c>
      <c r="V168">
        <f t="shared" ca="1" si="58"/>
        <v>7</v>
      </c>
      <c r="W168">
        <f t="shared" ca="1" si="58"/>
        <v>4</v>
      </c>
    </row>
    <row r="169" spans="1:23">
      <c r="A169" s="22" t="s">
        <v>14</v>
      </c>
      <c r="C169">
        <f t="shared" ca="1" si="60"/>
        <v>35</v>
      </c>
      <c r="D169">
        <f t="shared" ca="1" si="59"/>
        <v>0</v>
      </c>
      <c r="E169">
        <f t="shared" ca="1" si="58"/>
        <v>0</v>
      </c>
      <c r="F169">
        <f t="shared" ca="1" si="58"/>
        <v>0</v>
      </c>
      <c r="G169">
        <f t="shared" ca="1" si="58"/>
        <v>0</v>
      </c>
      <c r="H169">
        <f t="shared" ca="1" si="58"/>
        <v>0</v>
      </c>
      <c r="I169">
        <f t="shared" ca="1" si="58"/>
        <v>0</v>
      </c>
      <c r="J169">
        <f t="shared" ca="1" si="58"/>
        <v>0</v>
      </c>
      <c r="K169">
        <f t="shared" ca="1" si="58"/>
        <v>0</v>
      </c>
      <c r="L169">
        <f t="shared" ca="1" si="58"/>
        <v>0</v>
      </c>
      <c r="M169">
        <f t="shared" ca="1" si="58"/>
        <v>0</v>
      </c>
      <c r="N169">
        <f t="shared" ca="1" si="58"/>
        <v>1</v>
      </c>
      <c r="O169">
        <f t="shared" ca="1" si="58"/>
        <v>1</v>
      </c>
      <c r="P169">
        <f t="shared" ca="1" si="58"/>
        <v>2</v>
      </c>
      <c r="Q169">
        <f t="shared" ca="1" si="58"/>
        <v>2</v>
      </c>
      <c r="R169">
        <f t="shared" ca="1" si="58"/>
        <v>3</v>
      </c>
      <c r="S169">
        <f t="shared" ca="1" si="58"/>
        <v>4</v>
      </c>
      <c r="T169">
        <f t="shared" ca="1" si="58"/>
        <v>6</v>
      </c>
      <c r="U169">
        <f t="shared" ca="1" si="58"/>
        <v>7</v>
      </c>
      <c r="V169">
        <f t="shared" ca="1" si="58"/>
        <v>4</v>
      </c>
      <c r="W169">
        <f t="shared" ca="1" si="58"/>
        <v>5</v>
      </c>
    </row>
    <row r="170" spans="1:23">
      <c r="A170" s="22" t="s">
        <v>15</v>
      </c>
      <c r="C170">
        <f t="shared" ca="1" si="60"/>
        <v>8</v>
      </c>
      <c r="D170">
        <f t="shared" ca="1" si="59"/>
        <v>0</v>
      </c>
      <c r="E170">
        <f t="shared" ca="1" si="58"/>
        <v>0</v>
      </c>
      <c r="F170">
        <f t="shared" ca="1" si="58"/>
        <v>0</v>
      </c>
      <c r="G170">
        <f t="shared" ca="1" si="58"/>
        <v>0</v>
      </c>
      <c r="H170">
        <f t="shared" ca="1" si="58"/>
        <v>0</v>
      </c>
      <c r="I170">
        <f t="shared" ca="1" si="58"/>
        <v>0</v>
      </c>
      <c r="J170">
        <f t="shared" ca="1" si="58"/>
        <v>0</v>
      </c>
      <c r="K170">
        <f t="shared" ca="1" si="58"/>
        <v>0</v>
      </c>
      <c r="L170">
        <f t="shared" ca="1" si="58"/>
        <v>0</v>
      </c>
      <c r="M170">
        <f t="shared" ca="1" si="58"/>
        <v>0</v>
      </c>
      <c r="N170">
        <f t="shared" ca="1" si="58"/>
        <v>0</v>
      </c>
      <c r="O170">
        <f t="shared" ca="1" si="58"/>
        <v>0</v>
      </c>
      <c r="P170">
        <f t="shared" ca="1" si="58"/>
        <v>1</v>
      </c>
      <c r="Q170">
        <f t="shared" ca="1" si="58"/>
        <v>1</v>
      </c>
      <c r="R170">
        <f t="shared" ca="1" si="58"/>
        <v>1</v>
      </c>
      <c r="S170">
        <f t="shared" ca="1" si="58"/>
        <v>1</v>
      </c>
      <c r="T170">
        <f t="shared" ca="1" si="58"/>
        <v>1</v>
      </c>
      <c r="U170">
        <f t="shared" ca="1" si="58"/>
        <v>1</v>
      </c>
      <c r="V170">
        <f t="shared" ca="1" si="58"/>
        <v>1</v>
      </c>
      <c r="W170">
        <f t="shared" ca="1" si="58"/>
        <v>1</v>
      </c>
    </row>
    <row r="172" spans="1:23">
      <c r="A172" s="30" t="s">
        <v>79</v>
      </c>
    </row>
    <row r="173" spans="1:23">
      <c r="A173" s="22" t="s">
        <v>5</v>
      </c>
      <c r="D173" s="23">
        <f ca="1">-$D160*D$13</f>
        <v>0</v>
      </c>
      <c r="E173" s="23">
        <f ca="1">-(SUM($E160:E160))*E$13</f>
        <v>0</v>
      </c>
      <c r="F173" s="23">
        <f ca="1">-(SUM($E160:F160))*F$13</f>
        <v>0</v>
      </c>
      <c r="G173" s="23">
        <f ca="1">-(SUM($E160:G160))*G$13</f>
        <v>0</v>
      </c>
      <c r="H173" s="23">
        <f ca="1">-(SUM($E160:H160))*H$13</f>
        <v>0</v>
      </c>
      <c r="I173" s="23">
        <f ca="1">-(SUM($E160:I160))*I$13</f>
        <v>0</v>
      </c>
      <c r="J173" s="23">
        <f ca="1">-(SUM($E160:J160))*J$13</f>
        <v>0</v>
      </c>
      <c r="K173" s="23">
        <f ca="1">-(SUM($E160:K160))*K$13</f>
        <v>0</v>
      </c>
      <c r="L173" s="23">
        <f ca="1">-(SUM($E160:L160))*L$13</f>
        <v>0</v>
      </c>
      <c r="M173" s="23">
        <f ca="1">-(SUM($E160:M160))*M$13</f>
        <v>0</v>
      </c>
      <c r="N173" s="23">
        <f ca="1">-(SUM($E160:N160))*N$13</f>
        <v>0</v>
      </c>
      <c r="O173" s="23">
        <f ca="1">-(SUM($E160:O160))*O$13</f>
        <v>0</v>
      </c>
      <c r="P173" s="23">
        <f ca="1">-(SUM($E160:P160))*P$13</f>
        <v>0</v>
      </c>
      <c r="Q173" s="23">
        <f ca="1">-(SUM($E160:Q160))*Q$13</f>
        <v>0</v>
      </c>
      <c r="R173" s="23">
        <f ca="1">-(SUM($E160:R160))*R$13</f>
        <v>0</v>
      </c>
      <c r="S173" s="23">
        <f ca="1">-(SUM($E160:S160))*S$13</f>
        <v>0</v>
      </c>
      <c r="T173" s="23">
        <f ca="1">-(SUM($E160:T160))*T$13</f>
        <v>0</v>
      </c>
      <c r="U173" s="23">
        <f ca="1">-(SUM($E160:U160))*U$13</f>
        <v>0</v>
      </c>
      <c r="V173" s="23">
        <f ca="1">-(SUM($E160:V160))*V$13</f>
        <v>0</v>
      </c>
      <c r="W173" s="23">
        <f ca="1">-(SUM($E160:W160))*W$13</f>
        <v>0</v>
      </c>
    </row>
    <row r="174" spans="1:23">
      <c r="A174" s="22" t="s">
        <v>6</v>
      </c>
      <c r="D174" s="23">
        <f t="shared" ref="D174:D183" ca="1" si="61">-$D161*D$13</f>
        <v>0</v>
      </c>
      <c r="E174" s="23">
        <f ca="1">-(SUM($E161:E161))*E$13</f>
        <v>0</v>
      </c>
      <c r="F174" s="23">
        <f ca="1">-(SUM($E161:F161))*F$13</f>
        <v>0</v>
      </c>
      <c r="G174" s="23">
        <f ca="1">-(SUM($E161:G161))*G$13</f>
        <v>0</v>
      </c>
      <c r="H174" s="23">
        <f ca="1">-(SUM($E161:H161))*H$13</f>
        <v>0</v>
      </c>
      <c r="I174" s="23">
        <f ca="1">-(SUM($E161:I161))*I$13</f>
        <v>0</v>
      </c>
      <c r="J174" s="23">
        <f ca="1">-(SUM($E161:J161))*J$13</f>
        <v>0</v>
      </c>
      <c r="K174" s="23">
        <f ca="1">-(SUM($E161:K161))*K$13</f>
        <v>0</v>
      </c>
      <c r="L174" s="23">
        <f ca="1">-(SUM($E161:L161))*L$13</f>
        <v>0</v>
      </c>
      <c r="M174" s="23">
        <f ca="1">-(SUM($E161:M161))*M$13</f>
        <v>0</v>
      </c>
      <c r="N174" s="23">
        <f ca="1">-(SUM($E161:N161))*N$13</f>
        <v>0</v>
      </c>
      <c r="O174" s="23">
        <f ca="1">-(SUM($E161:O161))*O$13</f>
        <v>0</v>
      </c>
      <c r="P174" s="23">
        <f ca="1">-(SUM($E161:P161))*P$13</f>
        <v>0</v>
      </c>
      <c r="Q174" s="23">
        <f ca="1">-(SUM($E161:Q161))*Q$13</f>
        <v>0</v>
      </c>
      <c r="R174" s="23">
        <f ca="1">-(SUM($E161:R161))*R$13</f>
        <v>0</v>
      </c>
      <c r="S174" s="23">
        <f ca="1">-(SUM($E161:S161))*S$13</f>
        <v>0</v>
      </c>
      <c r="T174" s="23">
        <f ca="1">-(SUM($E161:T161))*T$13</f>
        <v>0</v>
      </c>
      <c r="U174" s="23">
        <f ca="1">-(SUM($E161:U161))*U$13</f>
        <v>0</v>
      </c>
      <c r="V174" s="23">
        <f ca="1">-(SUM($E161:V161))*V$13</f>
        <v>0</v>
      </c>
      <c r="W174" s="23">
        <f ca="1">-(SUM($E161:W161))*W$13</f>
        <v>0</v>
      </c>
    </row>
    <row r="175" spans="1:23">
      <c r="A175" s="22" t="s">
        <v>7</v>
      </c>
      <c r="D175" s="23">
        <f t="shared" ca="1" si="61"/>
        <v>0</v>
      </c>
      <c r="E175" s="23">
        <f ca="1">-(SUM($E162:E162))*E$13</f>
        <v>0</v>
      </c>
      <c r="F175" s="23">
        <f ca="1">-(SUM($E162:F162))*F$13</f>
        <v>0</v>
      </c>
      <c r="G175" s="23">
        <f ca="1">-(SUM($E162:G162))*G$13</f>
        <v>0</v>
      </c>
      <c r="H175" s="23">
        <f ca="1">-(SUM($E162:H162))*H$13</f>
        <v>0</v>
      </c>
      <c r="I175" s="23">
        <f ca="1">-(SUM($E162:I162))*I$13</f>
        <v>0</v>
      </c>
      <c r="J175" s="23">
        <f ca="1">-(SUM($E162:J162))*J$13</f>
        <v>0</v>
      </c>
      <c r="K175" s="23">
        <f ca="1">-(SUM($E162:K162))*K$13</f>
        <v>0</v>
      </c>
      <c r="L175" s="23">
        <f ca="1">-(SUM($E162:L162))*L$13</f>
        <v>0</v>
      </c>
      <c r="M175" s="23">
        <f ca="1">-(SUM($E162:M162))*M$13</f>
        <v>0</v>
      </c>
      <c r="N175" s="23">
        <f ca="1">-(SUM($E162:N162))*N$13</f>
        <v>0</v>
      </c>
      <c r="O175" s="23">
        <f ca="1">-(SUM($E162:O162))*O$13</f>
        <v>0</v>
      </c>
      <c r="P175" s="23">
        <f ca="1">-(SUM($E162:P162))*P$13</f>
        <v>0</v>
      </c>
      <c r="Q175" s="23">
        <f ca="1">-(SUM($E162:Q162))*Q$13</f>
        <v>0</v>
      </c>
      <c r="R175" s="23">
        <f ca="1">-(SUM($E162:R162))*R$13</f>
        <v>0</v>
      </c>
      <c r="S175" s="23">
        <f ca="1">-(SUM($E162:S162))*S$13</f>
        <v>0</v>
      </c>
      <c r="T175" s="23">
        <f ca="1">-(SUM($E162:T162))*T$13</f>
        <v>0</v>
      </c>
      <c r="U175" s="23">
        <f ca="1">-(SUM($E162:U162))*U$13</f>
        <v>0</v>
      </c>
      <c r="V175" s="23">
        <f ca="1">-(SUM($E162:V162))*V$13</f>
        <v>0</v>
      </c>
      <c r="W175" s="23">
        <f ca="1">-(SUM($E162:W162))*W$13</f>
        <v>0</v>
      </c>
    </row>
    <row r="176" spans="1:23">
      <c r="A176" s="22" t="s">
        <v>8</v>
      </c>
      <c r="D176" s="23">
        <f t="shared" ca="1" si="61"/>
        <v>0</v>
      </c>
      <c r="E176" s="23">
        <f ca="1">-(SUM($E163:E163))*E$13</f>
        <v>0</v>
      </c>
      <c r="F176" s="23">
        <f ca="1">-(SUM($E163:F163))*F$13</f>
        <v>0</v>
      </c>
      <c r="G176" s="23">
        <f ca="1">-(SUM($E163:G163))*G$13</f>
        <v>0</v>
      </c>
      <c r="H176" s="23">
        <f ca="1">-(SUM($E163:H163))*H$13</f>
        <v>0</v>
      </c>
      <c r="I176" s="23">
        <f ca="1">-(SUM($E163:I163))*I$13</f>
        <v>0</v>
      </c>
      <c r="J176" s="23">
        <f ca="1">-(SUM($E163:J163))*J$13</f>
        <v>0</v>
      </c>
      <c r="K176" s="23">
        <f ca="1">-(SUM($E163:K163))*K$13</f>
        <v>0</v>
      </c>
      <c r="L176" s="23">
        <f ca="1">-(SUM($E163:L163))*L$13</f>
        <v>0</v>
      </c>
      <c r="M176" s="23">
        <f ca="1">-(SUM($E163:M163))*M$13</f>
        <v>0</v>
      </c>
      <c r="N176" s="23">
        <f ca="1">-(SUM($E163:N163))*N$13</f>
        <v>0</v>
      </c>
      <c r="O176" s="23">
        <f ca="1">-(SUM($E163:O163))*O$13</f>
        <v>0</v>
      </c>
      <c r="P176" s="23">
        <f ca="1">-(SUM($E163:P163))*P$13</f>
        <v>0</v>
      </c>
      <c r="Q176" s="23">
        <f ca="1">-(SUM($E163:Q163))*Q$13</f>
        <v>0</v>
      </c>
      <c r="R176" s="23">
        <f ca="1">-(SUM($E163:R163))*R$13</f>
        <v>0</v>
      </c>
      <c r="S176" s="23">
        <f ca="1">-(SUM($E163:S163))*S$13</f>
        <v>0</v>
      </c>
      <c r="T176" s="23">
        <f ca="1">-(SUM($E163:T163))*T$13</f>
        <v>0</v>
      </c>
      <c r="U176" s="23">
        <f ca="1">-(SUM($E163:U163))*U$13</f>
        <v>0</v>
      </c>
      <c r="V176" s="23">
        <f ca="1">-(SUM($E163:V163))*V$13</f>
        <v>-5487988.9115236839</v>
      </c>
      <c r="W176" s="23">
        <f ca="1">-(SUM($E163:W163))*W$13</f>
        <v>-11415016.935969263</v>
      </c>
    </row>
    <row r="177" spans="1:23">
      <c r="A177" s="22" t="s">
        <v>9</v>
      </c>
      <c r="D177" s="23">
        <f t="shared" ca="1" si="61"/>
        <v>0</v>
      </c>
      <c r="E177" s="23">
        <f ca="1">-(SUM($E164:E164))*E$13</f>
        <v>0</v>
      </c>
      <c r="F177" s="23">
        <f ca="1">-(SUM($E164:F164))*F$13</f>
        <v>0</v>
      </c>
      <c r="G177" s="23">
        <f ca="1">-(SUM($E164:G164))*G$13</f>
        <v>0</v>
      </c>
      <c r="H177" s="23">
        <f ca="1">-(SUM($E164:H164))*H$13</f>
        <v>0</v>
      </c>
      <c r="I177" s="23">
        <f ca="1">-(SUM($E164:I164))*I$13</f>
        <v>0</v>
      </c>
      <c r="J177" s="23">
        <f ca="1">-(SUM($E164:J164))*J$13</f>
        <v>0</v>
      </c>
      <c r="K177" s="23">
        <f ca="1">-(SUM($E164:K164))*K$13</f>
        <v>0</v>
      </c>
      <c r="L177" s="23">
        <f ca="1">-(SUM($E164:L164))*L$13</f>
        <v>0</v>
      </c>
      <c r="M177" s="23">
        <f ca="1">-(SUM($E164:M164))*M$13</f>
        <v>0</v>
      </c>
      <c r="N177" s="23">
        <f ca="1">-(SUM($E164:N164))*N$13</f>
        <v>0</v>
      </c>
      <c r="O177" s="23">
        <f ca="1">-(SUM($E164:O164))*O$13</f>
        <v>0</v>
      </c>
      <c r="P177" s="23">
        <f ca="1">-(SUM($E164:P164))*P$13</f>
        <v>0</v>
      </c>
      <c r="Q177" s="23">
        <f ca="1">-(SUM($E164:Q164))*Q$13</f>
        <v>0</v>
      </c>
      <c r="R177" s="23">
        <f ca="1">-(SUM($E164:R164))*R$13</f>
        <v>-4691155.9218951082</v>
      </c>
      <c r="S177" s="23">
        <f ca="1">-(SUM($E164:S164))*S$13</f>
        <v>-9757604.3175418247</v>
      </c>
      <c r="T177" s="23">
        <f ca="1">-(SUM($E164:T164))*T$13</f>
        <v>-15221862.735365247</v>
      </c>
      <c r="U177" s="23">
        <f ca="1">-(SUM($E164:U164))*U$13</f>
        <v>-21107649.659706477</v>
      </c>
      <c r="V177" s="23">
        <f ca="1">-(SUM($E164:V164))*V$13</f>
        <v>-27439944.557618421</v>
      </c>
      <c r="W177" s="23">
        <f ca="1">-(SUM($E164:W164))*W$13</f>
        <v>-34245050.80790779</v>
      </c>
    </row>
    <row r="178" spans="1:23">
      <c r="A178" s="22" t="s">
        <v>10</v>
      </c>
      <c r="D178" s="23">
        <f t="shared" ca="1" si="61"/>
        <v>0</v>
      </c>
      <c r="E178" s="23">
        <f ca="1">-(SUM($E165:E165))*E$13</f>
        <v>0</v>
      </c>
      <c r="F178" s="23">
        <f ca="1">-(SUM($E165:F165))*F$13</f>
        <v>0</v>
      </c>
      <c r="G178" s="23">
        <f ca="1">-(SUM($E165:G165))*G$13</f>
        <v>0</v>
      </c>
      <c r="H178" s="23">
        <f ca="1">-(SUM($E165:H165))*H$13</f>
        <v>0</v>
      </c>
      <c r="I178" s="23">
        <f ca="1">-(SUM($E165:I165))*I$13</f>
        <v>0</v>
      </c>
      <c r="J178" s="23">
        <f ca="1">-(SUM($E165:J165))*J$13</f>
        <v>0</v>
      </c>
      <c r="K178" s="23">
        <f ca="1">-(SUM($E165:K165))*K$13</f>
        <v>0</v>
      </c>
      <c r="L178" s="23">
        <f ca="1">-(SUM($E165:L165))*L$13</f>
        <v>0</v>
      </c>
      <c r="M178" s="23">
        <f ca="1">-(SUM($E165:M165))*M$13</f>
        <v>0</v>
      </c>
      <c r="N178" s="23">
        <f ca="1">-(SUM($E165:N165))*N$13</f>
        <v>0</v>
      </c>
      <c r="O178" s="23">
        <f ca="1">-(SUM($E165:O165))*O$13</f>
        <v>0</v>
      </c>
      <c r="P178" s="23">
        <f ca="1">-(SUM($E165:P165))*P$13</f>
        <v>-4337237.3538231393</v>
      </c>
      <c r="Q178" s="23">
        <f ca="1">-(SUM($E165:Q165))*Q$13</f>
        <v>-9021453.6959521305</v>
      </c>
      <c r="R178" s="23">
        <f ca="1">-(SUM($E165:R165))*R$13</f>
        <v>-14073467.765685324</v>
      </c>
      <c r="S178" s="23">
        <f ca="1">-(SUM($E165:S165))*S$13</f>
        <v>-19515208.635083649</v>
      </c>
      <c r="T178" s="23">
        <f ca="1">-(SUM($E165:T165))*T$13</f>
        <v>-30443725.470730495</v>
      </c>
      <c r="U178" s="23">
        <f ca="1">-(SUM($E165:U165))*U$13</f>
        <v>-42215299.319412954</v>
      </c>
      <c r="V178" s="23">
        <f ca="1">-(SUM($E165:V165))*V$13</f>
        <v>-54879889.115236841</v>
      </c>
      <c r="W178" s="23">
        <f ca="1">-(SUM($E165:W165))*W$13</f>
        <v>-74197610.083800212</v>
      </c>
    </row>
    <row r="179" spans="1:23">
      <c r="A179" s="22" t="s">
        <v>11</v>
      </c>
      <c r="D179" s="23">
        <f t="shared" ca="1" si="61"/>
        <v>0</v>
      </c>
      <c r="E179" s="23">
        <f ca="1">-(SUM($E166:E166))*E$13</f>
        <v>0</v>
      </c>
      <c r="F179" s="23">
        <f ca="1">-(SUM($E166:F166))*F$13</f>
        <v>0</v>
      </c>
      <c r="G179" s="23">
        <f ca="1">-(SUM($E166:G166))*G$13</f>
        <v>0</v>
      </c>
      <c r="H179" s="23">
        <f ca="1">-(SUM($E166:H166))*H$13</f>
        <v>0</v>
      </c>
      <c r="I179" s="23">
        <f ca="1">-(SUM($E166:I166))*I$13</f>
        <v>0</v>
      </c>
      <c r="J179" s="23">
        <f ca="1">-(SUM($E166:J166))*J$13</f>
        <v>0</v>
      </c>
      <c r="K179" s="23">
        <f ca="1">-(SUM($E166:K166))*K$13</f>
        <v>0</v>
      </c>
      <c r="L179" s="23">
        <f ca="1">-(SUM($E166:L166))*L$13</f>
        <v>0</v>
      </c>
      <c r="M179" s="23">
        <f ca="1">-(SUM($E166:M166))*M$13</f>
        <v>0</v>
      </c>
      <c r="N179" s="23">
        <f ca="1">-(SUM($E166:N166))*N$13</f>
        <v>0</v>
      </c>
      <c r="O179" s="23">
        <f ca="1">-(SUM($E166:O166))*O$13</f>
        <v>-4170420.532522249</v>
      </c>
      <c r="P179" s="23">
        <f ca="1">-(SUM($E166:P166))*P$13</f>
        <v>-8674474.7076462787</v>
      </c>
      <c r="Q179" s="23">
        <f ca="1">-(SUM($E166:Q166))*Q$13</f>
        <v>-18042907.391904261</v>
      </c>
      <c r="R179" s="23">
        <f ca="1">-(SUM($E166:R166))*R$13</f>
        <v>-28146935.531370647</v>
      </c>
      <c r="S179" s="23">
        <f ca="1">-(SUM($E166:S166))*S$13</f>
        <v>-43909219.42893821</v>
      </c>
      <c r="T179" s="23">
        <f ca="1">-(SUM($E166:T166))*T$13</f>
        <v>-60887450.941460989</v>
      </c>
      <c r="U179" s="23">
        <f ca="1">-(SUM($E166:U166))*U$13</f>
        <v>-84430598.638825908</v>
      </c>
      <c r="V179" s="23">
        <f ca="1">-(SUM($E166:V166))*V$13</f>
        <v>-120735756.05352105</v>
      </c>
      <c r="W179" s="23">
        <f ca="1">-(SUM($E166:W166))*W$13</f>
        <v>-165517745.5715543</v>
      </c>
    </row>
    <row r="180" spans="1:23">
      <c r="A180" s="22" t="s">
        <v>12</v>
      </c>
      <c r="D180" s="23">
        <f t="shared" ca="1" si="61"/>
        <v>0</v>
      </c>
      <c r="E180" s="23">
        <f ca="1">-(SUM($E167:E167))*E$13</f>
        <v>0</v>
      </c>
      <c r="F180" s="23">
        <f ca="1">-(SUM($E167:F167))*F$13</f>
        <v>0</v>
      </c>
      <c r="G180" s="23">
        <f ca="1">-(SUM($E167:G167))*G$13</f>
        <v>0</v>
      </c>
      <c r="H180" s="23">
        <f ca="1">-(SUM($E167:H167))*H$13</f>
        <v>0</v>
      </c>
      <c r="I180" s="23">
        <f ca="1">-(SUM($E167:I167))*I$13</f>
        <v>0</v>
      </c>
      <c r="J180" s="23">
        <f ca="1">-(SUM($E167:J167))*J$13</f>
        <v>0</v>
      </c>
      <c r="K180" s="23">
        <f ca="1">-(SUM($E167:K167))*K$13</f>
        <v>0</v>
      </c>
      <c r="L180" s="23">
        <f ca="1">-(SUM($E167:L167))*L$13</f>
        <v>0</v>
      </c>
      <c r="M180" s="23">
        <f ca="1">-(SUM($E167:M167))*M$13</f>
        <v>0</v>
      </c>
      <c r="N180" s="23">
        <f ca="1">-(SUM($E167:N167))*N$13</f>
        <v>0</v>
      </c>
      <c r="O180" s="23">
        <f ca="1">-(SUM($E167:O167))*O$13</f>
        <v>-4170420.532522249</v>
      </c>
      <c r="P180" s="23">
        <f ca="1">-(SUM($E167:P167))*P$13</f>
        <v>-8674474.7076462787</v>
      </c>
      <c r="Q180" s="23">
        <f ca="1">-(SUM($E167:Q167))*Q$13</f>
        <v>-18042907.391904261</v>
      </c>
      <c r="R180" s="23">
        <f ca="1">-(SUM($E167:R167))*R$13</f>
        <v>-32838091.453265756</v>
      </c>
      <c r="S180" s="23">
        <f ca="1">-(SUM($E167:S167))*S$13</f>
        <v>-53666823.746480033</v>
      </c>
      <c r="T180" s="23">
        <f ca="1">-(SUM($E167:T167))*T$13</f>
        <v>-86257222.167069733</v>
      </c>
      <c r="U180" s="23">
        <f ca="1">-(SUM($E167:U167))*U$13</f>
        <v>-126645897.95823887</v>
      </c>
      <c r="V180" s="23">
        <f ca="1">-(SUM($E167:V167))*V$13</f>
        <v>-159151678.43418685</v>
      </c>
      <c r="W180" s="23">
        <f ca="1">-(SUM($E167:W167))*W$13</f>
        <v>-199762796.37946212</v>
      </c>
    </row>
    <row r="181" spans="1:23">
      <c r="A181" s="22" t="s">
        <v>13</v>
      </c>
      <c r="D181" s="23">
        <f t="shared" ca="1" si="61"/>
        <v>0</v>
      </c>
      <c r="E181" s="23">
        <f ca="1">-(SUM($E168:E168))*E$13</f>
        <v>0</v>
      </c>
      <c r="F181" s="23">
        <f ca="1">-(SUM($E168:F168))*F$13</f>
        <v>0</v>
      </c>
      <c r="G181" s="23">
        <f ca="1">-(SUM($E168:G168))*G$13</f>
        <v>0</v>
      </c>
      <c r="H181" s="23">
        <f ca="1">-(SUM($E168:H168))*H$13</f>
        <v>0</v>
      </c>
      <c r="I181" s="23">
        <f ca="1">-(SUM($E168:I168))*I$13</f>
        <v>0</v>
      </c>
      <c r="J181" s="23">
        <f ca="1">-(SUM($E168:J168))*J$13</f>
        <v>0</v>
      </c>
      <c r="K181" s="23">
        <f ca="1">-(SUM($E168:K168))*K$13</f>
        <v>0</v>
      </c>
      <c r="L181" s="23">
        <f ca="1">-(SUM($E168:L168))*L$13</f>
        <v>0</v>
      </c>
      <c r="M181" s="23">
        <f ca="1">-(SUM($E168:M168))*M$13</f>
        <v>0</v>
      </c>
      <c r="N181" s="23">
        <f ca="1">-(SUM($E168:N168))*N$13</f>
        <v>-4010019.7428098549</v>
      </c>
      <c r="O181" s="23">
        <f ca="1">-(SUM($E168:O168))*O$13</f>
        <v>-8340841.0650444981</v>
      </c>
      <c r="P181" s="23">
        <f ca="1">-(SUM($E168:P168))*P$13</f>
        <v>-17348949.415292557</v>
      </c>
      <c r="Q181" s="23">
        <f ca="1">-(SUM($E168:Q168))*Q$13</f>
        <v>-27064361.08785639</v>
      </c>
      <c r="R181" s="23">
        <f ca="1">-(SUM($E168:R168))*R$13</f>
        <v>-42220403.297055975</v>
      </c>
      <c r="S181" s="23">
        <f ca="1">-(SUM($E168:S168))*S$13</f>
        <v>-58545625.905250952</v>
      </c>
      <c r="T181" s="23">
        <f ca="1">-(SUM($E168:T168))*T$13</f>
        <v>-86257222.167069733</v>
      </c>
      <c r="U181" s="23">
        <f ca="1">-(SUM($E168:U168))*U$13</f>
        <v>-121368985.54331224</v>
      </c>
      <c r="V181" s="23">
        <f ca="1">-(SUM($E168:V168))*V$13</f>
        <v>-164639667.34571052</v>
      </c>
      <c r="W181" s="23">
        <f ca="1">-(SUM($E168:W168))*W$13</f>
        <v>-194055287.91147748</v>
      </c>
    </row>
    <row r="182" spans="1:23">
      <c r="A182" s="22" t="s">
        <v>14</v>
      </c>
      <c r="D182" s="23">
        <f t="shared" ca="1" si="61"/>
        <v>0</v>
      </c>
      <c r="E182" s="23">
        <f ca="1">-(SUM($E169:E169))*E$13</f>
        <v>0</v>
      </c>
      <c r="F182" s="23">
        <f ca="1">-(SUM($E169:F169))*F$13</f>
        <v>0</v>
      </c>
      <c r="G182" s="23">
        <f ca="1">-(SUM(E169:G169))*G$13</f>
        <v>0</v>
      </c>
      <c r="H182" s="23">
        <f t="shared" ref="H182:W182" ca="1" si="62">-(SUM(F169:H169))*H$13</f>
        <v>0</v>
      </c>
      <c r="I182" s="23">
        <f t="shared" ca="1" si="62"/>
        <v>0</v>
      </c>
      <c r="J182" s="23">
        <f t="shared" ca="1" si="62"/>
        <v>0</v>
      </c>
      <c r="K182" s="23">
        <f t="shared" ca="1" si="62"/>
        <v>0</v>
      </c>
      <c r="L182" s="23">
        <f t="shared" ca="1" si="62"/>
        <v>0</v>
      </c>
      <c r="M182" s="23">
        <f t="shared" ca="1" si="62"/>
        <v>0</v>
      </c>
      <c r="N182" s="23">
        <f t="shared" ca="1" si="62"/>
        <v>-4010019.7428098549</v>
      </c>
      <c r="O182" s="23">
        <f t="shared" ca="1" si="62"/>
        <v>-8340841.0650444981</v>
      </c>
      <c r="P182" s="23">
        <f t="shared" ca="1" si="62"/>
        <v>-17348949.415292557</v>
      </c>
      <c r="Q182" s="23">
        <f t="shared" ca="1" si="62"/>
        <v>-22553634.239880327</v>
      </c>
      <c r="R182" s="23">
        <f t="shared" ca="1" si="62"/>
        <v>-32838091.453265756</v>
      </c>
      <c r="S182" s="23">
        <f t="shared" ca="1" si="62"/>
        <v>-43909219.42893821</v>
      </c>
      <c r="T182" s="23">
        <f t="shared" ca="1" si="62"/>
        <v>-65961405.186582737</v>
      </c>
      <c r="U182" s="23">
        <f t="shared" ca="1" si="62"/>
        <v>-89707511.053752527</v>
      </c>
      <c r="V182" s="23">
        <f t="shared" ca="1" si="62"/>
        <v>-93295811.495902628</v>
      </c>
      <c r="W182" s="23">
        <f t="shared" ca="1" si="62"/>
        <v>-91320135.487754107</v>
      </c>
    </row>
    <row r="183" spans="1:23">
      <c r="A183" s="22" t="s">
        <v>15</v>
      </c>
      <c r="D183" s="26">
        <f t="shared" ca="1" si="61"/>
        <v>0</v>
      </c>
      <c r="E183" s="26">
        <f ca="1">-(SUM($E170:E170))*E$13</f>
        <v>0</v>
      </c>
      <c r="F183" s="26">
        <f ca="1">-(SUM($E170:F170))*F$13</f>
        <v>0</v>
      </c>
      <c r="G183" s="26">
        <f ca="1">-(SUM($E170:G170))*G$13</f>
        <v>0</v>
      </c>
      <c r="H183" s="26">
        <f ca="1">-(SUM($E170:H170))*H$13</f>
        <v>0</v>
      </c>
      <c r="I183" s="26">
        <f ca="1">-(SUM($E170:I170))*I$13</f>
        <v>0</v>
      </c>
      <c r="J183" s="26">
        <f ca="1">-(SUM($E170:J170))*J$13</f>
        <v>0</v>
      </c>
      <c r="K183" s="26">
        <f ca="1">-(SUM($E170:K170))*K$13</f>
        <v>0</v>
      </c>
      <c r="L183" s="26">
        <f ca="1">-(SUM($E170:L170))*L$13</f>
        <v>0</v>
      </c>
      <c r="M183" s="26">
        <f ca="1">-(SUM($E170:M170))*M$13</f>
        <v>0</v>
      </c>
      <c r="N183" s="26">
        <f ca="1">-(SUM($E170:N170))*N$13</f>
        <v>0</v>
      </c>
      <c r="O183" s="26">
        <f ca="1">-(SUM($E170:O170))*O$13</f>
        <v>0</v>
      </c>
      <c r="P183" s="26">
        <f ca="1">-(SUM($E170:P170))*P$13</f>
        <v>-4337237.3538231393</v>
      </c>
      <c r="Q183" s="26">
        <f ca="1">-(SUM($E170:Q170))*Q$13</f>
        <v>-9021453.6959521305</v>
      </c>
      <c r="R183" s="26">
        <f ca="1">-(SUM($E170:R170))*R$13</f>
        <v>-14073467.765685324</v>
      </c>
      <c r="S183" s="26">
        <f ca="1">-(SUM($E170:S170))*S$13</f>
        <v>-19515208.635083649</v>
      </c>
      <c r="T183" s="26">
        <f ca="1">-(SUM($E170:T170))*T$13</f>
        <v>-25369771.225608744</v>
      </c>
      <c r="U183" s="26">
        <f ca="1">-(SUM($E170:U170))*U$13</f>
        <v>-31661474.489559717</v>
      </c>
      <c r="V183" s="26">
        <f ca="1">-(SUM($E170:V170))*V$13</f>
        <v>-38415922.380665787</v>
      </c>
      <c r="W183" s="26">
        <f ca="1">-(SUM($E170:W170))*W$13</f>
        <v>-45660067.743877053</v>
      </c>
    </row>
    <row r="184" spans="1:23">
      <c r="A184" s="22" t="s">
        <v>43</v>
      </c>
      <c r="D184" s="23">
        <f ca="1">SUM(D173:D183)</f>
        <v>0</v>
      </c>
      <c r="E184" s="23">
        <f t="shared" ref="E184:W184" ca="1" si="63">SUM(E173:E183)</f>
        <v>0</v>
      </c>
      <c r="F184" s="23">
        <f t="shared" ca="1" si="63"/>
        <v>0</v>
      </c>
      <c r="G184" s="23">
        <f t="shared" ca="1" si="63"/>
        <v>0</v>
      </c>
      <c r="H184" s="23">
        <f t="shared" ca="1" si="63"/>
        <v>0</v>
      </c>
      <c r="I184" s="23">
        <f t="shared" ca="1" si="63"/>
        <v>0</v>
      </c>
      <c r="J184" s="23">
        <f t="shared" ca="1" si="63"/>
        <v>0</v>
      </c>
      <c r="K184" s="23">
        <f t="shared" ca="1" si="63"/>
        <v>0</v>
      </c>
      <c r="L184" s="23">
        <f t="shared" ca="1" si="63"/>
        <v>0</v>
      </c>
      <c r="M184" s="23">
        <f t="shared" ca="1" si="63"/>
        <v>0</v>
      </c>
      <c r="N184" s="23">
        <f t="shared" ca="1" si="63"/>
        <v>-8020039.4856197098</v>
      </c>
      <c r="O184" s="23">
        <f t="shared" ca="1" si="63"/>
        <v>-25022523.195133492</v>
      </c>
      <c r="P184" s="23">
        <f t="shared" ca="1" si="63"/>
        <v>-60721322.953523949</v>
      </c>
      <c r="Q184" s="23">
        <f t="shared" ca="1" si="63"/>
        <v>-103746717.50344948</v>
      </c>
      <c r="R184" s="23">
        <f t="shared" ca="1" si="63"/>
        <v>-168881613.1882239</v>
      </c>
      <c r="S184" s="23">
        <f t="shared" ca="1" si="63"/>
        <v>-248818910.09731653</v>
      </c>
      <c r="T184" s="23">
        <f t="shared" ca="1" si="63"/>
        <v>-370398659.8938877</v>
      </c>
      <c r="U184" s="23">
        <f t="shared" ca="1" si="63"/>
        <v>-517137416.66280872</v>
      </c>
      <c r="V184" s="23">
        <f t="shared" ca="1" si="63"/>
        <v>-664046658.29436576</v>
      </c>
      <c r="W184" s="23">
        <f t="shared" ca="1" si="63"/>
        <v>-816173710.92180228</v>
      </c>
    </row>
    <row r="185" spans="1:23">
      <c r="A185" s="22"/>
    </row>
    <row r="186" spans="1:23">
      <c r="A186" s="22" t="s">
        <v>78</v>
      </c>
    </row>
    <row r="187" spans="1:23">
      <c r="A187" s="22" t="s">
        <v>5</v>
      </c>
      <c r="D187" s="23">
        <f t="shared" ref="D187:W197" ca="1" si="64">D70+D173</f>
        <v>0</v>
      </c>
      <c r="E187" s="23">
        <f t="shared" ca="1" si="64"/>
        <v>0</v>
      </c>
      <c r="F187" s="23">
        <f t="shared" ca="1" si="64"/>
        <v>0</v>
      </c>
      <c r="G187" s="23">
        <f t="shared" ca="1" si="64"/>
        <v>0</v>
      </c>
      <c r="H187" s="23">
        <f t="shared" ca="1" si="64"/>
        <v>0</v>
      </c>
      <c r="I187" s="23">
        <f t="shared" ca="1" si="64"/>
        <v>0</v>
      </c>
      <c r="J187" s="23">
        <f t="shared" ca="1" si="64"/>
        <v>0</v>
      </c>
      <c r="K187" s="23">
        <f t="shared" ca="1" si="64"/>
        <v>0</v>
      </c>
      <c r="L187" s="23">
        <f t="shared" ca="1" si="64"/>
        <v>0</v>
      </c>
      <c r="M187" s="23">
        <f t="shared" ca="1" si="64"/>
        <v>0</v>
      </c>
      <c r="N187" s="23">
        <f t="shared" ca="1" si="64"/>
        <v>0</v>
      </c>
      <c r="O187" s="23">
        <f t="shared" ca="1" si="64"/>
        <v>0</v>
      </c>
      <c r="P187" s="23">
        <f t="shared" ca="1" si="64"/>
        <v>0</v>
      </c>
      <c r="Q187" s="23">
        <f t="shared" ca="1" si="64"/>
        <v>0</v>
      </c>
      <c r="R187" s="23">
        <f t="shared" ca="1" si="64"/>
        <v>0</v>
      </c>
      <c r="S187" s="23">
        <f t="shared" ca="1" si="64"/>
        <v>0</v>
      </c>
      <c r="T187" s="23">
        <f t="shared" ca="1" si="64"/>
        <v>0</v>
      </c>
      <c r="U187" s="23">
        <f t="shared" ca="1" si="64"/>
        <v>0</v>
      </c>
      <c r="V187" s="23">
        <f t="shared" ca="1" si="64"/>
        <v>0</v>
      </c>
      <c r="W187" s="23">
        <f t="shared" ca="1" si="64"/>
        <v>0</v>
      </c>
    </row>
    <row r="188" spans="1:23">
      <c r="A188" s="22" t="s">
        <v>6</v>
      </c>
      <c r="D188" s="23">
        <f t="shared" ca="1" si="64"/>
        <v>0</v>
      </c>
      <c r="E188" s="23">
        <f t="shared" ca="1" si="64"/>
        <v>0</v>
      </c>
      <c r="F188" s="23">
        <f t="shared" ca="1" si="64"/>
        <v>0</v>
      </c>
      <c r="G188" s="23">
        <f t="shared" ca="1" si="64"/>
        <v>0</v>
      </c>
      <c r="H188" s="23">
        <f t="shared" ca="1" si="64"/>
        <v>0</v>
      </c>
      <c r="I188" s="23">
        <f t="shared" ca="1" si="64"/>
        <v>0</v>
      </c>
      <c r="J188" s="23">
        <f t="shared" ca="1" si="64"/>
        <v>0</v>
      </c>
      <c r="K188" s="23">
        <f t="shared" ca="1" si="64"/>
        <v>0</v>
      </c>
      <c r="L188" s="23">
        <f t="shared" ca="1" si="64"/>
        <v>0</v>
      </c>
      <c r="M188" s="23">
        <f t="shared" ca="1" si="64"/>
        <v>0</v>
      </c>
      <c r="N188" s="23">
        <f t="shared" ca="1" si="64"/>
        <v>0</v>
      </c>
      <c r="O188" s="23">
        <f t="shared" ca="1" si="64"/>
        <v>0</v>
      </c>
      <c r="P188" s="23">
        <f t="shared" ca="1" si="64"/>
        <v>0</v>
      </c>
      <c r="Q188" s="23">
        <f t="shared" ca="1" si="64"/>
        <v>0</v>
      </c>
      <c r="R188" s="23">
        <f t="shared" ca="1" si="64"/>
        <v>0</v>
      </c>
      <c r="S188" s="23">
        <f t="shared" ca="1" si="64"/>
        <v>0</v>
      </c>
      <c r="T188" s="23">
        <f t="shared" ca="1" si="64"/>
        <v>0</v>
      </c>
      <c r="U188" s="23">
        <f t="shared" ca="1" si="64"/>
        <v>0</v>
      </c>
      <c r="V188" s="23">
        <f t="shared" ca="1" si="64"/>
        <v>0</v>
      </c>
      <c r="W188" s="23">
        <f t="shared" ca="1" si="64"/>
        <v>0</v>
      </c>
    </row>
    <row r="189" spans="1:23">
      <c r="A189" s="22" t="s">
        <v>7</v>
      </c>
      <c r="D189" s="23">
        <f t="shared" ca="1" si="64"/>
        <v>0</v>
      </c>
      <c r="E189" s="23">
        <f t="shared" ca="1" si="64"/>
        <v>0</v>
      </c>
      <c r="F189" s="23">
        <f t="shared" ca="1" si="64"/>
        <v>0</v>
      </c>
      <c r="G189" s="23">
        <f t="shared" ca="1" si="64"/>
        <v>0</v>
      </c>
      <c r="H189" s="23">
        <f t="shared" ca="1" si="64"/>
        <v>0</v>
      </c>
      <c r="I189" s="23">
        <f t="shared" ca="1" si="64"/>
        <v>0</v>
      </c>
      <c r="J189" s="23">
        <f t="shared" ca="1" si="64"/>
        <v>0</v>
      </c>
      <c r="K189" s="23">
        <f t="shared" ca="1" si="64"/>
        <v>0</v>
      </c>
      <c r="L189" s="23">
        <f t="shared" ca="1" si="64"/>
        <v>0</v>
      </c>
      <c r="M189" s="23">
        <f t="shared" ca="1" si="64"/>
        <v>0</v>
      </c>
      <c r="N189" s="23">
        <f t="shared" ca="1" si="64"/>
        <v>0</v>
      </c>
      <c r="O189" s="23">
        <f t="shared" ca="1" si="64"/>
        <v>0</v>
      </c>
      <c r="P189" s="23">
        <f t="shared" ca="1" si="64"/>
        <v>4337237.3538231393</v>
      </c>
      <c r="Q189" s="23">
        <f t="shared" ca="1" si="64"/>
        <v>9021453.6959521305</v>
      </c>
      <c r="R189" s="23">
        <f t="shared" ca="1" si="64"/>
        <v>14073467.765685324</v>
      </c>
      <c r="S189" s="23">
        <f t="shared" ca="1" si="64"/>
        <v>19515208.635083649</v>
      </c>
      <c r="T189" s="23">
        <f t="shared" ca="1" si="64"/>
        <v>25369771.225608744</v>
      </c>
      <c r="U189" s="23">
        <f t="shared" ca="1" si="64"/>
        <v>31661474.489559717</v>
      </c>
      <c r="V189" s="23">
        <f t="shared" ca="1" si="64"/>
        <v>38415922.380665787</v>
      </c>
      <c r="W189" s="23">
        <f t="shared" ca="1" si="64"/>
        <v>45660067.743877053</v>
      </c>
    </row>
    <row r="190" spans="1:23">
      <c r="A190" s="22" t="s">
        <v>8</v>
      </c>
      <c r="D190" s="23">
        <f t="shared" ca="1" si="64"/>
        <v>0</v>
      </c>
      <c r="E190" s="23">
        <f t="shared" ca="1" si="64"/>
        <v>0</v>
      </c>
      <c r="F190" s="23">
        <f t="shared" ca="1" si="64"/>
        <v>0</v>
      </c>
      <c r="G190" s="23">
        <f t="shared" ca="1" si="64"/>
        <v>0</v>
      </c>
      <c r="H190" s="23">
        <f t="shared" ca="1" si="64"/>
        <v>0</v>
      </c>
      <c r="I190" s="23">
        <f t="shared" ca="1" si="64"/>
        <v>0</v>
      </c>
      <c r="J190" s="23">
        <f t="shared" ca="1" si="64"/>
        <v>0</v>
      </c>
      <c r="K190" s="23">
        <f t="shared" ca="1" si="64"/>
        <v>0</v>
      </c>
      <c r="L190" s="23">
        <f t="shared" ca="1" si="64"/>
        <v>0</v>
      </c>
      <c r="M190" s="23">
        <f t="shared" ca="1" si="64"/>
        <v>3855788.2142402451</v>
      </c>
      <c r="N190" s="23">
        <f t="shared" ca="1" si="64"/>
        <v>8020039.4856197098</v>
      </c>
      <c r="O190" s="23">
        <f t="shared" ca="1" si="64"/>
        <v>12511261.597566746</v>
      </c>
      <c r="P190" s="23">
        <f t="shared" ca="1" si="64"/>
        <v>17348949.415292557</v>
      </c>
      <c r="Q190" s="23">
        <f t="shared" ca="1" si="64"/>
        <v>22553634.239880327</v>
      </c>
      <c r="R190" s="23">
        <f t="shared" ca="1" si="64"/>
        <v>28146935.531370647</v>
      </c>
      <c r="S190" s="23">
        <f t="shared" ca="1" si="64"/>
        <v>34151615.111396387</v>
      </c>
      <c r="T190" s="23">
        <f t="shared" ca="1" si="64"/>
        <v>40591633.960973993</v>
      </c>
      <c r="U190" s="23">
        <f t="shared" ca="1" si="64"/>
        <v>47492211.734339572</v>
      </c>
      <c r="V190" s="23">
        <f t="shared" ca="1" si="64"/>
        <v>49391900.203713156</v>
      </c>
      <c r="W190" s="23">
        <f t="shared" ca="1" si="64"/>
        <v>51367576.211861685</v>
      </c>
    </row>
    <row r="191" spans="1:23">
      <c r="A191" s="22" t="s">
        <v>9</v>
      </c>
      <c r="D191" s="23">
        <f t="shared" ca="1" si="64"/>
        <v>0</v>
      </c>
      <c r="E191" s="23">
        <f t="shared" ca="1" si="64"/>
        <v>0</v>
      </c>
      <c r="F191" s="23">
        <f t="shared" ca="1" si="64"/>
        <v>0</v>
      </c>
      <c r="G191" s="23">
        <f t="shared" ca="1" si="64"/>
        <v>0</v>
      </c>
      <c r="H191" s="23">
        <f t="shared" ca="1" si="64"/>
        <v>0</v>
      </c>
      <c r="I191" s="23">
        <f t="shared" ca="1" si="64"/>
        <v>0</v>
      </c>
      <c r="J191" s="23">
        <f t="shared" ca="1" si="64"/>
        <v>3427781.6822658069</v>
      </c>
      <c r="K191" s="23">
        <f t="shared" ca="1" si="64"/>
        <v>7129785.8991128784</v>
      </c>
      <c r="L191" s="23">
        <f t="shared" ca="1" si="64"/>
        <v>11122466.002616091</v>
      </c>
      <c r="M191" s="23">
        <f t="shared" ca="1" si="64"/>
        <v>15423152.85696098</v>
      </c>
      <c r="N191" s="23">
        <f t="shared" ca="1" si="64"/>
        <v>20050098.714049276</v>
      </c>
      <c r="O191" s="23">
        <f t="shared" ca="1" si="64"/>
        <v>25022523.195133492</v>
      </c>
      <c r="P191" s="23">
        <f t="shared" ca="1" si="64"/>
        <v>30360661.476761974</v>
      </c>
      <c r="Q191" s="23">
        <f t="shared" ca="1" si="64"/>
        <v>40596541.631784588</v>
      </c>
      <c r="R191" s="23">
        <f t="shared" ca="1" si="64"/>
        <v>46911559.218951084</v>
      </c>
      <c r="S191" s="23">
        <f t="shared" ca="1" si="64"/>
        <v>53666823.74648004</v>
      </c>
      <c r="T191" s="23">
        <f t="shared" ca="1" si="64"/>
        <v>60887450.941460989</v>
      </c>
      <c r="U191" s="23">
        <f t="shared" ca="1" si="64"/>
        <v>68599861.394046053</v>
      </c>
      <c r="V191" s="23">
        <f t="shared" ca="1" si="64"/>
        <v>76831844.761331573</v>
      </c>
      <c r="W191" s="23">
        <f t="shared" ca="1" si="64"/>
        <v>91320135.487754107</v>
      </c>
    </row>
    <row r="192" spans="1:23">
      <c r="A192" s="22" t="s">
        <v>10</v>
      </c>
      <c r="D192" s="23">
        <f t="shared" ca="1" si="64"/>
        <v>0</v>
      </c>
      <c r="E192" s="23">
        <f t="shared" ca="1" si="64"/>
        <v>0</v>
      </c>
      <c r="F192" s="23">
        <f t="shared" ca="1" si="64"/>
        <v>0</v>
      </c>
      <c r="G192" s="23">
        <f t="shared" ca="1" si="64"/>
        <v>0</v>
      </c>
      <c r="H192" s="23">
        <f t="shared" ca="1" si="64"/>
        <v>3155609.5166183044</v>
      </c>
      <c r="I192" s="23">
        <f t="shared" ca="1" si="64"/>
        <v>6591887.8505111672</v>
      </c>
      <c r="J192" s="23">
        <f t="shared" ca="1" si="64"/>
        <v>10283345.046797421</v>
      </c>
      <c r="K192" s="23">
        <f t="shared" ca="1" si="64"/>
        <v>14259571.798225757</v>
      </c>
      <c r="L192" s="23">
        <f t="shared" ca="1" si="64"/>
        <v>22244932.005232181</v>
      </c>
      <c r="M192" s="23">
        <f t="shared" ca="1" si="64"/>
        <v>30846305.71392196</v>
      </c>
      <c r="N192" s="23">
        <f t="shared" ca="1" si="64"/>
        <v>40100197.428098552</v>
      </c>
      <c r="O192" s="23">
        <f t="shared" ca="1" si="64"/>
        <v>54215466.922789238</v>
      </c>
      <c r="P192" s="23">
        <f t="shared" ca="1" si="64"/>
        <v>65058560.307347089</v>
      </c>
      <c r="Q192" s="23">
        <f t="shared" ca="1" si="64"/>
        <v>76682356.415593103</v>
      </c>
      <c r="R192" s="23">
        <f t="shared" ca="1" si="64"/>
        <v>89131962.516007066</v>
      </c>
      <c r="S192" s="23">
        <f t="shared" ca="1" si="64"/>
        <v>107333647.49296008</v>
      </c>
      <c r="T192" s="23">
        <f t="shared" ca="1" si="64"/>
        <v>121774901.88292198</v>
      </c>
      <c r="U192" s="23">
        <f t="shared" ca="1" si="64"/>
        <v>137199722.78809211</v>
      </c>
      <c r="V192" s="23">
        <f t="shared" ca="1" si="64"/>
        <v>159151678.43418682</v>
      </c>
      <c r="W192" s="23">
        <f t="shared" ca="1" si="64"/>
        <v>176932762.5075236</v>
      </c>
    </row>
    <row r="193" spans="1:23">
      <c r="A193" s="22" t="s">
        <v>11</v>
      </c>
      <c r="D193" s="23">
        <f t="shared" ca="1" si="64"/>
        <v>0</v>
      </c>
      <c r="E193" s="23">
        <f t="shared" ca="1" si="64"/>
        <v>0</v>
      </c>
      <c r="F193" s="23">
        <f t="shared" ca="1" si="64"/>
        <v>0</v>
      </c>
      <c r="G193" s="23">
        <f t="shared" ca="1" si="64"/>
        <v>0</v>
      </c>
      <c r="H193" s="23">
        <f t="shared" ca="1" si="64"/>
        <v>3155609.5166183044</v>
      </c>
      <c r="I193" s="23">
        <f t="shared" ca="1" si="64"/>
        <v>6591887.8505111672</v>
      </c>
      <c r="J193" s="23">
        <f t="shared" ca="1" si="64"/>
        <v>13711126.729063228</v>
      </c>
      <c r="K193" s="23">
        <f t="shared" ca="1" si="64"/>
        <v>21389357.697338633</v>
      </c>
      <c r="L193" s="23">
        <f t="shared" ca="1" si="64"/>
        <v>33367398.00784827</v>
      </c>
      <c r="M193" s="23">
        <f t="shared" ca="1" si="64"/>
        <v>46269458.570882939</v>
      </c>
      <c r="N193" s="23">
        <f t="shared" ca="1" si="64"/>
        <v>60150296.142147824</v>
      </c>
      <c r="O193" s="23">
        <f t="shared" ca="1" si="64"/>
        <v>75067569.585400492</v>
      </c>
      <c r="P193" s="23">
        <f t="shared" ca="1" si="64"/>
        <v>91081984.430285931</v>
      </c>
      <c r="Q193" s="23">
        <f t="shared" ca="1" si="64"/>
        <v>108257444.35142556</v>
      </c>
      <c r="R193" s="23">
        <f t="shared" ca="1" si="64"/>
        <v>126661209.89116794</v>
      </c>
      <c r="S193" s="23">
        <f t="shared" ca="1" si="64"/>
        <v>146364064.76312736</v>
      </c>
      <c r="T193" s="23">
        <f t="shared" ca="1" si="64"/>
        <v>167440490.08901772</v>
      </c>
      <c r="U193" s="23">
        <f t="shared" ca="1" si="64"/>
        <v>184691934.52243167</v>
      </c>
      <c r="V193" s="23">
        <f t="shared" ca="1" si="64"/>
        <v>197567600.81485265</v>
      </c>
      <c r="W193" s="23">
        <f t="shared" ca="1" si="64"/>
        <v>205470304.84744674</v>
      </c>
    </row>
    <row r="194" spans="1:23">
      <c r="A194" s="22" t="s">
        <v>12</v>
      </c>
      <c r="D194" s="23">
        <f t="shared" ca="1" si="64"/>
        <v>0</v>
      </c>
      <c r="E194" s="23">
        <f t="shared" ca="1" si="64"/>
        <v>0</v>
      </c>
      <c r="F194" s="23">
        <f t="shared" ca="1" si="64"/>
        <v>0</v>
      </c>
      <c r="G194" s="23">
        <f t="shared" ca="1" si="64"/>
        <v>0</v>
      </c>
      <c r="H194" s="23">
        <f t="shared" ca="1" si="64"/>
        <v>3155609.5166183044</v>
      </c>
      <c r="I194" s="23">
        <f t="shared" ca="1" si="64"/>
        <v>6591887.8505111672</v>
      </c>
      <c r="J194" s="23">
        <f t="shared" ca="1" si="64"/>
        <v>13711126.729063228</v>
      </c>
      <c r="K194" s="23">
        <f t="shared" ca="1" si="64"/>
        <v>24954250.646895073</v>
      </c>
      <c r="L194" s="23">
        <f t="shared" ca="1" si="64"/>
        <v>37074886.675386965</v>
      </c>
      <c r="M194" s="23">
        <f t="shared" ca="1" si="64"/>
        <v>53981034.99936343</v>
      </c>
      <c r="N194" s="23">
        <f t="shared" ca="1" si="64"/>
        <v>72180355.370577395</v>
      </c>
      <c r="O194" s="23">
        <f t="shared" ca="1" si="64"/>
        <v>91749251.715489477</v>
      </c>
      <c r="P194" s="23">
        <f t="shared" ca="1" si="64"/>
        <v>112768171.19940162</v>
      </c>
      <c r="Q194" s="23">
        <f t="shared" ca="1" si="64"/>
        <v>135321805.43928194</v>
      </c>
      <c r="R194" s="23">
        <f t="shared" ca="1" si="64"/>
        <v>154808145.42253858</v>
      </c>
      <c r="S194" s="23">
        <f t="shared" ca="1" si="64"/>
        <v>175636877.71575284</v>
      </c>
      <c r="T194" s="23">
        <f t="shared" ca="1" si="64"/>
        <v>187736307.06950474</v>
      </c>
      <c r="U194" s="23">
        <f t="shared" ca="1" si="64"/>
        <v>195245759.35228488</v>
      </c>
      <c r="V194" s="23">
        <f t="shared" ca="1" si="64"/>
        <v>214031567.54942366</v>
      </c>
      <c r="W194" s="23">
        <f t="shared" ca="1" si="64"/>
        <v>228300338.71938527</v>
      </c>
    </row>
    <row r="195" spans="1:23">
      <c r="A195" s="22" t="s">
        <v>13</v>
      </c>
      <c r="D195" s="23">
        <f t="shared" ca="1" si="64"/>
        <v>0</v>
      </c>
      <c r="E195" s="23">
        <f t="shared" ca="1" si="64"/>
        <v>0</v>
      </c>
      <c r="F195" s="23">
        <f t="shared" ca="1" si="64"/>
        <v>0</v>
      </c>
      <c r="G195" s="23">
        <f t="shared" ca="1" si="64"/>
        <v>0</v>
      </c>
      <c r="H195" s="23">
        <f t="shared" ca="1" si="64"/>
        <v>3155609.5166183044</v>
      </c>
      <c r="I195" s="23">
        <f t="shared" ca="1" si="64"/>
        <v>6591887.8505111672</v>
      </c>
      <c r="J195" s="23">
        <f t="shared" ca="1" si="64"/>
        <v>13711126.729063228</v>
      </c>
      <c r="K195" s="23">
        <f t="shared" ca="1" si="64"/>
        <v>21389357.697338633</v>
      </c>
      <c r="L195" s="23">
        <f t="shared" ca="1" si="64"/>
        <v>33367398.00784827</v>
      </c>
      <c r="M195" s="23">
        <f t="shared" ca="1" si="64"/>
        <v>46269458.570882939</v>
      </c>
      <c r="N195" s="23">
        <f t="shared" ca="1" si="64"/>
        <v>60150296.142147824</v>
      </c>
      <c r="O195" s="23">
        <f t="shared" ca="1" si="64"/>
        <v>75067569.585400492</v>
      </c>
      <c r="P195" s="23">
        <f t="shared" ca="1" si="64"/>
        <v>82407509.72263965</v>
      </c>
      <c r="Q195" s="23">
        <f t="shared" ca="1" si="64"/>
        <v>94725263.807497382</v>
      </c>
      <c r="R195" s="23">
        <f t="shared" ca="1" si="64"/>
        <v>98514274.359797284</v>
      </c>
      <c r="S195" s="23">
        <f t="shared" ca="1" si="64"/>
        <v>107333647.49296008</v>
      </c>
      <c r="T195" s="23">
        <f t="shared" ca="1" si="64"/>
        <v>101479084.90243497</v>
      </c>
      <c r="U195" s="23">
        <f t="shared" ca="1" si="64"/>
        <v>94984423.468679145</v>
      </c>
      <c r="V195" s="23">
        <f t="shared" ca="1" si="64"/>
        <v>76831844.761331588</v>
      </c>
      <c r="W195" s="23">
        <f t="shared" ca="1" si="64"/>
        <v>79905118.551784843</v>
      </c>
    </row>
    <row r="196" spans="1:23">
      <c r="A196" s="22" t="s">
        <v>14</v>
      </c>
      <c r="D196" s="23">
        <f t="shared" ca="1" si="64"/>
        <v>0</v>
      </c>
      <c r="E196" s="23">
        <f t="shared" ca="1" si="64"/>
        <v>0</v>
      </c>
      <c r="F196" s="23">
        <f t="shared" ca="1" si="64"/>
        <v>0</v>
      </c>
      <c r="G196" s="23">
        <f t="shared" ca="1" si="64"/>
        <v>0</v>
      </c>
      <c r="H196" s="23">
        <f t="shared" ca="1" si="64"/>
        <v>3155609.5166183044</v>
      </c>
      <c r="I196" s="23">
        <f t="shared" ca="1" si="64"/>
        <v>6591887.8505111672</v>
      </c>
      <c r="J196" s="23">
        <f t="shared" ca="1" si="64"/>
        <v>13711126.729063228</v>
      </c>
      <c r="K196" s="23">
        <f t="shared" ca="1" si="64"/>
        <v>17824464.747782197</v>
      </c>
      <c r="L196" s="23">
        <f t="shared" ca="1" si="64"/>
        <v>25952420.67277088</v>
      </c>
      <c r="M196" s="23">
        <f t="shared" ca="1" si="64"/>
        <v>30846305.71392196</v>
      </c>
      <c r="N196" s="23">
        <f t="shared" ca="1" si="64"/>
        <v>36090177.685288697</v>
      </c>
      <c r="O196" s="23">
        <f t="shared" ca="1" si="64"/>
        <v>37533784.792700239</v>
      </c>
      <c r="P196" s="23">
        <f t="shared" ca="1" si="64"/>
        <v>39035136.184408247</v>
      </c>
      <c r="Q196" s="23">
        <f t="shared" ca="1" si="64"/>
        <v>40596541.631784588</v>
      </c>
      <c r="R196" s="23">
        <f t="shared" ca="1" si="64"/>
        <v>42220403.297055975</v>
      </c>
      <c r="S196" s="23">
        <f t="shared" ca="1" si="64"/>
        <v>39030417.270167306</v>
      </c>
      <c r="T196" s="23">
        <f t="shared" ca="1" si="64"/>
        <v>30443725.470730491</v>
      </c>
      <c r="U196" s="23">
        <f t="shared" ca="1" si="64"/>
        <v>15830737.244779855</v>
      </c>
      <c r="V196" s="23">
        <f t="shared" ca="1" si="64"/>
        <v>27439944.557618424</v>
      </c>
      <c r="W196" s="23">
        <f t="shared" ca="1" si="64"/>
        <v>39952559.275892422</v>
      </c>
    </row>
    <row r="197" spans="1:23">
      <c r="A197" s="22" t="s">
        <v>15</v>
      </c>
      <c r="D197" s="26">
        <f t="shared" ca="1" si="64"/>
        <v>0</v>
      </c>
      <c r="E197" s="26">
        <f t="shared" ca="1" si="64"/>
        <v>0</v>
      </c>
      <c r="F197" s="26">
        <f t="shared" ca="1" si="64"/>
        <v>0</v>
      </c>
      <c r="G197" s="26">
        <f t="shared" ca="1" si="64"/>
        <v>0</v>
      </c>
      <c r="H197" s="26">
        <f t="shared" ca="1" si="64"/>
        <v>0</v>
      </c>
      <c r="I197" s="26">
        <f t="shared" ca="1" si="64"/>
        <v>0</v>
      </c>
      <c r="J197" s="26">
        <f t="shared" ca="1" si="64"/>
        <v>0</v>
      </c>
      <c r="K197" s="26">
        <f t="shared" ca="1" si="64"/>
        <v>3564892.9495564392</v>
      </c>
      <c r="L197" s="26">
        <f t="shared" ca="1" si="64"/>
        <v>7414977.3350773938</v>
      </c>
      <c r="M197" s="26">
        <f t="shared" ca="1" si="64"/>
        <v>11567364.642720735</v>
      </c>
      <c r="N197" s="26">
        <f t="shared" ca="1" si="64"/>
        <v>16040078.97123942</v>
      </c>
      <c r="O197" s="26">
        <f t="shared" ca="1" si="64"/>
        <v>20852102.662611246</v>
      </c>
      <c r="P197" s="26">
        <f t="shared" ca="1" si="64"/>
        <v>21686186.769115694</v>
      </c>
      <c r="Q197" s="26">
        <f t="shared" ca="1" si="64"/>
        <v>22553634.239880323</v>
      </c>
      <c r="R197" s="26">
        <f t="shared" ca="1" si="64"/>
        <v>23455779.609475542</v>
      </c>
      <c r="S197" s="26">
        <f t="shared" ca="1" si="64"/>
        <v>24394010.793854561</v>
      </c>
      <c r="T197" s="26">
        <f t="shared" ca="1" si="64"/>
        <v>30443725.470730498</v>
      </c>
      <c r="U197" s="26">
        <f t="shared" ca="1" si="64"/>
        <v>36938386.904486336</v>
      </c>
      <c r="V197" s="26">
        <f t="shared" ca="1" si="64"/>
        <v>43903911.292189471</v>
      </c>
      <c r="W197" s="26">
        <f t="shared" ca="1" si="64"/>
        <v>51367576.211861685</v>
      </c>
    </row>
    <row r="198" spans="1:23">
      <c r="A198" s="22" t="s">
        <v>43</v>
      </c>
      <c r="D198" s="23">
        <f ca="1">SUM(D187:D197)</f>
        <v>0</v>
      </c>
      <c r="E198" s="23">
        <f t="shared" ref="E198:W198" ca="1" si="65">SUM(E187:E197)</f>
        <v>0</v>
      </c>
      <c r="F198" s="23">
        <f t="shared" ca="1" si="65"/>
        <v>0</v>
      </c>
      <c r="G198" s="23">
        <f t="shared" ca="1" si="65"/>
        <v>0</v>
      </c>
      <c r="H198" s="23">
        <f t="shared" ca="1" si="65"/>
        <v>15778047.583091522</v>
      </c>
      <c r="I198" s="23">
        <f t="shared" ca="1" si="65"/>
        <v>32959439.252555836</v>
      </c>
      <c r="J198" s="23">
        <f t="shared" ca="1" si="65"/>
        <v>68555633.645316139</v>
      </c>
      <c r="K198" s="23">
        <f t="shared" ca="1" si="65"/>
        <v>110511681.43624961</v>
      </c>
      <c r="L198" s="23">
        <f t="shared" ca="1" si="65"/>
        <v>170544478.70678008</v>
      </c>
      <c r="M198" s="23">
        <f t="shared" ca="1" si="65"/>
        <v>239058869.28289518</v>
      </c>
      <c r="N198" s="23">
        <f t="shared" ca="1" si="65"/>
        <v>312781539.93916869</v>
      </c>
      <c r="O198" s="23">
        <f t="shared" ca="1" si="65"/>
        <v>392019530.05709141</v>
      </c>
      <c r="P198" s="23">
        <f t="shared" ca="1" si="65"/>
        <v>464084396.85907584</v>
      </c>
      <c r="Q198" s="23">
        <f t="shared" ca="1" si="65"/>
        <v>550308675.45307994</v>
      </c>
      <c r="R198" s="23">
        <f t="shared" ca="1" si="65"/>
        <v>623923737.61204934</v>
      </c>
      <c r="S198" s="23">
        <f t="shared" ca="1" si="65"/>
        <v>707426313.0217824</v>
      </c>
      <c r="T198" s="23">
        <f t="shared" ca="1" si="65"/>
        <v>766167091.01338422</v>
      </c>
      <c r="U198" s="23">
        <f t="shared" ca="1" si="65"/>
        <v>812644511.89869928</v>
      </c>
      <c r="V198" s="23">
        <f t="shared" ca="1" si="65"/>
        <v>883566214.75531304</v>
      </c>
      <c r="W198" s="23">
        <f t="shared" ca="1" si="65"/>
        <v>970276439.55738735</v>
      </c>
    </row>
    <row r="199" spans="1:23">
      <c r="A199" s="22"/>
      <c r="D199" s="23"/>
      <c r="E199" s="23"/>
      <c r="F199" s="23"/>
      <c r="G199" s="23"/>
      <c r="H199" s="23"/>
      <c r="I199" s="23"/>
      <c r="J199" s="23"/>
      <c r="K199" s="23"/>
      <c r="L199" s="23"/>
      <c r="M199" s="23"/>
      <c r="N199" s="23"/>
      <c r="O199" s="23"/>
      <c r="P199" s="23"/>
      <c r="Q199" s="23"/>
      <c r="R199" s="23"/>
      <c r="S199" s="23"/>
      <c r="T199" s="23"/>
      <c r="U199" s="23"/>
      <c r="V199" s="23"/>
      <c r="W199" s="23"/>
    </row>
    <row r="200" spans="1:23" hidden="1">
      <c r="A200" s="22"/>
      <c r="D200" s="23"/>
      <c r="E200" s="23"/>
      <c r="F200" s="23"/>
      <c r="G200" s="23"/>
      <c r="H200" s="23"/>
      <c r="I200" s="23"/>
      <c r="J200" s="23"/>
      <c r="K200" s="23"/>
      <c r="L200" s="23"/>
      <c r="M200" s="23"/>
      <c r="N200" s="23"/>
      <c r="O200" s="23"/>
      <c r="P200" s="23"/>
      <c r="Q200" s="23"/>
      <c r="R200" s="23"/>
      <c r="S200" s="23"/>
      <c r="T200" s="23"/>
      <c r="U200" s="23"/>
      <c r="V200" s="23"/>
      <c r="W200" s="23"/>
    </row>
    <row r="201" spans="1:23" hidden="1">
      <c r="A201" s="30" t="s">
        <v>85</v>
      </c>
      <c r="D201" s="32">
        <v>16000000</v>
      </c>
      <c r="E201" s="23"/>
      <c r="F201" s="23"/>
      <c r="G201" s="23"/>
      <c r="H201" s="23"/>
      <c r="I201" s="23"/>
      <c r="J201" s="23"/>
      <c r="K201" s="23"/>
      <c r="L201" s="23"/>
      <c r="M201" s="23"/>
      <c r="N201" s="23"/>
      <c r="O201" s="23"/>
      <c r="P201" s="23"/>
      <c r="Q201" s="23"/>
      <c r="R201" s="23"/>
      <c r="S201" s="23"/>
      <c r="T201" s="23"/>
      <c r="U201" s="23"/>
      <c r="V201" s="23"/>
      <c r="W201" s="23"/>
    </row>
    <row r="202" spans="1:23" hidden="1">
      <c r="A202" s="30" t="s">
        <v>87</v>
      </c>
      <c r="D202" s="13">
        <v>0.66</v>
      </c>
      <c r="E202" s="23"/>
      <c r="F202" s="23"/>
      <c r="G202" s="23"/>
      <c r="H202" s="23"/>
      <c r="I202" s="23"/>
      <c r="J202" s="23"/>
      <c r="K202" s="23"/>
      <c r="L202" s="23"/>
      <c r="M202" s="23"/>
      <c r="N202" s="23"/>
      <c r="O202" s="23"/>
      <c r="P202" s="23"/>
      <c r="Q202" s="23"/>
      <c r="R202" s="23"/>
      <c r="S202" s="23"/>
      <c r="T202" s="23"/>
      <c r="U202" s="23"/>
      <c r="V202" s="23"/>
      <c r="W202" s="23"/>
    </row>
    <row r="203" spans="1:23" hidden="1">
      <c r="A203" s="30" t="s">
        <v>88</v>
      </c>
      <c r="D203" s="33">
        <f>D201*D202</f>
        <v>10560000</v>
      </c>
      <c r="E203" s="23"/>
      <c r="F203" s="23"/>
      <c r="G203" s="23"/>
      <c r="H203" s="23"/>
      <c r="I203" s="23"/>
      <c r="J203" s="23"/>
      <c r="K203" s="23"/>
      <c r="L203" s="23"/>
      <c r="M203" s="23"/>
      <c r="N203" s="23"/>
      <c r="O203" s="23"/>
      <c r="P203" s="23"/>
      <c r="Q203" s="23"/>
      <c r="R203" s="23"/>
      <c r="S203" s="23"/>
      <c r="T203" s="23"/>
      <c r="U203" s="23"/>
      <c r="V203" s="23"/>
      <c r="W203" s="23"/>
    </row>
    <row r="204" spans="1:23" hidden="1">
      <c r="A204" s="30" t="s">
        <v>89</v>
      </c>
      <c r="D204" s="32">
        <f>10000000+7000000</f>
        <v>17000000</v>
      </c>
      <c r="E204" s="23"/>
      <c r="F204" s="23"/>
      <c r="G204" s="23"/>
      <c r="H204" s="23"/>
      <c r="I204" s="23"/>
      <c r="J204" s="23"/>
      <c r="K204" s="23"/>
      <c r="L204" s="23"/>
      <c r="M204" s="23"/>
      <c r="N204" s="23"/>
      <c r="O204" s="23"/>
      <c r="P204" s="23"/>
      <c r="Q204" s="23"/>
      <c r="R204" s="23"/>
      <c r="S204" s="23"/>
      <c r="T204" s="23"/>
      <c r="U204" s="23"/>
      <c r="V204" s="23"/>
      <c r="W204" s="23"/>
    </row>
    <row r="205" spans="1:23" hidden="1">
      <c r="A205" s="30" t="s">
        <v>90</v>
      </c>
      <c r="D205" s="32">
        <v>10000000</v>
      </c>
      <c r="E205" s="23"/>
      <c r="F205" s="23"/>
      <c r="G205" s="23"/>
      <c r="H205" s="23"/>
      <c r="I205" s="23"/>
      <c r="J205" s="23"/>
      <c r="K205" s="23"/>
      <c r="L205" s="23"/>
      <c r="M205" s="23"/>
      <c r="N205" s="23"/>
      <c r="O205" s="23"/>
      <c r="P205" s="23"/>
      <c r="Q205" s="23"/>
      <c r="R205" s="23"/>
      <c r="S205" s="23"/>
      <c r="T205" s="23"/>
      <c r="U205" s="23"/>
      <c r="V205" s="23"/>
      <c r="W205" s="23"/>
    </row>
    <row r="206" spans="1:23" hidden="1">
      <c r="A206" s="30" t="s">
        <v>87</v>
      </c>
      <c r="D206" s="13">
        <v>0.66</v>
      </c>
      <c r="E206" s="23"/>
      <c r="F206" s="23"/>
      <c r="G206" s="23"/>
      <c r="H206" s="23"/>
      <c r="I206" s="23"/>
      <c r="J206" s="23"/>
      <c r="K206" s="23"/>
      <c r="L206" s="23"/>
      <c r="M206" s="23"/>
      <c r="N206" s="23"/>
      <c r="O206" s="23"/>
      <c r="P206" s="23"/>
      <c r="Q206" s="23"/>
      <c r="R206" s="23"/>
      <c r="S206" s="23"/>
      <c r="T206" s="23"/>
      <c r="U206" s="23"/>
      <c r="V206" s="23"/>
      <c r="W206" s="23"/>
    </row>
    <row r="207" spans="1:23" hidden="1">
      <c r="A207" s="30" t="s">
        <v>91</v>
      </c>
      <c r="D207" s="33">
        <f>D205*D206</f>
        <v>6600000</v>
      </c>
      <c r="E207" s="23"/>
      <c r="F207" s="23"/>
      <c r="G207" s="23"/>
      <c r="H207" s="23"/>
      <c r="I207" s="23"/>
      <c r="J207" s="23"/>
      <c r="K207" s="23"/>
      <c r="L207" s="23"/>
      <c r="M207" s="23"/>
      <c r="N207" s="23"/>
      <c r="O207" s="23"/>
      <c r="P207" s="23"/>
      <c r="Q207" s="23"/>
      <c r="R207" s="23"/>
      <c r="S207" s="23"/>
      <c r="T207" s="23"/>
      <c r="U207" s="23"/>
      <c r="V207" s="23"/>
      <c r="W207" s="23"/>
    </row>
    <row r="208" spans="1:23" hidden="1">
      <c r="A208" s="30" t="s">
        <v>92</v>
      </c>
      <c r="D208" s="28">
        <f>0.45*3/12</f>
        <v>0.1125</v>
      </c>
      <c r="E208" s="28">
        <f>45%-D208</f>
        <v>0.33750000000000002</v>
      </c>
      <c r="F208" s="28">
        <v>0.28999999999999998</v>
      </c>
      <c r="G208" s="28">
        <v>0.18</v>
      </c>
      <c r="H208" s="28">
        <v>0.08</v>
      </c>
      <c r="I208" s="23"/>
      <c r="J208" s="23"/>
      <c r="K208" s="23"/>
      <c r="L208" s="23"/>
      <c r="M208" s="23"/>
      <c r="N208" s="23"/>
      <c r="O208" s="23"/>
      <c r="P208" s="23"/>
      <c r="Q208" s="23"/>
      <c r="R208" s="23"/>
      <c r="S208" s="23"/>
      <c r="T208" s="23"/>
      <c r="U208" s="23"/>
      <c r="V208" s="23"/>
      <c r="W208" s="23"/>
    </row>
    <row r="209" spans="1:24" hidden="1">
      <c r="A209" s="30" t="s">
        <v>93</v>
      </c>
      <c r="D209" s="33">
        <f>7000000</f>
        <v>7000000</v>
      </c>
      <c r="E209" s="28"/>
      <c r="F209" s="28"/>
      <c r="G209" s="28"/>
      <c r="H209" s="28"/>
      <c r="I209" s="23"/>
      <c r="J209" s="23"/>
      <c r="K209" s="23"/>
      <c r="L209" s="23"/>
      <c r="M209" s="23"/>
      <c r="N209" s="23"/>
      <c r="O209" s="23"/>
      <c r="P209" s="23"/>
      <c r="Q209" s="23"/>
      <c r="R209" s="23"/>
      <c r="S209" s="23"/>
      <c r="T209" s="23"/>
      <c r="U209" s="23"/>
      <c r="V209" s="23"/>
      <c r="W209" s="23"/>
    </row>
    <row r="210" spans="1:24" hidden="1">
      <c r="A210" s="30"/>
      <c r="D210" s="28">
        <f>0.05*3/12</f>
        <v>1.2500000000000002E-2</v>
      </c>
      <c r="E210" s="28">
        <f>5%-D210</f>
        <v>3.7499999999999999E-2</v>
      </c>
      <c r="F210" s="28">
        <v>0.54</v>
      </c>
      <c r="G210" s="28">
        <v>0.35</v>
      </c>
      <c r="H210" s="28">
        <v>0.06</v>
      </c>
      <c r="I210" s="23"/>
      <c r="J210" s="23"/>
      <c r="K210" s="23"/>
      <c r="L210" s="23"/>
      <c r="M210" s="23"/>
      <c r="N210" s="23"/>
      <c r="O210" s="23"/>
      <c r="P210" s="23"/>
      <c r="Q210" s="23"/>
      <c r="R210" s="23"/>
      <c r="S210" s="23"/>
      <c r="T210" s="23"/>
      <c r="U210" s="23"/>
      <c r="V210" s="23"/>
      <c r="W210" s="23"/>
    </row>
    <row r="211" spans="1:24" hidden="1">
      <c r="A211" s="30"/>
      <c r="D211" s="21">
        <v>1</v>
      </c>
      <c r="E211" s="34">
        <v>2</v>
      </c>
      <c r="F211" s="21">
        <v>3</v>
      </c>
      <c r="G211" s="34">
        <v>4</v>
      </c>
      <c r="H211" s="21">
        <v>5</v>
      </c>
      <c r="I211" s="34">
        <v>6</v>
      </c>
      <c r="J211" s="21">
        <v>7</v>
      </c>
      <c r="K211" s="34">
        <v>8</v>
      </c>
      <c r="L211" s="21">
        <v>9</v>
      </c>
      <c r="M211" s="34">
        <v>10</v>
      </c>
      <c r="N211" s="21">
        <v>11</v>
      </c>
      <c r="O211" s="34">
        <v>12</v>
      </c>
      <c r="P211" s="21">
        <v>13</v>
      </c>
      <c r="Q211" s="34">
        <v>14</v>
      </c>
      <c r="R211" s="21">
        <v>15</v>
      </c>
      <c r="S211" s="34">
        <v>16</v>
      </c>
      <c r="T211" s="21">
        <v>17</v>
      </c>
      <c r="U211" s="34">
        <v>18</v>
      </c>
      <c r="V211" s="21">
        <v>19</v>
      </c>
      <c r="W211" s="34">
        <v>20</v>
      </c>
    </row>
    <row r="212" spans="1:24" hidden="1">
      <c r="D212">
        <v>2009</v>
      </c>
      <c r="E212">
        <v>2010</v>
      </c>
      <c r="F212">
        <v>2011</v>
      </c>
      <c r="G212">
        <v>2012</v>
      </c>
      <c r="H212">
        <v>2013</v>
      </c>
      <c r="I212">
        <v>2014</v>
      </c>
      <c r="J212">
        <v>2015</v>
      </c>
      <c r="K212">
        <v>2016</v>
      </c>
      <c r="L212">
        <v>2017</v>
      </c>
      <c r="M212">
        <v>2018</v>
      </c>
      <c r="N212">
        <v>2019</v>
      </c>
      <c r="O212">
        <v>2020</v>
      </c>
      <c r="P212">
        <v>2021</v>
      </c>
      <c r="Q212">
        <v>2022</v>
      </c>
      <c r="R212">
        <v>2023</v>
      </c>
      <c r="S212">
        <v>2024</v>
      </c>
      <c r="T212">
        <v>2025</v>
      </c>
      <c r="U212">
        <v>2026</v>
      </c>
      <c r="V212">
        <v>2027</v>
      </c>
      <c r="W212">
        <v>2028</v>
      </c>
    </row>
    <row r="213" spans="1:24" hidden="1">
      <c r="A213" s="22" t="s">
        <v>84</v>
      </c>
      <c r="D213" s="23">
        <f ca="1">D198</f>
        <v>0</v>
      </c>
      <c r="E213" s="23">
        <f t="shared" ref="E213:W213" ca="1" si="66">E198</f>
        <v>0</v>
      </c>
      <c r="F213" s="23">
        <f t="shared" ca="1" si="66"/>
        <v>0</v>
      </c>
      <c r="G213" s="23">
        <f t="shared" ca="1" si="66"/>
        <v>0</v>
      </c>
      <c r="H213" s="23">
        <f t="shared" ca="1" si="66"/>
        <v>15778047.583091522</v>
      </c>
      <c r="I213" s="23">
        <f t="shared" ca="1" si="66"/>
        <v>32959439.252555836</v>
      </c>
      <c r="J213" s="23">
        <f t="shared" ca="1" si="66"/>
        <v>68555633.645316139</v>
      </c>
      <c r="K213" s="23">
        <f t="shared" ca="1" si="66"/>
        <v>110511681.43624961</v>
      </c>
      <c r="L213" s="23">
        <f t="shared" ca="1" si="66"/>
        <v>170544478.70678008</v>
      </c>
      <c r="M213" s="23">
        <f t="shared" ca="1" si="66"/>
        <v>239058869.28289518</v>
      </c>
      <c r="N213" s="23">
        <f t="shared" ca="1" si="66"/>
        <v>312781539.93916869</v>
      </c>
      <c r="O213" s="23">
        <f t="shared" ca="1" si="66"/>
        <v>392019530.05709141</v>
      </c>
      <c r="P213" s="23">
        <f t="shared" ca="1" si="66"/>
        <v>464084396.85907584</v>
      </c>
      <c r="Q213" s="23">
        <f t="shared" ca="1" si="66"/>
        <v>550308675.45307994</v>
      </c>
      <c r="R213" s="23">
        <f t="shared" ca="1" si="66"/>
        <v>623923737.61204934</v>
      </c>
      <c r="S213" s="23">
        <f t="shared" ca="1" si="66"/>
        <v>707426313.0217824</v>
      </c>
      <c r="T213" s="23">
        <f t="shared" ca="1" si="66"/>
        <v>766167091.01338422</v>
      </c>
      <c r="U213" s="23">
        <f t="shared" ca="1" si="66"/>
        <v>812644511.89869928</v>
      </c>
      <c r="V213" s="23">
        <f t="shared" ca="1" si="66"/>
        <v>883566214.75531304</v>
      </c>
      <c r="W213" s="23">
        <f t="shared" ca="1" si="66"/>
        <v>970276439.55738735</v>
      </c>
    </row>
    <row r="214" spans="1:24" hidden="1">
      <c r="A214" s="22" t="s">
        <v>80</v>
      </c>
      <c r="D214" s="23">
        <f>($D203/5+$D207*D208+$D209*D210)*exrate</f>
        <v>4589520000</v>
      </c>
      <c r="E214" s="23">
        <f>($D203/5+$D207*E208+$D209*E210)*exrate</f>
        <v>7179120000</v>
      </c>
      <c r="F214" s="23">
        <f>($D203/5+$D207*F208+$D209*F210)*exrate</f>
        <v>12177360000</v>
      </c>
      <c r="G214" s="23">
        <f>($D203/5+$D207*G208+$D209*G210)*exrate</f>
        <v>8970000000</v>
      </c>
      <c r="H214" s="23">
        <f>($D203/5+$D207*H208+$D209*H210)*exrate</f>
        <v>4773600000</v>
      </c>
      <c r="I214" s="23"/>
      <c r="J214" s="23"/>
      <c r="K214" s="23"/>
      <c r="L214" s="23"/>
      <c r="M214" s="23"/>
      <c r="N214" s="23"/>
      <c r="O214" s="23"/>
      <c r="P214" s="23"/>
      <c r="Q214" s="23"/>
      <c r="R214" s="23"/>
      <c r="S214" s="23"/>
      <c r="T214" s="23"/>
      <c r="U214" s="23"/>
      <c r="V214" s="23"/>
      <c r="W214" s="23"/>
    </row>
    <row r="215" spans="1:24" hidden="1">
      <c r="A215" s="22" t="s">
        <v>96</v>
      </c>
      <c r="D215" s="26"/>
      <c r="E215" s="26"/>
      <c r="F215" s="26"/>
      <c r="G215" s="26"/>
      <c r="H215" s="26"/>
      <c r="I215" s="26">
        <f t="shared" ref="I215:W215" si="67">1000000*exrate</f>
        <v>1560000000</v>
      </c>
      <c r="J215" s="26">
        <f t="shared" si="67"/>
        <v>1560000000</v>
      </c>
      <c r="K215" s="26">
        <f t="shared" si="67"/>
        <v>1560000000</v>
      </c>
      <c r="L215" s="26">
        <f t="shared" si="67"/>
        <v>1560000000</v>
      </c>
      <c r="M215" s="26">
        <f t="shared" si="67"/>
        <v>1560000000</v>
      </c>
      <c r="N215" s="26">
        <f t="shared" si="67"/>
        <v>1560000000</v>
      </c>
      <c r="O215" s="26">
        <f t="shared" si="67"/>
        <v>1560000000</v>
      </c>
      <c r="P215" s="26">
        <f t="shared" si="67"/>
        <v>1560000000</v>
      </c>
      <c r="Q215" s="26">
        <f t="shared" si="67"/>
        <v>1560000000</v>
      </c>
      <c r="R215" s="26">
        <f t="shared" si="67"/>
        <v>1560000000</v>
      </c>
      <c r="S215" s="26">
        <f t="shared" si="67"/>
        <v>1560000000</v>
      </c>
      <c r="T215" s="26">
        <f t="shared" si="67"/>
        <v>1560000000</v>
      </c>
      <c r="U215" s="26">
        <f t="shared" si="67"/>
        <v>1560000000</v>
      </c>
      <c r="V215" s="26">
        <f t="shared" si="67"/>
        <v>1560000000</v>
      </c>
      <c r="W215" s="26">
        <f t="shared" si="67"/>
        <v>1560000000</v>
      </c>
    </row>
    <row r="216" spans="1:24" hidden="1">
      <c r="A216" s="22" t="s">
        <v>81</v>
      </c>
      <c r="D216" s="23">
        <f ca="1">D213-D214-D215</f>
        <v>-4589520000</v>
      </c>
      <c r="E216" s="23">
        <f t="shared" ref="E216:W216" ca="1" si="68">E213-E214-E215</f>
        <v>-7179120000</v>
      </c>
      <c r="F216" s="23">
        <f t="shared" ca="1" si="68"/>
        <v>-12177360000</v>
      </c>
      <c r="G216" s="23">
        <f t="shared" ca="1" si="68"/>
        <v>-8970000000</v>
      </c>
      <c r="H216" s="23">
        <f t="shared" ca="1" si="68"/>
        <v>-4757821952.4169083</v>
      </c>
      <c r="I216" s="23">
        <f t="shared" ca="1" si="68"/>
        <v>-1527040560.7474442</v>
      </c>
      <c r="J216" s="23">
        <f t="shared" ca="1" si="68"/>
        <v>-1491444366.3546839</v>
      </c>
      <c r="K216" s="23">
        <f t="shared" ca="1" si="68"/>
        <v>-1449488318.5637503</v>
      </c>
      <c r="L216" s="23">
        <f t="shared" ca="1" si="68"/>
        <v>-1389455521.29322</v>
      </c>
      <c r="M216" s="23">
        <f t="shared" ca="1" si="68"/>
        <v>-1320941130.7171049</v>
      </c>
      <c r="N216" s="23">
        <f t="shared" ca="1" si="68"/>
        <v>-1247218460.0608313</v>
      </c>
      <c r="O216" s="23">
        <f t="shared" ca="1" si="68"/>
        <v>-1167980469.9429085</v>
      </c>
      <c r="P216" s="23">
        <f t="shared" ca="1" si="68"/>
        <v>-1095915603.1409242</v>
      </c>
      <c r="Q216" s="23">
        <f t="shared" ca="1" si="68"/>
        <v>-1009691324.5469201</v>
      </c>
      <c r="R216" s="23">
        <f t="shared" ca="1" si="68"/>
        <v>-936076262.38795066</v>
      </c>
      <c r="S216" s="23">
        <f t="shared" ca="1" si="68"/>
        <v>-852573686.9782176</v>
      </c>
      <c r="T216" s="23">
        <f t="shared" ca="1" si="68"/>
        <v>-793832908.98661578</v>
      </c>
      <c r="U216" s="23">
        <f t="shared" ca="1" si="68"/>
        <v>-747355488.10130072</v>
      </c>
      <c r="V216" s="23">
        <f t="shared" ca="1" si="68"/>
        <v>-676433785.24468696</v>
      </c>
      <c r="W216" s="23">
        <f t="shared" ca="1" si="68"/>
        <v>-589723560.44261265</v>
      </c>
      <c r="X216" s="23"/>
    </row>
    <row r="217" spans="1:24" hidden="1">
      <c r="B217" s="21" t="s">
        <v>82</v>
      </c>
      <c r="C217" s="56" t="e">
        <f ca="1">IRR(D216:W216,0.1)</f>
        <v>#NUM!</v>
      </c>
      <c r="D217" s="21"/>
      <c r="E217" s="21"/>
    </row>
    <row r="218" spans="1:24" hidden="1">
      <c r="A218" s="22" t="s">
        <v>143</v>
      </c>
      <c r="B218" t="s">
        <v>120</v>
      </c>
      <c r="C218" s="32">
        <f ca="1">NPV(0.1,D213:W213)-NPV(0.1,D215:W215)</f>
        <v>-10182215357.653299</v>
      </c>
      <c r="I218" s="23"/>
    </row>
    <row r="219" spans="1:24" hidden="1">
      <c r="A219" s="22" t="s">
        <v>118</v>
      </c>
      <c r="B219" t="s">
        <v>121</v>
      </c>
      <c r="C219" s="32">
        <f ca="1">C218/B15</f>
        <v>-13522198.350137183</v>
      </c>
    </row>
    <row r="220" spans="1:24" hidden="1">
      <c r="A220" s="22" t="s">
        <v>94</v>
      </c>
      <c r="C220" s="33">
        <f>SUM(D220:H220)</f>
        <v>24160000</v>
      </c>
      <c r="D220" s="33">
        <f>D214/exrate</f>
        <v>2942000</v>
      </c>
      <c r="E220" s="33">
        <f>E214/exrate</f>
        <v>4602000</v>
      </c>
      <c r="F220" s="33">
        <f>F214/exrate</f>
        <v>7806000</v>
      </c>
      <c r="G220" s="33">
        <f>G214/exrate</f>
        <v>5750000</v>
      </c>
      <c r="H220" s="33">
        <f>H214/exrate</f>
        <v>3060000</v>
      </c>
    </row>
    <row r="221" spans="1:24" hidden="1">
      <c r="A221" s="22" t="s">
        <v>124</v>
      </c>
      <c r="C221" s="32">
        <f>NPV(0.1,D214:H214)/exrate</f>
        <v>18169961.192417305</v>
      </c>
      <c r="D221" s="13">
        <f ca="1">C219/C221</f>
        <v>-0.74420623175465406</v>
      </c>
      <c r="E221" s="32"/>
      <c r="F221" s="32"/>
      <c r="G221" s="32"/>
    </row>
    <row r="222" spans="1:24" hidden="1">
      <c r="A222" t="s">
        <v>95</v>
      </c>
    </row>
    <row r="223" spans="1:24" hidden="1">
      <c r="A223" s="22" t="s">
        <v>125</v>
      </c>
      <c r="C223" s="21">
        <f ca="1">C219/B41</f>
        <v>-14991.350720772931</v>
      </c>
    </row>
    <row r="224" spans="1:24" hidden="1">
      <c r="A224" s="22"/>
      <c r="C224" s="21"/>
    </row>
    <row r="225" spans="1:24" hidden="1">
      <c r="A225" s="38" t="s">
        <v>137</v>
      </c>
      <c r="B225" s="39"/>
      <c r="C225" s="40"/>
      <c r="D225" s="39"/>
      <c r="E225" s="39"/>
      <c r="F225" s="39"/>
      <c r="G225" s="39"/>
      <c r="H225" s="39"/>
      <c r="I225" s="39"/>
      <c r="J225" s="39"/>
      <c r="K225" s="39"/>
      <c r="L225" s="39"/>
      <c r="M225" s="39"/>
      <c r="N225" s="39"/>
      <c r="O225" s="39"/>
      <c r="P225" s="39"/>
      <c r="Q225" s="39"/>
      <c r="R225" s="39"/>
      <c r="S225" s="39"/>
      <c r="T225" s="39"/>
      <c r="U225" s="39"/>
      <c r="V225" s="39"/>
      <c r="W225" s="41"/>
    </row>
    <row r="226" spans="1:24" hidden="1">
      <c r="A226" s="42" t="s">
        <v>101</v>
      </c>
      <c r="B226" s="43"/>
      <c r="C226" s="43"/>
      <c r="D226" s="43"/>
      <c r="E226" s="43"/>
      <c r="F226" s="43"/>
      <c r="G226" s="43"/>
      <c r="H226" s="43"/>
      <c r="I226" s="43"/>
      <c r="J226" s="43"/>
      <c r="K226" s="43"/>
      <c r="L226" s="43"/>
      <c r="M226" s="43"/>
      <c r="N226" s="43"/>
      <c r="O226" s="43"/>
      <c r="P226" s="43"/>
      <c r="Q226" s="43"/>
      <c r="R226" s="43"/>
      <c r="S226" s="43"/>
      <c r="T226" s="43"/>
      <c r="U226" s="43"/>
      <c r="V226" s="43"/>
      <c r="W226" s="44"/>
    </row>
    <row r="227" spans="1:24" hidden="1">
      <c r="A227" s="42" t="s">
        <v>123</v>
      </c>
      <c r="B227" s="45">
        <v>1.2E-2</v>
      </c>
      <c r="C227" s="43"/>
      <c r="D227" s="43"/>
      <c r="E227" s="43"/>
      <c r="F227" s="43"/>
      <c r="G227" s="43"/>
      <c r="H227" s="43"/>
      <c r="I227" s="43"/>
      <c r="J227" s="43"/>
      <c r="K227" s="43"/>
      <c r="L227" s="43"/>
      <c r="M227" s="43"/>
      <c r="N227" s="43"/>
      <c r="O227" s="43"/>
      <c r="P227" s="43"/>
      <c r="Q227" s="43"/>
      <c r="R227" s="43"/>
      <c r="S227" s="43"/>
      <c r="T227" s="43"/>
      <c r="U227" s="43"/>
      <c r="V227" s="43"/>
      <c r="W227" s="44"/>
    </row>
    <row r="228" spans="1:24" hidden="1">
      <c r="A228" s="42" t="s">
        <v>122</v>
      </c>
      <c r="B228" s="46">
        <f>B8*B227</f>
        <v>73560000000</v>
      </c>
      <c r="C228" s="43"/>
      <c r="D228" s="43"/>
      <c r="E228" s="43"/>
      <c r="F228" s="43"/>
      <c r="G228" s="43"/>
      <c r="H228" s="43"/>
      <c r="I228" s="43"/>
      <c r="J228" s="43"/>
      <c r="K228" s="43"/>
      <c r="L228" s="43"/>
      <c r="M228" s="43"/>
      <c r="N228" s="43"/>
      <c r="O228" s="43"/>
      <c r="P228" s="43"/>
      <c r="Q228" s="43"/>
      <c r="R228" s="43"/>
      <c r="S228" s="43"/>
      <c r="T228" s="43"/>
      <c r="U228" s="43"/>
      <c r="V228" s="43"/>
      <c r="W228" s="44"/>
    </row>
    <row r="229" spans="1:24" hidden="1">
      <c r="A229" s="42" t="s">
        <v>97</v>
      </c>
      <c r="B229" s="47">
        <v>4700000000</v>
      </c>
      <c r="C229" s="43"/>
      <c r="D229" s="48">
        <v>0</v>
      </c>
      <c r="E229" s="48">
        <f>B229</f>
        <v>4700000000</v>
      </c>
      <c r="F229" s="48">
        <f t="shared" ref="F229:W229" si="69">E229*(1+popgrowth)</f>
        <v>4770500000</v>
      </c>
      <c r="G229" s="48">
        <f t="shared" si="69"/>
        <v>4842057500</v>
      </c>
      <c r="H229" s="48">
        <f t="shared" si="69"/>
        <v>4914688362.5</v>
      </c>
      <c r="I229" s="48">
        <f t="shared" si="69"/>
        <v>4988408687.937499</v>
      </c>
      <c r="J229" s="48">
        <f t="shared" si="69"/>
        <v>5063234818.2565613</v>
      </c>
      <c r="K229" s="48">
        <f t="shared" si="69"/>
        <v>5139183340.5304089</v>
      </c>
      <c r="L229" s="48">
        <f t="shared" si="69"/>
        <v>5216271090.6383648</v>
      </c>
      <c r="M229" s="48">
        <f t="shared" si="69"/>
        <v>5294515156.9979401</v>
      </c>
      <c r="N229" s="48">
        <f t="shared" si="69"/>
        <v>5373932884.3529091</v>
      </c>
      <c r="O229" s="48">
        <f t="shared" si="69"/>
        <v>5454541877.6182022</v>
      </c>
      <c r="P229" s="48">
        <f t="shared" si="69"/>
        <v>5536360005.7824745</v>
      </c>
      <c r="Q229" s="48">
        <f t="shared" si="69"/>
        <v>5619405405.8692112</v>
      </c>
      <c r="R229" s="48">
        <f t="shared" si="69"/>
        <v>5703696486.9572487</v>
      </c>
      <c r="S229" s="48">
        <f t="shared" si="69"/>
        <v>5789251934.2616072</v>
      </c>
      <c r="T229" s="48">
        <f t="shared" si="69"/>
        <v>5876090713.2755308</v>
      </c>
      <c r="U229" s="48">
        <f t="shared" si="69"/>
        <v>5964232073.9746628</v>
      </c>
      <c r="V229" s="48">
        <f t="shared" si="69"/>
        <v>6053695555.0842819</v>
      </c>
      <c r="W229" s="49">
        <f t="shared" si="69"/>
        <v>6144500988.4105453</v>
      </c>
    </row>
    <row r="230" spans="1:24" hidden="1">
      <c r="A230" s="42" t="s">
        <v>99</v>
      </c>
      <c r="B230" s="43">
        <v>0.03</v>
      </c>
      <c r="C230" s="43"/>
      <c r="D230" s="48"/>
      <c r="E230" s="48"/>
      <c r="F230" s="48"/>
      <c r="G230" s="48"/>
      <c r="H230" s="48"/>
      <c r="I230" s="48"/>
      <c r="J230" s="48"/>
      <c r="K230" s="48"/>
      <c r="L230" s="48"/>
      <c r="M230" s="48"/>
      <c r="N230" s="48"/>
      <c r="O230" s="48"/>
      <c r="P230" s="48"/>
      <c r="Q230" s="48"/>
      <c r="R230" s="48"/>
      <c r="S230" s="48"/>
      <c r="T230" s="48"/>
      <c r="U230" s="48"/>
      <c r="V230" s="48"/>
      <c r="W230" s="49"/>
    </row>
    <row r="231" spans="1:24" hidden="1">
      <c r="A231" s="42" t="s">
        <v>100</v>
      </c>
      <c r="B231" s="46">
        <f>NPV(B230,D229:W229)</f>
        <v>74000977265.117142</v>
      </c>
      <c r="C231" s="43"/>
      <c r="D231" s="48"/>
      <c r="E231" s="48"/>
      <c r="F231" s="48"/>
      <c r="G231" s="48"/>
      <c r="H231" s="48"/>
      <c r="I231" s="48"/>
      <c r="J231" s="48"/>
      <c r="K231" s="48"/>
      <c r="L231" s="48"/>
      <c r="M231" s="48"/>
      <c r="N231" s="48"/>
      <c r="O231" s="48"/>
      <c r="P231" s="48"/>
      <c r="Q231" s="48"/>
      <c r="R231" s="48"/>
      <c r="S231" s="48"/>
      <c r="T231" s="48"/>
      <c r="U231" s="48"/>
      <c r="V231" s="48"/>
      <c r="W231" s="49"/>
    </row>
    <row r="232" spans="1:24" hidden="1">
      <c r="A232" s="42"/>
      <c r="B232" s="43"/>
      <c r="C232" s="43"/>
      <c r="D232" s="48">
        <f>D229-D214-D215</f>
        <v>-4589520000</v>
      </c>
      <c r="E232" s="48">
        <f t="shared" ref="E232:W232" si="70">E229-E214-E215</f>
        <v>-2479120000</v>
      </c>
      <c r="F232" s="48">
        <f t="shared" si="70"/>
        <v>-7406860000</v>
      </c>
      <c r="G232" s="48">
        <f t="shared" si="70"/>
        <v>-4127942500</v>
      </c>
      <c r="H232" s="48">
        <f t="shared" si="70"/>
        <v>141088362.5</v>
      </c>
      <c r="I232" s="48">
        <f t="shared" si="70"/>
        <v>3428408687.937499</v>
      </c>
      <c r="J232" s="48">
        <f t="shared" si="70"/>
        <v>3503234818.2565613</v>
      </c>
      <c r="K232" s="48">
        <f t="shared" si="70"/>
        <v>3579183340.5304089</v>
      </c>
      <c r="L232" s="48">
        <f t="shared" si="70"/>
        <v>3656271090.6383648</v>
      </c>
      <c r="M232" s="48">
        <f t="shared" si="70"/>
        <v>3734515156.9979401</v>
      </c>
      <c r="N232" s="48">
        <f t="shared" si="70"/>
        <v>3813932884.3529091</v>
      </c>
      <c r="O232" s="48">
        <f t="shared" si="70"/>
        <v>3894541877.6182022</v>
      </c>
      <c r="P232" s="48">
        <f t="shared" si="70"/>
        <v>3976360005.7824745</v>
      </c>
      <c r="Q232" s="48">
        <f t="shared" si="70"/>
        <v>4059405405.8692112</v>
      </c>
      <c r="R232" s="48">
        <f t="shared" si="70"/>
        <v>4143696486.9572487</v>
      </c>
      <c r="S232" s="48">
        <f t="shared" si="70"/>
        <v>4229251934.2616072</v>
      </c>
      <c r="T232" s="48">
        <f t="shared" si="70"/>
        <v>4316090713.2755308</v>
      </c>
      <c r="U232" s="48">
        <f t="shared" si="70"/>
        <v>4404232073.9746628</v>
      </c>
      <c r="V232" s="48">
        <f t="shared" si="70"/>
        <v>4493695555.0842819</v>
      </c>
      <c r="W232" s="49">
        <f t="shared" si="70"/>
        <v>4584500988.4105453</v>
      </c>
    </row>
    <row r="233" spans="1:24" hidden="1">
      <c r="A233" s="50"/>
      <c r="B233" s="51" t="s">
        <v>82</v>
      </c>
      <c r="C233" s="52">
        <f>IRR(D232:W232,0.1)</f>
        <v>0.12783769852397864</v>
      </c>
      <c r="D233" s="3"/>
      <c r="E233" s="3"/>
      <c r="F233" s="3"/>
      <c r="G233" s="3"/>
      <c r="H233" s="3"/>
      <c r="I233" s="3"/>
      <c r="J233" s="3"/>
      <c r="K233" s="3"/>
      <c r="L233" s="3"/>
      <c r="M233" s="3"/>
      <c r="N233" s="3"/>
      <c r="O233" s="3"/>
      <c r="P233" s="3"/>
      <c r="Q233" s="3"/>
      <c r="R233" s="3"/>
      <c r="S233" s="3"/>
      <c r="T233" s="3"/>
      <c r="U233" s="3"/>
      <c r="V233" s="3"/>
      <c r="W233" s="53"/>
    </row>
    <row r="234" spans="1:24" hidden="1"/>
    <row r="235" spans="1:24" hidden="1"/>
    <row r="236" spans="1:24" hidden="1">
      <c r="A236" t="s">
        <v>108</v>
      </c>
    </row>
    <row r="237" spans="1:24" hidden="1">
      <c r="A237" t="s">
        <v>109</v>
      </c>
    </row>
    <row r="238" spans="1:24" hidden="1">
      <c r="D238">
        <v>2009</v>
      </c>
      <c r="E238">
        <v>2010</v>
      </c>
      <c r="F238">
        <v>2011</v>
      </c>
      <c r="G238">
        <v>2012</v>
      </c>
      <c r="H238">
        <v>2013</v>
      </c>
      <c r="I238">
        <v>2014</v>
      </c>
      <c r="J238">
        <v>2015</v>
      </c>
      <c r="K238">
        <v>2016</v>
      </c>
      <c r="L238">
        <v>2017</v>
      </c>
      <c r="M238">
        <v>2018</v>
      </c>
      <c r="N238">
        <v>2019</v>
      </c>
      <c r="O238">
        <v>2020</v>
      </c>
      <c r="P238">
        <v>2021</v>
      </c>
      <c r="Q238">
        <v>2022</v>
      </c>
      <c r="R238">
        <v>2023</v>
      </c>
      <c r="S238">
        <v>2024</v>
      </c>
      <c r="T238">
        <v>2025</v>
      </c>
      <c r="U238">
        <v>2026</v>
      </c>
      <c r="V238">
        <v>2027</v>
      </c>
      <c r="W238">
        <v>2028</v>
      </c>
    </row>
    <row r="239" spans="1:24" hidden="1">
      <c r="A239" t="s">
        <v>84</v>
      </c>
      <c r="D239" s="23">
        <f ca="1">D213/0.75</f>
        <v>0</v>
      </c>
      <c r="E239" s="23">
        <f t="shared" ref="E239:W239" ca="1" si="71">E213/0.75</f>
        <v>0</v>
      </c>
      <c r="F239" s="23">
        <f t="shared" ca="1" si="71"/>
        <v>0</v>
      </c>
      <c r="G239" s="23">
        <f t="shared" ca="1" si="71"/>
        <v>0</v>
      </c>
      <c r="H239" s="23">
        <f t="shared" ca="1" si="71"/>
        <v>21037396.777455363</v>
      </c>
      <c r="I239" s="23">
        <f t="shared" ca="1" si="71"/>
        <v>43945919.003407784</v>
      </c>
      <c r="J239" s="23">
        <f t="shared" ca="1" si="71"/>
        <v>91407511.52708818</v>
      </c>
      <c r="K239" s="23">
        <f t="shared" ca="1" si="71"/>
        <v>147348908.58166614</v>
      </c>
      <c r="L239" s="23">
        <f t="shared" ca="1" si="71"/>
        <v>227392638.27570677</v>
      </c>
      <c r="M239" s="23">
        <f t="shared" ca="1" si="71"/>
        <v>318745159.04386026</v>
      </c>
      <c r="N239" s="23">
        <f t="shared" ca="1" si="71"/>
        <v>417042053.25222492</v>
      </c>
      <c r="O239" s="23">
        <f t="shared" ca="1" si="71"/>
        <v>522692706.74278855</v>
      </c>
      <c r="P239" s="23">
        <f t="shared" ca="1" si="71"/>
        <v>618779195.81210113</v>
      </c>
      <c r="Q239" s="23">
        <f t="shared" ca="1" si="71"/>
        <v>733744900.60410655</v>
      </c>
      <c r="R239" s="23">
        <f t="shared" ca="1" si="71"/>
        <v>831898316.81606579</v>
      </c>
      <c r="S239" s="23">
        <f t="shared" ca="1" si="71"/>
        <v>943235084.0290432</v>
      </c>
      <c r="T239" s="23">
        <f t="shared" ca="1" si="71"/>
        <v>1021556121.351179</v>
      </c>
      <c r="U239" s="23">
        <f t="shared" ca="1" si="71"/>
        <v>1083526015.8649323</v>
      </c>
      <c r="V239" s="23">
        <f t="shared" ca="1" si="71"/>
        <v>1178088286.3404174</v>
      </c>
      <c r="W239" s="23">
        <f t="shared" ca="1" si="71"/>
        <v>1293701919.4098499</v>
      </c>
      <c r="X239" s="23"/>
    </row>
    <row r="240" spans="1:24" hidden="1">
      <c r="A240" t="s">
        <v>110</v>
      </c>
      <c r="D240" s="23">
        <f>($D201/5+$D205*D208+$D209*D210)*exrate</f>
        <v>6883500000</v>
      </c>
      <c r="E240" s="23">
        <f>($D201/5+$D205*E208+$D209*E210)*exrate</f>
        <v>10666500000</v>
      </c>
      <c r="F240" s="23">
        <f>($D201/5+$D205*F208+$D209*F210)*exrate</f>
        <v>15412800000</v>
      </c>
      <c r="G240" s="23">
        <f>($D201/5+$D205*G208+$D209*G210)*exrate</f>
        <v>11622000000</v>
      </c>
      <c r="H240" s="23">
        <f>($D201/5+$D205*H208+$D209*H210)*exrate</f>
        <v>6895200000</v>
      </c>
      <c r="I240" s="23">
        <f>$D205*I208+$D209*I210+I215</f>
        <v>1560000000</v>
      </c>
      <c r="J240" s="23">
        <f t="shared" ref="J240:W240" si="72">$D205*J208+$D209*J210+J215</f>
        <v>1560000000</v>
      </c>
      <c r="K240" s="23">
        <f t="shared" si="72"/>
        <v>1560000000</v>
      </c>
      <c r="L240" s="23">
        <f t="shared" si="72"/>
        <v>1560000000</v>
      </c>
      <c r="M240" s="23">
        <f t="shared" si="72"/>
        <v>1560000000</v>
      </c>
      <c r="N240" s="23">
        <f t="shared" si="72"/>
        <v>1560000000</v>
      </c>
      <c r="O240" s="23">
        <f t="shared" si="72"/>
        <v>1560000000</v>
      </c>
      <c r="P240" s="23">
        <f t="shared" si="72"/>
        <v>1560000000</v>
      </c>
      <c r="Q240" s="23">
        <f t="shared" si="72"/>
        <v>1560000000</v>
      </c>
      <c r="R240" s="23">
        <f t="shared" si="72"/>
        <v>1560000000</v>
      </c>
      <c r="S240" s="23">
        <f t="shared" si="72"/>
        <v>1560000000</v>
      </c>
      <c r="T240" s="23">
        <f t="shared" si="72"/>
        <v>1560000000</v>
      </c>
      <c r="U240" s="23">
        <f t="shared" si="72"/>
        <v>1560000000</v>
      </c>
      <c r="V240" s="23">
        <f t="shared" si="72"/>
        <v>1560000000</v>
      </c>
      <c r="W240" s="23">
        <f t="shared" si="72"/>
        <v>1560000000</v>
      </c>
      <c r="X240" s="23"/>
    </row>
    <row r="241" spans="1:23" hidden="1">
      <c r="D241" s="23">
        <f ca="1">D239-D240</f>
        <v>-6883500000</v>
      </c>
      <c r="E241" s="23">
        <f t="shared" ref="E241:W241" ca="1" si="73">E239-E240</f>
        <v>-10666500000</v>
      </c>
      <c r="F241" s="23">
        <f t="shared" ca="1" si="73"/>
        <v>-15412800000</v>
      </c>
      <c r="G241" s="23">
        <f t="shared" ca="1" si="73"/>
        <v>-11622000000</v>
      </c>
      <c r="H241" s="23">
        <f t="shared" ca="1" si="73"/>
        <v>-6874162603.2225447</v>
      </c>
      <c r="I241" s="23">
        <f t="shared" ca="1" si="73"/>
        <v>-1516054080.9965923</v>
      </c>
      <c r="J241" s="23">
        <f t="shared" ca="1" si="73"/>
        <v>-1468592488.4729118</v>
      </c>
      <c r="K241" s="23">
        <f t="shared" ca="1" si="73"/>
        <v>-1412651091.4183338</v>
      </c>
      <c r="L241" s="23">
        <f t="shared" ca="1" si="73"/>
        <v>-1332607361.7242932</v>
      </c>
      <c r="M241" s="23">
        <f t="shared" ca="1" si="73"/>
        <v>-1241254840.9561398</v>
      </c>
      <c r="N241" s="23">
        <f t="shared" ca="1" si="73"/>
        <v>-1142957946.7477751</v>
      </c>
      <c r="O241" s="23">
        <f t="shared" ca="1" si="73"/>
        <v>-1037307293.2572114</v>
      </c>
      <c r="P241" s="23">
        <f t="shared" ca="1" si="73"/>
        <v>-941220804.18789887</v>
      </c>
      <c r="Q241" s="23">
        <f t="shared" ca="1" si="73"/>
        <v>-826255099.39589345</v>
      </c>
      <c r="R241" s="23">
        <f t="shared" ca="1" si="73"/>
        <v>-728101683.18393421</v>
      </c>
      <c r="S241" s="23">
        <f t="shared" ca="1" si="73"/>
        <v>-616764915.9709568</v>
      </c>
      <c r="T241" s="23">
        <f t="shared" ca="1" si="73"/>
        <v>-538443878.648821</v>
      </c>
      <c r="U241" s="23">
        <f t="shared" ca="1" si="73"/>
        <v>-476473984.1350677</v>
      </c>
      <c r="V241" s="23">
        <f t="shared" ca="1" si="73"/>
        <v>-381911713.65958261</v>
      </c>
      <c r="W241" s="23">
        <f t="shared" ca="1" si="73"/>
        <v>-266298080.59015012</v>
      </c>
    </row>
    <row r="242" spans="1:23" hidden="1">
      <c r="B242" s="21" t="s">
        <v>82</v>
      </c>
      <c r="C242" s="4" t="e">
        <f ca="1">IRR(D241:W241,0.1)</f>
        <v>#NUM!</v>
      </c>
    </row>
    <row r="243" spans="1:23" hidden="1"/>
    <row r="244" spans="1:23" hidden="1">
      <c r="A244" t="s">
        <v>113</v>
      </c>
      <c r="B244" s="3">
        <v>2009</v>
      </c>
      <c r="C244" s="3">
        <v>2029</v>
      </c>
    </row>
    <row r="245" spans="1:23" hidden="1">
      <c r="A245" t="s">
        <v>112</v>
      </c>
      <c r="B245">
        <f>pop*0.68*0.4</f>
        <v>729912.00000000012</v>
      </c>
      <c r="C245" s="21">
        <f>W44*0.68*0.4</f>
        <v>968557.27245415049</v>
      </c>
    </row>
    <row r="246" spans="1:23" hidden="1">
      <c r="A246" t="s">
        <v>114</v>
      </c>
      <c r="B246">
        <v>0.55000000000000004</v>
      </c>
      <c r="C246">
        <v>0.55000000000000004</v>
      </c>
    </row>
    <row r="247" spans="1:23" hidden="1">
      <c r="A247" t="s">
        <v>115</v>
      </c>
      <c r="B247">
        <v>0.42</v>
      </c>
      <c r="C247">
        <v>0.42</v>
      </c>
    </row>
    <row r="248" spans="1:23" hidden="1">
      <c r="A248" t="s">
        <v>117</v>
      </c>
      <c r="B248">
        <v>4120</v>
      </c>
      <c r="D248" t="s">
        <v>116</v>
      </c>
    </row>
    <row r="249" spans="1:23" hidden="1"/>
    <row r="250" spans="1:23" hidden="1"/>
    <row r="251" spans="1:23" hidden="1">
      <c r="B251" s="21">
        <f>29000/0.7</f>
        <v>41428.571428571435</v>
      </c>
    </row>
    <row r="252" spans="1:23" hidden="1">
      <c r="B252" s="21">
        <f>B251-29000</f>
        <v>12428.571428571435</v>
      </c>
    </row>
    <row r="253" spans="1:23" hidden="1">
      <c r="B253" s="21">
        <f>B252-B248</f>
        <v>8308.5714285714348</v>
      </c>
    </row>
    <row r="254" spans="1:23" hidden="1"/>
    <row r="255" spans="1:23" hidden="1"/>
  </sheetData>
  <mergeCells count="16">
    <mergeCell ref="P17:P18"/>
    <mergeCell ref="Q17:Q18"/>
    <mergeCell ref="R17:R18"/>
    <mergeCell ref="S17:W17"/>
    <mergeCell ref="J17:J18"/>
    <mergeCell ref="K17:K18"/>
    <mergeCell ref="L17:L18"/>
    <mergeCell ref="M17:M18"/>
    <mergeCell ref="N17:N18"/>
    <mergeCell ref="O17:O18"/>
    <mergeCell ref="I17:I18"/>
    <mergeCell ref="D17:D18"/>
    <mergeCell ref="E17:E18"/>
    <mergeCell ref="F17:F18"/>
    <mergeCell ref="G17:G18"/>
    <mergeCell ref="H17:H1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8C783FF128904593EF9B24C0FE1B6A" ma:contentTypeVersion="12" ma:contentTypeDescription="Create a new document." ma:contentTypeScope="" ma:versionID="cf481c8662044a29e199fd81d9f90ab8">
  <xsd:schema xmlns:xsd="http://www.w3.org/2001/XMLSchema" xmlns:xs="http://www.w3.org/2001/XMLSchema" xmlns:p="http://schemas.microsoft.com/office/2006/metadata/properties" xmlns:ns1="http://schemas.microsoft.com/sharepoint/v3" xmlns:ns3="bd8c728d-e719-496b-b789-a7ebfcb01033" xmlns:ns4="2e3d73e3-37bf-43d9-a52a-f6b48e119629" targetNamespace="http://schemas.microsoft.com/office/2006/metadata/properties" ma:root="true" ma:fieldsID="ef201266762ea01a965b5e864ea65be4" ns1:_="" ns3:_="" ns4:_="">
    <xsd:import namespace="http://schemas.microsoft.com/sharepoint/v3"/>
    <xsd:import namespace="bd8c728d-e719-496b-b789-a7ebfcb01033"/>
    <xsd:import namespace="2e3d73e3-37bf-43d9-a52a-f6b48e1196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8c728d-e719-496b-b789-a7ebfcb0103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3d73e3-37bf-43d9-a52a-f6b48e1196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13A042-522C-42E3-B8ED-FB0C653BB07E}">
  <ds:schemaRefs>
    <ds:schemaRef ds:uri="2e3d73e3-37bf-43d9-a52a-f6b48e119629"/>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bd8c728d-e719-496b-b789-a7ebfcb0103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90799FB-63C9-487C-AE29-D55AAE4BF35C}">
  <ds:schemaRefs>
    <ds:schemaRef ds:uri="http://schemas.microsoft.com/sharepoint/v3/contenttype/forms"/>
  </ds:schemaRefs>
</ds:datastoreItem>
</file>

<file path=customXml/itemProps3.xml><?xml version="1.0" encoding="utf-8"?>
<ds:datastoreItem xmlns:ds="http://schemas.openxmlformats.org/officeDocument/2006/customXml" ds:itemID="{3DFF8850-0F43-4C72-882A-44F140163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8c728d-e719-496b-b789-a7ebfcb01033"/>
    <ds:schemaRef ds:uri="2e3d73e3-37bf-43d9-a52a-f6b48e119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Project Description</vt:lpstr>
      <vt:lpstr>ERR &amp; Sensitivity Analysis</vt:lpstr>
      <vt:lpstr>Cost-Benefit Summary</vt:lpstr>
      <vt:lpstr>SUMMARY ERR</vt:lpstr>
      <vt:lpstr>Scratch</vt:lpstr>
      <vt:lpstr>CVD</vt:lpstr>
      <vt:lpstr>Cancer</vt:lpstr>
      <vt:lpstr>Cancer benefits</vt:lpstr>
      <vt:lpstr>HPV Vaccine</vt:lpstr>
      <vt:lpstr>Diabetes</vt:lpstr>
      <vt:lpstr>Diabetes benefits </vt:lpstr>
      <vt:lpstr>Smoking Ban</vt:lpstr>
      <vt:lpstr>MultiyearDisb</vt:lpstr>
      <vt:lpstr>Notes and Assumptions</vt:lpstr>
      <vt:lpstr>Sheet2</vt:lpstr>
      <vt:lpstr>'Notes and Assumptions'!_edn1</vt:lpstr>
      <vt:lpstr>'Notes and Assumptions'!_ednref1</vt:lpstr>
      <vt:lpstr>'Cancer benefits'!exrate</vt:lpstr>
      <vt:lpstr>'Diabetes benefits '!exrate</vt:lpstr>
      <vt:lpstr>'SUMMARY ERR'!exrate</vt:lpstr>
      <vt:lpstr>exrate</vt:lpstr>
      <vt:lpstr>'Cancer benefits'!pop</vt:lpstr>
      <vt:lpstr>'Diabetes benefits '!pop</vt:lpstr>
      <vt:lpstr>'SUMMARY ERR'!pop</vt:lpstr>
      <vt:lpstr>pop</vt:lpstr>
      <vt:lpstr>'Cancer benefits'!popgrowth</vt:lpstr>
      <vt:lpstr>'Diabetes benefits '!popgrowth</vt:lpstr>
      <vt:lpstr>'SUMMARY ERR'!popgrowth</vt:lpstr>
      <vt:lpstr>popgrowth</vt:lpstr>
    </vt:vector>
  </TitlesOfParts>
  <Company>MCC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derenb</dc:creator>
  <cp:lastModifiedBy>Fiore, Peter N (DPE/EE-EA/PSC)</cp:lastModifiedBy>
  <dcterms:created xsi:type="dcterms:W3CDTF">2009-07-27T12:52:20Z</dcterms:created>
  <dcterms:modified xsi:type="dcterms:W3CDTF">2019-11-20T18:25:46Z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0x010100A08C783FF128904593EF9B24C0FE1B6A</vt:lpwstr>
  </property>
</Properties>
</file>