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iorepn\OneDrive - Millennium Challenge Corporation\ERRS\Mongolia\Energy\"/>
    </mc:Choice>
  </mc:AlternateContent>
  <bookViews>
    <workbookView xWindow="120" yWindow="15" windowWidth="18975" windowHeight="11955" tabRatio="859" activeTab="1"/>
  </bookViews>
  <sheets>
    <sheet name="User's Guide" sheetId="19" r:id="rId1"/>
    <sheet name="Activity Description" sheetId="20" r:id="rId2"/>
    <sheet name="Combined ERR" sheetId="18" r:id="rId3"/>
    <sheet name="Stove ERR" sheetId="4" r:id="rId4"/>
    <sheet name="Stove Assumptions" sheetId="9" r:id="rId5"/>
    <sheet name="Stove Additional Costs" sheetId="10" r:id="rId6"/>
    <sheet name="Stove Replacement" sheetId="5" r:id="rId7"/>
    <sheet name="Stove Fuel Savings" sheetId="6" r:id="rId8"/>
    <sheet name="Stove Pollution" sheetId="7" r:id="rId9"/>
    <sheet name="Stove Health" sheetId="8" r:id="rId10"/>
    <sheet name="Insulation ERR" sheetId="12" r:id="rId11"/>
    <sheet name="Insulation Base" sheetId="11" r:id="rId12"/>
    <sheet name="Insulation MCC Costs" sheetId="13" r:id="rId13"/>
    <sheet name="Insulation Health" sheetId="14" r:id="rId14"/>
    <sheet name="Insulation Ger Scenario" sheetId="15" r:id="rId15"/>
  </sheets>
  <externalReferences>
    <externalReference r:id="rId16"/>
    <externalReference r:id="rId17"/>
    <externalReference r:id="rId18"/>
    <externalReference r:id="rId19"/>
  </externalReferences>
  <definedNames>
    <definedName name="Annual_MCC_Target_stoves">#REF!</definedName>
    <definedName name="Annual_stove_target">#REF!</definedName>
    <definedName name="Annual_wrap_target">'Insulation ERR'!$E$15</definedName>
    <definedName name="Cert_stove_cost">#REF!</definedName>
    <definedName name="Cert_stove_fuel_savings">#REF!</definedName>
    <definedName name="Cert_stove_reduction">[1]CertifiedStoves!$D$18</definedName>
    <definedName name="Cert_stove_reduction1">#REF!</definedName>
    <definedName name="Certified_stove_cost_USD">#REF!</definedName>
    <definedName name="Certified_stove_emission_reduction">#REF!</definedName>
    <definedName name="Certified_stove_fuel_savings">#REF!</definedName>
    <definedName name="Class1_wo_expt" localSheetId="5">#REF!</definedName>
    <definedName name="Class1_wo_expt">#REF!</definedName>
    <definedName name="Class2_wo_expt" localSheetId="5">#REF!</definedName>
    <definedName name="Class2_wo_expt">#REF!</definedName>
    <definedName name="Class3_wo_expt" localSheetId="5">#REF!</definedName>
    <definedName name="Class3_wo_expt">#REF!</definedName>
    <definedName name="Cost_certified_stoves">#REF!</definedName>
    <definedName name="Cost_wrap">'Insulation ERR'!$E$8</definedName>
    <definedName name="Currency">'[2]General&amp;Opex'!$D$10</definedName>
    <definedName name="death_rate_stage_III_T">[3]Diabetes!$C$26</definedName>
    <definedName name="death_rate_stage_III_UT">[3]Diabetes!$C$25</definedName>
    <definedName name="death_rate_stage_IV_T">[3]Hypertension!$C$28</definedName>
    <definedName name="death_rate_stage_IV_UT">[3]Hypertension!$C$27</definedName>
    <definedName name="Emission_reduction_certified_stoves">#REF!</definedName>
    <definedName name="Fuel_Savings_certified_stoves">#REF!</definedName>
    <definedName name="Fuel_savings_full">'Insulation ERR'!$E$19</definedName>
    <definedName name="Fuel_savings_partial">'Insulation ERR'!$E$18</definedName>
    <definedName name="Fuel_savings_stove">#REF!</definedName>
    <definedName name="Ger_comp_cost">'Insulation ERR'!$V$35</definedName>
    <definedName name="Ger_ERR_DALY">'Insulation ERR'!$E$171</definedName>
    <definedName name="Ger_ERR_WTP">'Insulation ERR'!$E$116</definedName>
    <definedName name="Ger_subsidy">'Insulation ERR'!$E$9</definedName>
    <definedName name="Health_NPV10_stove_DALY">#REF!</definedName>
    <definedName name="Health_NPV10_stove_WTP">#REF!</definedName>
    <definedName name="Health_NPV10_wrap_DALY">'Insulation ERR'!$G$181</definedName>
    <definedName name="Health_NPV10_wrap_WTP">'Insulation ERR'!$G$180</definedName>
    <definedName name="I_to_II_T_W">[3]Hypertension!$J$82</definedName>
    <definedName name="I_to_II_T_WO">[3]Hypertension!$J$32</definedName>
    <definedName name="I_to_II_UT">[3]Hypertension!$E$32</definedName>
    <definedName name="II_t0_III_T_WO">[3]Hypertension!$J$33</definedName>
    <definedName name="II_t0_III_UT">[3]Hypertension!$E$33</definedName>
    <definedName name="II_to_III_T_W">[3]Hypertension!$J$83</definedName>
    <definedName name="II_to_III_UT">[3]Diabetes!$E$31</definedName>
    <definedName name="III_to_IV_T_W">[3]Hypertension!$J$84</definedName>
    <definedName name="III_to_IV_T_WO">[3]Hypertension!$J$34</definedName>
    <definedName name="III_to_IV_UT">[3]Hypertension!$E$34</definedName>
    <definedName name="income_p">[3]Hypertension!$E$6</definedName>
    <definedName name="NPVi30_stove">#REF!</definedName>
    <definedName name="NPVi30_wrap">'Insulation ERR'!$I$190</definedName>
    <definedName name="NPVi50_stove">#REF!</definedName>
    <definedName name="NPVi50_wrap">'Insulation ERR'!$K$190</definedName>
    <definedName name="para" localSheetId="5">'[4]ERR &amp; Sensitivity Analysis'!#REF!</definedName>
    <definedName name="para">'[4]ERR &amp; Sensitivity Analysis'!#REF!</definedName>
    <definedName name="pop_growth">[3]Hypertension!$C$5</definedName>
    <definedName name="Reductions_full">'Insulation ERR'!$E$21</definedName>
    <definedName name="Reductions_partial">'Insulation ERR'!$E$20</definedName>
    <definedName name="Stove_comp_cost">#REF!</definedName>
    <definedName name="Stove_subsidy">#REF!</definedName>
    <definedName name="Stoves_ERR_DALY">#REF!</definedName>
    <definedName name="Stoves_ERR_WTP">#REF!</definedName>
    <definedName name="Total_component_cost_USD">#REF!</definedName>
    <definedName name="USD_EUR">[2]Investment!$F$8</definedName>
    <definedName name="yesno">[2]Hidden!$B$46:$B$47</definedName>
  </definedNames>
  <calcPr calcId="152511"/>
</workbook>
</file>

<file path=xl/calcChain.xml><?xml version="1.0" encoding="utf-8"?>
<calcChain xmlns="http://schemas.openxmlformats.org/spreadsheetml/2006/main">
  <c r="H93" i="12" l="1"/>
  <c r="I93" i="12"/>
  <c r="J93" i="12"/>
  <c r="K93" i="12"/>
  <c r="H94" i="12"/>
  <c r="I94" i="12"/>
  <c r="J94" i="12"/>
  <c r="K94" i="12"/>
  <c r="H95" i="12"/>
  <c r="I95" i="12"/>
  <c r="J95" i="12"/>
  <c r="K95" i="12"/>
  <c r="F59" i="14" l="1"/>
  <c r="E59" i="14"/>
  <c r="D59" i="14"/>
  <c r="C59" i="14"/>
  <c r="M23" i="14"/>
  <c r="L23" i="14"/>
  <c r="K23" i="14"/>
  <c r="J23" i="14"/>
  <c r="F23" i="14"/>
  <c r="E23" i="14"/>
  <c r="D23" i="14"/>
  <c r="C23" i="14"/>
  <c r="M22" i="14"/>
  <c r="L22" i="14"/>
  <c r="K22" i="14"/>
  <c r="J22" i="14"/>
  <c r="F22" i="14"/>
  <c r="E22" i="14"/>
  <c r="D22" i="14"/>
  <c r="C22" i="14"/>
  <c r="M21" i="14"/>
  <c r="M51" i="14" s="1"/>
  <c r="L21" i="14"/>
  <c r="L51" i="14" s="1"/>
  <c r="K21" i="14"/>
  <c r="K51" i="14" s="1"/>
  <c r="J21" i="14"/>
  <c r="J51" i="14" s="1"/>
  <c r="F21" i="14"/>
  <c r="F51" i="14" s="1"/>
  <c r="E21" i="14"/>
  <c r="E51" i="14" s="1"/>
  <c r="D21" i="14"/>
  <c r="D51" i="14" s="1"/>
  <c r="C21" i="14"/>
  <c r="C51" i="14" s="1"/>
  <c r="M18" i="14"/>
  <c r="L18" i="14"/>
  <c r="K18" i="14"/>
  <c r="J18" i="14"/>
  <c r="F18" i="14"/>
  <c r="E18" i="14"/>
  <c r="D18" i="14"/>
  <c r="C18" i="14"/>
  <c r="M17" i="14"/>
  <c r="L17" i="14"/>
  <c r="K17" i="14"/>
  <c r="J17" i="14"/>
  <c r="F17" i="14"/>
  <c r="E17" i="14"/>
  <c r="D17" i="14"/>
  <c r="C17" i="14"/>
  <c r="M16" i="14"/>
  <c r="L16" i="14"/>
  <c r="K16" i="14"/>
  <c r="J16" i="14"/>
  <c r="F16" i="14"/>
  <c r="E16" i="14"/>
  <c r="D16" i="14"/>
  <c r="C16" i="14"/>
  <c r="M15" i="14"/>
  <c r="L15" i="14"/>
  <c r="K15" i="14"/>
  <c r="J15" i="14"/>
  <c r="F15" i="14"/>
  <c r="E15" i="14"/>
  <c r="D15" i="14"/>
  <c r="C15" i="14"/>
  <c r="U160" i="12"/>
  <c r="T160" i="12"/>
  <c r="S160" i="12"/>
  <c r="R160" i="12"/>
  <c r="Q160" i="12"/>
  <c r="P160" i="12"/>
  <c r="O160" i="12"/>
  <c r="N160" i="12"/>
  <c r="M160" i="12"/>
  <c r="L160" i="12"/>
  <c r="E160" i="12"/>
  <c r="D134" i="12"/>
  <c r="D133" i="12"/>
  <c r="D132" i="12"/>
  <c r="D131" i="12"/>
  <c r="D130" i="12"/>
  <c r="C129" i="12"/>
  <c r="D128" i="12"/>
  <c r="D127" i="12"/>
  <c r="D126" i="12"/>
  <c r="D125" i="12"/>
  <c r="C124" i="12"/>
  <c r="G95" i="12"/>
  <c r="G94" i="12"/>
  <c r="G93" i="12"/>
  <c r="K92" i="12"/>
  <c r="J92" i="12"/>
  <c r="I92" i="12"/>
  <c r="H92" i="12"/>
  <c r="G92" i="12"/>
  <c r="K88" i="12"/>
  <c r="J88" i="12"/>
  <c r="I88" i="12"/>
  <c r="K86" i="12"/>
  <c r="J86" i="12"/>
  <c r="I86" i="12"/>
  <c r="H83" i="12"/>
  <c r="I83" i="12" s="1"/>
  <c r="H81" i="12"/>
  <c r="U35" i="12"/>
  <c r="U45" i="12" s="1"/>
  <c r="T35" i="12"/>
  <c r="T45" i="12" s="1"/>
  <c r="S35" i="12"/>
  <c r="S45" i="12" s="1"/>
  <c r="R35" i="12"/>
  <c r="R45" i="12" s="1"/>
  <c r="Q35" i="12"/>
  <c r="Q45" i="12" s="1"/>
  <c r="P35" i="12"/>
  <c r="P45" i="12" s="1"/>
  <c r="O35" i="12"/>
  <c r="O45" i="12" s="1"/>
  <c r="N35" i="12"/>
  <c r="N45" i="12" s="1"/>
  <c r="M35" i="12"/>
  <c r="M45" i="12" s="1"/>
  <c r="L35" i="12"/>
  <c r="L45" i="12" s="1"/>
  <c r="E35" i="12"/>
  <c r="E45" i="12" s="1"/>
  <c r="E11" i="12"/>
  <c r="E10" i="12"/>
  <c r="E7" i="12"/>
  <c r="G174" i="11"/>
  <c r="H174" i="11" s="1"/>
  <c r="I174" i="11" s="1"/>
  <c r="E174" i="11"/>
  <c r="K173" i="11"/>
  <c r="J173" i="11"/>
  <c r="I173" i="11"/>
  <c r="H173" i="11"/>
  <c r="G173" i="11"/>
  <c r="F173" i="11"/>
  <c r="F175" i="11" s="1"/>
  <c r="E173" i="11"/>
  <c r="L172" i="11"/>
  <c r="L173" i="11" s="1"/>
  <c r="L169" i="11"/>
  <c r="L166" i="11"/>
  <c r="L167" i="11" s="1"/>
  <c r="E142" i="11"/>
  <c r="F142" i="11" s="1"/>
  <c r="E120" i="11"/>
  <c r="F120" i="11" s="1"/>
  <c r="O70" i="11"/>
  <c r="M70" i="11"/>
  <c r="H70" i="11"/>
  <c r="O69" i="11"/>
  <c r="M69" i="11"/>
  <c r="H69" i="11"/>
  <c r="O68" i="11"/>
  <c r="M68" i="11"/>
  <c r="H68" i="11"/>
  <c r="O67" i="11"/>
  <c r="M67" i="11"/>
  <c r="H67" i="11"/>
  <c r="I62" i="11"/>
  <c r="H62" i="11"/>
  <c r="G62" i="11"/>
  <c r="L70" i="11" s="1"/>
  <c r="F62" i="11"/>
  <c r="E62" i="11"/>
  <c r="C35" i="11"/>
  <c r="C36" i="11" s="1"/>
  <c r="E21" i="11"/>
  <c r="E20" i="11"/>
  <c r="E19" i="11"/>
  <c r="C15" i="11"/>
  <c r="E13" i="11"/>
  <c r="G175" i="11" l="1"/>
  <c r="D54" i="14"/>
  <c r="S163" i="11" s="1"/>
  <c r="K54" i="14"/>
  <c r="S162" i="11" s="1"/>
  <c r="E179" i="11" s="1"/>
  <c r="E140" i="12" s="1"/>
  <c r="D62" i="14"/>
  <c r="G131" i="11"/>
  <c r="F54" i="14"/>
  <c r="S166" i="11" s="1"/>
  <c r="M54" i="14"/>
  <c r="S165" i="11" s="1"/>
  <c r="F62" i="14"/>
  <c r="E18" i="11"/>
  <c r="B43" i="11"/>
  <c r="B44" i="11"/>
  <c r="N68" i="11"/>
  <c r="P69" i="11"/>
  <c r="J91" i="12"/>
  <c r="K91" i="12"/>
  <c r="I91" i="12"/>
  <c r="E24" i="11"/>
  <c r="N67" i="11"/>
  <c r="P68" i="11"/>
  <c r="I70" i="11"/>
  <c r="G128" i="11"/>
  <c r="M172" i="11"/>
  <c r="N172" i="11" s="1"/>
  <c r="N173" i="11" s="1"/>
  <c r="H175" i="11"/>
  <c r="B45" i="11"/>
  <c r="P67" i="11"/>
  <c r="I69" i="11"/>
  <c r="N70" i="11"/>
  <c r="G129" i="11"/>
  <c r="E175" i="11"/>
  <c r="I175" i="11"/>
  <c r="I81" i="12"/>
  <c r="J81" i="12" s="1"/>
  <c r="K81" i="12" s="1"/>
  <c r="L81" i="12" s="1"/>
  <c r="M81" i="12" s="1"/>
  <c r="N81" i="12" s="1"/>
  <c r="O81" i="12" s="1"/>
  <c r="P81" i="12" s="1"/>
  <c r="Q81" i="12" s="1"/>
  <c r="R81" i="12" s="1"/>
  <c r="S81" i="12" s="1"/>
  <c r="T81" i="12" s="1"/>
  <c r="U81" i="12" s="1"/>
  <c r="N69" i="11"/>
  <c r="P70" i="11"/>
  <c r="G130" i="11"/>
  <c r="J83" i="12"/>
  <c r="K83" i="12" s="1"/>
  <c r="L83" i="12" s="1"/>
  <c r="M83" i="12" s="1"/>
  <c r="N83" i="12" s="1"/>
  <c r="O83" i="12" s="1"/>
  <c r="P83" i="12" s="1"/>
  <c r="Q83" i="12" s="1"/>
  <c r="R83" i="12" s="1"/>
  <c r="S83" i="12" s="1"/>
  <c r="T83" i="12" s="1"/>
  <c r="U83" i="12" s="1"/>
  <c r="E15" i="11"/>
  <c r="E36" i="11"/>
  <c r="E37" i="11"/>
  <c r="G67" i="11"/>
  <c r="I67" i="11"/>
  <c r="G68" i="11"/>
  <c r="I68" i="11"/>
  <c r="G69" i="11"/>
  <c r="G70" i="11"/>
  <c r="E112" i="11" s="1"/>
  <c r="E80" i="11"/>
  <c r="E81" i="11"/>
  <c r="E82" i="11"/>
  <c r="E95" i="11"/>
  <c r="E96" i="11"/>
  <c r="E97" i="11"/>
  <c r="G120" i="11"/>
  <c r="H120" i="11" s="1"/>
  <c r="I120" i="11" s="1"/>
  <c r="J120" i="11" s="1"/>
  <c r="K120" i="11" s="1"/>
  <c r="L120" i="11" s="1"/>
  <c r="M120" i="11" s="1"/>
  <c r="N120" i="11" s="1"/>
  <c r="O120" i="11" s="1"/>
  <c r="P120" i="11" s="1"/>
  <c r="Q120" i="11" s="1"/>
  <c r="R120" i="11" s="1"/>
  <c r="S120" i="11" s="1"/>
  <c r="T120" i="11" s="1"/>
  <c r="C14" i="11"/>
  <c r="E14" i="11" s="1"/>
  <c r="F19" i="11"/>
  <c r="F20" i="11"/>
  <c r="F21" i="11"/>
  <c r="E35" i="11"/>
  <c r="L67" i="11"/>
  <c r="L68" i="11"/>
  <c r="L69" i="11"/>
  <c r="F147" i="11"/>
  <c r="F146" i="11"/>
  <c r="F145" i="11"/>
  <c r="F144" i="11"/>
  <c r="G142" i="11"/>
  <c r="J174" i="11"/>
  <c r="E144" i="11"/>
  <c r="E145" i="11"/>
  <c r="E146" i="11"/>
  <c r="E147" i="11"/>
  <c r="H91" i="12"/>
  <c r="G91" i="12"/>
  <c r="U102" i="12"/>
  <c r="S102" i="12"/>
  <c r="Q102" i="12"/>
  <c r="O102" i="12"/>
  <c r="M102" i="12"/>
  <c r="U100" i="12"/>
  <c r="S100" i="12"/>
  <c r="Q100" i="12"/>
  <c r="O100" i="12"/>
  <c r="M100" i="12"/>
  <c r="T102" i="12"/>
  <c r="R102" i="12"/>
  <c r="P102" i="12"/>
  <c r="N102" i="12"/>
  <c r="L102" i="12"/>
  <c r="H102" i="12"/>
  <c r="T100" i="12"/>
  <c r="R100" i="12"/>
  <c r="P100" i="12"/>
  <c r="N100" i="12"/>
  <c r="L100" i="12"/>
  <c r="H100" i="12"/>
  <c r="J100" i="12"/>
  <c r="I100" i="12"/>
  <c r="K100" i="12"/>
  <c r="J102" i="12"/>
  <c r="I102" i="12"/>
  <c r="K102" i="12"/>
  <c r="C45" i="14"/>
  <c r="E45" i="14"/>
  <c r="J45" i="14"/>
  <c r="L45" i="14"/>
  <c r="D45" i="14"/>
  <c r="F45" i="14"/>
  <c r="K45" i="14"/>
  <c r="M45" i="14"/>
  <c r="E43" i="11" l="1"/>
  <c r="H179" i="11"/>
  <c r="H182" i="11" s="1"/>
  <c r="I143" i="12" s="1"/>
  <c r="E111" i="11"/>
  <c r="I178" i="11"/>
  <c r="J139" i="12" s="1"/>
  <c r="I179" i="11"/>
  <c r="I182" i="11" s="1"/>
  <c r="J143" i="12" s="1"/>
  <c r="E44" i="11"/>
  <c r="F179" i="11"/>
  <c r="F182" i="11" s="1"/>
  <c r="G143" i="12" s="1"/>
  <c r="G178" i="11"/>
  <c r="G181" i="11" s="1"/>
  <c r="H142" i="12" s="1"/>
  <c r="E178" i="11"/>
  <c r="E139" i="12" s="1"/>
  <c r="H178" i="11"/>
  <c r="I139" i="12" s="1"/>
  <c r="F178" i="11"/>
  <c r="G139" i="12" s="1"/>
  <c r="J178" i="11"/>
  <c r="J181" i="11" s="1"/>
  <c r="K142" i="12" s="1"/>
  <c r="O172" i="11"/>
  <c r="P172" i="11" s="1"/>
  <c r="M173" i="11"/>
  <c r="E45" i="11"/>
  <c r="E182" i="11"/>
  <c r="E143" i="12" s="1"/>
  <c r="E110" i="11"/>
  <c r="I160" i="12"/>
  <c r="I35" i="12"/>
  <c r="H160" i="12"/>
  <c r="H35" i="12"/>
  <c r="I140" i="12"/>
  <c r="E152" i="11"/>
  <c r="E150" i="11"/>
  <c r="K174" i="11"/>
  <c r="J179" i="11"/>
  <c r="J175" i="11"/>
  <c r="H142" i="11"/>
  <c r="G147" i="11"/>
  <c r="G146" i="11"/>
  <c r="G145" i="11"/>
  <c r="G144" i="11"/>
  <c r="F150" i="11"/>
  <c r="F152" i="11"/>
  <c r="F112" i="11"/>
  <c r="F97" i="11"/>
  <c r="F82" i="11"/>
  <c r="F37" i="11"/>
  <c r="F45" i="11" s="1"/>
  <c r="G21" i="11"/>
  <c r="F110" i="11"/>
  <c r="F95" i="11"/>
  <c r="F80" i="11"/>
  <c r="F18" i="11"/>
  <c r="F22" i="11" s="1"/>
  <c r="G19" i="11"/>
  <c r="G179" i="11"/>
  <c r="E79" i="11"/>
  <c r="G160" i="12"/>
  <c r="G35" i="12"/>
  <c r="K160" i="12"/>
  <c r="K35" i="12"/>
  <c r="J160" i="12"/>
  <c r="J35" i="12"/>
  <c r="E151" i="11"/>
  <c r="E149" i="11"/>
  <c r="F149" i="11"/>
  <c r="F151" i="11"/>
  <c r="F111" i="11"/>
  <c r="F96" i="11"/>
  <c r="F81" i="11"/>
  <c r="G20" i="11"/>
  <c r="E59" i="12"/>
  <c r="E80" i="12" s="1"/>
  <c r="E106" i="11"/>
  <c r="F14" i="11"/>
  <c r="E91" i="11"/>
  <c r="E76" i="11"/>
  <c r="E32" i="11"/>
  <c r="E94" i="11"/>
  <c r="E60" i="12"/>
  <c r="E82" i="12" s="1"/>
  <c r="E107" i="11"/>
  <c r="E71" i="12" s="1"/>
  <c r="E106" i="12" s="1"/>
  <c r="E92" i="11"/>
  <c r="E77" i="11"/>
  <c r="E33" i="11"/>
  <c r="F15" i="11"/>
  <c r="J140" i="12" l="1"/>
  <c r="E181" i="11"/>
  <c r="E142" i="12" s="1"/>
  <c r="E149" i="12" s="1"/>
  <c r="E30" i="12" s="1"/>
  <c r="G140" i="12"/>
  <c r="O173" i="11"/>
  <c r="I181" i="11"/>
  <c r="J142" i="12" s="1"/>
  <c r="J149" i="12" s="1"/>
  <c r="J30" i="12" s="1"/>
  <c r="E109" i="11"/>
  <c r="H139" i="12"/>
  <c r="K139" i="12"/>
  <c r="H181" i="11"/>
  <c r="I142" i="12" s="1"/>
  <c r="I149" i="12" s="1"/>
  <c r="I30" i="12" s="1"/>
  <c r="F181" i="11"/>
  <c r="G142" i="12" s="1"/>
  <c r="G149" i="12" s="1"/>
  <c r="G30" i="12" s="1"/>
  <c r="E120" i="12"/>
  <c r="E128" i="12" s="1"/>
  <c r="E133" i="12" s="1"/>
  <c r="E153" i="11"/>
  <c r="E73" i="12" s="1"/>
  <c r="E29" i="12" s="1"/>
  <c r="E63" i="12"/>
  <c r="E87" i="12" s="1"/>
  <c r="E41" i="11"/>
  <c r="E68" i="12" s="1"/>
  <c r="E101" i="12" s="1"/>
  <c r="E62" i="12"/>
  <c r="E85" i="12" s="1"/>
  <c r="E40" i="11"/>
  <c r="E31" i="11"/>
  <c r="E90" i="11"/>
  <c r="E100" i="11" s="1"/>
  <c r="E70" i="12"/>
  <c r="E105" i="11"/>
  <c r="G111" i="11"/>
  <c r="H20" i="11"/>
  <c r="G96" i="11"/>
  <c r="G81" i="11"/>
  <c r="F153" i="11"/>
  <c r="G73" i="12" s="1"/>
  <c r="G29" i="12" s="1"/>
  <c r="J45" i="12"/>
  <c r="G45" i="12"/>
  <c r="V35" i="12"/>
  <c r="H140" i="12"/>
  <c r="G182" i="11"/>
  <c r="H143" i="12" s="1"/>
  <c r="H149" i="12" s="1"/>
  <c r="H30" i="12" s="1"/>
  <c r="F94" i="11"/>
  <c r="F98" i="11" s="1"/>
  <c r="G112" i="11"/>
  <c r="H21" i="11"/>
  <c r="G97" i="11"/>
  <c r="G82" i="11"/>
  <c r="G37" i="11"/>
  <c r="G45" i="11" s="1"/>
  <c r="G150" i="11"/>
  <c r="G152" i="11"/>
  <c r="K179" i="11"/>
  <c r="L174" i="11"/>
  <c r="K175" i="11"/>
  <c r="K178" i="11"/>
  <c r="I45" i="12"/>
  <c r="G60" i="12"/>
  <c r="G82" i="12" s="1"/>
  <c r="F107" i="11"/>
  <c r="G71" i="12" s="1"/>
  <c r="G106" i="12" s="1"/>
  <c r="F92" i="11"/>
  <c r="F77" i="11"/>
  <c r="F33" i="11"/>
  <c r="G15" i="11"/>
  <c r="E75" i="11"/>
  <c r="E85" i="11" s="1"/>
  <c r="G59" i="12"/>
  <c r="G80" i="12" s="1"/>
  <c r="F106" i="11"/>
  <c r="F91" i="11"/>
  <c r="F76" i="11"/>
  <c r="F32" i="11"/>
  <c r="G14" i="11"/>
  <c r="F13" i="11"/>
  <c r="P173" i="11"/>
  <c r="Q172" i="11"/>
  <c r="K45" i="12"/>
  <c r="G110" i="11"/>
  <c r="H19" i="11"/>
  <c r="G95" i="11"/>
  <c r="G80" i="11"/>
  <c r="G18" i="11"/>
  <c r="G22" i="11" s="1"/>
  <c r="F79" i="11"/>
  <c r="F83" i="11" s="1"/>
  <c r="F109" i="11"/>
  <c r="G149" i="11"/>
  <c r="G151" i="11"/>
  <c r="H147" i="11"/>
  <c r="H146" i="11"/>
  <c r="H145" i="11"/>
  <c r="H144" i="11"/>
  <c r="I142" i="11"/>
  <c r="K140" i="12"/>
  <c r="J182" i="11"/>
  <c r="K143" i="12" s="1"/>
  <c r="K149" i="12" s="1"/>
  <c r="K30" i="12" s="1"/>
  <c r="H45" i="12"/>
  <c r="F113" i="11" l="1"/>
  <c r="E115" i="11"/>
  <c r="F90" i="11"/>
  <c r="F100" i="11" s="1"/>
  <c r="F101" i="11" s="1"/>
  <c r="G109" i="11"/>
  <c r="G113" i="11" s="1"/>
  <c r="E125" i="12"/>
  <c r="E130" i="12" s="1"/>
  <c r="E155" i="12"/>
  <c r="E126" i="12"/>
  <c r="E131" i="12" s="1"/>
  <c r="E154" i="12"/>
  <c r="E157" i="12"/>
  <c r="E158" i="12"/>
  <c r="E127" i="12"/>
  <c r="E132" i="12" s="1"/>
  <c r="G79" i="11"/>
  <c r="G83" i="11" s="1"/>
  <c r="G94" i="11"/>
  <c r="G98" i="11" s="1"/>
  <c r="G120" i="12"/>
  <c r="G126" i="12" s="1"/>
  <c r="G131" i="12" s="1"/>
  <c r="F75" i="11"/>
  <c r="J142" i="11"/>
  <c r="I147" i="11"/>
  <c r="I146" i="11"/>
  <c r="I145" i="11"/>
  <c r="I144" i="11"/>
  <c r="H150" i="11"/>
  <c r="H152" i="11"/>
  <c r="H110" i="11"/>
  <c r="H95" i="11"/>
  <c r="H80" i="11"/>
  <c r="H18" i="11"/>
  <c r="H22" i="11" s="1"/>
  <c r="I19" i="11"/>
  <c r="H59" i="12"/>
  <c r="H80" i="12" s="1"/>
  <c r="G106" i="11"/>
  <c r="H14" i="11"/>
  <c r="G91" i="11"/>
  <c r="G76" i="11"/>
  <c r="G32" i="11"/>
  <c r="G13" i="11"/>
  <c r="F85" i="11"/>
  <c r="F86" i="11" s="1"/>
  <c r="G70" i="12"/>
  <c r="F105" i="11"/>
  <c r="F115" i="11" s="1"/>
  <c r="G63" i="12"/>
  <c r="G87" i="12" s="1"/>
  <c r="F41" i="11"/>
  <c r="G68" i="12" s="1"/>
  <c r="G101" i="12" s="1"/>
  <c r="L140" i="12"/>
  <c r="K182" i="11"/>
  <c r="L143" i="12" s="1"/>
  <c r="H111" i="11"/>
  <c r="H96" i="11"/>
  <c r="H81" i="11"/>
  <c r="I20" i="11"/>
  <c r="E67" i="12"/>
  <c r="E39" i="11"/>
  <c r="H149" i="11"/>
  <c r="H151" i="11"/>
  <c r="G153" i="11"/>
  <c r="H73" i="12" s="1"/>
  <c r="H29" i="12" s="1"/>
  <c r="R172" i="11"/>
  <c r="Q173" i="11"/>
  <c r="F16" i="11"/>
  <c r="F24" i="11"/>
  <c r="F25" i="11" s="1"/>
  <c r="F36" i="11"/>
  <c r="F44" i="11" s="1"/>
  <c r="F35" i="11"/>
  <c r="F43" i="11" s="1"/>
  <c r="G62" i="12"/>
  <c r="G85" i="12" s="1"/>
  <c r="F40" i="11"/>
  <c r="F31" i="11"/>
  <c r="H60" i="12"/>
  <c r="H82" i="12" s="1"/>
  <c r="G107" i="11"/>
  <c r="H71" i="12" s="1"/>
  <c r="G92" i="11"/>
  <c r="G77" i="11"/>
  <c r="G33" i="11"/>
  <c r="H15" i="11"/>
  <c r="L139" i="12"/>
  <c r="K181" i="11"/>
  <c r="L142" i="12" s="1"/>
  <c r="M174" i="11"/>
  <c r="L179" i="11"/>
  <c r="L178" i="11"/>
  <c r="L175" i="11"/>
  <c r="H112" i="11"/>
  <c r="H97" i="11"/>
  <c r="H82" i="11"/>
  <c r="H37" i="11"/>
  <c r="H45" i="11" s="1"/>
  <c r="I21" i="11"/>
  <c r="E148" i="12"/>
  <c r="E104" i="12"/>
  <c r="E28" i="12"/>
  <c r="F116" i="11" l="1"/>
  <c r="G125" i="12"/>
  <c r="G130" i="12" s="1"/>
  <c r="E134" i="12"/>
  <c r="E109" i="12" s="1"/>
  <c r="E39" i="12" s="1"/>
  <c r="E49" i="12" s="1"/>
  <c r="E164" i="12"/>
  <c r="E40" i="12" s="1"/>
  <c r="E50" i="12" s="1"/>
  <c r="G128" i="12"/>
  <c r="G133" i="12" s="1"/>
  <c r="G154" i="12"/>
  <c r="G158" i="12"/>
  <c r="G155" i="12"/>
  <c r="G157" i="12"/>
  <c r="G127" i="12"/>
  <c r="G132" i="12" s="1"/>
  <c r="I112" i="11"/>
  <c r="J21" i="11"/>
  <c r="I97" i="11"/>
  <c r="I82" i="11"/>
  <c r="I37" i="11"/>
  <c r="I45" i="11" s="1"/>
  <c r="M139" i="12"/>
  <c r="L181" i="11"/>
  <c r="M142" i="12" s="1"/>
  <c r="M179" i="11"/>
  <c r="N174" i="11"/>
  <c r="M178" i="11"/>
  <c r="M175" i="11"/>
  <c r="I60" i="12"/>
  <c r="I82" i="12" s="1"/>
  <c r="H107" i="11"/>
  <c r="I71" i="12" s="1"/>
  <c r="H92" i="11"/>
  <c r="H77" i="11"/>
  <c r="H33" i="11"/>
  <c r="I15" i="11"/>
  <c r="H107" i="12"/>
  <c r="H106" i="12"/>
  <c r="R173" i="11"/>
  <c r="S172" i="11"/>
  <c r="E147" i="12"/>
  <c r="E150" i="12" s="1"/>
  <c r="E99" i="12"/>
  <c r="E75" i="12"/>
  <c r="E27" i="12"/>
  <c r="H62" i="12"/>
  <c r="H85" i="12" s="1"/>
  <c r="H99" i="12" s="1"/>
  <c r="G40" i="11"/>
  <c r="G31" i="11"/>
  <c r="G90" i="11"/>
  <c r="G100" i="11" s="1"/>
  <c r="G101" i="11" s="1"/>
  <c r="H70" i="12"/>
  <c r="G105" i="11"/>
  <c r="G115" i="11" s="1"/>
  <c r="G116" i="11" s="1"/>
  <c r="I110" i="11"/>
  <c r="J19" i="11"/>
  <c r="I95" i="11"/>
  <c r="I80" i="11"/>
  <c r="I18" i="11"/>
  <c r="I22" i="11" s="1"/>
  <c r="H79" i="11"/>
  <c r="H83" i="11" s="1"/>
  <c r="H109" i="11"/>
  <c r="H113" i="11" s="1"/>
  <c r="I149" i="11"/>
  <c r="I151" i="11"/>
  <c r="J147" i="11"/>
  <c r="J146" i="11"/>
  <c r="J145" i="11"/>
  <c r="J144" i="11"/>
  <c r="K142" i="11"/>
  <c r="E163" i="12"/>
  <c r="E38" i="12"/>
  <c r="E48" i="12" s="1"/>
  <c r="M140" i="12"/>
  <c r="L182" i="11"/>
  <c r="M143" i="12" s="1"/>
  <c r="L149" i="12"/>
  <c r="L30" i="12" s="1"/>
  <c r="H63" i="12"/>
  <c r="H87" i="12" s="1"/>
  <c r="H101" i="12" s="1"/>
  <c r="G41" i="11"/>
  <c r="H68" i="12" s="1"/>
  <c r="G67" i="12"/>
  <c r="F39" i="11"/>
  <c r="H153" i="11"/>
  <c r="I73" i="12" s="1"/>
  <c r="I29" i="12" s="1"/>
  <c r="I111" i="11"/>
  <c r="J20" i="11"/>
  <c r="I96" i="11"/>
  <c r="I81" i="11"/>
  <c r="G148" i="12"/>
  <c r="G104" i="12"/>
  <c r="G28" i="12"/>
  <c r="G24" i="11"/>
  <c r="G25" i="11" s="1"/>
  <c r="G16" i="11"/>
  <c r="G36" i="11"/>
  <c r="G44" i="11" s="1"/>
  <c r="G35" i="11"/>
  <c r="G43" i="11" s="1"/>
  <c r="G75" i="11"/>
  <c r="G85" i="11" s="1"/>
  <c r="G86" i="11" s="1"/>
  <c r="I59" i="12"/>
  <c r="I80" i="12" s="1"/>
  <c r="I120" i="12" s="1"/>
  <c r="H106" i="11"/>
  <c r="H91" i="11"/>
  <c r="H90" i="11" s="1"/>
  <c r="H76" i="11"/>
  <c r="H75" i="11" s="1"/>
  <c r="H32" i="11"/>
  <c r="I14" i="11"/>
  <c r="H13" i="11"/>
  <c r="H120" i="12"/>
  <c r="H94" i="11"/>
  <c r="H98" i="11" s="1"/>
  <c r="I150" i="11"/>
  <c r="I152" i="11"/>
  <c r="G134" i="12" l="1"/>
  <c r="G109" i="12" s="1"/>
  <c r="G39" i="12" s="1"/>
  <c r="G49" i="12" s="1"/>
  <c r="H85" i="11"/>
  <c r="H86" i="11" s="1"/>
  <c r="G164" i="12"/>
  <c r="G40" i="12" s="1"/>
  <c r="G50" i="12" s="1"/>
  <c r="H126" i="12"/>
  <c r="H131" i="12" s="1"/>
  <c r="H128" i="12"/>
  <c r="H133" i="12" s="1"/>
  <c r="H154" i="12"/>
  <c r="H157" i="12"/>
  <c r="H125" i="12"/>
  <c r="H130" i="12" s="1"/>
  <c r="H127" i="12"/>
  <c r="H132" i="12" s="1"/>
  <c r="H158" i="12"/>
  <c r="H155" i="12"/>
  <c r="J59" i="12"/>
  <c r="J80" i="12" s="1"/>
  <c r="I106" i="11"/>
  <c r="J14" i="11"/>
  <c r="I91" i="11"/>
  <c r="I76" i="11"/>
  <c r="I32" i="11"/>
  <c r="I13" i="11"/>
  <c r="I70" i="12"/>
  <c r="H105" i="11"/>
  <c r="H115" i="11" s="1"/>
  <c r="H116" i="11" s="1"/>
  <c r="G163" i="12"/>
  <c r="G38" i="12"/>
  <c r="G48" i="12" s="1"/>
  <c r="G147" i="12"/>
  <c r="G150" i="12" s="1"/>
  <c r="G75" i="12"/>
  <c r="G99" i="12"/>
  <c r="G27" i="12"/>
  <c r="L142" i="11"/>
  <c r="K147" i="11"/>
  <c r="K146" i="11"/>
  <c r="K145" i="11"/>
  <c r="K144" i="11"/>
  <c r="J150" i="11"/>
  <c r="J152" i="11"/>
  <c r="I79" i="11"/>
  <c r="I83" i="11" s="1"/>
  <c r="J110" i="11"/>
  <c r="J95" i="11"/>
  <c r="J80" i="11"/>
  <c r="J18" i="11"/>
  <c r="J22" i="11" s="1"/>
  <c r="K19" i="11"/>
  <c r="H67" i="12"/>
  <c r="G39" i="11"/>
  <c r="I63" i="12"/>
  <c r="I87" i="12" s="1"/>
  <c r="I101" i="12" s="1"/>
  <c r="H41" i="11"/>
  <c r="I68" i="12" s="1"/>
  <c r="O174" i="11"/>
  <c r="N179" i="11"/>
  <c r="N178" i="11"/>
  <c r="N175" i="11"/>
  <c r="M149" i="12"/>
  <c r="M30" i="12" s="1"/>
  <c r="H16" i="11"/>
  <c r="H24" i="11"/>
  <c r="H25" i="11" s="1"/>
  <c r="H36" i="11"/>
  <c r="H44" i="11" s="1"/>
  <c r="H35" i="11"/>
  <c r="H43" i="11" s="1"/>
  <c r="I62" i="12"/>
  <c r="I85" i="12" s="1"/>
  <c r="I99" i="12" s="1"/>
  <c r="H40" i="11"/>
  <c r="H31" i="11"/>
  <c r="H100" i="11"/>
  <c r="H101" i="11" s="1"/>
  <c r="I157" i="12"/>
  <c r="I155" i="12"/>
  <c r="I158" i="12"/>
  <c r="I154" i="12"/>
  <c r="I126" i="12"/>
  <c r="I131" i="12" s="1"/>
  <c r="I128" i="12"/>
  <c r="I133" i="12" s="1"/>
  <c r="I125" i="12"/>
  <c r="I130" i="12" s="1"/>
  <c r="I127" i="12"/>
  <c r="I132" i="12" s="1"/>
  <c r="J111" i="11"/>
  <c r="J96" i="11"/>
  <c r="J81" i="11"/>
  <c r="K20" i="11"/>
  <c r="J149" i="11"/>
  <c r="J151" i="11"/>
  <c r="I153" i="11"/>
  <c r="J73" i="12" s="1"/>
  <c r="J29" i="12" s="1"/>
  <c r="I94" i="11"/>
  <c r="I98" i="11" s="1"/>
  <c r="I109" i="11"/>
  <c r="I113" i="11" s="1"/>
  <c r="H148" i="12"/>
  <c r="H105" i="12"/>
  <c r="H104" i="12"/>
  <c r="H28" i="12"/>
  <c r="H162" i="12"/>
  <c r="H37" i="12"/>
  <c r="E31" i="12"/>
  <c r="E32" i="12"/>
  <c r="E162" i="12"/>
  <c r="E165" i="12" s="1"/>
  <c r="E170" i="12" s="1"/>
  <c r="E111" i="12"/>
  <c r="E115" i="12" s="1"/>
  <c r="E37" i="12"/>
  <c r="E47" i="12" s="1"/>
  <c r="T172" i="11"/>
  <c r="T173" i="11" s="1"/>
  <c r="S173" i="11"/>
  <c r="J60" i="12"/>
  <c r="J82" i="12" s="1"/>
  <c r="I107" i="11"/>
  <c r="J71" i="12" s="1"/>
  <c r="I92" i="11"/>
  <c r="I77" i="11"/>
  <c r="I33" i="11"/>
  <c r="J15" i="11"/>
  <c r="I107" i="12"/>
  <c r="I106" i="12"/>
  <c r="N139" i="12"/>
  <c r="M181" i="11"/>
  <c r="N142" i="12" s="1"/>
  <c r="N140" i="12"/>
  <c r="M182" i="11"/>
  <c r="N143" i="12" s="1"/>
  <c r="J112" i="11"/>
  <c r="J97" i="11"/>
  <c r="J82" i="11"/>
  <c r="J37" i="11"/>
  <c r="J45" i="11" s="1"/>
  <c r="K21" i="11"/>
  <c r="H134" i="12" l="1"/>
  <c r="H109" i="12" s="1"/>
  <c r="I134" i="12"/>
  <c r="I109" i="12" s="1"/>
  <c r="I39" i="12" s="1"/>
  <c r="I49" i="12" s="1"/>
  <c r="I176" i="12" s="1"/>
  <c r="J63" i="12"/>
  <c r="J87" i="12" s="1"/>
  <c r="J101" i="12" s="1"/>
  <c r="I41" i="11"/>
  <c r="J68" i="12" s="1"/>
  <c r="I67" i="12"/>
  <c r="H39" i="11"/>
  <c r="O140" i="12"/>
  <c r="N182" i="11"/>
  <c r="O143" i="12" s="1"/>
  <c r="H147" i="12"/>
  <c r="H150" i="12" s="1"/>
  <c r="H75" i="12"/>
  <c r="H27" i="12"/>
  <c r="J94" i="11"/>
  <c r="J98" i="11" s="1"/>
  <c r="K150" i="11"/>
  <c r="K152" i="11"/>
  <c r="G162" i="12"/>
  <c r="G165" i="12" s="1"/>
  <c r="G170" i="12" s="1"/>
  <c r="G37" i="12"/>
  <c r="G47" i="12" s="1"/>
  <c r="G111" i="12"/>
  <c r="G115" i="12" s="1"/>
  <c r="I148" i="12"/>
  <c r="I105" i="12"/>
  <c r="I104" i="12"/>
  <c r="I28" i="12"/>
  <c r="J62" i="12"/>
  <c r="J85" i="12" s="1"/>
  <c r="J99" i="12" s="1"/>
  <c r="I40" i="11"/>
  <c r="I31" i="11"/>
  <c r="I90" i="11"/>
  <c r="I100" i="11" s="1"/>
  <c r="I101" i="11" s="1"/>
  <c r="J70" i="12"/>
  <c r="I105" i="11"/>
  <c r="I115" i="11" s="1"/>
  <c r="I116" i="11" s="1"/>
  <c r="H164" i="12"/>
  <c r="H40" i="12" s="1"/>
  <c r="K112" i="11"/>
  <c r="L21" i="11"/>
  <c r="K97" i="11"/>
  <c r="K82" i="11"/>
  <c r="K37" i="11"/>
  <c r="K45" i="11" s="1"/>
  <c r="N149" i="12"/>
  <c r="N30" i="12" s="1"/>
  <c r="K60" i="12"/>
  <c r="K82" i="12" s="1"/>
  <c r="L82" i="12" s="1"/>
  <c r="J107" i="11"/>
  <c r="K71" i="12" s="1"/>
  <c r="J92" i="11"/>
  <c r="J77" i="11"/>
  <c r="J33" i="11"/>
  <c r="K15" i="11"/>
  <c r="J107" i="12"/>
  <c r="J106" i="12"/>
  <c r="E41" i="12"/>
  <c r="E42" i="12"/>
  <c r="H163" i="12"/>
  <c r="H38" i="12"/>
  <c r="J153" i="11"/>
  <c r="K73" i="12" s="1"/>
  <c r="K29" i="12" s="1"/>
  <c r="K111" i="11"/>
  <c r="L20" i="11"/>
  <c r="K96" i="11"/>
  <c r="K81" i="11"/>
  <c r="I164" i="12"/>
  <c r="I40" i="12" s="1"/>
  <c r="I162" i="12"/>
  <c r="I37" i="12"/>
  <c r="O139" i="12"/>
  <c r="N181" i="11"/>
  <c r="O142" i="12" s="1"/>
  <c r="O179" i="11"/>
  <c r="P174" i="11"/>
  <c r="O178" i="11"/>
  <c r="O175" i="11"/>
  <c r="K110" i="11"/>
  <c r="L19" i="11"/>
  <c r="K95" i="11"/>
  <c r="K80" i="11"/>
  <c r="K18" i="11"/>
  <c r="K22" i="11" s="1"/>
  <c r="J79" i="11"/>
  <c r="J83" i="11" s="1"/>
  <c r="J109" i="11"/>
  <c r="J113" i="11" s="1"/>
  <c r="K149" i="11"/>
  <c r="K151" i="11"/>
  <c r="L147" i="11"/>
  <c r="L146" i="11"/>
  <c r="L145" i="11"/>
  <c r="L144" i="11"/>
  <c r="M142" i="11"/>
  <c r="G31" i="12"/>
  <c r="G32" i="12"/>
  <c r="I24" i="11"/>
  <c r="I25" i="11" s="1"/>
  <c r="I16" i="11"/>
  <c r="I36" i="11"/>
  <c r="I44" i="11" s="1"/>
  <c r="I35" i="11"/>
  <c r="I43" i="11" s="1"/>
  <c r="I75" i="11"/>
  <c r="I85" i="11" s="1"/>
  <c r="I86" i="11" s="1"/>
  <c r="K59" i="12"/>
  <c r="K80" i="12" s="1"/>
  <c r="J106" i="11"/>
  <c r="J91" i="11"/>
  <c r="J76" i="11"/>
  <c r="J32" i="11"/>
  <c r="K14" i="11"/>
  <c r="J13" i="11"/>
  <c r="J120" i="12"/>
  <c r="K109" i="11" l="1"/>
  <c r="K113" i="11" s="1"/>
  <c r="J90" i="11"/>
  <c r="J100" i="11" s="1"/>
  <c r="J101" i="11" s="1"/>
  <c r="H165" i="12"/>
  <c r="H170" i="12" s="1"/>
  <c r="I111" i="12"/>
  <c r="H39" i="12"/>
  <c r="H49" i="12" s="1"/>
  <c r="H111" i="12"/>
  <c r="H115" i="12" s="1"/>
  <c r="K79" i="11"/>
  <c r="K83" i="11" s="1"/>
  <c r="J75" i="11"/>
  <c r="J85" i="11" s="1"/>
  <c r="J86" i="11" s="1"/>
  <c r="K94" i="11"/>
  <c r="K98" i="11" s="1"/>
  <c r="L60" i="12"/>
  <c r="K107" i="11"/>
  <c r="L71" i="12" s="1"/>
  <c r="K92" i="11"/>
  <c r="K77" i="11"/>
  <c r="K33" i="11"/>
  <c r="L15" i="11"/>
  <c r="K107" i="12"/>
  <c r="K106" i="12"/>
  <c r="L112" i="11"/>
  <c r="L97" i="11"/>
  <c r="L82" i="11"/>
  <c r="L37" i="11"/>
  <c r="L45" i="11" s="1"/>
  <c r="M21" i="11"/>
  <c r="H42" i="12"/>
  <c r="H50" i="12"/>
  <c r="J148" i="12"/>
  <c r="J105" i="12"/>
  <c r="J104" i="12"/>
  <c r="J28" i="12"/>
  <c r="J162" i="12"/>
  <c r="J37" i="12"/>
  <c r="I163" i="12"/>
  <c r="I165" i="12" s="1"/>
  <c r="I38" i="12"/>
  <c r="I48" i="12" s="1"/>
  <c r="I186" i="12" s="1"/>
  <c r="H47" i="12"/>
  <c r="H31" i="12"/>
  <c r="H32" i="12"/>
  <c r="H52" i="12" s="1"/>
  <c r="C11" i="18" s="1"/>
  <c r="I147" i="12"/>
  <c r="I150" i="12" s="1"/>
  <c r="I75" i="12"/>
  <c r="I27" i="12"/>
  <c r="H48" i="12"/>
  <c r="J154" i="12"/>
  <c r="J155" i="12"/>
  <c r="J158" i="12"/>
  <c r="J157" i="12"/>
  <c r="J125" i="12"/>
  <c r="J130" i="12" s="1"/>
  <c r="J127" i="12"/>
  <c r="J132" i="12" s="1"/>
  <c r="J126" i="12"/>
  <c r="J131" i="12" s="1"/>
  <c r="J128" i="12"/>
  <c r="J133" i="12" s="1"/>
  <c r="L59" i="12"/>
  <c r="K106" i="11"/>
  <c r="L14" i="11"/>
  <c r="K91" i="11"/>
  <c r="K76" i="11"/>
  <c r="K32" i="11"/>
  <c r="K13" i="11"/>
  <c r="K70" i="12"/>
  <c r="J105" i="11"/>
  <c r="J115" i="11" s="1"/>
  <c r="J116" i="11" s="1"/>
  <c r="L149" i="11"/>
  <c r="L151" i="11"/>
  <c r="K153" i="11"/>
  <c r="L73" i="12" s="1"/>
  <c r="L29" i="12" s="1"/>
  <c r="P139" i="12"/>
  <c r="O181" i="11"/>
  <c r="P142" i="12" s="1"/>
  <c r="P140" i="12"/>
  <c r="O182" i="11"/>
  <c r="P143" i="12" s="1"/>
  <c r="I50" i="12"/>
  <c r="I177" i="12" s="1"/>
  <c r="J16" i="11"/>
  <c r="J24" i="11"/>
  <c r="J25" i="11" s="1"/>
  <c r="J36" i="11"/>
  <c r="J44" i="11" s="1"/>
  <c r="J35" i="11"/>
  <c r="J43" i="11" s="1"/>
  <c r="K62" i="12"/>
  <c r="K85" i="12" s="1"/>
  <c r="K99" i="12" s="1"/>
  <c r="J40" i="11"/>
  <c r="J31" i="11"/>
  <c r="K120" i="12"/>
  <c r="L80" i="12"/>
  <c r="N142" i="11"/>
  <c r="M147" i="11"/>
  <c r="M146" i="11"/>
  <c r="M145" i="11"/>
  <c r="M144" i="11"/>
  <c r="L150" i="11"/>
  <c r="L152" i="11"/>
  <c r="L110" i="11"/>
  <c r="L95" i="11"/>
  <c r="L80" i="11"/>
  <c r="L18" i="11"/>
  <c r="L22" i="11" s="1"/>
  <c r="M19" i="11"/>
  <c r="Q174" i="11"/>
  <c r="P179" i="11"/>
  <c r="P178" i="11"/>
  <c r="P175" i="11"/>
  <c r="O149" i="12"/>
  <c r="O30" i="12" s="1"/>
  <c r="L111" i="11"/>
  <c r="L96" i="11"/>
  <c r="L81" i="11"/>
  <c r="M20" i="11"/>
  <c r="K63" i="12"/>
  <c r="K87" i="12" s="1"/>
  <c r="K101" i="12" s="1"/>
  <c r="J41" i="11"/>
  <c r="K68" i="12" s="1"/>
  <c r="L87" i="12"/>
  <c r="L101" i="12" s="1"/>
  <c r="M82" i="12"/>
  <c r="J67" i="12"/>
  <c r="I39" i="11"/>
  <c r="G41" i="12"/>
  <c r="G42" i="12"/>
  <c r="K75" i="11" l="1"/>
  <c r="K85" i="11" s="1"/>
  <c r="K86" i="11" s="1"/>
  <c r="K90" i="11"/>
  <c r="K100" i="11" s="1"/>
  <c r="K101" i="11" s="1"/>
  <c r="I115" i="12"/>
  <c r="I42" i="12"/>
  <c r="I41" i="12"/>
  <c r="H41" i="12"/>
  <c r="H51" i="12" s="1"/>
  <c r="J164" i="12"/>
  <c r="J40" i="12" s="1"/>
  <c r="J50" i="12" s="1"/>
  <c r="J177" i="12" s="1"/>
  <c r="M87" i="12"/>
  <c r="M101" i="12" s="1"/>
  <c r="N82" i="12"/>
  <c r="Q140" i="12"/>
  <c r="P182" i="11"/>
  <c r="Q143" i="12" s="1"/>
  <c r="M110" i="11"/>
  <c r="N19" i="11"/>
  <c r="M95" i="11"/>
  <c r="M80" i="11"/>
  <c r="M18" i="11"/>
  <c r="M22" i="11" s="1"/>
  <c r="L79" i="11"/>
  <c r="L83" i="11" s="1"/>
  <c r="L109" i="11"/>
  <c r="L113" i="11" s="1"/>
  <c r="M149" i="11"/>
  <c r="M151" i="11"/>
  <c r="N147" i="11"/>
  <c r="N146" i="11"/>
  <c r="N145" i="11"/>
  <c r="N144" i="11"/>
  <c r="O142" i="11"/>
  <c r="K157" i="12"/>
  <c r="K154" i="12"/>
  <c r="K158" i="12"/>
  <c r="K155" i="12"/>
  <c r="K126" i="12"/>
  <c r="K131" i="12" s="1"/>
  <c r="K128" i="12"/>
  <c r="K133" i="12" s="1"/>
  <c r="K125" i="12"/>
  <c r="K130" i="12" s="1"/>
  <c r="K127" i="12"/>
  <c r="K132" i="12" s="1"/>
  <c r="K67" i="12"/>
  <c r="J39" i="11"/>
  <c r="P149" i="12"/>
  <c r="P30" i="12" s="1"/>
  <c r="L153" i="11"/>
  <c r="M73" i="12" s="1"/>
  <c r="M29" i="12" s="1"/>
  <c r="K24" i="11"/>
  <c r="K25" i="11" s="1"/>
  <c r="K16" i="11"/>
  <c r="K36" i="11"/>
  <c r="K44" i="11" s="1"/>
  <c r="K35" i="11"/>
  <c r="K43" i="11" s="1"/>
  <c r="M59" i="12"/>
  <c r="L106" i="11"/>
  <c r="L91" i="11"/>
  <c r="L76" i="11"/>
  <c r="L32" i="11"/>
  <c r="M14" i="11"/>
  <c r="L13" i="11"/>
  <c r="J134" i="12"/>
  <c r="J109" i="12" s="1"/>
  <c r="I31" i="12"/>
  <c r="I47" i="12"/>
  <c r="I185" i="12" s="1"/>
  <c r="I187" i="12" s="1"/>
  <c r="I32" i="12"/>
  <c r="I170" i="12"/>
  <c r="J163" i="12"/>
  <c r="J38" i="12"/>
  <c r="J48" i="12" s="1"/>
  <c r="J186" i="12" s="1"/>
  <c r="J187" i="12" s="1"/>
  <c r="M60" i="12"/>
  <c r="L107" i="11"/>
  <c r="M71" i="12" s="1"/>
  <c r="L92" i="11"/>
  <c r="L77" i="11"/>
  <c r="L33" i="11"/>
  <c r="M15" i="11"/>
  <c r="L107" i="12"/>
  <c r="L106" i="12"/>
  <c r="J147" i="12"/>
  <c r="J150" i="12" s="1"/>
  <c r="J75" i="12"/>
  <c r="J27" i="12"/>
  <c r="M111" i="11"/>
  <c r="N20" i="11"/>
  <c r="M96" i="11"/>
  <c r="M81" i="11"/>
  <c r="Q139" i="12"/>
  <c r="P181" i="11"/>
  <c r="Q142" i="12" s="1"/>
  <c r="Q179" i="11"/>
  <c r="R174" i="11"/>
  <c r="Q178" i="11"/>
  <c r="Q175" i="11"/>
  <c r="L94" i="11"/>
  <c r="L98" i="11" s="1"/>
  <c r="M150" i="11"/>
  <c r="M152" i="11"/>
  <c r="L120" i="12"/>
  <c r="M80" i="12"/>
  <c r="L85" i="12"/>
  <c r="L99" i="12" s="1"/>
  <c r="K162" i="12"/>
  <c r="K37" i="12"/>
  <c r="K148" i="12"/>
  <c r="K105" i="12"/>
  <c r="K104" i="12"/>
  <c r="K28" i="12"/>
  <c r="L62" i="12"/>
  <c r="K40" i="11"/>
  <c r="K31" i="11"/>
  <c r="L70" i="12"/>
  <c r="K105" i="11"/>
  <c r="K115" i="11" s="1"/>
  <c r="K116" i="11" s="1"/>
  <c r="M112" i="11"/>
  <c r="N21" i="11"/>
  <c r="M97" i="11"/>
  <c r="M82" i="11"/>
  <c r="M37" i="11"/>
  <c r="M45" i="11" s="1"/>
  <c r="L63" i="12"/>
  <c r="K41" i="11"/>
  <c r="L68" i="12" s="1"/>
  <c r="I51" i="12" l="1"/>
  <c r="J165" i="12"/>
  <c r="J170" i="12" s="1"/>
  <c r="J42" i="12"/>
  <c r="I52" i="12"/>
  <c r="D11" i="18" s="1"/>
  <c r="K134" i="12"/>
  <c r="K109" i="12" s="1"/>
  <c r="K39" i="12" s="1"/>
  <c r="K49" i="12" s="1"/>
  <c r="K176" i="12" s="1"/>
  <c r="N112" i="11"/>
  <c r="N97" i="11"/>
  <c r="N82" i="11"/>
  <c r="N37" i="11"/>
  <c r="N45" i="11" s="1"/>
  <c r="O21" i="11"/>
  <c r="L148" i="12"/>
  <c r="L105" i="12"/>
  <c r="L104" i="12"/>
  <c r="L28" i="12"/>
  <c r="L67" i="12"/>
  <c r="K39" i="11"/>
  <c r="L162" i="12"/>
  <c r="L37" i="12"/>
  <c r="L154" i="12"/>
  <c r="L157" i="12"/>
  <c r="L158" i="12"/>
  <c r="L155" i="12"/>
  <c r="L125" i="12"/>
  <c r="L130" i="12" s="1"/>
  <c r="L127" i="12"/>
  <c r="L132" i="12" s="1"/>
  <c r="L126" i="12"/>
  <c r="L131" i="12" s="1"/>
  <c r="L128" i="12"/>
  <c r="L133" i="12" s="1"/>
  <c r="S174" i="11"/>
  <c r="R179" i="11"/>
  <c r="R178" i="11"/>
  <c r="R175" i="11"/>
  <c r="Q149" i="12"/>
  <c r="Q30" i="12" s="1"/>
  <c r="N111" i="11"/>
  <c r="N96" i="11"/>
  <c r="N81" i="11"/>
  <c r="O20" i="11"/>
  <c r="J47" i="12"/>
  <c r="J31" i="12"/>
  <c r="J32" i="12"/>
  <c r="M63" i="12"/>
  <c r="L41" i="11"/>
  <c r="M68" i="12" s="1"/>
  <c r="L16" i="11"/>
  <c r="L24" i="11"/>
  <c r="L25" i="11" s="1"/>
  <c r="L36" i="11"/>
  <c r="L44" i="11" s="1"/>
  <c r="L35" i="11"/>
  <c r="L43" i="11" s="1"/>
  <c r="M62" i="12"/>
  <c r="L40" i="11"/>
  <c r="L31" i="11"/>
  <c r="L90" i="11"/>
  <c r="L100" i="11" s="1"/>
  <c r="L101" i="11" s="1"/>
  <c r="P142" i="11"/>
  <c r="O147" i="11"/>
  <c r="O146" i="11"/>
  <c r="O145" i="11"/>
  <c r="O144" i="11"/>
  <c r="N150" i="11"/>
  <c r="N152" i="11"/>
  <c r="M79" i="11"/>
  <c r="M83" i="11" s="1"/>
  <c r="N110" i="11"/>
  <c r="N95" i="11"/>
  <c r="N80" i="11"/>
  <c r="N18" i="11"/>
  <c r="N22" i="11" s="1"/>
  <c r="O19" i="11"/>
  <c r="N87" i="12"/>
  <c r="N101" i="12" s="1"/>
  <c r="O82" i="12"/>
  <c r="K163" i="12"/>
  <c r="K38" i="12"/>
  <c r="K48" i="12" s="1"/>
  <c r="K186" i="12" s="1"/>
  <c r="K187" i="12" s="1"/>
  <c r="M120" i="12"/>
  <c r="M85" i="12"/>
  <c r="M99" i="12" s="1"/>
  <c r="N80" i="12"/>
  <c r="R139" i="12"/>
  <c r="Q181" i="11"/>
  <c r="R142" i="12" s="1"/>
  <c r="R140" i="12"/>
  <c r="Q182" i="11"/>
  <c r="R143" i="12" s="1"/>
  <c r="N60" i="12"/>
  <c r="M107" i="11"/>
  <c r="N71" i="12" s="1"/>
  <c r="M92" i="11"/>
  <c r="M77" i="11"/>
  <c r="M33" i="11"/>
  <c r="N15" i="11"/>
  <c r="M107" i="12"/>
  <c r="M106" i="12"/>
  <c r="J39" i="12"/>
  <c r="J111" i="12"/>
  <c r="J115" i="12" s="1"/>
  <c r="N59" i="12"/>
  <c r="M106" i="11"/>
  <c r="N14" i="11"/>
  <c r="M13" i="11"/>
  <c r="M91" i="11"/>
  <c r="M90" i="11" s="1"/>
  <c r="M76" i="11"/>
  <c r="M75" i="11" s="1"/>
  <c r="M32" i="11"/>
  <c r="L75" i="11"/>
  <c r="L85" i="11" s="1"/>
  <c r="L86" i="11" s="1"/>
  <c r="M70" i="12"/>
  <c r="L105" i="11"/>
  <c r="L115" i="11" s="1"/>
  <c r="L116" i="11" s="1"/>
  <c r="K147" i="12"/>
  <c r="K150" i="12" s="1"/>
  <c r="K75" i="12"/>
  <c r="K27" i="12"/>
  <c r="K164" i="12"/>
  <c r="K40" i="12" s="1"/>
  <c r="N149" i="11"/>
  <c r="N151" i="11"/>
  <c r="M153" i="11"/>
  <c r="N73" i="12" s="1"/>
  <c r="N29" i="12" s="1"/>
  <c r="M94" i="11"/>
  <c r="M98" i="11" s="1"/>
  <c r="M109" i="11"/>
  <c r="M113" i="11" s="1"/>
  <c r="N79" i="11" l="1"/>
  <c r="N83" i="11" s="1"/>
  <c r="J52" i="12"/>
  <c r="E11" i="18" s="1"/>
  <c r="L164" i="12"/>
  <c r="L40" i="12" s="1"/>
  <c r="L50" i="12" s="1"/>
  <c r="L177" i="12" s="1"/>
  <c r="K111" i="12"/>
  <c r="K115" i="12" s="1"/>
  <c r="N94" i="11"/>
  <c r="N98" i="11" s="1"/>
  <c r="M85" i="11"/>
  <c r="M86" i="11" s="1"/>
  <c r="N109" i="11"/>
  <c r="N113" i="11" s="1"/>
  <c r="N153" i="11"/>
  <c r="O73" i="12" s="1"/>
  <c r="O29" i="12" s="1"/>
  <c r="K42" i="12"/>
  <c r="K50" i="12"/>
  <c r="K177" i="12" s="1"/>
  <c r="M148" i="12"/>
  <c r="M105" i="12"/>
  <c r="M104" i="12"/>
  <c r="M28" i="12"/>
  <c r="N62" i="12"/>
  <c r="M40" i="11"/>
  <c r="M31" i="11"/>
  <c r="M100" i="11"/>
  <c r="M101" i="11" s="1"/>
  <c r="O59" i="12"/>
  <c r="N106" i="11"/>
  <c r="N91" i="11"/>
  <c r="N76" i="11"/>
  <c r="N32" i="11"/>
  <c r="N13" i="11"/>
  <c r="O14" i="11"/>
  <c r="J49" i="12"/>
  <c r="J176" i="12" s="1"/>
  <c r="J41" i="12"/>
  <c r="J51" i="12" s="1"/>
  <c r="O60" i="12"/>
  <c r="N107" i="11"/>
  <c r="O71" i="12" s="1"/>
  <c r="N92" i="11"/>
  <c r="N77" i="11"/>
  <c r="N33" i="11"/>
  <c r="O15" i="11"/>
  <c r="N107" i="12"/>
  <c r="N106" i="12"/>
  <c r="R149" i="12"/>
  <c r="R30" i="12" s="1"/>
  <c r="N120" i="12"/>
  <c r="O80" i="12"/>
  <c r="N85" i="12"/>
  <c r="N99" i="12" s="1"/>
  <c r="M157" i="12"/>
  <c r="M155" i="12"/>
  <c r="M158" i="12"/>
  <c r="M154" i="12"/>
  <c r="M125" i="12"/>
  <c r="M130" i="12" s="1"/>
  <c r="M127" i="12"/>
  <c r="M132" i="12" s="1"/>
  <c r="M126" i="12"/>
  <c r="M131" i="12" s="1"/>
  <c r="M128" i="12"/>
  <c r="M133" i="12" s="1"/>
  <c r="O110" i="11"/>
  <c r="P19" i="11"/>
  <c r="O95" i="11"/>
  <c r="O80" i="11"/>
  <c r="O18" i="11"/>
  <c r="O22" i="11" s="1"/>
  <c r="O149" i="11"/>
  <c r="O151" i="11"/>
  <c r="P147" i="11"/>
  <c r="P146" i="11"/>
  <c r="P145" i="11"/>
  <c r="P144" i="11"/>
  <c r="Q142" i="11"/>
  <c r="S139" i="12"/>
  <c r="R181" i="11"/>
  <c r="S142" i="12" s="1"/>
  <c r="S179" i="11"/>
  <c r="T174" i="11"/>
  <c r="S178" i="11"/>
  <c r="S175" i="11"/>
  <c r="L134" i="12"/>
  <c r="L109" i="12" s="1"/>
  <c r="K41" i="12"/>
  <c r="O112" i="11"/>
  <c r="P21" i="11"/>
  <c r="O97" i="11"/>
  <c r="O82" i="11"/>
  <c r="O37" i="11"/>
  <c r="O45" i="11" s="1"/>
  <c r="K31" i="12"/>
  <c r="K47" i="12"/>
  <c r="K32" i="12"/>
  <c r="M24" i="11"/>
  <c r="M25" i="11" s="1"/>
  <c r="M16" i="11"/>
  <c r="M36" i="11"/>
  <c r="M44" i="11" s="1"/>
  <c r="M35" i="11"/>
  <c r="M43" i="11" s="1"/>
  <c r="N70" i="12"/>
  <c r="M105" i="11"/>
  <c r="M115" i="11" s="1"/>
  <c r="M116" i="11" s="1"/>
  <c r="N63" i="12"/>
  <c r="M41" i="11"/>
  <c r="N68" i="12" s="1"/>
  <c r="M162" i="12"/>
  <c r="M37" i="12"/>
  <c r="K165" i="12"/>
  <c r="K170" i="12" s="1"/>
  <c r="O87" i="12"/>
  <c r="O101" i="12" s="1"/>
  <c r="P82" i="12"/>
  <c r="O150" i="11"/>
  <c r="O152" i="11"/>
  <c r="M67" i="12"/>
  <c r="L39" i="11"/>
  <c r="O111" i="11"/>
  <c r="P20" i="11"/>
  <c r="O96" i="11"/>
  <c r="O81" i="11"/>
  <c r="S140" i="12"/>
  <c r="R182" i="11"/>
  <c r="S143" i="12" s="1"/>
  <c r="L147" i="12"/>
  <c r="L150" i="12" s="1"/>
  <c r="L75" i="12"/>
  <c r="L27" i="12"/>
  <c r="L163" i="12"/>
  <c r="L38" i="12"/>
  <c r="L48" i="12" s="1"/>
  <c r="L186" i="12" s="1"/>
  <c r="L187" i="12" s="1"/>
  <c r="L165" i="12" l="1"/>
  <c r="L170" i="12" s="1"/>
  <c r="K51" i="12"/>
  <c r="N75" i="11"/>
  <c r="N85" i="11" s="1"/>
  <c r="N86" i="11" s="1"/>
  <c r="K52" i="12"/>
  <c r="F11" i="18" s="1"/>
  <c r="L47" i="12"/>
  <c r="L31" i="12"/>
  <c r="L32" i="12"/>
  <c r="L42" i="12"/>
  <c r="N148" i="12"/>
  <c r="N105" i="12"/>
  <c r="N104" i="12"/>
  <c r="N28" i="12"/>
  <c r="P112" i="11"/>
  <c r="P97" i="11"/>
  <c r="P82" i="11"/>
  <c r="P37" i="11"/>
  <c r="P45" i="11" s="1"/>
  <c r="Q21" i="11"/>
  <c r="L39" i="12"/>
  <c r="L49" i="12" s="1"/>
  <c r="L176" i="12" s="1"/>
  <c r="L111" i="12"/>
  <c r="L115" i="12" s="1"/>
  <c r="T139" i="12"/>
  <c r="S181" i="11"/>
  <c r="T142" i="12" s="1"/>
  <c r="T140" i="12"/>
  <c r="S182" i="11"/>
  <c r="T143" i="12" s="1"/>
  <c r="R142" i="11"/>
  <c r="Q147" i="11"/>
  <c r="Q146" i="11"/>
  <c r="Q145" i="11"/>
  <c r="Q144" i="11"/>
  <c r="P150" i="11"/>
  <c r="P152" i="11"/>
  <c r="O94" i="11"/>
  <c r="O98" i="11" s="1"/>
  <c r="O109" i="11"/>
  <c r="O113" i="11" s="1"/>
  <c r="M134" i="12"/>
  <c r="M109" i="12" s="1"/>
  <c r="M164" i="12"/>
  <c r="M40" i="12" s="1"/>
  <c r="O120" i="12"/>
  <c r="O85" i="12"/>
  <c r="O99" i="12" s="1"/>
  <c r="P80" i="12"/>
  <c r="O63" i="12"/>
  <c r="N41" i="11"/>
  <c r="O68" i="12" s="1"/>
  <c r="N16" i="11"/>
  <c r="N24" i="11"/>
  <c r="N25" i="11" s="1"/>
  <c r="N36" i="11"/>
  <c r="N44" i="11" s="1"/>
  <c r="N35" i="11"/>
  <c r="N43" i="11" s="1"/>
  <c r="O70" i="12"/>
  <c r="N105" i="11"/>
  <c r="N115" i="11" s="1"/>
  <c r="N116" i="11" s="1"/>
  <c r="N67" i="12"/>
  <c r="M39" i="11"/>
  <c r="P111" i="11"/>
  <c r="P96" i="11"/>
  <c r="P81" i="11"/>
  <c r="Q20" i="11"/>
  <c r="M147" i="12"/>
  <c r="M150" i="12" s="1"/>
  <c r="M75" i="12"/>
  <c r="M27" i="12"/>
  <c r="P87" i="12"/>
  <c r="P101" i="12" s="1"/>
  <c r="Q82" i="12"/>
  <c r="T179" i="11"/>
  <c r="T178" i="11"/>
  <c r="T175" i="11"/>
  <c r="S149" i="12"/>
  <c r="S30" i="12" s="1"/>
  <c r="P149" i="11"/>
  <c r="P151" i="11"/>
  <c r="O153" i="11"/>
  <c r="P73" i="12" s="1"/>
  <c r="P29" i="12" s="1"/>
  <c r="O79" i="11"/>
  <c r="O83" i="11" s="1"/>
  <c r="P110" i="11"/>
  <c r="P95" i="11"/>
  <c r="P80" i="11"/>
  <c r="P18" i="11"/>
  <c r="P22" i="11" s="1"/>
  <c r="Q19" i="11"/>
  <c r="N162" i="12"/>
  <c r="N37" i="12"/>
  <c r="N154" i="12"/>
  <c r="N157" i="12"/>
  <c r="N155" i="12"/>
  <c r="N158" i="12"/>
  <c r="N125" i="12"/>
  <c r="N130" i="12" s="1"/>
  <c r="N127" i="12"/>
  <c r="N132" i="12" s="1"/>
  <c r="N126" i="12"/>
  <c r="N131" i="12" s="1"/>
  <c r="N128" i="12"/>
  <c r="N133" i="12" s="1"/>
  <c r="P60" i="12"/>
  <c r="O107" i="11"/>
  <c r="P71" i="12" s="1"/>
  <c r="O92" i="11"/>
  <c r="O77" i="11"/>
  <c r="O33" i="11"/>
  <c r="P15" i="11"/>
  <c r="O107" i="12"/>
  <c r="O106" i="12"/>
  <c r="P59" i="12"/>
  <c r="O106" i="11"/>
  <c r="P14" i="11"/>
  <c r="O13" i="11"/>
  <c r="O91" i="11"/>
  <c r="O76" i="11"/>
  <c r="O32" i="11"/>
  <c r="O62" i="12"/>
  <c r="N40" i="11"/>
  <c r="N31" i="11"/>
  <c r="N90" i="11"/>
  <c r="N100" i="11" s="1"/>
  <c r="N101" i="11" s="1"/>
  <c r="M163" i="12"/>
  <c r="M38" i="12"/>
  <c r="M48" i="12" s="1"/>
  <c r="M186" i="12" s="1"/>
  <c r="M187" i="12" s="1"/>
  <c r="O90" i="11" l="1"/>
  <c r="O100" i="11" s="1"/>
  <c r="O101" i="11" s="1"/>
  <c r="P79" i="11"/>
  <c r="P83" i="11" s="1"/>
  <c r="P94" i="11"/>
  <c r="P98" i="11" s="1"/>
  <c r="M165" i="12"/>
  <c r="M170" i="12" s="1"/>
  <c r="O75" i="11"/>
  <c r="O85" i="11" s="1"/>
  <c r="O86" i="11" s="1"/>
  <c r="P109" i="11"/>
  <c r="P113" i="11" s="1"/>
  <c r="O24" i="11"/>
  <c r="O25" i="11" s="1"/>
  <c r="O16" i="11"/>
  <c r="O36" i="11"/>
  <c r="O44" i="11" s="1"/>
  <c r="O35" i="11"/>
  <c r="O43" i="11" s="1"/>
  <c r="P70" i="12"/>
  <c r="O105" i="11"/>
  <c r="O115" i="11" s="1"/>
  <c r="O116" i="11" s="1"/>
  <c r="Q60" i="12"/>
  <c r="P107" i="11"/>
  <c r="Q71" i="12" s="1"/>
  <c r="P92" i="11"/>
  <c r="P77" i="11"/>
  <c r="P33" i="11"/>
  <c r="Q15" i="11"/>
  <c r="P107" i="12"/>
  <c r="P106" i="12"/>
  <c r="N164" i="12"/>
  <c r="N40" i="12" s="1"/>
  <c r="P153" i="11"/>
  <c r="Q73" i="12" s="1"/>
  <c r="Q29" i="12" s="1"/>
  <c r="U140" i="12"/>
  <c r="T182" i="11"/>
  <c r="U143" i="12" s="1"/>
  <c r="O162" i="12"/>
  <c r="O37" i="12"/>
  <c r="M42" i="12"/>
  <c r="M50" i="12"/>
  <c r="M177" i="12" s="1"/>
  <c r="Q149" i="11"/>
  <c r="Q151" i="11"/>
  <c r="R147" i="11"/>
  <c r="R146" i="11"/>
  <c r="R145" i="11"/>
  <c r="R144" i="11"/>
  <c r="S142" i="11"/>
  <c r="T149" i="12"/>
  <c r="T30" i="12" s="1"/>
  <c r="Q112" i="11"/>
  <c r="R21" i="11"/>
  <c r="Q97" i="11"/>
  <c r="Q82" i="11"/>
  <c r="Q37" i="11"/>
  <c r="Q45" i="11" s="1"/>
  <c r="N163" i="12"/>
  <c r="N38" i="12"/>
  <c r="N48" i="12" s="1"/>
  <c r="N186" i="12" s="1"/>
  <c r="N187" i="12" s="1"/>
  <c r="O67" i="12"/>
  <c r="N39" i="11"/>
  <c r="P62" i="12"/>
  <c r="O40" i="11"/>
  <c r="O31" i="11"/>
  <c r="Q59" i="12"/>
  <c r="P106" i="11"/>
  <c r="P91" i="11"/>
  <c r="P90" i="11" s="1"/>
  <c r="P76" i="11"/>
  <c r="P32" i="11"/>
  <c r="Q14" i="11"/>
  <c r="P13" i="11"/>
  <c r="P63" i="12"/>
  <c r="O41" i="11"/>
  <c r="P68" i="12" s="1"/>
  <c r="N134" i="12"/>
  <c r="N109" i="12" s="1"/>
  <c r="Q110" i="11"/>
  <c r="R19" i="11"/>
  <c r="Q95" i="11"/>
  <c r="Q80" i="11"/>
  <c r="Q18" i="11"/>
  <c r="Q22" i="11" s="1"/>
  <c r="U139" i="12"/>
  <c r="T181" i="11"/>
  <c r="U142" i="12" s="1"/>
  <c r="Q87" i="12"/>
  <c r="Q101" i="12" s="1"/>
  <c r="R82" i="12"/>
  <c r="M31" i="12"/>
  <c r="M47" i="12"/>
  <c r="M32" i="12"/>
  <c r="Q111" i="11"/>
  <c r="R20" i="11"/>
  <c r="Q96" i="11"/>
  <c r="Q81" i="11"/>
  <c r="N147" i="12"/>
  <c r="N150" i="12" s="1"/>
  <c r="N75" i="12"/>
  <c r="N27" i="12"/>
  <c r="O148" i="12"/>
  <c r="O105" i="12"/>
  <c r="O104" i="12"/>
  <c r="O28" i="12"/>
  <c r="P120" i="12"/>
  <c r="Q80" i="12"/>
  <c r="P85" i="12"/>
  <c r="P99" i="12" s="1"/>
  <c r="O155" i="12"/>
  <c r="O154" i="12"/>
  <c r="O157" i="12"/>
  <c r="O158" i="12"/>
  <c r="O126" i="12"/>
  <c r="O131" i="12" s="1"/>
  <c r="O128" i="12"/>
  <c r="O133" i="12" s="1"/>
  <c r="O125" i="12"/>
  <c r="O130" i="12" s="1"/>
  <c r="O127" i="12"/>
  <c r="O132" i="12" s="1"/>
  <c r="M39" i="12"/>
  <c r="M49" i="12" s="1"/>
  <c r="M176" i="12" s="1"/>
  <c r="M111" i="12"/>
  <c r="M115" i="12" s="1"/>
  <c r="Q150" i="11"/>
  <c r="Q152" i="11"/>
  <c r="L41" i="12"/>
  <c r="L51" i="12" s="1"/>
  <c r="L52" i="12"/>
  <c r="G11" i="18" s="1"/>
  <c r="M52" i="12" l="1"/>
  <c r="H11" i="18" s="1"/>
  <c r="P75" i="11"/>
  <c r="P85" i="11" s="1"/>
  <c r="P86" i="11" s="1"/>
  <c r="N165" i="12"/>
  <c r="N170" i="12" s="1"/>
  <c r="P100" i="11"/>
  <c r="P101" i="11" s="1"/>
  <c r="O134" i="12"/>
  <c r="O109" i="12" s="1"/>
  <c r="O39" i="12" s="1"/>
  <c r="O49" i="12" s="1"/>
  <c r="O176" i="12" s="1"/>
  <c r="O164" i="12"/>
  <c r="O40" i="12" s="1"/>
  <c r="P162" i="12"/>
  <c r="P37" i="12"/>
  <c r="P157" i="12"/>
  <c r="P154" i="12"/>
  <c r="P158" i="12"/>
  <c r="P155" i="12"/>
  <c r="P126" i="12"/>
  <c r="P131" i="12" s="1"/>
  <c r="P128" i="12"/>
  <c r="P133" i="12" s="1"/>
  <c r="P125" i="12"/>
  <c r="P130" i="12" s="1"/>
  <c r="P127" i="12"/>
  <c r="P132" i="12" s="1"/>
  <c r="O163" i="12"/>
  <c r="O38" i="12"/>
  <c r="O48" i="12" s="1"/>
  <c r="O186" i="12" s="1"/>
  <c r="O187" i="12" s="1"/>
  <c r="R111" i="11"/>
  <c r="R96" i="11"/>
  <c r="R81" i="11"/>
  <c r="S20" i="11"/>
  <c r="R87" i="12"/>
  <c r="R101" i="12" s="1"/>
  <c r="S82" i="12"/>
  <c r="U149" i="12"/>
  <c r="U30" i="12" s="1"/>
  <c r="Q79" i="11"/>
  <c r="Q83" i="11" s="1"/>
  <c r="R110" i="11"/>
  <c r="R95" i="11"/>
  <c r="R80" i="11"/>
  <c r="R18" i="11"/>
  <c r="R22" i="11" s="1"/>
  <c r="S19" i="11"/>
  <c r="N39" i="12"/>
  <c r="N49" i="12" s="1"/>
  <c r="N176" i="12" s="1"/>
  <c r="N111" i="12"/>
  <c r="N115" i="12" s="1"/>
  <c r="R59" i="12"/>
  <c r="Q106" i="11"/>
  <c r="R14" i="11"/>
  <c r="Q13" i="11"/>
  <c r="Q91" i="11"/>
  <c r="Q76" i="11"/>
  <c r="Q32" i="11"/>
  <c r="Q70" i="12"/>
  <c r="P105" i="11"/>
  <c r="P115" i="11" s="1"/>
  <c r="P116" i="11" s="1"/>
  <c r="P67" i="12"/>
  <c r="O39" i="11"/>
  <c r="T142" i="11"/>
  <c r="S147" i="11"/>
  <c r="S146" i="11"/>
  <c r="S145" i="11"/>
  <c r="S144" i="11"/>
  <c r="R150" i="11"/>
  <c r="R152" i="11"/>
  <c r="N42" i="12"/>
  <c r="N50" i="12"/>
  <c r="N177" i="12" s="1"/>
  <c r="Q63" i="12"/>
  <c r="P41" i="11"/>
  <c r="Q68" i="12" s="1"/>
  <c r="P148" i="12"/>
  <c r="P105" i="12"/>
  <c r="P104" i="12"/>
  <c r="P28" i="12"/>
  <c r="Q120" i="12"/>
  <c r="Q85" i="12"/>
  <c r="Q99" i="12" s="1"/>
  <c r="R80" i="12"/>
  <c r="N47" i="12"/>
  <c r="N31" i="12"/>
  <c r="N32" i="12"/>
  <c r="Q94" i="11"/>
  <c r="Q98" i="11" s="1"/>
  <c r="Q109" i="11"/>
  <c r="Q113" i="11" s="1"/>
  <c r="P16" i="11"/>
  <c r="P24" i="11"/>
  <c r="P25" i="11" s="1"/>
  <c r="P36" i="11"/>
  <c r="P44" i="11" s="1"/>
  <c r="P35" i="11"/>
  <c r="P43" i="11" s="1"/>
  <c r="Q62" i="12"/>
  <c r="P40" i="11"/>
  <c r="P31" i="11"/>
  <c r="O147" i="12"/>
  <c r="O150" i="12" s="1"/>
  <c r="O75" i="12"/>
  <c r="O27" i="12"/>
  <c r="M41" i="12"/>
  <c r="M51" i="12" s="1"/>
  <c r="R112" i="11"/>
  <c r="R97" i="11"/>
  <c r="R82" i="11"/>
  <c r="R37" i="11"/>
  <c r="R45" i="11" s="1"/>
  <c r="S21" i="11"/>
  <c r="R149" i="11"/>
  <c r="R151" i="11"/>
  <c r="Q153" i="11"/>
  <c r="R73" i="12" s="1"/>
  <c r="R29" i="12" s="1"/>
  <c r="R60" i="12"/>
  <c r="Q107" i="11"/>
  <c r="R71" i="12" s="1"/>
  <c r="Q92" i="11"/>
  <c r="Q77" i="11"/>
  <c r="Q33" i="11"/>
  <c r="R15" i="11"/>
  <c r="Q107" i="12"/>
  <c r="Q106" i="12"/>
  <c r="O111" i="12" l="1"/>
  <c r="O115" i="12" s="1"/>
  <c r="N52" i="12"/>
  <c r="I11" i="18" s="1"/>
  <c r="O41" i="12"/>
  <c r="O42" i="12"/>
  <c r="O50" i="12"/>
  <c r="O177" i="12" s="1"/>
  <c r="P134" i="12"/>
  <c r="P109" i="12" s="1"/>
  <c r="P39" i="12" s="1"/>
  <c r="P49" i="12" s="1"/>
  <c r="P176" i="12" s="1"/>
  <c r="O165" i="12"/>
  <c r="O170" i="12" s="1"/>
  <c r="S60" i="12"/>
  <c r="R107" i="11"/>
  <c r="S71" i="12" s="1"/>
  <c r="R92" i="11"/>
  <c r="R77" i="11"/>
  <c r="R33" i="11"/>
  <c r="S15" i="11"/>
  <c r="R107" i="12"/>
  <c r="R106" i="12"/>
  <c r="R153" i="11"/>
  <c r="S73" i="12" s="1"/>
  <c r="S29" i="12" s="1"/>
  <c r="S112" i="11"/>
  <c r="T21" i="11"/>
  <c r="S97" i="11"/>
  <c r="S82" i="11"/>
  <c r="S37" i="11"/>
  <c r="S45" i="11" s="1"/>
  <c r="O31" i="12"/>
  <c r="O47" i="12"/>
  <c r="O32" i="12"/>
  <c r="O52" i="12" s="1"/>
  <c r="J11" i="18" s="1"/>
  <c r="Q67" i="12"/>
  <c r="P39" i="11"/>
  <c r="Q162" i="12"/>
  <c r="Q37" i="12"/>
  <c r="P163" i="12"/>
  <c r="P38" i="12"/>
  <c r="S150" i="11"/>
  <c r="S152" i="11"/>
  <c r="R62" i="12"/>
  <c r="Q40" i="11"/>
  <c r="Q31" i="11"/>
  <c r="Q90" i="11"/>
  <c r="Q100" i="11" s="1"/>
  <c r="Q101" i="11" s="1"/>
  <c r="S59" i="12"/>
  <c r="R106" i="11"/>
  <c r="R91" i="11"/>
  <c r="R76" i="11"/>
  <c r="R32" i="11"/>
  <c r="S14" i="11"/>
  <c r="R13" i="11"/>
  <c r="R94" i="11"/>
  <c r="R98" i="11" s="1"/>
  <c r="R63" i="12"/>
  <c r="Q41" i="11"/>
  <c r="R68" i="12" s="1"/>
  <c r="R120" i="12"/>
  <c r="S80" i="12"/>
  <c r="R85" i="12"/>
  <c r="R99" i="12" s="1"/>
  <c r="Q158" i="12"/>
  <c r="Q154" i="12"/>
  <c r="Q157" i="12"/>
  <c r="Q155" i="12"/>
  <c r="Q126" i="12"/>
  <c r="Q131" i="12" s="1"/>
  <c r="Q128" i="12"/>
  <c r="Q133" i="12" s="1"/>
  <c r="Q125" i="12"/>
  <c r="Q130" i="12" s="1"/>
  <c r="Q127" i="12"/>
  <c r="Q132" i="12" s="1"/>
  <c r="P48" i="12"/>
  <c r="P186" i="12" s="1"/>
  <c r="P187" i="12" s="1"/>
  <c r="S149" i="11"/>
  <c r="S151" i="11"/>
  <c r="T147" i="11"/>
  <c r="T146" i="11"/>
  <c r="T145" i="11"/>
  <c r="T144" i="11"/>
  <c r="P147" i="12"/>
  <c r="P150" i="12" s="1"/>
  <c r="P75" i="12"/>
  <c r="P27" i="12"/>
  <c r="Q148" i="12"/>
  <c r="Q105" i="12"/>
  <c r="Q104" i="12"/>
  <c r="Q28" i="12"/>
  <c r="Q75" i="11"/>
  <c r="Q85" i="11" s="1"/>
  <c r="Q86" i="11" s="1"/>
  <c r="Q24" i="11"/>
  <c r="Q25" i="11" s="1"/>
  <c r="Q16" i="11"/>
  <c r="Q36" i="11"/>
  <c r="Q44" i="11" s="1"/>
  <c r="Q35" i="11"/>
  <c r="Q43" i="11" s="1"/>
  <c r="R70" i="12"/>
  <c r="Q105" i="11"/>
  <c r="Q115" i="11" s="1"/>
  <c r="Q116" i="11" s="1"/>
  <c r="S110" i="11"/>
  <c r="T19" i="11"/>
  <c r="S95" i="11"/>
  <c r="S80" i="11"/>
  <c r="S18" i="11"/>
  <c r="S22" i="11" s="1"/>
  <c r="R79" i="11"/>
  <c r="R83" i="11" s="1"/>
  <c r="R109" i="11"/>
  <c r="R113" i="11" s="1"/>
  <c r="S87" i="12"/>
  <c r="S101" i="12" s="1"/>
  <c r="T82" i="12"/>
  <c r="S111" i="11"/>
  <c r="T20" i="11"/>
  <c r="S96" i="11"/>
  <c r="S81" i="11"/>
  <c r="P164" i="12"/>
  <c r="P40" i="12" s="1"/>
  <c r="N41" i="12"/>
  <c r="N51" i="12" s="1"/>
  <c r="R75" i="11" l="1"/>
  <c r="R90" i="11"/>
  <c r="R100" i="11" s="1"/>
  <c r="R101" i="11" s="1"/>
  <c r="O51" i="12"/>
  <c r="P41" i="12"/>
  <c r="P111" i="12"/>
  <c r="P115" i="12" s="1"/>
  <c r="Q164" i="12"/>
  <c r="Q40" i="12" s="1"/>
  <c r="Q50" i="12" s="1"/>
  <c r="Q177" i="12" s="1"/>
  <c r="T111" i="11"/>
  <c r="T96" i="11"/>
  <c r="T81" i="11"/>
  <c r="T87" i="12"/>
  <c r="T101" i="12" s="1"/>
  <c r="U82" i="12"/>
  <c r="U87" i="12" s="1"/>
  <c r="U101" i="12" s="1"/>
  <c r="S94" i="11"/>
  <c r="S98" i="11" s="1"/>
  <c r="S109" i="11"/>
  <c r="S113" i="11" s="1"/>
  <c r="R148" i="12"/>
  <c r="R105" i="12"/>
  <c r="R104" i="12"/>
  <c r="R28" i="12"/>
  <c r="P47" i="12"/>
  <c r="P31" i="12"/>
  <c r="P32" i="12"/>
  <c r="T150" i="11"/>
  <c r="T152" i="11"/>
  <c r="R162" i="12"/>
  <c r="R37" i="12"/>
  <c r="R157" i="12"/>
  <c r="R154" i="12"/>
  <c r="R158" i="12"/>
  <c r="R155" i="12"/>
  <c r="R125" i="12"/>
  <c r="R130" i="12" s="1"/>
  <c r="R127" i="12"/>
  <c r="R132" i="12" s="1"/>
  <c r="R126" i="12"/>
  <c r="R131" i="12" s="1"/>
  <c r="R128" i="12"/>
  <c r="R133" i="12" s="1"/>
  <c r="P165" i="12"/>
  <c r="P170" i="12" s="1"/>
  <c r="T59" i="12"/>
  <c r="S106" i="11"/>
  <c r="T14" i="11"/>
  <c r="S13" i="11"/>
  <c r="S91" i="11"/>
  <c r="S76" i="11"/>
  <c r="S32" i="11"/>
  <c r="R85" i="11"/>
  <c r="R86" i="11" s="1"/>
  <c r="S70" i="12"/>
  <c r="R105" i="11"/>
  <c r="R115" i="11" s="1"/>
  <c r="R116" i="11" s="1"/>
  <c r="R67" i="12"/>
  <c r="Q39" i="11"/>
  <c r="T60" i="12"/>
  <c r="S107" i="11"/>
  <c r="T71" i="12" s="1"/>
  <c r="S92" i="11"/>
  <c r="S77" i="11"/>
  <c r="S33" i="11"/>
  <c r="T15" i="11"/>
  <c r="S107" i="12"/>
  <c r="S106" i="12"/>
  <c r="P42" i="12"/>
  <c r="P50" i="12"/>
  <c r="P177" i="12" s="1"/>
  <c r="S79" i="11"/>
  <c r="S83" i="11" s="1"/>
  <c r="T110" i="11"/>
  <c r="T95" i="11"/>
  <c r="T80" i="11"/>
  <c r="T18" i="11"/>
  <c r="T22" i="11" s="1"/>
  <c r="Q163" i="12"/>
  <c r="Q38" i="12"/>
  <c r="Q42" i="12" s="1"/>
  <c r="T149" i="11"/>
  <c r="T151" i="11"/>
  <c r="S153" i="11"/>
  <c r="T73" i="12" s="1"/>
  <c r="T29" i="12" s="1"/>
  <c r="Q134" i="12"/>
  <c r="Q109" i="12" s="1"/>
  <c r="Q39" i="12" s="1"/>
  <c r="Q49" i="12" s="1"/>
  <c r="Q176" i="12" s="1"/>
  <c r="S120" i="12"/>
  <c r="S85" i="12"/>
  <c r="S99" i="12" s="1"/>
  <c r="T80" i="12"/>
  <c r="R16" i="11"/>
  <c r="R24" i="11"/>
  <c r="R25" i="11" s="1"/>
  <c r="R36" i="11"/>
  <c r="R44" i="11" s="1"/>
  <c r="R35" i="11"/>
  <c r="R43" i="11" s="1"/>
  <c r="S62" i="12"/>
  <c r="R40" i="11"/>
  <c r="R31" i="11"/>
  <c r="Q147" i="12"/>
  <c r="Q150" i="12" s="1"/>
  <c r="Q75" i="12"/>
  <c r="Q27" i="12"/>
  <c r="T112" i="11"/>
  <c r="T97" i="11"/>
  <c r="T82" i="11"/>
  <c r="T37" i="11"/>
  <c r="T45" i="11" s="1"/>
  <c r="S63" i="12"/>
  <c r="R41" i="11"/>
  <c r="S68" i="12" s="1"/>
  <c r="Q111" i="12" l="1"/>
  <c r="Q115" i="12" s="1"/>
  <c r="Q165" i="12"/>
  <c r="Q170" i="12" s="1"/>
  <c r="P51" i="12"/>
  <c r="Q41" i="12"/>
  <c r="S162" i="12"/>
  <c r="S37" i="12"/>
  <c r="T153" i="11"/>
  <c r="U73" i="12" s="1"/>
  <c r="U29" i="12" s="1"/>
  <c r="T79" i="11"/>
  <c r="T83" i="11" s="1"/>
  <c r="T109" i="11"/>
  <c r="T113" i="11" s="1"/>
  <c r="U60" i="12"/>
  <c r="T107" i="11"/>
  <c r="U71" i="12" s="1"/>
  <c r="T92" i="11"/>
  <c r="T77" i="11"/>
  <c r="T33" i="11"/>
  <c r="T107" i="12"/>
  <c r="T106" i="12"/>
  <c r="S75" i="11"/>
  <c r="S85" i="11" s="1"/>
  <c r="S86" i="11" s="1"/>
  <c r="S24" i="11"/>
  <c r="S25" i="11" s="1"/>
  <c r="S16" i="11"/>
  <c r="S36" i="11"/>
  <c r="S44" i="11" s="1"/>
  <c r="S35" i="11"/>
  <c r="S43" i="11" s="1"/>
  <c r="T70" i="12"/>
  <c r="S105" i="11"/>
  <c r="S115" i="11" s="1"/>
  <c r="S116" i="11" s="1"/>
  <c r="R134" i="12"/>
  <c r="R109" i="12" s="1"/>
  <c r="R164" i="12"/>
  <c r="R40" i="12" s="1"/>
  <c r="Q48" i="12"/>
  <c r="Q186" i="12" s="1"/>
  <c r="Q187" i="12" s="1"/>
  <c r="R163" i="12"/>
  <c r="R38" i="12"/>
  <c r="R48" i="12" s="1"/>
  <c r="R186" i="12" s="1"/>
  <c r="R187" i="12" s="1"/>
  <c r="Q31" i="12"/>
  <c r="Q47" i="12"/>
  <c r="Q32" i="12"/>
  <c r="Q52" i="12" s="1"/>
  <c r="L11" i="18" s="1"/>
  <c r="S67" i="12"/>
  <c r="R39" i="11"/>
  <c r="T120" i="12"/>
  <c r="U80" i="12"/>
  <c r="T85" i="12"/>
  <c r="T99" i="12" s="1"/>
  <c r="S155" i="12"/>
  <c r="S154" i="12"/>
  <c r="S158" i="12"/>
  <c r="S157" i="12"/>
  <c r="S125" i="12"/>
  <c r="S130" i="12" s="1"/>
  <c r="S127" i="12"/>
  <c r="S132" i="12" s="1"/>
  <c r="S126" i="12"/>
  <c r="S131" i="12" s="1"/>
  <c r="S128" i="12"/>
  <c r="S133" i="12" s="1"/>
  <c r="T94" i="11"/>
  <c r="T98" i="11" s="1"/>
  <c r="T63" i="12"/>
  <c r="S41" i="11"/>
  <c r="T68" i="12" s="1"/>
  <c r="R147" i="12"/>
  <c r="R150" i="12" s="1"/>
  <c r="R75" i="12"/>
  <c r="R27" i="12"/>
  <c r="S148" i="12"/>
  <c r="S105" i="12"/>
  <c r="S104" i="12"/>
  <c r="S28" i="12"/>
  <c r="T62" i="12"/>
  <c r="S40" i="11"/>
  <c r="S31" i="11"/>
  <c r="S90" i="11"/>
  <c r="S100" i="11" s="1"/>
  <c r="S101" i="11" s="1"/>
  <c r="U59" i="12"/>
  <c r="T106" i="11"/>
  <c r="T91" i="11"/>
  <c r="T76" i="11"/>
  <c r="T32" i="11"/>
  <c r="T13" i="11"/>
  <c r="P52" i="12"/>
  <c r="K11" i="18" s="1"/>
  <c r="T90" i="11" l="1"/>
  <c r="T100" i="11" s="1"/>
  <c r="T101" i="11" s="1"/>
  <c r="T75" i="11"/>
  <c r="T85" i="11" s="1"/>
  <c r="T86" i="11" s="1"/>
  <c r="Q51" i="12"/>
  <c r="S164" i="12"/>
  <c r="S40" i="12" s="1"/>
  <c r="S50" i="12" s="1"/>
  <c r="R165" i="12"/>
  <c r="R170" i="12" s="1"/>
  <c r="T16" i="11"/>
  <c r="T24" i="11"/>
  <c r="T25" i="11" s="1"/>
  <c r="T36" i="11"/>
  <c r="T44" i="11" s="1"/>
  <c r="T35" i="11"/>
  <c r="T43" i="11" s="1"/>
  <c r="U70" i="12"/>
  <c r="T105" i="11"/>
  <c r="T115" i="11" s="1"/>
  <c r="T116" i="11" s="1"/>
  <c r="T67" i="12"/>
  <c r="S39" i="11"/>
  <c r="R47" i="12"/>
  <c r="R31" i="12"/>
  <c r="R32" i="12"/>
  <c r="S134" i="12"/>
  <c r="S109" i="12" s="1"/>
  <c r="S39" i="12" s="1"/>
  <c r="S49" i="12" s="1"/>
  <c r="U120" i="12"/>
  <c r="U85" i="12"/>
  <c r="U99" i="12" s="1"/>
  <c r="R39" i="12"/>
  <c r="R111" i="12"/>
  <c r="R115" i="12" s="1"/>
  <c r="T148" i="12"/>
  <c r="T105" i="12"/>
  <c r="T104" i="12"/>
  <c r="T28" i="12"/>
  <c r="U63" i="12"/>
  <c r="T41" i="11"/>
  <c r="U68" i="12" s="1"/>
  <c r="U62" i="12"/>
  <c r="T40" i="11"/>
  <c r="T31" i="11"/>
  <c r="S163" i="12"/>
  <c r="S38" i="12"/>
  <c r="S48" i="12" s="1"/>
  <c r="T162" i="12"/>
  <c r="T37" i="12"/>
  <c r="T158" i="12"/>
  <c r="T155" i="12"/>
  <c r="T157" i="12"/>
  <c r="T154" i="12"/>
  <c r="T126" i="12"/>
  <c r="T131" i="12" s="1"/>
  <c r="T128" i="12"/>
  <c r="T133" i="12" s="1"/>
  <c r="T125" i="12"/>
  <c r="T130" i="12" s="1"/>
  <c r="T127" i="12"/>
  <c r="T132" i="12" s="1"/>
  <c r="S147" i="12"/>
  <c r="S150" i="12" s="1"/>
  <c r="S75" i="12"/>
  <c r="S27" i="12"/>
  <c r="R42" i="12"/>
  <c r="R50" i="12"/>
  <c r="R177" i="12" s="1"/>
  <c r="U107" i="12"/>
  <c r="U106" i="12"/>
  <c r="S165" i="12" l="1"/>
  <c r="S170" i="12" s="1"/>
  <c r="T164" i="12"/>
  <c r="T40" i="12" s="1"/>
  <c r="T50" i="12" s="1"/>
  <c r="T134" i="12"/>
  <c r="T109" i="12" s="1"/>
  <c r="T39" i="12" s="1"/>
  <c r="T49" i="12" s="1"/>
  <c r="S42" i="12"/>
  <c r="S41" i="12"/>
  <c r="S31" i="12"/>
  <c r="S47" i="12"/>
  <c r="S185" i="12" s="1"/>
  <c r="S187" i="12" s="1"/>
  <c r="S32" i="12"/>
  <c r="S52" i="12" s="1"/>
  <c r="N11" i="18" s="1"/>
  <c r="T163" i="12"/>
  <c r="T38" i="12"/>
  <c r="R49" i="12"/>
  <c r="R176" i="12" s="1"/>
  <c r="R41" i="12"/>
  <c r="R51" i="12" s="1"/>
  <c r="U155" i="12"/>
  <c r="U158" i="12"/>
  <c r="U157" i="12"/>
  <c r="U154" i="12"/>
  <c r="U126" i="12"/>
  <c r="U131" i="12" s="1"/>
  <c r="U128" i="12"/>
  <c r="U133" i="12" s="1"/>
  <c r="U125" i="12"/>
  <c r="U130" i="12" s="1"/>
  <c r="U127" i="12"/>
  <c r="U132" i="12" s="1"/>
  <c r="T147" i="12"/>
  <c r="T150" i="12" s="1"/>
  <c r="T75" i="12"/>
  <c r="T27" i="12"/>
  <c r="U148" i="12"/>
  <c r="U105" i="12"/>
  <c r="U104" i="12"/>
  <c r="U28" i="12"/>
  <c r="K181" i="12"/>
  <c r="H181" i="12"/>
  <c r="G181" i="12"/>
  <c r="J181" i="12"/>
  <c r="I181" i="12"/>
  <c r="U67" i="12"/>
  <c r="T39" i="11"/>
  <c r="U162" i="12"/>
  <c r="U37" i="12"/>
  <c r="R52" i="12"/>
  <c r="M11" i="18" s="1"/>
  <c r="S111" i="12"/>
  <c r="S115" i="12" s="1"/>
  <c r="T41" i="12" l="1"/>
  <c r="T165" i="12"/>
  <c r="T170" i="12" s="1"/>
  <c r="T42" i="12"/>
  <c r="S51" i="12"/>
  <c r="T111" i="12"/>
  <c r="T115" i="12" s="1"/>
  <c r="T48" i="12"/>
  <c r="U134" i="12"/>
  <c r="U109" i="12" s="1"/>
  <c r="U39" i="12" s="1"/>
  <c r="U49" i="12" s="1"/>
  <c r="U164" i="12"/>
  <c r="U40" i="12" s="1"/>
  <c r="U50" i="12" s="1"/>
  <c r="T47" i="12"/>
  <c r="T31" i="12"/>
  <c r="T32" i="12"/>
  <c r="T52" i="12" s="1"/>
  <c r="O11" i="18" s="1"/>
  <c r="J190" i="12"/>
  <c r="G190" i="12"/>
  <c r="K190" i="12"/>
  <c r="H190" i="12"/>
  <c r="I190" i="12"/>
  <c r="U147" i="12"/>
  <c r="U150" i="12" s="1"/>
  <c r="U75" i="12"/>
  <c r="U27" i="12"/>
  <c r="U163" i="12"/>
  <c r="U38" i="12"/>
  <c r="J180" i="12"/>
  <c r="H180" i="12"/>
  <c r="K180" i="12"/>
  <c r="I180" i="12"/>
  <c r="G180" i="12"/>
  <c r="D72" i="5"/>
  <c r="I44" i="5" s="1"/>
  <c r="C51" i="9"/>
  <c r="D49" i="9" s="1"/>
  <c r="T51" i="12" l="1"/>
  <c r="U41" i="12"/>
  <c r="U42" i="12"/>
  <c r="U111" i="12"/>
  <c r="U115" i="12" s="1"/>
  <c r="E116" i="12" s="1"/>
  <c r="U165" i="12"/>
  <c r="U170" i="12" s="1"/>
  <c r="E171" i="12" s="1"/>
  <c r="U31" i="12"/>
  <c r="U47" i="12"/>
  <c r="U32" i="12"/>
  <c r="U48" i="12"/>
  <c r="D50" i="9"/>
  <c r="D48" i="9"/>
  <c r="G44" i="5"/>
  <c r="H44" i="5"/>
  <c r="D71" i="5"/>
  <c r="U51" i="12" l="1"/>
  <c r="G51" i="12" s="1"/>
  <c r="U52" i="12"/>
  <c r="G52" i="12" s="1"/>
  <c r="C17" i="18" s="1"/>
  <c r="D51" i="9"/>
  <c r="C16" i="9"/>
  <c r="C15" i="9"/>
  <c r="F17" i="10"/>
  <c r="G17" i="10" s="1"/>
  <c r="G18" i="10"/>
  <c r="M41" i="9"/>
  <c r="K41" i="9"/>
  <c r="F41" i="9"/>
  <c r="M40" i="9"/>
  <c r="K40" i="9"/>
  <c r="F40" i="9"/>
  <c r="M39" i="9"/>
  <c r="K39" i="9"/>
  <c r="F39" i="9"/>
  <c r="C7" i="9"/>
  <c r="F34" i="9"/>
  <c r="E34" i="9" s="1"/>
  <c r="D34" i="9" s="1"/>
  <c r="C34" i="9" s="1"/>
  <c r="D74" i="8" s="1"/>
  <c r="E74" i="8" s="1"/>
  <c r="D47" i="8" s="1"/>
  <c r="G16" i="10"/>
  <c r="H13" i="10"/>
  <c r="G30" i="9"/>
  <c r="F30" i="9"/>
  <c r="E30" i="9"/>
  <c r="D30" i="9"/>
  <c r="C30" i="9"/>
  <c r="G74" i="8"/>
  <c r="D69" i="8"/>
  <c r="D50" i="8" s="1"/>
  <c r="C18" i="8" s="1"/>
  <c r="G59" i="8"/>
  <c r="G60" i="8" s="1"/>
  <c r="F59" i="8"/>
  <c r="F60" i="8" s="1"/>
  <c r="E59" i="8"/>
  <c r="E60" i="8" s="1"/>
  <c r="D59" i="8"/>
  <c r="D60" i="8" s="1"/>
  <c r="D49" i="8"/>
  <c r="D7" i="8" s="1"/>
  <c r="D48" i="8"/>
  <c r="C9" i="8"/>
  <c r="D37" i="7"/>
  <c r="D22" i="7"/>
  <c r="P16" i="7"/>
  <c r="K16" i="7"/>
  <c r="F16" i="7"/>
  <c r="B16" i="7"/>
  <c r="Q15" i="7"/>
  <c r="R15" i="7" s="1"/>
  <c r="S15" i="7" s="1"/>
  <c r="L15" i="7"/>
  <c r="M15" i="7" s="1"/>
  <c r="N15" i="7" s="1"/>
  <c r="O15" i="7" s="1"/>
  <c r="G15" i="7"/>
  <c r="H15" i="7" s="1"/>
  <c r="I15" i="7" s="1"/>
  <c r="J15" i="7" s="1"/>
  <c r="C15" i="7"/>
  <c r="D15" i="7" s="1"/>
  <c r="E15" i="7" s="1"/>
  <c r="Q14" i="7"/>
  <c r="R14" i="7" s="1"/>
  <c r="S14" i="7" s="1"/>
  <c r="L14" i="7"/>
  <c r="M14" i="7" s="1"/>
  <c r="N14" i="7" s="1"/>
  <c r="O14" i="7" s="1"/>
  <c r="G14" i="7"/>
  <c r="H14" i="7" s="1"/>
  <c r="I14" i="7" s="1"/>
  <c r="J14" i="7" s="1"/>
  <c r="C14" i="7"/>
  <c r="D14" i="7" s="1"/>
  <c r="E14" i="7" s="1"/>
  <c r="Q13" i="7"/>
  <c r="R13" i="7" s="1"/>
  <c r="S13" i="7" s="1"/>
  <c r="L13" i="7"/>
  <c r="M13" i="7" s="1"/>
  <c r="N13" i="7" s="1"/>
  <c r="O13" i="7" s="1"/>
  <c r="G13" i="7"/>
  <c r="H13" i="7" s="1"/>
  <c r="I13" i="7" s="1"/>
  <c r="J13" i="7" s="1"/>
  <c r="C13" i="7"/>
  <c r="D13" i="7" s="1"/>
  <c r="E13" i="7" s="1"/>
  <c r="Q12" i="7"/>
  <c r="R12" i="7" s="1"/>
  <c r="L12" i="7"/>
  <c r="L16" i="7" s="1"/>
  <c r="G12" i="7"/>
  <c r="H12" i="7" s="1"/>
  <c r="C12" i="7"/>
  <c r="C16" i="7" s="1"/>
  <c r="B32" i="6"/>
  <c r="B31" i="6"/>
  <c r="D70" i="5"/>
  <c r="D69" i="5"/>
  <c r="D68" i="5"/>
  <c r="D67" i="5"/>
  <c r="S48" i="5" s="1"/>
  <c r="S58" i="5" s="1"/>
  <c r="D64" i="5"/>
  <c r="D63" i="5"/>
  <c r="D62" i="5"/>
  <c r="E39" i="5"/>
  <c r="E22" i="7" s="1"/>
  <c r="C13" i="5"/>
  <c r="D12" i="5"/>
  <c r="D33" i="5" s="1"/>
  <c r="D11" i="5"/>
  <c r="D10" i="5"/>
  <c r="P11" i="18" l="1"/>
  <c r="C21" i="18" s="1"/>
  <c r="C11" i="7"/>
  <c r="B33" i="6"/>
  <c r="E41" i="9" s="1"/>
  <c r="G41" i="9" s="1"/>
  <c r="C21" i="9"/>
  <c r="D66" i="5" s="1"/>
  <c r="C20" i="9"/>
  <c r="D65" i="5" s="1"/>
  <c r="N39" i="9"/>
  <c r="B34" i="6" s="1"/>
  <c r="B10" i="6" s="1"/>
  <c r="N41" i="9"/>
  <c r="N40" i="9"/>
  <c r="B35" i="6" s="1"/>
  <c r="B11" i="6" s="1"/>
  <c r="F39" i="5"/>
  <c r="F22" i="7" s="1"/>
  <c r="G52" i="5"/>
  <c r="D13" i="10" s="1"/>
  <c r="C19" i="4" s="1"/>
  <c r="G48" i="5"/>
  <c r="G58" i="5" s="1"/>
  <c r="I52" i="5"/>
  <c r="F13" i="10" s="1"/>
  <c r="E19" i="4" s="1"/>
  <c r="I48" i="5"/>
  <c r="I58" i="5" s="1"/>
  <c r="L52" i="5"/>
  <c r="P52" i="5"/>
  <c r="D52" i="5"/>
  <c r="J48" i="5"/>
  <c r="J58" i="5" s="1"/>
  <c r="N48" i="5"/>
  <c r="N58" i="5" s="1"/>
  <c r="R48" i="5"/>
  <c r="R58" i="5" s="1"/>
  <c r="E52" i="5"/>
  <c r="B13" i="10" s="1"/>
  <c r="M52" i="5"/>
  <c r="Q52" i="5"/>
  <c r="E48" i="5"/>
  <c r="M48" i="5"/>
  <c r="M58" i="5" s="1"/>
  <c r="Q48" i="5"/>
  <c r="Q58" i="5" s="1"/>
  <c r="F52" i="5"/>
  <c r="C13" i="10" s="1"/>
  <c r="B19" i="4" s="1"/>
  <c r="H52" i="5"/>
  <c r="E13" i="10" s="1"/>
  <c r="D19" i="4" s="1"/>
  <c r="H48" i="5"/>
  <c r="H58" i="5" s="1"/>
  <c r="J52" i="5"/>
  <c r="N52" i="5"/>
  <c r="R52" i="5"/>
  <c r="F48" i="5"/>
  <c r="F58" i="5" s="1"/>
  <c r="L48" i="5"/>
  <c r="L58" i="5" s="1"/>
  <c r="P48" i="5"/>
  <c r="P58" i="5" s="1"/>
  <c r="D48" i="5"/>
  <c r="D58" i="5" s="1"/>
  <c r="K52" i="5"/>
  <c r="O52" i="5"/>
  <c r="S52" i="5"/>
  <c r="K48" i="5"/>
  <c r="K58" i="5" s="1"/>
  <c r="O48" i="5"/>
  <c r="O58" i="5" s="1"/>
  <c r="C14" i="8"/>
  <c r="B36" i="6"/>
  <c r="B12" i="6" s="1"/>
  <c r="B21" i="6" s="1"/>
  <c r="J40" i="9"/>
  <c r="L40" i="9" s="1"/>
  <c r="E39" i="9"/>
  <c r="G39" i="9" s="1"/>
  <c r="E10" i="5"/>
  <c r="F10" i="5" s="1"/>
  <c r="E12" i="5"/>
  <c r="F12" i="5" s="1"/>
  <c r="E11" i="5"/>
  <c r="E32" i="5" s="1"/>
  <c r="C8" i="9"/>
  <c r="H74" i="8"/>
  <c r="D45" i="8" s="1"/>
  <c r="E62" i="8"/>
  <c r="G62" i="8"/>
  <c r="D18" i="8"/>
  <c r="D9" i="8"/>
  <c r="E7" i="8"/>
  <c r="E18" i="8" s="1"/>
  <c r="H16" i="7"/>
  <c r="I12" i="7"/>
  <c r="R16" i="7"/>
  <c r="S12" i="7"/>
  <c r="D13" i="5"/>
  <c r="D29" i="5" s="1"/>
  <c r="D31" i="5"/>
  <c r="D32" i="5"/>
  <c r="D12" i="7"/>
  <c r="G16" i="7"/>
  <c r="Q16" i="7"/>
  <c r="C19" i="8"/>
  <c r="M12" i="7"/>
  <c r="D14" i="8"/>
  <c r="F11" i="5" l="1"/>
  <c r="F32" i="5" s="1"/>
  <c r="F7" i="8"/>
  <c r="G7" i="8" s="1"/>
  <c r="E33" i="5"/>
  <c r="E31" i="5"/>
  <c r="C15" i="8"/>
  <c r="C21" i="8" s="1"/>
  <c r="D12" i="6"/>
  <c r="E40" i="9"/>
  <c r="G40" i="9" s="1"/>
  <c r="J39" i="9"/>
  <c r="L39" i="9" s="1"/>
  <c r="C12" i="6"/>
  <c r="J41" i="9"/>
  <c r="L41" i="9" s="1"/>
  <c r="Q19" i="4"/>
  <c r="C11" i="6"/>
  <c r="C20" i="6" s="1"/>
  <c r="D10" i="6"/>
  <c r="G39" i="5"/>
  <c r="G22" i="7" s="1"/>
  <c r="E13" i="5"/>
  <c r="E29" i="5" s="1"/>
  <c r="C10" i="6"/>
  <c r="B20" i="6"/>
  <c r="B19" i="6"/>
  <c r="B8" i="10"/>
  <c r="E58" i="5"/>
  <c r="F8" i="10"/>
  <c r="D8" i="10"/>
  <c r="C8" i="10"/>
  <c r="E8" i="10"/>
  <c r="C6" i="9"/>
  <c r="B13" i="6"/>
  <c r="E9" i="8"/>
  <c r="E19" i="8" s="1"/>
  <c r="E14" i="8"/>
  <c r="E15" i="8" s="1"/>
  <c r="D19" i="8"/>
  <c r="D15" i="8"/>
  <c r="M16" i="7"/>
  <c r="N12" i="7"/>
  <c r="F33" i="5"/>
  <c r="G12" i="5"/>
  <c r="E12" i="6" s="1"/>
  <c r="F31" i="5"/>
  <c r="F13" i="5"/>
  <c r="F29" i="5" s="1"/>
  <c r="G10" i="5"/>
  <c r="E10" i="6" s="1"/>
  <c r="S16" i="7"/>
  <c r="D34" i="5"/>
  <c r="D21" i="7" s="1"/>
  <c r="D16" i="7"/>
  <c r="E12" i="7"/>
  <c r="D8" i="7"/>
  <c r="D17" i="5"/>
  <c r="D43" i="5" s="1"/>
  <c r="D16" i="5"/>
  <c r="J12" i="7"/>
  <c r="I16" i="7"/>
  <c r="G11" i="5" l="1"/>
  <c r="E11" i="6" s="1"/>
  <c r="D11" i="6"/>
  <c r="D20" i="6" s="1"/>
  <c r="E16" i="5"/>
  <c r="E8" i="7"/>
  <c r="E34" i="5"/>
  <c r="E21" i="7" s="1"/>
  <c r="C19" i="6"/>
  <c r="C22" i="6" s="1"/>
  <c r="C26" i="6" s="1"/>
  <c r="C21" i="6"/>
  <c r="F9" i="8"/>
  <c r="F14" i="8"/>
  <c r="F15" i="8" s="1"/>
  <c r="F18" i="8"/>
  <c r="C13" i="6"/>
  <c r="E17" i="5"/>
  <c r="E43" i="5" s="1"/>
  <c r="E51" i="5" s="1"/>
  <c r="H39" i="5"/>
  <c r="H22" i="7" s="1"/>
  <c r="D21" i="8"/>
  <c r="B9" i="4" s="1"/>
  <c r="Q17" i="4"/>
  <c r="E21" i="8"/>
  <c r="C9" i="4" s="1"/>
  <c r="G13" i="10"/>
  <c r="G8" i="10"/>
  <c r="D18" i="5"/>
  <c r="J16" i="7"/>
  <c r="D51" i="5"/>
  <c r="D22" i="5"/>
  <c r="E42" i="5"/>
  <c r="E21" i="5"/>
  <c r="D9" i="7"/>
  <c r="D23" i="7" s="1"/>
  <c r="D24" i="7" s="1"/>
  <c r="H10" i="5"/>
  <c r="F10" i="6" s="1"/>
  <c r="H12" i="5"/>
  <c r="F12" i="6" s="1"/>
  <c r="N16" i="7"/>
  <c r="O12" i="7"/>
  <c r="G18" i="8"/>
  <c r="G9" i="8"/>
  <c r="H7" i="8"/>
  <c r="G14" i="8"/>
  <c r="F34" i="5"/>
  <c r="F21" i="7" s="1"/>
  <c r="D21" i="6"/>
  <c r="D42" i="5"/>
  <c r="D45" i="5" s="1"/>
  <c r="D21" i="5"/>
  <c r="E16" i="7"/>
  <c r="F8" i="7"/>
  <c r="F9" i="7" s="1"/>
  <c r="F23" i="7" s="1"/>
  <c r="F24" i="7" s="1"/>
  <c r="F17" i="5"/>
  <c r="F43" i="5" s="1"/>
  <c r="F16" i="5"/>
  <c r="D19" i="6"/>
  <c r="B22" i="6"/>
  <c r="B26" i="6" s="1"/>
  <c r="D13" i="6" l="1"/>
  <c r="B8" i="4" s="1"/>
  <c r="H11" i="5"/>
  <c r="F11" i="6" s="1"/>
  <c r="G13" i="5"/>
  <c r="G29" i="5" s="1"/>
  <c r="E22" i="5"/>
  <c r="E23" i="5" s="1"/>
  <c r="F19" i="8"/>
  <c r="F21" i="8" s="1"/>
  <c r="D9" i="4" s="1"/>
  <c r="E18" i="5"/>
  <c r="D23" i="5"/>
  <c r="I39" i="5"/>
  <c r="I22" i="7" s="1"/>
  <c r="D27" i="7"/>
  <c r="D32" i="7" s="1"/>
  <c r="B9" i="10"/>
  <c r="C11" i="10"/>
  <c r="C10" i="10"/>
  <c r="C9" i="10"/>
  <c r="D11" i="10"/>
  <c r="D10" i="10"/>
  <c r="D9" i="10"/>
  <c r="B10" i="10"/>
  <c r="B11" i="10"/>
  <c r="E11" i="10"/>
  <c r="E10" i="10"/>
  <c r="E9" i="10"/>
  <c r="F11" i="10"/>
  <c r="F10" i="10"/>
  <c r="F9" i="10"/>
  <c r="D22" i="6"/>
  <c r="E45" i="5"/>
  <c r="F18" i="5"/>
  <c r="D50" i="5"/>
  <c r="D53" i="5" s="1"/>
  <c r="E50" i="5"/>
  <c r="E53" i="5" s="1"/>
  <c r="F51" i="5"/>
  <c r="F22" i="5"/>
  <c r="G15" i="8"/>
  <c r="G19" i="8"/>
  <c r="I12" i="5"/>
  <c r="G12" i="6" s="1"/>
  <c r="I10" i="5"/>
  <c r="G10" i="6" s="1"/>
  <c r="F27" i="7"/>
  <c r="F42" i="5"/>
  <c r="F21" i="5"/>
  <c r="E9" i="7"/>
  <c r="E23" i="7" s="1"/>
  <c r="H18" i="8"/>
  <c r="H14" i="8"/>
  <c r="H9" i="8"/>
  <c r="I7" i="8"/>
  <c r="O16" i="7"/>
  <c r="G8" i="7"/>
  <c r="G9" i="7" s="1"/>
  <c r="G23" i="7" s="1"/>
  <c r="G24" i="7" s="1"/>
  <c r="G16" i="5"/>
  <c r="G42" i="5" s="1"/>
  <c r="E13" i="6"/>
  <c r="C8" i="4" s="1"/>
  <c r="H13" i="5" l="1"/>
  <c r="H29" i="5" s="1"/>
  <c r="I11" i="5"/>
  <c r="G11" i="6" s="1"/>
  <c r="G17" i="5"/>
  <c r="G43" i="5" s="1"/>
  <c r="G51" i="5" s="1"/>
  <c r="E57" i="5"/>
  <c r="D57" i="5"/>
  <c r="J39" i="5"/>
  <c r="K39" i="5" s="1"/>
  <c r="G21" i="8"/>
  <c r="E9" i="4" s="1"/>
  <c r="D26" i="6"/>
  <c r="B15" i="4"/>
  <c r="F12" i="10"/>
  <c r="D12" i="10"/>
  <c r="E12" i="10"/>
  <c r="G10" i="10"/>
  <c r="C12" i="10"/>
  <c r="B12" i="10"/>
  <c r="G9" i="10"/>
  <c r="G11" i="10"/>
  <c r="F23" i="5"/>
  <c r="B7" i="4" s="1"/>
  <c r="B10" i="4" s="1"/>
  <c r="F45" i="5"/>
  <c r="G18" i="5"/>
  <c r="F50" i="5"/>
  <c r="F53" i="5" s="1"/>
  <c r="G21" i="5"/>
  <c r="G33" i="5"/>
  <c r="G31" i="5"/>
  <c r="G32" i="5"/>
  <c r="I18" i="8"/>
  <c r="I9" i="8"/>
  <c r="J7" i="8"/>
  <c r="I14" i="8"/>
  <c r="H15" i="8"/>
  <c r="E24" i="7"/>
  <c r="E27" i="7" s="1"/>
  <c r="H8" i="7"/>
  <c r="H9" i="7" s="1"/>
  <c r="H23" i="7" s="1"/>
  <c r="H24" i="7" s="1"/>
  <c r="H17" i="5"/>
  <c r="H16" i="5"/>
  <c r="H42" i="5" s="1"/>
  <c r="J12" i="5"/>
  <c r="H12" i="6" s="1"/>
  <c r="H19" i="8"/>
  <c r="F32" i="7"/>
  <c r="F31" i="7"/>
  <c r="J10" i="5"/>
  <c r="H10" i="6" s="1"/>
  <c r="F13" i="6"/>
  <c r="D8" i="4" s="1"/>
  <c r="J22" i="7" l="1"/>
  <c r="J11" i="5"/>
  <c r="H11" i="6" s="1"/>
  <c r="I13" i="5"/>
  <c r="I29" i="5" s="1"/>
  <c r="G22" i="5"/>
  <c r="H21" i="8"/>
  <c r="F9" i="4" s="1"/>
  <c r="B14" i="4"/>
  <c r="F57" i="5"/>
  <c r="Q18" i="4"/>
  <c r="J8" i="10"/>
  <c r="G12" i="10"/>
  <c r="H18" i="5"/>
  <c r="G45" i="5"/>
  <c r="G50" i="5"/>
  <c r="D26" i="8"/>
  <c r="D30" i="8"/>
  <c r="D31" i="8" s="1"/>
  <c r="D39" i="8" s="1"/>
  <c r="E31" i="7"/>
  <c r="E32" i="7"/>
  <c r="J13" i="5"/>
  <c r="J29" i="5" s="1"/>
  <c r="K10" i="5"/>
  <c r="I10" i="6" s="1"/>
  <c r="K22" i="7"/>
  <c r="L39" i="5"/>
  <c r="K12" i="5"/>
  <c r="I12" i="6" s="1"/>
  <c r="H43" i="5"/>
  <c r="H51" i="5" s="1"/>
  <c r="H22" i="5"/>
  <c r="I15" i="8"/>
  <c r="I19" i="8"/>
  <c r="G37" i="5"/>
  <c r="E20" i="6" s="1"/>
  <c r="G38" i="5"/>
  <c r="E21" i="6" s="1"/>
  <c r="G53" i="5"/>
  <c r="I8" i="7"/>
  <c r="I9" i="7" s="1"/>
  <c r="I23" i="7" s="1"/>
  <c r="I24" i="7" s="1"/>
  <c r="I17" i="5"/>
  <c r="I16" i="5"/>
  <c r="I42" i="5" s="1"/>
  <c r="G13" i="6"/>
  <c r="E8" i="4" s="1"/>
  <c r="H21" i="5"/>
  <c r="H33" i="5"/>
  <c r="H31" i="5"/>
  <c r="H32" i="5"/>
  <c r="K11" i="5"/>
  <c r="I11" i="6" s="1"/>
  <c r="J18" i="8"/>
  <c r="J14" i="8"/>
  <c r="J9" i="8"/>
  <c r="K7" i="8"/>
  <c r="G34" i="5"/>
  <c r="G21" i="7" s="1"/>
  <c r="G27" i="7" s="1"/>
  <c r="G36" i="5"/>
  <c r="E19" i="6" s="1"/>
  <c r="G23" i="5"/>
  <c r="H23" i="5" l="1"/>
  <c r="D7" i="4" s="1"/>
  <c r="D10" i="4" s="1"/>
  <c r="I21" i="8"/>
  <c r="G9" i="4" s="1"/>
  <c r="C14" i="4"/>
  <c r="G57" i="5"/>
  <c r="H45" i="5"/>
  <c r="C7" i="4"/>
  <c r="C10" i="4" s="1"/>
  <c r="I18" i="5"/>
  <c r="H50" i="5"/>
  <c r="H53" i="5" s="1"/>
  <c r="C30" i="8"/>
  <c r="C31" i="8" s="1"/>
  <c r="C39" i="8" s="1"/>
  <c r="C26" i="8"/>
  <c r="E22" i="6"/>
  <c r="G32" i="7"/>
  <c r="G31" i="7"/>
  <c r="K18" i="8"/>
  <c r="K9" i="8"/>
  <c r="L7" i="8"/>
  <c r="K14" i="8"/>
  <c r="L11" i="5"/>
  <c r="J11" i="6" s="1"/>
  <c r="H37" i="5"/>
  <c r="F20" i="6" s="1"/>
  <c r="J19" i="8"/>
  <c r="H34" i="5"/>
  <c r="H21" i="7" s="1"/>
  <c r="H27" i="7" s="1"/>
  <c r="H36" i="5"/>
  <c r="F19" i="6" s="1"/>
  <c r="I21" i="5"/>
  <c r="I33" i="5"/>
  <c r="I32" i="5"/>
  <c r="I31" i="5"/>
  <c r="L22" i="7"/>
  <c r="M39" i="5"/>
  <c r="K13" i="5"/>
  <c r="K29" i="5" s="1"/>
  <c r="L10" i="5"/>
  <c r="J10" i="6" s="1"/>
  <c r="H13" i="6"/>
  <c r="F8" i="4" s="1"/>
  <c r="J15" i="8"/>
  <c r="J21" i="8" s="1"/>
  <c r="H9" i="4" s="1"/>
  <c r="H38" i="5"/>
  <c r="F21" i="6" s="1"/>
  <c r="I43" i="5"/>
  <c r="I51" i="5" s="1"/>
  <c r="I22" i="5"/>
  <c r="L12" i="5"/>
  <c r="J12" i="6" s="1"/>
  <c r="D27" i="8"/>
  <c r="D33" i="8" s="1"/>
  <c r="B16" i="4" s="1"/>
  <c r="B20" i="4" s="1"/>
  <c r="B23" i="4" s="1"/>
  <c r="C10" i="18" s="1"/>
  <c r="D37" i="8"/>
  <c r="J8" i="7"/>
  <c r="J9" i="7" s="1"/>
  <c r="J23" i="7" s="1"/>
  <c r="J24" i="7" s="1"/>
  <c r="J17" i="5"/>
  <c r="J22" i="5" s="1"/>
  <c r="J16" i="5"/>
  <c r="H57" i="5" l="1"/>
  <c r="C12" i="18"/>
  <c r="D14" i="4"/>
  <c r="E26" i="6"/>
  <c r="C15" i="4"/>
  <c r="I45" i="5"/>
  <c r="J18" i="5"/>
  <c r="I50" i="5"/>
  <c r="I53" i="5" s="1"/>
  <c r="J21" i="5"/>
  <c r="J23" i="5" s="1"/>
  <c r="F7" i="4" s="1"/>
  <c r="F10" i="4" s="1"/>
  <c r="E30" i="8"/>
  <c r="E31" i="8" s="1"/>
  <c r="E39" i="8" s="1"/>
  <c r="E26" i="8"/>
  <c r="F22" i="6"/>
  <c r="D38" i="8"/>
  <c r="D40" i="8" s="1"/>
  <c r="C27" i="8"/>
  <c r="C33" i="8" s="1"/>
  <c r="C37" i="8"/>
  <c r="K8" i="7"/>
  <c r="K9" i="7" s="1"/>
  <c r="K23" i="7" s="1"/>
  <c r="K24" i="7" s="1"/>
  <c r="K17" i="5"/>
  <c r="K22" i="5" s="1"/>
  <c r="K16" i="5"/>
  <c r="M22" i="7"/>
  <c r="N39" i="5"/>
  <c r="I37" i="5"/>
  <c r="J37" i="5" s="1"/>
  <c r="K37" i="5" s="1"/>
  <c r="L37" i="5" s="1"/>
  <c r="M37" i="5" s="1"/>
  <c r="H32" i="7"/>
  <c r="H31" i="7"/>
  <c r="L18" i="8"/>
  <c r="L14" i="8"/>
  <c r="L9" i="8"/>
  <c r="M7" i="8"/>
  <c r="I23" i="5"/>
  <c r="E7" i="4" s="1"/>
  <c r="E10" i="4" s="1"/>
  <c r="M12" i="5"/>
  <c r="K12" i="6" s="1"/>
  <c r="L13" i="5"/>
  <c r="L29" i="5" s="1"/>
  <c r="M10" i="5"/>
  <c r="K10" i="6" s="1"/>
  <c r="I13" i="6"/>
  <c r="G8" i="4" s="1"/>
  <c r="I34" i="5"/>
  <c r="I21" i="7" s="1"/>
  <c r="I27" i="7" s="1"/>
  <c r="I36" i="5"/>
  <c r="J36" i="5" s="1"/>
  <c r="K36" i="5" s="1"/>
  <c r="L36" i="5" s="1"/>
  <c r="M36" i="5" s="1"/>
  <c r="I38" i="5"/>
  <c r="J38" i="5" s="1"/>
  <c r="K38" i="5" s="1"/>
  <c r="L38" i="5" s="1"/>
  <c r="M38" i="5" s="1"/>
  <c r="M11" i="5"/>
  <c r="K11" i="6" s="1"/>
  <c r="K15" i="8"/>
  <c r="K19" i="8"/>
  <c r="N36" i="5" l="1"/>
  <c r="K21" i="8"/>
  <c r="I9" i="4" s="1"/>
  <c r="E14" i="4"/>
  <c r="I57" i="5"/>
  <c r="N38" i="5"/>
  <c r="N37" i="5"/>
  <c r="F26" i="6"/>
  <c r="D15" i="4"/>
  <c r="K18" i="5"/>
  <c r="K21" i="5"/>
  <c r="K23" i="5" s="1"/>
  <c r="G7" i="4" s="1"/>
  <c r="G10" i="4" s="1"/>
  <c r="F26" i="8"/>
  <c r="F30" i="8"/>
  <c r="F31" i="8" s="1"/>
  <c r="F39" i="8" s="1"/>
  <c r="G21" i="6"/>
  <c r="J33" i="5"/>
  <c r="E27" i="8"/>
  <c r="E33" i="8" s="1"/>
  <c r="C16" i="4" s="1"/>
  <c r="C20" i="4" s="1"/>
  <c r="C23" i="4" s="1"/>
  <c r="D10" i="18" s="1"/>
  <c r="E37" i="8"/>
  <c r="N11" i="5"/>
  <c r="L11" i="6" s="1"/>
  <c r="I32" i="7"/>
  <c r="I31" i="7"/>
  <c r="L8" i="7"/>
  <c r="L9" i="7" s="1"/>
  <c r="L23" i="7" s="1"/>
  <c r="L24" i="7" s="1"/>
  <c r="L17" i="5"/>
  <c r="L22" i="5" s="1"/>
  <c r="L16" i="5"/>
  <c r="N12" i="5"/>
  <c r="L12" i="6" s="1"/>
  <c r="L19" i="8"/>
  <c r="N22" i="7"/>
  <c r="O39" i="5"/>
  <c r="O37" i="5" s="1"/>
  <c r="M13" i="5"/>
  <c r="M29" i="5" s="1"/>
  <c r="N10" i="5"/>
  <c r="L10" i="6" s="1"/>
  <c r="J13" i="6"/>
  <c r="H8" i="4" s="1"/>
  <c r="M18" i="8"/>
  <c r="M9" i="8"/>
  <c r="N7" i="8"/>
  <c r="M14" i="8"/>
  <c r="L15" i="8"/>
  <c r="C38" i="8"/>
  <c r="C40" i="8" s="1"/>
  <c r="G19" i="6"/>
  <c r="J31" i="5"/>
  <c r="K31" i="5" s="1"/>
  <c r="L31" i="5" s="1"/>
  <c r="M31" i="5" s="1"/>
  <c r="N31" i="5" s="1"/>
  <c r="O31" i="5" s="1"/>
  <c r="G20" i="6"/>
  <c r="J32" i="5"/>
  <c r="K32" i="5" s="1"/>
  <c r="L32" i="5" s="1"/>
  <c r="M32" i="5" s="1"/>
  <c r="N32" i="5" s="1"/>
  <c r="O32" i="5" l="1"/>
  <c r="P32" i="5" s="1"/>
  <c r="D12" i="18"/>
  <c r="L21" i="8"/>
  <c r="J9" i="4" s="1"/>
  <c r="H21" i="6"/>
  <c r="K33" i="5"/>
  <c r="L33" i="5" s="1"/>
  <c r="M33" i="5" s="1"/>
  <c r="N33" i="5" s="1"/>
  <c r="O33" i="5" s="1"/>
  <c r="O38" i="5"/>
  <c r="L18" i="5"/>
  <c r="L21" i="5"/>
  <c r="L23" i="5" s="1"/>
  <c r="H7" i="4" s="1"/>
  <c r="H10" i="4" s="1"/>
  <c r="G30" i="8"/>
  <c r="G31" i="8" s="1"/>
  <c r="G39" i="8" s="1"/>
  <c r="G26" i="8"/>
  <c r="F27" i="8"/>
  <c r="F33" i="8" s="1"/>
  <c r="D16" i="4" s="1"/>
  <c r="D20" i="4" s="1"/>
  <c r="D23" i="4" s="1"/>
  <c r="E10" i="18" s="1"/>
  <c r="E12" i="18" s="1"/>
  <c r="F37" i="8"/>
  <c r="N18" i="8"/>
  <c r="N14" i="8"/>
  <c r="N9" i="8"/>
  <c r="O7" i="8"/>
  <c r="M8" i="7"/>
  <c r="M9" i="7" s="1"/>
  <c r="M23" i="7" s="1"/>
  <c r="M24" i="7" s="1"/>
  <c r="M17" i="5"/>
  <c r="M22" i="5" s="1"/>
  <c r="M16" i="5"/>
  <c r="O22" i="7"/>
  <c r="P39" i="5"/>
  <c r="O12" i="5"/>
  <c r="M12" i="6" s="1"/>
  <c r="O11" i="5"/>
  <c r="M11" i="6" s="1"/>
  <c r="G22" i="6"/>
  <c r="H20" i="6"/>
  <c r="J34" i="5"/>
  <c r="H19" i="6"/>
  <c r="M15" i="8"/>
  <c r="M19" i="8"/>
  <c r="N13" i="5"/>
  <c r="N29" i="5" s="1"/>
  <c r="O10" i="5"/>
  <c r="M10" i="6" s="1"/>
  <c r="K13" i="6"/>
  <c r="I8" i="4" s="1"/>
  <c r="I21" i="6"/>
  <c r="E38" i="8"/>
  <c r="E40" i="8" s="1"/>
  <c r="O36" i="5"/>
  <c r="P31" i="5" s="1"/>
  <c r="P38" i="5" l="1"/>
  <c r="P37" i="5"/>
  <c r="J42" i="5"/>
  <c r="J43" i="5"/>
  <c r="M21" i="8"/>
  <c r="K9" i="4" s="1"/>
  <c r="P33" i="5"/>
  <c r="G26" i="6"/>
  <c r="E15" i="4"/>
  <c r="P36" i="5"/>
  <c r="M18" i="5"/>
  <c r="M21" i="5"/>
  <c r="J21" i="6"/>
  <c r="N8" i="7"/>
  <c r="N9" i="7" s="1"/>
  <c r="N23" i="7" s="1"/>
  <c r="N24" i="7" s="1"/>
  <c r="N17" i="5"/>
  <c r="N22" i="5" s="1"/>
  <c r="N16" i="5"/>
  <c r="K34" i="5"/>
  <c r="I19" i="6"/>
  <c r="I20" i="6"/>
  <c r="G27" i="8"/>
  <c r="G33" i="8" s="1"/>
  <c r="E16" i="4" s="1"/>
  <c r="G37" i="8"/>
  <c r="P12" i="5"/>
  <c r="N12" i="6" s="1"/>
  <c r="P22" i="7"/>
  <c r="Q39" i="5"/>
  <c r="N19" i="8"/>
  <c r="F38" i="8"/>
  <c r="F40" i="8" s="1"/>
  <c r="H22" i="6"/>
  <c r="M23" i="5"/>
  <c r="I7" i="4" s="1"/>
  <c r="I10" i="4" s="1"/>
  <c r="O13" i="5"/>
  <c r="O29" i="5" s="1"/>
  <c r="P10" i="5"/>
  <c r="N10" i="6" s="1"/>
  <c r="L13" i="6"/>
  <c r="J8" i="4" s="1"/>
  <c r="J21" i="7"/>
  <c r="J27" i="7" s="1"/>
  <c r="J51" i="5"/>
  <c r="P11" i="5"/>
  <c r="N11" i="6" s="1"/>
  <c r="O18" i="8"/>
  <c r="O9" i="8"/>
  <c r="P7" i="8"/>
  <c r="O14" i="8"/>
  <c r="N15" i="8"/>
  <c r="Q36" i="5" l="1"/>
  <c r="N21" i="8"/>
  <c r="L9" i="4" s="1"/>
  <c r="K42" i="5"/>
  <c r="K43" i="5"/>
  <c r="K51" i="5" s="1"/>
  <c r="Q31" i="5"/>
  <c r="Q37" i="5"/>
  <c r="Q32" i="5" s="1"/>
  <c r="E20" i="4"/>
  <c r="E23" i="4" s="1"/>
  <c r="F10" i="18" s="1"/>
  <c r="H26" i="6"/>
  <c r="F15" i="4"/>
  <c r="J45" i="5"/>
  <c r="N18" i="5"/>
  <c r="J50" i="5"/>
  <c r="J53" i="5" s="1"/>
  <c r="J57" i="5" s="1"/>
  <c r="N21" i="5"/>
  <c r="Q38" i="5"/>
  <c r="Q33" i="5" s="1"/>
  <c r="O15" i="8"/>
  <c r="P18" i="8"/>
  <c r="P14" i="8"/>
  <c r="P9" i="8"/>
  <c r="Q7" i="8"/>
  <c r="P13" i="5"/>
  <c r="P29" i="5" s="1"/>
  <c r="Q10" i="5"/>
  <c r="O10" i="6" s="1"/>
  <c r="M13" i="6"/>
  <c r="K8" i="4" s="1"/>
  <c r="Q22" i="7"/>
  <c r="R39" i="5"/>
  <c r="Q12" i="5"/>
  <c r="O12" i="6" s="1"/>
  <c r="J20" i="6"/>
  <c r="L34" i="5"/>
  <c r="J19" i="6"/>
  <c r="N23" i="5"/>
  <c r="J7" i="4" s="1"/>
  <c r="J10" i="4" s="1"/>
  <c r="O19" i="8"/>
  <c r="Q11" i="5"/>
  <c r="O11" i="6" s="1"/>
  <c r="J31" i="7"/>
  <c r="J32" i="7"/>
  <c r="O8" i="7"/>
  <c r="O9" i="7" s="1"/>
  <c r="O23" i="7" s="1"/>
  <c r="O24" i="7" s="1"/>
  <c r="O17" i="5"/>
  <c r="O22" i="5" s="1"/>
  <c r="O16" i="5"/>
  <c r="G38" i="8"/>
  <c r="G40" i="8" s="1"/>
  <c r="K21" i="7"/>
  <c r="K27" i="7" s="1"/>
  <c r="K21" i="6"/>
  <c r="I22" i="6"/>
  <c r="R36" i="5" l="1"/>
  <c r="R31" i="5" s="1"/>
  <c r="R37" i="5"/>
  <c r="R32" i="5" s="1"/>
  <c r="F12" i="18"/>
  <c r="O21" i="8"/>
  <c r="M9" i="4" s="1"/>
  <c r="L42" i="5"/>
  <c r="L43" i="5"/>
  <c r="L51" i="5" s="1"/>
  <c r="F14" i="4"/>
  <c r="I26" i="6"/>
  <c r="G15" i="4"/>
  <c r="R38" i="5"/>
  <c r="R33" i="5" s="1"/>
  <c r="K45" i="5"/>
  <c r="O18" i="5"/>
  <c r="K50" i="5"/>
  <c r="K53" i="5" s="1"/>
  <c r="O21" i="5"/>
  <c r="O23" i="5" s="1"/>
  <c r="K7" i="4" s="1"/>
  <c r="K10" i="4" s="1"/>
  <c r="H26" i="8"/>
  <c r="H30" i="8"/>
  <c r="H31" i="8" s="1"/>
  <c r="H39" i="8" s="1"/>
  <c r="R11" i="5"/>
  <c r="P11" i="6" s="1"/>
  <c r="L21" i="7"/>
  <c r="L27" i="7" s="1"/>
  <c r="R12" i="5"/>
  <c r="P12" i="6" s="1"/>
  <c r="R22" i="7"/>
  <c r="S39" i="5"/>
  <c r="S22" i="7" s="1"/>
  <c r="P8" i="7"/>
  <c r="P9" i="7" s="1"/>
  <c r="P23" i="7" s="1"/>
  <c r="P24" i="7" s="1"/>
  <c r="P17" i="5"/>
  <c r="P22" i="5" s="1"/>
  <c r="P16" i="5"/>
  <c r="P19" i="8"/>
  <c r="L21" i="6"/>
  <c r="K31" i="7"/>
  <c r="K32" i="7"/>
  <c r="M34" i="5"/>
  <c r="K19" i="6"/>
  <c r="K20" i="6"/>
  <c r="Q13" i="5"/>
  <c r="Q29" i="5" s="1"/>
  <c r="R10" i="5"/>
  <c r="P10" i="6" s="1"/>
  <c r="N13" i="6"/>
  <c r="L8" i="4" s="1"/>
  <c r="Q18" i="8"/>
  <c r="Q9" i="8"/>
  <c r="Q14" i="8"/>
  <c r="P15" i="8"/>
  <c r="J22" i="6"/>
  <c r="P21" i="8" l="1"/>
  <c r="N9" i="4" s="1"/>
  <c r="M42" i="5"/>
  <c r="M43" i="5"/>
  <c r="M51" i="5" s="1"/>
  <c r="G14" i="4"/>
  <c r="K57" i="5"/>
  <c r="S37" i="5"/>
  <c r="S32" i="5" s="1"/>
  <c r="J26" i="6"/>
  <c r="H15" i="4"/>
  <c r="S38" i="5"/>
  <c r="S33" i="5" s="1"/>
  <c r="L45" i="5"/>
  <c r="P18" i="5"/>
  <c r="L50" i="5"/>
  <c r="L53" i="5" s="1"/>
  <c r="P21" i="5"/>
  <c r="P23" i="5" s="1"/>
  <c r="L7" i="4" s="1"/>
  <c r="L10" i="4" s="1"/>
  <c r="I26" i="8"/>
  <c r="I30" i="8"/>
  <c r="I31" i="8" s="1"/>
  <c r="I39" i="8" s="1"/>
  <c r="S36" i="5"/>
  <c r="S31" i="5" s="1"/>
  <c r="Q15" i="8"/>
  <c r="Q8" i="7"/>
  <c r="Q9" i="7" s="1"/>
  <c r="Q23" i="7" s="1"/>
  <c r="Q24" i="7" s="1"/>
  <c r="Q17" i="5"/>
  <c r="Q22" i="5" s="1"/>
  <c r="Q16" i="5"/>
  <c r="M21" i="7"/>
  <c r="M27" i="7" s="1"/>
  <c r="M21" i="6"/>
  <c r="S11" i="5"/>
  <c r="Q11" i="6" s="1"/>
  <c r="K22" i="6"/>
  <c r="Q19" i="8"/>
  <c r="R13" i="5"/>
  <c r="R29" i="5" s="1"/>
  <c r="S10" i="5"/>
  <c r="Q10" i="6" s="1"/>
  <c r="O13" i="6"/>
  <c r="M8" i="4" s="1"/>
  <c r="L20" i="6"/>
  <c r="N34" i="5"/>
  <c r="L19" i="6"/>
  <c r="H27" i="8"/>
  <c r="H33" i="8" s="1"/>
  <c r="F16" i="4" s="1"/>
  <c r="F20" i="4" s="1"/>
  <c r="F23" i="4" s="1"/>
  <c r="G10" i="18" s="1"/>
  <c r="H37" i="8"/>
  <c r="S12" i="5"/>
  <c r="Q12" i="6" s="1"/>
  <c r="L32" i="7"/>
  <c r="L31" i="7"/>
  <c r="G12" i="18" l="1"/>
  <c r="Q21" i="8"/>
  <c r="O9" i="4" s="1"/>
  <c r="N42" i="5"/>
  <c r="N43" i="5"/>
  <c r="N51" i="5" s="1"/>
  <c r="H14" i="4"/>
  <c r="L57" i="5"/>
  <c r="K26" i="6"/>
  <c r="I15" i="4"/>
  <c r="M45" i="5"/>
  <c r="Q18" i="5"/>
  <c r="M50" i="5"/>
  <c r="M53" i="5" s="1"/>
  <c r="M57" i="5" s="1"/>
  <c r="Q21" i="5"/>
  <c r="Q23" i="5" s="1"/>
  <c r="M7" i="4" s="1"/>
  <c r="M10" i="4" s="1"/>
  <c r="J26" i="8"/>
  <c r="J30" i="8"/>
  <c r="J31" i="8" s="1"/>
  <c r="J39" i="8" s="1"/>
  <c r="L22" i="6"/>
  <c r="I27" i="8"/>
  <c r="I33" i="8" s="1"/>
  <c r="G16" i="4" s="1"/>
  <c r="G20" i="4" s="1"/>
  <c r="G23" i="4" s="1"/>
  <c r="H10" i="18" s="1"/>
  <c r="H12" i="18" s="1"/>
  <c r="I37" i="8"/>
  <c r="O34" i="5"/>
  <c r="M19" i="6"/>
  <c r="M20" i="6"/>
  <c r="R8" i="7"/>
  <c r="R9" i="7" s="1"/>
  <c r="R23" i="7" s="1"/>
  <c r="R24" i="7" s="1"/>
  <c r="R17" i="5"/>
  <c r="R22" i="5" s="1"/>
  <c r="R16" i="5"/>
  <c r="N21" i="6"/>
  <c r="H38" i="8"/>
  <c r="H40" i="8" s="1"/>
  <c r="N21" i="7"/>
  <c r="N27" i="7" s="1"/>
  <c r="S13" i="5"/>
  <c r="S29" i="5" s="1"/>
  <c r="P13" i="6"/>
  <c r="N8" i="4" s="1"/>
  <c r="M31" i="7"/>
  <c r="M32" i="7"/>
  <c r="O42" i="5" l="1"/>
  <c r="O43" i="5"/>
  <c r="O51" i="5" s="1"/>
  <c r="I14" i="4"/>
  <c r="L26" i="6"/>
  <c r="J15" i="4"/>
  <c r="R18" i="5"/>
  <c r="N45" i="5"/>
  <c r="N50" i="5"/>
  <c r="N53" i="5" s="1"/>
  <c r="R21" i="5"/>
  <c r="R23" i="5" s="1"/>
  <c r="N7" i="4" s="1"/>
  <c r="N10" i="4" s="1"/>
  <c r="K26" i="8"/>
  <c r="K30" i="8"/>
  <c r="K31" i="8" s="1"/>
  <c r="K39" i="8" s="1"/>
  <c r="Q13" i="6"/>
  <c r="O8" i="4" s="1"/>
  <c r="J27" i="8"/>
  <c r="J33" i="8" s="1"/>
  <c r="H16" i="4" s="1"/>
  <c r="H20" i="4" s="1"/>
  <c r="H23" i="4" s="1"/>
  <c r="I10" i="18" s="1"/>
  <c r="J37" i="8"/>
  <c r="O21" i="7"/>
  <c r="O27" i="7" s="1"/>
  <c r="I38" i="8"/>
  <c r="I40" i="8" s="1"/>
  <c r="M22" i="6"/>
  <c r="S8" i="7"/>
  <c r="S9" i="7" s="1"/>
  <c r="S23" i="7" s="1"/>
  <c r="S24" i="7" s="1"/>
  <c r="S17" i="5"/>
  <c r="S22" i="5" s="1"/>
  <c r="S16" i="5"/>
  <c r="N31" i="7"/>
  <c r="N32" i="7"/>
  <c r="O21" i="6"/>
  <c r="N20" i="6"/>
  <c r="P34" i="5"/>
  <c r="N19" i="6"/>
  <c r="I12" i="18" l="1"/>
  <c r="P42" i="5"/>
  <c r="P43" i="5"/>
  <c r="P51" i="5" s="1"/>
  <c r="J14" i="4"/>
  <c r="N57" i="5"/>
  <c r="M26" i="6"/>
  <c r="K15" i="4"/>
  <c r="O45" i="5"/>
  <c r="S18" i="5"/>
  <c r="O50" i="5"/>
  <c r="S21" i="5"/>
  <c r="S23" i="5" s="1"/>
  <c r="O7" i="4" s="1"/>
  <c r="O10" i="4" s="1"/>
  <c r="L30" i="8"/>
  <c r="L31" i="8" s="1"/>
  <c r="L39" i="8" s="1"/>
  <c r="L26" i="8"/>
  <c r="N22" i="6"/>
  <c r="Q34" i="5"/>
  <c r="O19" i="6"/>
  <c r="Q21" i="6"/>
  <c r="P21" i="6"/>
  <c r="O20" i="6"/>
  <c r="P21" i="7"/>
  <c r="P27" i="7" s="1"/>
  <c r="K27" i="8"/>
  <c r="K33" i="8" s="1"/>
  <c r="I16" i="4" s="1"/>
  <c r="I20" i="4" s="1"/>
  <c r="I23" i="4" s="1"/>
  <c r="J10" i="18" s="1"/>
  <c r="J12" i="18" s="1"/>
  <c r="K37" i="8"/>
  <c r="O31" i="7"/>
  <c r="O32" i="7"/>
  <c r="J38" i="8"/>
  <c r="J40" i="8" s="1"/>
  <c r="O53" i="5"/>
  <c r="Q42" i="5" l="1"/>
  <c r="Q43" i="5"/>
  <c r="Q51" i="5" s="1"/>
  <c r="K14" i="4"/>
  <c r="O57" i="5"/>
  <c r="N26" i="6"/>
  <c r="L15" i="4"/>
  <c r="P45" i="5"/>
  <c r="P50" i="5"/>
  <c r="P53" i="5" s="1"/>
  <c r="M26" i="8"/>
  <c r="M30" i="8"/>
  <c r="M31" i="8" s="1"/>
  <c r="M39" i="8" s="1"/>
  <c r="K38" i="8"/>
  <c r="K40" i="8" s="1"/>
  <c r="L27" i="8"/>
  <c r="L33" i="8" s="1"/>
  <c r="J16" i="4" s="1"/>
  <c r="J20" i="4" s="1"/>
  <c r="J23" i="4" s="1"/>
  <c r="K10" i="18" s="1"/>
  <c r="K12" i="18" s="1"/>
  <c r="L37" i="8"/>
  <c r="Q21" i="7"/>
  <c r="Q27" i="7" s="1"/>
  <c r="O22" i="6"/>
  <c r="P32" i="7"/>
  <c r="P31" i="7"/>
  <c r="Q20" i="6"/>
  <c r="P20" i="6"/>
  <c r="R34" i="5"/>
  <c r="P19" i="6"/>
  <c r="R42" i="5" l="1"/>
  <c r="R43" i="5"/>
  <c r="R51" i="5" s="1"/>
  <c r="L14" i="4"/>
  <c r="P57" i="5"/>
  <c r="O26" i="6"/>
  <c r="M15" i="4"/>
  <c r="Q45" i="5"/>
  <c r="Q50" i="5"/>
  <c r="N30" i="8"/>
  <c r="N31" i="8" s="1"/>
  <c r="N39" i="8" s="1"/>
  <c r="N26" i="8"/>
  <c r="P22" i="6"/>
  <c r="Q53" i="5"/>
  <c r="S34" i="5"/>
  <c r="Q19" i="6"/>
  <c r="Q22" i="6" s="1"/>
  <c r="R21" i="7"/>
  <c r="R27" i="7" s="1"/>
  <c r="M27" i="8"/>
  <c r="M33" i="8" s="1"/>
  <c r="K16" i="4" s="1"/>
  <c r="K20" i="4" s="1"/>
  <c r="K23" i="4" s="1"/>
  <c r="L10" i="18" s="1"/>
  <c r="L12" i="18" s="1"/>
  <c r="M37" i="8"/>
  <c r="Q32" i="7"/>
  <c r="Q31" i="7"/>
  <c r="L38" i="8"/>
  <c r="L40" i="8" s="1"/>
  <c r="S43" i="5" l="1"/>
  <c r="S51" i="5" s="1"/>
  <c r="S42" i="5"/>
  <c r="M14" i="4"/>
  <c r="Q57" i="5"/>
  <c r="Q26" i="6"/>
  <c r="O15" i="4"/>
  <c r="P26" i="6"/>
  <c r="N15" i="4"/>
  <c r="R45" i="5"/>
  <c r="R50" i="5"/>
  <c r="R53" i="5" s="1"/>
  <c r="O26" i="8"/>
  <c r="O30" i="8"/>
  <c r="O31" i="8" s="1"/>
  <c r="O39" i="8" s="1"/>
  <c r="N27" i="8"/>
  <c r="N33" i="8" s="1"/>
  <c r="L16" i="4" s="1"/>
  <c r="L20" i="4" s="1"/>
  <c r="L23" i="4" s="1"/>
  <c r="M10" i="18" s="1"/>
  <c r="M12" i="18" s="1"/>
  <c r="N37" i="8"/>
  <c r="S21" i="7"/>
  <c r="S27" i="7" s="1"/>
  <c r="M38" i="8"/>
  <c r="M40" i="8" s="1"/>
  <c r="R32" i="7"/>
  <c r="R31" i="7"/>
  <c r="N14" i="4" l="1"/>
  <c r="R57" i="5"/>
  <c r="S45" i="5"/>
  <c r="S50" i="5"/>
  <c r="S53" i="5" s="1"/>
  <c r="S57" i="5" s="1"/>
  <c r="P26" i="8"/>
  <c r="P30" i="8"/>
  <c r="P31" i="8" s="1"/>
  <c r="P39" i="8" s="1"/>
  <c r="S32" i="7"/>
  <c r="S31" i="7"/>
  <c r="N38" i="8"/>
  <c r="N40" i="8" s="1"/>
  <c r="O27" i="8"/>
  <c r="O33" i="8" s="1"/>
  <c r="M16" i="4" s="1"/>
  <c r="M20" i="4" s="1"/>
  <c r="M23" i="4" s="1"/>
  <c r="N10" i="18" s="1"/>
  <c r="N12" i="18" s="1"/>
  <c r="O37" i="8"/>
  <c r="O14" i="4" l="1"/>
  <c r="Q20" i="4"/>
  <c r="Q30" i="8"/>
  <c r="Q31" i="8" s="1"/>
  <c r="Q39" i="8" s="1"/>
  <c r="Q26" i="8"/>
  <c r="O38" i="8"/>
  <c r="O40" i="8" s="1"/>
  <c r="P27" i="8"/>
  <c r="P33" i="8" s="1"/>
  <c r="N16" i="4" s="1"/>
  <c r="N20" i="4" s="1"/>
  <c r="N23" i="4" s="1"/>
  <c r="O10" i="18" s="1"/>
  <c r="O12" i="18" s="1"/>
  <c r="P37" i="8"/>
  <c r="R10" i="4" l="1"/>
  <c r="Q10" i="4"/>
  <c r="P38" i="8"/>
  <c r="P40" i="8" s="1"/>
  <c r="Q27" i="8"/>
  <c r="Q33" i="8" s="1"/>
  <c r="O16" i="4" s="1"/>
  <c r="O20" i="4" s="1"/>
  <c r="O23" i="4" s="1"/>
  <c r="P10" i="18" s="1"/>
  <c r="Q37" i="8"/>
  <c r="P12" i="18" l="1"/>
  <c r="C20" i="18"/>
  <c r="Q38" i="8"/>
  <c r="Q40" i="8" s="1"/>
  <c r="C22" i="18" l="1"/>
  <c r="C18" i="18"/>
  <c r="R20" i="4"/>
  <c r="B25" i="4" l="1"/>
  <c r="C26" i="9" l="1"/>
  <c r="C16" i="18"/>
</calcChain>
</file>

<file path=xl/sharedStrings.xml><?xml version="1.0" encoding="utf-8"?>
<sst xmlns="http://schemas.openxmlformats.org/spreadsheetml/2006/main" count="949" uniqueCount="558">
  <si>
    <t>Stoves</t>
  </si>
  <si>
    <t>MCC project admin costs</t>
  </si>
  <si>
    <t>Consumer financing</t>
  </si>
  <si>
    <t>Total costs</t>
  </si>
  <si>
    <t>Net benefits</t>
  </si>
  <si>
    <t>ERR:</t>
  </si>
  <si>
    <t>Ulaan Baatar Stove Scenarios</t>
  </si>
  <si>
    <t>Without Project</t>
  </si>
  <si>
    <t>Number of Households/Stoves</t>
  </si>
  <si>
    <t>Gers</t>
  </si>
  <si>
    <t>Homes without heating wall</t>
  </si>
  <si>
    <t>Homes with heating wall</t>
  </si>
  <si>
    <t>Number of Stoves replaced</t>
  </si>
  <si>
    <t>Traditional stoves</t>
  </si>
  <si>
    <t>Improved stoves</t>
  </si>
  <si>
    <t>Costs of replaced stoves (USD)</t>
  </si>
  <si>
    <t>Total</t>
  </si>
  <si>
    <t>With project</t>
  </si>
  <si>
    <t>Non-certified stoves</t>
  </si>
  <si>
    <t>Certified stoves</t>
  </si>
  <si>
    <t>Difference</t>
  </si>
  <si>
    <t>Assumptions</t>
  </si>
  <si>
    <t>Share of traditional stoves</t>
  </si>
  <si>
    <t>Share of improved stoves</t>
  </si>
  <si>
    <t>Share of stoves replaced annually</t>
  </si>
  <si>
    <t>Rate of without heating wall increase</t>
  </si>
  <si>
    <t>Rate of with heating wall increase</t>
  </si>
  <si>
    <t>Ulaan Baatar Fuel Scenarios</t>
  </si>
  <si>
    <t>Average Household Coal and Firewood use and expenditures in the 2006-2007 heating season (7 months, mid-Sep through mid-Apr)</t>
  </si>
  <si>
    <t>Coal (T)</t>
  </si>
  <si>
    <t>Coal (Tg)</t>
  </si>
  <si>
    <t>Coal (USD09)</t>
  </si>
  <si>
    <t>AvP (Tg/T)</t>
  </si>
  <si>
    <t>AvP(USD/T)</t>
  </si>
  <si>
    <t>Wood (m3)</t>
  </si>
  <si>
    <t>Wood (Tg)</t>
  </si>
  <si>
    <t>Wood (USD09)</t>
  </si>
  <si>
    <t>AvP (Tg/m3)</t>
  </si>
  <si>
    <t>AvP(USD/m3)</t>
  </si>
  <si>
    <t>Fuel (Tg)</t>
  </si>
  <si>
    <t>Fuel (USD 2009)</t>
  </si>
  <si>
    <r>
      <t>Source</t>
    </r>
    <r>
      <rPr>
        <sz val="11"/>
        <rFont val="Calibri"/>
        <family val="2"/>
        <scheme val="minor"/>
      </rPr>
      <t>: ASTAE 2009, Tables 21 and 24, pages 54 and 58.</t>
    </r>
  </si>
  <si>
    <t>Expenditures on Coal and Wood during the winter heating season (USD 2009)</t>
  </si>
  <si>
    <t>Fuel cost savings (USD)</t>
  </si>
  <si>
    <t>Exchange rate</t>
  </si>
  <si>
    <t>MNT/USD</t>
  </si>
  <si>
    <t>Fuel savings by certified stoves</t>
  </si>
  <si>
    <t>2009 Multiplier for 2007 MNT</t>
  </si>
  <si>
    <t>Ulaan Baatar Pollution Scenarios</t>
  </si>
  <si>
    <t>Number of stoves</t>
  </si>
  <si>
    <t>Emissions per traditional stove (tons/year)</t>
  </si>
  <si>
    <t>Emissions (tons/year)</t>
  </si>
  <si>
    <t>Large particulate matter</t>
  </si>
  <si>
    <t>Small particulate matter</t>
  </si>
  <si>
    <t>Sulfur dioxide</t>
  </si>
  <si>
    <t>Nitrogen oxides</t>
  </si>
  <si>
    <t>Number of traditional stoves</t>
  </si>
  <si>
    <t>Number of certified stoves</t>
  </si>
  <si>
    <t>Emissions per certified stove (tons/year)</t>
  </si>
  <si>
    <r>
      <t xml:space="preserve">Source of emissions:  </t>
    </r>
    <r>
      <rPr>
        <i/>
        <sz val="11"/>
        <rFont val="Calibri"/>
        <family val="2"/>
        <scheme val="minor"/>
      </rPr>
      <t>Guttikunda, S. "Urban Air Pollution Analysis for Ulaanbaatar."  Consultant report for The World Bank, June 2007.</t>
    </r>
  </si>
  <si>
    <t>Emissions reductions by certified stoves</t>
  </si>
  <si>
    <t>Health Benefits</t>
  </si>
  <si>
    <t>Based on estimation of treatment costs</t>
  </si>
  <si>
    <t>Population of Ulaan Baatar</t>
  </si>
  <si>
    <t>Health costs without project</t>
  </si>
  <si>
    <t>Treatment costs</t>
  </si>
  <si>
    <t>Annual cases of respiratory illness</t>
  </si>
  <si>
    <t>Productivity losses</t>
  </si>
  <si>
    <t>DALYs due to respiratory illness</t>
  </si>
  <si>
    <t>Health costs with project</t>
  </si>
  <si>
    <t>Reduced cases of respiratory illness</t>
  </si>
  <si>
    <t>Treatment cost per respiratory case</t>
  </si>
  <si>
    <t>MNT/illness</t>
  </si>
  <si>
    <t>Treatments/person/year</t>
  </si>
  <si>
    <t>illnesses/person/year</t>
  </si>
  <si>
    <t>Percent of population treated each year</t>
  </si>
  <si>
    <t>Population growth rate</t>
  </si>
  <si>
    <t>per year</t>
  </si>
  <si>
    <t>DALYs/100,000 population</t>
  </si>
  <si>
    <t>All-cause mortality (chronic)</t>
  </si>
  <si>
    <t>Chronic bronchitis</t>
  </si>
  <si>
    <t>Hospital admissions (Respiratory disease)</t>
  </si>
  <si>
    <t>Hospital admissions (CVD)</t>
  </si>
  <si>
    <t>0%-30%</t>
  </si>
  <si>
    <t>Assumed disability weights</t>
  </si>
  <si>
    <t>Respiratory Disease Burden</t>
  </si>
  <si>
    <t>Respiratory infections</t>
  </si>
  <si>
    <t>Trachea, bronchus, lung cancers</t>
  </si>
  <si>
    <t>Respiratory diseases</t>
  </si>
  <si>
    <t>2005 Patients</t>
  </si>
  <si>
    <t>2005 Population</t>
  </si>
  <si>
    <t>Percentage of population</t>
  </si>
  <si>
    <t>Total cost (Thousands MNT)</t>
  </si>
  <si>
    <t>2005 Cost per case (MNT)</t>
  </si>
  <si>
    <t>2009 Cost per case (MNT)</t>
  </si>
  <si>
    <t>Estimated population of UB</t>
  </si>
  <si>
    <t>Average inflation index (2000 prices)</t>
  </si>
  <si>
    <t>Multiplier for 2009 MNT prices</t>
  </si>
  <si>
    <t>Cost of traditional stoves</t>
  </si>
  <si>
    <t>Cost of improved stoves</t>
  </si>
  <si>
    <t>Cost of certified stoves</t>
  </si>
  <si>
    <t>Proposed level of subsidy</t>
  </si>
  <si>
    <t>Life of certified stoves</t>
  </si>
  <si>
    <t>years</t>
  </si>
  <si>
    <t>Stoves replaced annually</t>
  </si>
  <si>
    <t>Additional Costs to MCC and Consumers</t>
  </si>
  <si>
    <t>% of Direct Costs</t>
  </si>
  <si>
    <t>Total component costs to MCC</t>
  </si>
  <si>
    <t>Cost of stoves to MCC</t>
  </si>
  <si>
    <t>Public awareness campaign</t>
  </si>
  <si>
    <t>Monitoring and evaluation</t>
  </si>
  <si>
    <t>Project administration</t>
  </si>
  <si>
    <t>Total admin</t>
  </si>
  <si>
    <t>PM reductions from stoves</t>
  </si>
  <si>
    <t>2007 Cases of respiratory illness</t>
  </si>
  <si>
    <t>Avoided cases</t>
  </si>
  <si>
    <t xml:space="preserve">Avoided cases for each one percent of PM emissions reduction </t>
  </si>
  <si>
    <t>% drop in cases from 1% drop in PM</t>
  </si>
  <si>
    <t>Derived efficacy of a 1% drop in PM emissions on disease burden and hospital admissions:</t>
  </si>
  <si>
    <t xml:space="preserve">Health costs associated with respiratory illness </t>
  </si>
  <si>
    <t>Relationship between respiratory illness and particulate matter (PM)</t>
  </si>
  <si>
    <t>Fuel savings</t>
  </si>
  <si>
    <t>Emissions reductions</t>
  </si>
  <si>
    <t>Local currency multipliers</t>
  </si>
  <si>
    <t>Population</t>
  </si>
  <si>
    <t>Rate of stove increase in gers</t>
  </si>
  <si>
    <t xml:space="preserve">Rate of increase in homes w/o heating wall </t>
  </si>
  <si>
    <t xml:space="preserve">Rate of increase in homes w/ heating wall </t>
  </si>
  <si>
    <t>Data assumptions</t>
  </si>
  <si>
    <t>Annual MCC target for certified stoves</t>
  </si>
  <si>
    <t>MNT</t>
  </si>
  <si>
    <t>Total households</t>
  </si>
  <si>
    <t>Distribution of non-subsidy MCC funds</t>
  </si>
  <si>
    <t>Public awareness share</t>
  </si>
  <si>
    <t>Monitoring and evaluation share</t>
  </si>
  <si>
    <t>Project administration share</t>
  </si>
  <si>
    <t>ERR for Stove Project</t>
  </si>
  <si>
    <t>Total stoves</t>
  </si>
  <si>
    <t>Total stoves replaced</t>
  </si>
  <si>
    <t>Total non-certified stoves</t>
  </si>
  <si>
    <t>Total certified stoves</t>
  </si>
  <si>
    <t>Fuel expenditures - gers</t>
  </si>
  <si>
    <t>Fuel expenditures - homes without heating walls</t>
  </si>
  <si>
    <t>Fuel expenditures - homes with heating walls</t>
  </si>
  <si>
    <t>USD</t>
  </si>
  <si>
    <t>Total expenditures</t>
  </si>
  <si>
    <t>Total emissions</t>
  </si>
  <si>
    <t>Total costs (treatment + lost productivity)</t>
  </si>
  <si>
    <t>Total health cost savings (USD)</t>
  </si>
  <si>
    <t>Productivity gains (USD)</t>
  </si>
  <si>
    <t>Treatment cost savings (USD)</t>
  </si>
  <si>
    <t>GDP of Ulaanbaatar (millions USD)</t>
  </si>
  <si>
    <t>GDP/capita of Ulaanbaatar (USD)</t>
  </si>
  <si>
    <t>Total cost of treatment (USD)</t>
  </si>
  <si>
    <t>GDP lost to respiratory illness (millions USD)</t>
  </si>
  <si>
    <t>Emissions (% change)</t>
  </si>
  <si>
    <t>Household spending on stoves</t>
  </si>
  <si>
    <t>MCC spending on stoves</t>
  </si>
  <si>
    <t>Costs to MCC</t>
  </si>
  <si>
    <t>Costs to Households</t>
  </si>
  <si>
    <t>Subsidy level</t>
  </si>
  <si>
    <t>Total cost to households</t>
  </si>
  <si>
    <t>Type of stove</t>
  </si>
  <si>
    <t>Distribution of stove types in gers and homes</t>
  </si>
  <si>
    <t>Traditional</t>
  </si>
  <si>
    <t>Improved</t>
  </si>
  <si>
    <t>Korean</t>
  </si>
  <si>
    <t>Number</t>
  </si>
  <si>
    <t>Share of total</t>
  </si>
  <si>
    <t>With Project</t>
  </si>
  <si>
    <t>Fuel costs</t>
  </si>
  <si>
    <t>Health costs</t>
  </si>
  <si>
    <t>Cost of traditional stove</t>
  </si>
  <si>
    <t>Cost of improved stove</t>
  </si>
  <si>
    <t>Cost of certified stove</t>
  </si>
  <si>
    <t>Stove costs to MCC</t>
  </si>
  <si>
    <t>Additional stove costs to HH with project (USD)</t>
  </si>
  <si>
    <t>MCA Proposal July 2009.</t>
  </si>
  <si>
    <t>ASTAE 2009, (converted to USD 2009).</t>
  </si>
  <si>
    <t>Dr. Saijaa Report</t>
  </si>
  <si>
    <t>ASTAE 2009 (based on 10 year life of stoves)</t>
  </si>
  <si>
    <t>ASTAE 2009</t>
  </si>
  <si>
    <t>Scenario Summary:  Certified Stoves</t>
  </si>
  <si>
    <t>Base</t>
  </si>
  <si>
    <t>Worst</t>
  </si>
  <si>
    <t>Best</t>
  </si>
  <si>
    <t>Hi cost, hi target</t>
  </si>
  <si>
    <t>Cost per certified stove</t>
  </si>
  <si>
    <t>Annual stove target</t>
  </si>
  <si>
    <t>Emission reductions</t>
  </si>
  <si>
    <t>ERR</t>
  </si>
  <si>
    <t>Total (14 yrs)</t>
  </si>
  <si>
    <t>PV (14 yrs)</t>
  </si>
  <si>
    <t>Current ERR</t>
  </si>
  <si>
    <t>Value of Relevant Parameters</t>
  </si>
  <si>
    <t>Baseline projections of fuel use, expenditures and health damage for assessing EEF viability</t>
  </si>
  <si>
    <t>Exchange Rate (Tg/USD)</t>
  </si>
  <si>
    <t>Baseline demographic projections (number of ger area households)</t>
  </si>
  <si>
    <t>partly insulated</t>
  </si>
  <si>
    <t>fully insulated</t>
  </si>
  <si>
    <t>Gers annual growth</t>
  </si>
  <si>
    <t>Homes</t>
  </si>
  <si>
    <t>no heating wall</t>
  </si>
  <si>
    <t>heating wall</t>
  </si>
  <si>
    <t>Homes annual growth</t>
  </si>
  <si>
    <t>Annual growth</t>
  </si>
  <si>
    <t>Initial Conditions</t>
  </si>
  <si>
    <t>The 2008 estimate of total households in six ger districts near the UB city center (ASTAE 2009) are increased by 30% (following Guttikunda 2007) as a better estimate of households in gers and small homes within the Ulaanbaatar air shed.</t>
  </si>
  <si>
    <t>Less than 1% of surveyed households lived in 'other' structures. These are included in 'Homes' with the same proportion of heating technologies as exisiting households.</t>
  </si>
  <si>
    <t>Two-thirds of gers have a double layer of felt covering walls and roof in winter (fully insulated) ASTAE 2009, page 18.</t>
  </si>
  <si>
    <t>Because low-pressure boiler heating systems are growing more rapidly than stoves with or without a heating wall in single homes, they are projected to grow more than twice as fast as these other options (at 7%/yr).</t>
  </si>
  <si>
    <t>Baseline stove and ger insulation replacements</t>
  </si>
  <si>
    <t>ger insulation replaced</t>
  </si>
  <si>
    <t>gers and houses</t>
  </si>
  <si>
    <t>traditional stoves</t>
  </si>
  <si>
    <t>improved stoves</t>
  </si>
  <si>
    <t>LPB</t>
  </si>
  <si>
    <t>Cost (USD 2009)</t>
  </si>
  <si>
    <t>Conventional felt blankets for the ger cost USD 335, highly insulated ger blankets cost USD 325 and both last about ten years (see footnote 12, page 7, Mongolia Energy Conservation and Emissions Reduction from Poor Households, ADB 2007).</t>
  </si>
  <si>
    <t>The base-case scenario assumes that 10% of existing blankets are replaced annually with conventional felt blankets.</t>
  </si>
  <si>
    <t>ADB 2007 also asserts that highly insulated blankets can cut heating fuel use in half. This is an unsubstantiated claim.</t>
  </si>
  <si>
    <t>This analysis of ger insulation uses the estimate of USD 350 for highly insulated ger blankets from the MCA proposal, July 2009.</t>
  </si>
  <si>
    <t>Traditional stoves, improved stoves and low-pressure boilers have roughly ten year lifetimes (ASTAE 2009). As such, we assume 10% of installed capacity is replaced annually with the same type (traditional, improved or LPB).</t>
  </si>
  <si>
    <t>ASTAE 2009 (Table 4, page 26) shows that in 2008, 88% of stoves used by ger area households were traditional, 3% were improved and 9% were low-pressure boilers.</t>
  </si>
  <si>
    <t>So, of households without a low-pressure boiler, 96.4% had a traditional stove and 3.6% an improved stove.</t>
  </si>
  <si>
    <t>Moreover, we assume that the 'improved' stoves in place perform no better than traditional stoves in terms of fuel efficiency or combustion efficiency (emissions control).</t>
  </si>
  <si>
    <t>While stove prices increased considerably in 2008, as of 2007 the price of a traditional stove was roughly MNT 35,000 and improved stoves sold for roughly MNT 100,000 (ASTAE 2009, page 50).</t>
  </si>
  <si>
    <t>Low-pressure boilers are custom built and installed. Since no cost or price information is reported for these systems, a reasonable premium over improved stoves is assumed.</t>
  </si>
  <si>
    <t>Since stove prices in ASTAE 2009 are from 2007, they are converted into 2009 MNT (using the GDP deflator - a general local currency price index) and expressed in USD equivalent at 1,450 MNT/USD.</t>
  </si>
  <si>
    <t>For reference, 1 MNT (2005) = 1.694 MNT (2009) and 1 MNT (2007) = 1.225 MNT (2009). As such, 2007 stove prices expressed in 2009 USD terms are: 30 USD for traditional, 84 USD for improved and 120 USD for low-pressure boilers.</t>
  </si>
  <si>
    <t>GDP deflator (2005=100)</t>
  </si>
  <si>
    <t>Baseline fuel use and expenditures</t>
  </si>
  <si>
    <t>ger</t>
  </si>
  <si>
    <t>home-no ht wall</t>
  </si>
  <si>
    <t>home-heat wall</t>
  </si>
  <si>
    <t>home-LPB</t>
  </si>
  <si>
    <t>2007 fuel expenditures expressed in 2009 Tugrug (MNT) and converted into 2009 USD equivalent at 1,450 MNT/USD.</t>
  </si>
  <si>
    <t>The following projections of Coal and Wood use and expenditures assume average household patterns remain the same as in 2007--they are driven entirely by demographic growth.</t>
  </si>
  <si>
    <t>Coal consumption during the winter heating season (T)</t>
  </si>
  <si>
    <t>All households</t>
  </si>
  <si>
    <t>Wood consumption during the winter heating season (m3)</t>
  </si>
  <si>
    <t>Baseline health damage valuation details</t>
  </si>
  <si>
    <t>PM emissions*</t>
  </si>
  <si>
    <r>
      <t xml:space="preserve">*Total Winter Particulate Matter (PM) emissions </t>
    </r>
    <r>
      <rPr>
        <i/>
        <u/>
        <sz val="10"/>
        <rFont val="Arial"/>
        <family val="2"/>
      </rPr>
      <t>and</t>
    </r>
    <r>
      <rPr>
        <sz val="10"/>
        <rFont val="Arial"/>
        <family val="2"/>
      </rPr>
      <t xml:space="preserve"> concentrations from </t>
    </r>
    <r>
      <rPr>
        <i/>
        <u/>
        <sz val="10"/>
        <rFont val="Arial"/>
        <family val="2"/>
      </rPr>
      <t>all</t>
    </r>
    <r>
      <rPr>
        <sz val="10"/>
        <rFont val="Arial"/>
        <family val="2"/>
      </rPr>
      <t xml:space="preserve"> sources in the UB airshed </t>
    </r>
    <r>
      <rPr>
        <sz val="10"/>
        <rFont val="Arial"/>
        <family val="2"/>
      </rPr>
      <t>are assumed to grow at population growth rate--expressed as a multiple of the base year (2007 = 1).</t>
    </r>
  </si>
  <si>
    <t xml:space="preserve">This is a very conservative assumption since the overall economy was growing at 8%-10% in the five years before the worldwide financial crisis </t>
  </si>
  <si>
    <t>and energy consumption commonly grows 0.8 to 1.5 times as fast as GDP (depending on efficiency and technology change) in developing economies.</t>
  </si>
  <si>
    <t>Willingness To Pay (WTP)</t>
  </si>
  <si>
    <t>Change in number of cases for each 1% change in PM emissions**</t>
  </si>
  <si>
    <t>Current health damage (2007) (cases)*</t>
  </si>
  <si>
    <t>from the ger area</t>
  </si>
  <si>
    <t>from four sectors</t>
  </si>
  <si>
    <t>Per case economic value (USD)</t>
  </si>
  <si>
    <t>Mortality (all causes)</t>
  </si>
  <si>
    <t>Admissions (RD)</t>
  </si>
  <si>
    <t>Admissions (CVD)</t>
  </si>
  <si>
    <r>
      <t>Source</t>
    </r>
    <r>
      <rPr>
        <sz val="10"/>
        <rFont val="Arial"/>
        <family val="2"/>
      </rPr>
      <t>: AQA Discussion Paper (see Health sheet).</t>
    </r>
  </si>
  <si>
    <t>*These estimates are derived by applying coefficients from regression models, explaining differences in mortality and morbidity rates between populations exposed to various levels of PM concentrations,</t>
  </si>
  <si>
    <t>to characteristics of the UB population. They are annual deaths and cases of bronchitis, respiratory disease and cardio-vascular disease explained by excess pollution.</t>
  </si>
  <si>
    <t>Because the estimates are from studies that do not model how changing pollution levels impact populations over time,</t>
  </si>
  <si>
    <t>they provide little insight into whether or not there would be a time lag between cleaning the air and lower observed health cases. This analysis assumes benefits are immediate (no lag).</t>
  </si>
  <si>
    <t>**These factors are from a linear interpolation of the relationship between changes in PM emissions from 1) ger area households and 2) all four sectors and health damage in UB.</t>
  </si>
  <si>
    <t>As such, it is a simplification of the complex multi-stage model constructed by the AQA team. See Health sheet.</t>
  </si>
  <si>
    <t>Population at risk</t>
  </si>
  <si>
    <t>Health damage attributable to PM emissions (number of cases)</t>
  </si>
  <si>
    <t>Health damage attributable to PM emissions (USD millions)</t>
  </si>
  <si>
    <t>Population at risk is the entire UB population--assumed to grow at 3% per year--expressed as a multiple of the base year (2007 = 1).</t>
  </si>
  <si>
    <t>Number of cases due to PM emissions = Population at risk (relative to 2007) x [Health damage in 2007 + additional cases due to growth of PM emissions (relative to 2007)].</t>
  </si>
  <si>
    <r>
      <t xml:space="preserve">Additional cases due to growing PM emissions from </t>
    </r>
    <r>
      <rPr>
        <i/>
        <u/>
        <sz val="10"/>
        <rFont val="Arial"/>
        <family val="2"/>
      </rPr>
      <t>all</t>
    </r>
    <r>
      <rPr>
        <sz val="10"/>
        <rFont val="Arial"/>
        <family val="2"/>
      </rPr>
      <t xml:space="preserve"> sources in this baseline projection use factors from the AQA study modeling emission reductions from all four sectors.</t>
    </r>
  </si>
  <si>
    <t>Cases avoided due to reduced PM emissions from ger areas in project-specific scenarios use factors from the AQA study modeling emission reductions from the ger areas.</t>
  </si>
  <si>
    <t>Treatment Cost and Disability-adjusted Life Years (DALY)</t>
  </si>
  <si>
    <t>Disease burden multiplier for each:</t>
  </si>
  <si>
    <t>Costs of treating respiratory disease in Ulaanbaatar in 2005</t>
  </si>
  <si>
    <r>
      <t xml:space="preserve">   one percent change in </t>
    </r>
    <r>
      <rPr>
        <b/>
        <u/>
        <sz val="10"/>
        <rFont val="Arial"/>
        <family val="2"/>
      </rPr>
      <t>total PM emissions</t>
    </r>
  </si>
  <si>
    <t>Total patients</t>
  </si>
  <si>
    <r>
      <t xml:space="preserve">   one percent change in </t>
    </r>
    <r>
      <rPr>
        <b/>
        <u/>
        <sz val="10"/>
        <rFont val="Arial"/>
        <family val="2"/>
      </rPr>
      <t>ger area PM emissions</t>
    </r>
  </si>
  <si>
    <t>MNT '000 (2005)</t>
  </si>
  <si>
    <t>Share of population treated multiplier for each:</t>
  </si>
  <si>
    <r>
      <t>Source</t>
    </r>
    <r>
      <rPr>
        <sz val="10"/>
        <rFont val="Arial"/>
        <family val="2"/>
      </rPr>
      <t>: Table 1, Air Pollution in Ulaanbaatar, Dr. N. Saijaa, 2006.</t>
    </r>
  </si>
  <si>
    <t>Average cost per patient</t>
  </si>
  <si>
    <t>MNT (2005)</t>
  </si>
  <si>
    <r>
      <t>Source</t>
    </r>
    <r>
      <rPr>
        <sz val="10"/>
        <rFont val="Arial"/>
        <family val="2"/>
      </rPr>
      <t>: WHO, Global Burden of Disease Statistics for Mongolia, 2004.</t>
    </r>
  </si>
  <si>
    <t>MNT (2009)</t>
  </si>
  <si>
    <t>Ulaanbaatar population 2005</t>
  </si>
  <si>
    <t>Share of UB population treated in 2005</t>
  </si>
  <si>
    <t>GDP of Mongolia (USD billions)</t>
  </si>
  <si>
    <t>GDP of UB (USD millions)</t>
  </si>
  <si>
    <t>Population of Ulaanbaatar</t>
  </si>
  <si>
    <t>GDP/capita UB (USD)</t>
  </si>
  <si>
    <t>Health damage due to respiratory illness</t>
  </si>
  <si>
    <t>treatment (cases)</t>
  </si>
  <si>
    <t>burden (DALYs lost)</t>
  </si>
  <si>
    <t>Economic costs (USD millions)</t>
  </si>
  <si>
    <t>treatment</t>
  </si>
  <si>
    <t>productivity lost</t>
  </si>
  <si>
    <t>Mongolia GDP from IMF WEO database, April 2009. Forecast through 2014 in current MNT deflated into constant 2009 MNT and converted to USD at 1,450 MNT/USD. Assumed to grow at 6% per annum after 2014.</t>
  </si>
  <si>
    <t>Roughly 54% of national GDP was produced in Ulaanbaatar in 2005 (para. 4.25, page 83, Mongolia Country Economic Memorandum, World Bank, July 26, 2007). Forecasts assume this share remains unchanged.</t>
  </si>
  <si>
    <t>Ulaanbaatar population (January 2009) from Mongolian Statistical Service forecast to grow at 3% per annum.</t>
  </si>
  <si>
    <t>Number of patients treated = Population at risk x share of population treated in 2005 x [1 + growth in share of population treated due to growth of PM emissions].</t>
  </si>
  <si>
    <t>Respiratory disease burden (DALYs) = Population at risk x burden in 2007 x [1 + growth in burden due to growth of PM emissions].</t>
  </si>
  <si>
    <r>
      <t xml:space="preserve">We assume that as PM emissions from </t>
    </r>
    <r>
      <rPr>
        <i/>
        <u/>
        <sz val="10"/>
        <rFont val="Arial"/>
        <family val="2"/>
      </rPr>
      <t>all</t>
    </r>
    <r>
      <rPr>
        <sz val="10"/>
        <rFont val="Arial"/>
        <family val="2"/>
      </rPr>
      <t xml:space="preserve"> sources grow in the baseline projection, PM concentrations in the UB air shed grow at the same rate.</t>
    </r>
  </si>
  <si>
    <r>
      <t xml:space="preserve">This baseline forecast uses factors derived from the AQA study that relate forecast </t>
    </r>
    <r>
      <rPr>
        <u/>
        <sz val="10"/>
        <rFont val="Arial"/>
        <family val="2"/>
      </rPr>
      <t>growth</t>
    </r>
    <r>
      <rPr>
        <sz val="10"/>
        <rFont val="Arial"/>
        <family val="2"/>
      </rPr>
      <t xml:space="preserve"> in </t>
    </r>
    <r>
      <rPr>
        <b/>
        <u/>
        <sz val="10"/>
        <rFont val="Arial"/>
        <family val="2"/>
      </rPr>
      <t>total emissions</t>
    </r>
    <r>
      <rPr>
        <sz val="10"/>
        <rFont val="Arial"/>
        <family val="2"/>
      </rPr>
      <t xml:space="preserve"> (and so, concentrations) to forecast </t>
    </r>
    <r>
      <rPr>
        <u/>
        <sz val="10"/>
        <rFont val="Arial"/>
        <family val="2"/>
      </rPr>
      <t>growth</t>
    </r>
    <r>
      <rPr>
        <sz val="10"/>
        <rFont val="Arial"/>
        <family val="2"/>
      </rPr>
      <t xml:space="preserve"> in the number of patients treated and disease burden (DALYs).</t>
    </r>
  </si>
  <si>
    <r>
      <t xml:space="preserve">In project-specific scenarios, patients treated and DALYs </t>
    </r>
    <r>
      <rPr>
        <u/>
        <sz val="10"/>
        <rFont val="Arial"/>
        <family val="2"/>
      </rPr>
      <t>avoided due to reduced PM emissions</t>
    </r>
    <r>
      <rPr>
        <sz val="10"/>
        <rFont val="Arial"/>
        <family val="2"/>
      </rPr>
      <t xml:space="preserve"> use factors derived from the AQA model of </t>
    </r>
    <r>
      <rPr>
        <b/>
        <u/>
        <sz val="10"/>
        <rFont val="Arial"/>
        <family val="2"/>
      </rPr>
      <t>ger area emissions only</t>
    </r>
    <r>
      <rPr>
        <sz val="10"/>
        <rFont val="Arial"/>
        <family val="2"/>
      </rPr>
      <t>.</t>
    </r>
  </si>
  <si>
    <t>GDP and economic costs are in USD 2009.</t>
  </si>
  <si>
    <t>Project-specific assumptions</t>
  </si>
  <si>
    <t>Cost of traditional felt ger wrap</t>
  </si>
  <si>
    <t>Cost of super-insulated ger blanket</t>
  </si>
  <si>
    <t>Higher levels of subsidies may be necessary for the poorest households.</t>
  </si>
  <si>
    <t>Cost of subsidy to Project</t>
  </si>
  <si>
    <t>Cost to beneficiary household</t>
  </si>
  <si>
    <t>Cost of consumer financing to project</t>
  </si>
  <si>
    <t>Fees and terms of consumer loans need to be negotiated with banks.</t>
  </si>
  <si>
    <t>Costs of Public Awareness Campaign, M&amp;E and Administration pro-rated to project components (See MCC sheet).</t>
  </si>
  <si>
    <t>Annual MCC target: blankets</t>
  </si>
  <si>
    <t>Share to partially insulated gers</t>
  </si>
  <si>
    <t>Life of super-insulated blanket</t>
  </si>
  <si>
    <t>Fuel savings on partially insulated gers</t>
  </si>
  <si>
    <t>These are conservative assumptions based on physics and the observation that ger households generally economize on fuel rather than increasing comfort levels.</t>
  </si>
  <si>
    <t>Fuel savings on fully insulated gers</t>
  </si>
  <si>
    <t>Claims that households in super-insulated gers reduce coal use by a factor of 2-3 are unsubstantiated.</t>
  </si>
  <si>
    <t>Emissions reductions from partially insulated gers</t>
  </si>
  <si>
    <t>Reduction in PM emissions from super-insulating a ger that was not fully insulated (had less than two wraps in winter).</t>
  </si>
  <si>
    <t>Emissions reductions from fully insulated gers</t>
  </si>
  <si>
    <t>Reduction in PM emissions from super-insulating a ger that was fully insulated (had two wraps in winter).</t>
  </si>
  <si>
    <t>SUMMARY: Without Project</t>
  </si>
  <si>
    <t>Costs to ger area households (USD)</t>
  </si>
  <si>
    <t>Ger insulation replaced</t>
  </si>
  <si>
    <t>heating fuel costs</t>
  </si>
  <si>
    <t>Health damage in UB (WTP) (USD)</t>
  </si>
  <si>
    <t>Health damage in UB (DALY) (USD)</t>
  </si>
  <si>
    <t>Total Costs (WTP) (USD millions)</t>
  </si>
  <si>
    <t>Total Costs (DALY) (USD millions)</t>
  </si>
  <si>
    <t>SUMMARY: With Project</t>
  </si>
  <si>
    <t>Total component cost (USD)</t>
  </si>
  <si>
    <t>Costs to Project (USD)</t>
  </si>
  <si>
    <t>Net Benefits (USD)</t>
  </si>
  <si>
    <t>Net Benefits to Project</t>
  </si>
  <si>
    <t>Net Benefits to ger area households</t>
  </si>
  <si>
    <t>ger insulation cost savings</t>
  </si>
  <si>
    <t>fuel cost savings</t>
  </si>
  <si>
    <t>Net health benefits (WTP)</t>
  </si>
  <si>
    <t>Net health benefits (DALY)</t>
  </si>
  <si>
    <t>Net Benefits (WTP)</t>
  </si>
  <si>
    <t>Net Benefits (DALY)</t>
  </si>
  <si>
    <t>Economic Cost details</t>
  </si>
  <si>
    <t>Gers replacing insulation</t>
  </si>
  <si>
    <t>Costs to ger households (USD)</t>
  </si>
  <si>
    <t>Heating fuel costs</t>
  </si>
  <si>
    <t>Health damage to UB residents (USD)</t>
  </si>
  <si>
    <t>Total Costs (USD millions)</t>
  </si>
  <si>
    <t>ADB*</t>
  </si>
  <si>
    <t>MCEEF</t>
  </si>
  <si>
    <t>super</t>
  </si>
  <si>
    <t>direct subsidies</t>
  </si>
  <si>
    <t>consumer financing</t>
  </si>
  <si>
    <t>public awareness campaign</t>
  </si>
  <si>
    <t>monitoring &amp; evaluation</t>
  </si>
  <si>
    <t>project administration</t>
  </si>
  <si>
    <t xml:space="preserve">   Ger insulation replaced</t>
  </si>
  <si>
    <t xml:space="preserve">   Heating fuel costs</t>
  </si>
  <si>
    <t>Net Benefits (cost and health damage reductions)</t>
  </si>
  <si>
    <t>ADB</t>
  </si>
  <si>
    <t>Net Benefits (USD millions)</t>
  </si>
  <si>
    <t>Health damage valuation details</t>
  </si>
  <si>
    <t>PM emissions reductions (%)</t>
  </si>
  <si>
    <t>Willingness To Pay</t>
  </si>
  <si>
    <t>Detailed health costs with Project</t>
  </si>
  <si>
    <t>Treatment Cost and DALY</t>
  </si>
  <si>
    <t>Public health benefits for one blanket</t>
  </si>
  <si>
    <t>Willingness To Pay metric</t>
  </si>
  <si>
    <t>DALY + COI metric</t>
  </si>
  <si>
    <t>Discount rate</t>
  </si>
  <si>
    <t>NPV</t>
  </si>
  <si>
    <t>Installed in 2011, used through 2020. Benefits stream uses end of year convention or, equivalently, is lagged one year.</t>
  </si>
  <si>
    <t>Private benefits for one ger blanket</t>
  </si>
  <si>
    <t>net private savings</t>
  </si>
  <si>
    <t>Net private savings</t>
  </si>
  <si>
    <t>Installed in 2011, replaced in 2021.</t>
  </si>
  <si>
    <t>MCC Proposed Reallocation Costs (8/10/09)</t>
  </si>
  <si>
    <t>MCC program costs USD</t>
  </si>
  <si>
    <t>TOTAL</t>
  </si>
  <si>
    <t>PAshare</t>
  </si>
  <si>
    <t>M&amp;E/Adminshare</t>
  </si>
  <si>
    <t>Energy Efficiency Facility</t>
  </si>
  <si>
    <t>Ger insulation</t>
  </si>
  <si>
    <t>HOBs (JICA findings)</t>
  </si>
  <si>
    <t>Green home, etc.</t>
  </si>
  <si>
    <t>Small house insulation</t>
  </si>
  <si>
    <t>Energy Efficient Mortgages</t>
  </si>
  <si>
    <t>Operational framework</t>
  </si>
  <si>
    <t>Price equalization payments</t>
  </si>
  <si>
    <t>Public Awareness Campaign</t>
  </si>
  <si>
    <t>Wind Energy</t>
  </si>
  <si>
    <t>Monitoring &amp; Evaluation</t>
  </si>
  <si>
    <t>Project Management &amp; PIU</t>
  </si>
  <si>
    <t>Proposed EEF Costs (10/25/09)</t>
  </si>
  <si>
    <t>% of direct costs for financing, PA, M&amp;E, Admin</t>
  </si>
  <si>
    <t>Total component costs</t>
  </si>
  <si>
    <t>direct costs</t>
  </si>
  <si>
    <t>EEF</t>
  </si>
  <si>
    <r>
      <t>TOTAL</t>
    </r>
    <r>
      <rPr>
        <sz val="10"/>
        <rFont val="Arial"/>
        <family val="2"/>
      </rPr>
      <t xml:space="preserve"> (incl allocated M&amp;E and Admin)</t>
    </r>
  </si>
  <si>
    <t>PA profile</t>
  </si>
  <si>
    <t>M&amp;E profile</t>
  </si>
  <si>
    <t>Admin profile</t>
  </si>
  <si>
    <t>Annual health benefits of Particulate Matter (PM) reduction scenarios</t>
  </si>
  <si>
    <t>ger area PM reductions</t>
  </si>
  <si>
    <t>PM reductions in all 4 sectors</t>
  </si>
  <si>
    <t>2007 (current health damage)</t>
  </si>
  <si>
    <t>avoided cases</t>
  </si>
  <si>
    <t>cases</t>
  </si>
  <si>
    <t>Slopes -- Avoided cases for each one percent of PM emissions reduction (see AQA Chart)</t>
  </si>
  <si>
    <t>Slopes -- Avoided cases for each one percent of PM emissions reduction</t>
  </si>
  <si>
    <t>30%-50%</t>
  </si>
  <si>
    <t>50%-80%</t>
  </si>
  <si>
    <t>Source: Table 13 and pages 98-104 of Air Pollution in Ulanbaataar, Discussion Paper, World Bank, June 22, 2009.</t>
  </si>
  <si>
    <t>These slopes are used to quantify the health benefits of stove and ger insulation interventions.</t>
  </si>
  <si>
    <t>These slopes are used to project additional cases/disease burden due to growing emissions in the baseline scenario.</t>
  </si>
  <si>
    <t>Willingness-to-pay metric (WTP)</t>
  </si>
  <si>
    <t>Willingness-to-pay metric</t>
  </si>
  <si>
    <t>Per case economic valuation method</t>
  </si>
  <si>
    <t>WTP</t>
  </si>
  <si>
    <t>COI</t>
  </si>
  <si>
    <t>Value of a one percent drop in emissions (USD)</t>
  </si>
  <si>
    <t>Cost of a one percent rise in emissions (USD)</t>
  </si>
  <si>
    <t xml:space="preserve">Source: Table 12 pages 101-102, Air Pollution in Ulanbaataar, Discussion Paper, World Bank, June 22, 2009. </t>
  </si>
  <si>
    <t>The ratios of WTP and COI to per capita GDP from studies in China were used to convert into Mongolian Tugrug.</t>
  </si>
  <si>
    <t>Impact of PM emissions on disease burden and hospital admissions</t>
  </si>
  <si>
    <t>PM reductions in all sectors</t>
  </si>
  <si>
    <t>% drop in cases/burden from 1% drop in PM</t>
  </si>
  <si>
    <t>% rise in cases/burden from 1% rise in PM</t>
  </si>
  <si>
    <t>Derived efficacy of a one percent drop in ger area PM emissions</t>
  </si>
  <si>
    <t>Derived impact of a one percent rise in all PM emissions</t>
  </si>
  <si>
    <t xml:space="preserve">   on disease burden and hospital admissions:</t>
  </si>
  <si>
    <t>Derived from analysis in: Air Pollution in Ulanbaataar, Discussion Paper, World Bank, June 22, 2009.</t>
  </si>
  <si>
    <t>power plant PM reductions</t>
  </si>
  <si>
    <t>Derived efficacy of a one percent drop in power plant PM emissions</t>
  </si>
  <si>
    <t>Source: Table 13 and pages 98-104 of Air Pollution in Ulanbaataar, Discussion Paper, World Bank, June 22, 2009 and interpolation.</t>
  </si>
  <si>
    <t>Scenario Summary</t>
  </si>
  <si>
    <t>Current Values:</t>
  </si>
  <si>
    <t>Ger_base</t>
  </si>
  <si>
    <t>Ger_best</t>
  </si>
  <si>
    <t>Ger_worst</t>
  </si>
  <si>
    <t>Ger_x</t>
  </si>
  <si>
    <t>Ger_y</t>
  </si>
  <si>
    <t>Created by KBFitzgerald on 10/22/2009
Modified by KBFitzgerald on 10/22/2009
Modified by KBFitzgerald on 10/27/2009
Modified by KBFitzgerald on 10/29/2009</t>
  </si>
  <si>
    <t>Created by KBFitzgerald on 10/22/2009
Modified by KBFitzgerald on 10/27/2009
Modified by KBFitzgerald on 10/29/2009</t>
  </si>
  <si>
    <t>Created by KBFitzgerald on 10/29/2009</t>
  </si>
  <si>
    <t>Changing Cells:</t>
  </si>
  <si>
    <t>Cost_wrap</t>
  </si>
  <si>
    <t>Annual_wrap_target</t>
  </si>
  <si>
    <t>Fuel_savings_partial</t>
  </si>
  <si>
    <t>Fuel_savings_full</t>
  </si>
  <si>
    <t>Reductions_partial</t>
  </si>
  <si>
    <t>Reductions_full</t>
  </si>
  <si>
    <t>Ger_subsidy</t>
  </si>
  <si>
    <t>Result Cells:</t>
  </si>
  <si>
    <t>Ger_comp_cost</t>
  </si>
  <si>
    <t>Ger_ERR_WTP</t>
  </si>
  <si>
    <t>Ger_ERR_DALY</t>
  </si>
  <si>
    <t>Health_NPV10_wrap_WTP</t>
  </si>
  <si>
    <t>Health_NPV10_wrap_DALY</t>
  </si>
  <si>
    <t>NPVi30_wrap</t>
  </si>
  <si>
    <t>NPVi50_wrap</t>
  </si>
  <si>
    <t>Notes:  Current Values column represents values of changing cells at</t>
  </si>
  <si>
    <t>time Scenario Summary Report was created.  Changing cells for each</t>
  </si>
  <si>
    <t>scenario are highlighted in gray.</t>
  </si>
  <si>
    <t>Stove ERR</t>
  </si>
  <si>
    <t>Insulation ERR</t>
  </si>
  <si>
    <t>Stove Net Benefits</t>
  </si>
  <si>
    <t>Insulation Net Benefits</t>
  </si>
  <si>
    <t>Total Net Benefits</t>
  </si>
  <si>
    <t>Combined ERR</t>
  </si>
  <si>
    <t>This tab compiles economic analysis from two distinct activities within the Millennium Challenge Environmental Investment Fund (MCEIF), a project under the MCC Mongolia compact. The first activity ("Stoves") provided clean-burning stoves to households, providing benefits from savings on both fuel and health costs when compared to households using traditional stoves. Data and analysis for this activity can be found in the red-colored tabs. The second activity ("Insulation") consisted of providing specialized insulating materials and architectural additions to homes and gers (traditional Mongolian tent housing). Benefits were again estimated through heating and health cost savings. Data and analysis for the insulation activity can be found in the green-colored tabs.</t>
  </si>
  <si>
    <t>Stove NPV</t>
  </si>
  <si>
    <t>Insulation NPV</t>
  </si>
  <si>
    <t>Combined NPV</t>
  </si>
  <si>
    <t>Discount Rate</t>
  </si>
  <si>
    <t>Mongolia: Energy and Environment Project</t>
  </si>
  <si>
    <t>ERR Version</t>
  </si>
  <si>
    <t>Investment Memorandum</t>
  </si>
  <si>
    <t>Closeout ERR</t>
  </si>
  <si>
    <t>Amount of MCC funds</t>
  </si>
  <si>
    <t>Project Description</t>
  </si>
  <si>
    <t>Benefit streams included in ERR</t>
  </si>
  <si>
    <t>Costs included in ERR (not borne by MCC)</t>
  </si>
  <si>
    <t>ERR estimations and time horizon</t>
  </si>
  <si>
    <t>19% over 20 years</t>
  </si>
  <si>
    <t>Table of Contents</t>
  </si>
  <si>
    <t>Activity Description</t>
  </si>
  <si>
    <t>Stove Assumptions</t>
  </si>
  <si>
    <t>Stove Additional Costs</t>
  </si>
  <si>
    <t>Stove Replacement</t>
  </si>
  <si>
    <t>Stove Fuel Savings</t>
  </si>
  <si>
    <t>Stove Pollution</t>
  </si>
  <si>
    <t>Stove Health</t>
  </si>
  <si>
    <t>Insulation Base</t>
  </si>
  <si>
    <t>Insulation MCC Costs</t>
  </si>
  <si>
    <t>Insulation Health</t>
  </si>
  <si>
    <t>Insulation Ger Scenario</t>
  </si>
  <si>
    <t>Activity Design History</t>
  </si>
  <si>
    <t>Closeout</t>
  </si>
  <si>
    <t>Activity Components</t>
  </si>
  <si>
    <t>Mongolia: Energy &amp; Environment Project</t>
  </si>
  <si>
    <t>One should read this sheet first, as it offers a summary of the project, a list of components, and states the economic rationale for the project.</t>
  </si>
  <si>
    <t>This worksheet presents the aggregated costs and benefits from the project activities year-by-year, calculating a combined ERR.</t>
  </si>
  <si>
    <t>This worksheet presents the aggregated costs and benefits from the Stove activity year-by-year, calculating the Stove activity ERR.</t>
  </si>
  <si>
    <t>This worksheet presents the aggregated costs and benefits from the Insulation activity year-by-year, calculating the Insulation ERR.</t>
  </si>
  <si>
    <t>Total Costs</t>
  </si>
  <si>
    <t>This worksheet presents baseline projections.</t>
  </si>
  <si>
    <t>This worksheet presents the annual health benefits.</t>
  </si>
  <si>
    <t>The investment fund is a facility that funds consumer subsidies for residents of Ullaanbaatar's ger districts (where the majority of the city's poor reside) for the purchase of energy efficient products and homes certified as meeting a set standard and/or otherwise demonstrating a superior efficiency and emission performance over previous models.</t>
  </si>
  <si>
    <t>This worksheet presents the assumptions involved in the Stove model.</t>
  </si>
  <si>
    <t>This worksheet presents the additional costs to MCC and consumers for stoves.</t>
  </si>
  <si>
    <t>This worksheet presents details on stove replacement.</t>
  </si>
  <si>
    <t>This worksheet presents the fuel savings scenarios both with and without the project.</t>
  </si>
  <si>
    <t>This worksheet presents the pollution scenarios both with and without the project.</t>
  </si>
  <si>
    <t>This worksheet presents the health cost and benefits both with and without the project.</t>
  </si>
  <si>
    <t>This worksheet presents the MCC costs of insulation.</t>
  </si>
  <si>
    <t>Health savings</t>
  </si>
  <si>
    <t>Fuel costs, health costs, household spending on stoves</t>
  </si>
  <si>
    <t>MCEIF: Highly-insulated ger blankets</t>
  </si>
  <si>
    <t>10 years</t>
  </si>
  <si>
    <t>Notes:</t>
  </si>
  <si>
    <t>After which, the household goes back to it's original covering.</t>
  </si>
  <si>
    <r>
      <rPr>
        <b/>
        <sz val="10"/>
        <rFont val="Arial"/>
        <family val="2"/>
      </rPr>
      <t xml:space="preserve">Note: </t>
    </r>
    <r>
      <rPr>
        <sz val="10"/>
        <rFont val="Arial"/>
        <family val="2"/>
      </rPr>
      <t>According to the ASTAE 2009 survey, households stoke the same number of times daily no matter the load or technology. And indoor air temperatures are regulated by changing the size of the load. While quality of combustion may suffer from overloads, we can expect it to stay the same or even improve with lighter loads.</t>
    </r>
  </si>
  <si>
    <t>Goal 1) Insulate all gers now partially insulated (the poorest) by the end of the compact period (43% saturation).</t>
  </si>
  <si>
    <r>
      <t xml:space="preserve">Goal 2) If fuel savings measured under ADB Project warrant, offer to remaining gers at 50% subsidy or less. </t>
    </r>
    <r>
      <rPr>
        <b/>
        <sz val="10"/>
        <color indexed="10"/>
        <rFont val="Arial"/>
        <family val="2"/>
      </rPr>
      <t>Not modeled.</t>
    </r>
  </si>
  <si>
    <t>Legend</t>
  </si>
  <si>
    <t>This assumption greatly simplifies base case projections, which use ASTAE survey averages for each housing/heating system type, without respect to whether or not the stove is 'improved'. And because the observed penetration rate of 'improved' stoves is so low (less than 4%), this simplifying assumption has little effect on this analysis.</t>
  </si>
  <si>
    <t>Unit</t>
  </si>
  <si>
    <t>Notes</t>
  </si>
  <si>
    <t>Description</t>
  </si>
  <si>
    <t>ADB Project Proposal Aug 2008.  The ADB Project plans to distribute 4,000 super-insulated blankets by end of 2010 at 70% subsidy.</t>
  </si>
  <si>
    <t>MCA Proposal July 2009. MCC continues this effort, phasing out partly insulated gers from 2011 thru September 2013.</t>
  </si>
  <si>
    <t xml:space="preserve">Since the poorest families always economize on fuel, we can expect they will use similar to lighter loads with improved insulation. Consequently, if the quality of combustion does not deteriorate with lighter loads, we can expect fewer PM emissions under better insulation. However, caution that there is no formal relationship between fuel use and PM emissions. Therefore the effect of better ger insulation on PM emissions must be observed during monitoring and evaluation. </t>
  </si>
  <si>
    <t>Mongolians' estimate (Dr. Saijaa)</t>
  </si>
  <si>
    <t>Mongolian Statistical Service.  http://www.statis.ub.gov.mn/images/download/English/table7.pdf</t>
  </si>
  <si>
    <t>From wind park ERR.</t>
  </si>
  <si>
    <t>Table 13 and pages 98-104 of Air Pollution in Ulanbaataar, Discussion Paper, World Bank, June 22, 2009.</t>
  </si>
  <si>
    <t>WHO, Global Burden of Disease Statistics for Mongolia, 2004.</t>
  </si>
  <si>
    <t>Percent emissions reductions relative to baseline. This is the fraction of total emissions from ger area households reduced through use of certified stoves. It is used to adjust both valuation metrics. PM emissions are assumed to be proportional to coal use in each ger/home type reported by ASTAE 2009. As such, PM emissions reductions is: Total coal consumed by all households (reducing coal used in households that have certified stoves by the assumed emissions reduction factor) / Total coal consumed by all households in the baseline forecast.</t>
  </si>
  <si>
    <t>1,2</t>
  </si>
  <si>
    <t xml:space="preserve"> 2008 estimates from Figure 3 and Table 3, ASTAE 2009.</t>
  </si>
  <si>
    <t>Stoves with low-pressure boilers for hot water distribution system throughout the home. See Figure 24, page 73 ASTAE 2009 forecasting growing share of LPB in ger area homes.</t>
  </si>
  <si>
    <t>5, 6</t>
  </si>
  <si>
    <t xml:space="preserve">Mongolia GDP deflator from IMF World Economic Outlook database, April 2009. </t>
  </si>
  <si>
    <t>8, 9</t>
  </si>
  <si>
    <t>Tables 21 and 24, pages 54 and 58, ASTAE 2009.</t>
  </si>
  <si>
    <t>The 2008 estimate of total households in six ger districts near the UB city center (ASTAE 2009) are increased by 30% in order to correct an underestimate of ger area households (Guttikuda 2007).</t>
  </si>
  <si>
    <t>ASTAE 2009, Table 3.</t>
  </si>
  <si>
    <t>The following projections of coal and wood use and expenditures assume average household patterns remain the same as in 2007--they are driven entirely by demographic growth. 2007 fuel expenditures expressed in 2009 Tugrug (MNT) and converted into 2009 USD equivalent at 1,430 MNT/USD.</t>
  </si>
  <si>
    <t>ASTAE 2009, Table 4, page26.</t>
  </si>
  <si>
    <t>Note, this omits low pressure boiler stoves, which are not targeted for certified stove replacement.</t>
  </si>
  <si>
    <t>$33.8 million</t>
  </si>
  <si>
    <t>Millennium Challenge Energy Efficiency Innovation Facility</t>
  </si>
  <si>
    <t>1. Consumer subsidies for the purchase of energy efficient products and homes certified as meeting a set standard and/or otherwise demonstrating a superior efficiency over previous models
2. Technical assistance</t>
  </si>
  <si>
    <r>
      <t>MCC approved $33.8 million to address air pollution through the Energy and Environment Project. The project, consisting of four separate activities, was designed to increase economic growth by reducing urban air pollution in the capital city of Ulaanbaatar, decreasing related health costs, and lowering energy costs through more efficient fuel consumption. The project provided financial incentives for </t>
    </r>
    <r>
      <rPr>
        <i/>
        <sz val="10"/>
        <color rgb="FF222222"/>
        <rFont val="Arial"/>
        <family val="2"/>
      </rPr>
      <t>ger</t>
    </r>
    <r>
      <rPr>
        <sz val="10"/>
        <color rgb="FF222222"/>
        <rFont val="Arial"/>
        <family val="2"/>
      </rPr>
      <t> district residents to adopt energy-efficient and lower-emission technologies, and funded the upgrade of the electrical network. 
The Millennium Challenge Energy Efficiency Innovation Facility (MCEEIF), provided consumer subsidies to encourage the adoption of energy-efficient and lower-emissions products and homes.</t>
    </r>
  </si>
  <si>
    <t>17% over 20 years</t>
  </si>
  <si>
    <t>$31.3 million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</si>
</sst>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_-* #,##0.00_-;_-* #,##0.00\-;_-* &quot;-&quot;??_-;_-@_-"/>
    <numFmt numFmtId="166" formatCode="_-* #,##0_-;_-* #,##0\-;_-* &quot;-&quot;??_-;_-@_-"/>
    <numFmt numFmtId="167" formatCode="0.0%"/>
    <numFmt numFmtId="168" formatCode="_(* #,##0_);_(* \(#,##0\);_(* &quot;-&quot;??_);_(@_)"/>
    <numFmt numFmtId="169" formatCode="_-* #,##0.0_-;_-* #,##0.0\-;_-* &quot;-&quot;??_-;_-@_-"/>
    <numFmt numFmtId="170" formatCode="_(* #,##0.0_);_(* \(#,##0.0\);_(* &quot;-&quot;??_);_(@_)"/>
    <numFmt numFmtId="171" formatCode="0.000"/>
    <numFmt numFmtId="172" formatCode="0.0"/>
    <numFmt numFmtId="173" formatCode="0.0000%"/>
    <numFmt numFmtId="174" formatCode="_(&quot;$&quot;* #,##0_);_(&quot;$&quot;* \(#,##0\);_(&quot;$&quot;* &quot;-&quot;??_);_(@_)"/>
  </numFmts>
  <fonts count="59">
    <font>
      <sz val="11"/>
      <color theme="1"/>
      <name val="Calibri"/>
      <family val="2"/>
      <scheme val="minor"/>
    </font>
    <font>
      <b/>
      <sz val="11"/>
      <color theme="0"/>
      <name val="Calibri"/>
      <family val="2"/>
      <scheme val="minor"/>
    </font>
    <font>
      <sz val="11"/>
      <color rgb="FFFF0000"/>
      <name val="Calibri"/>
      <family val="2"/>
      <scheme val="minor"/>
    </font>
    <font>
      <sz val="12"/>
      <name val="Helv"/>
    </font>
    <font>
      <sz val="16"/>
      <name val="Calibri"/>
      <family val="2"/>
      <scheme val="minor"/>
    </font>
    <font>
      <b/>
      <sz val="11"/>
      <name val="Calibri"/>
      <family val="2"/>
      <scheme val="minor"/>
    </font>
    <font>
      <sz val="11"/>
      <name val="Calibri"/>
      <family val="2"/>
      <scheme val="minor"/>
    </font>
    <font>
      <sz val="10"/>
      <name val="Palatino"/>
      <family val="1"/>
    </font>
    <font>
      <sz val="11"/>
      <color theme="6" tint="-0.249977111117893"/>
      <name val="Calibri"/>
      <family val="2"/>
      <scheme val="minor"/>
    </font>
    <font>
      <sz val="11"/>
      <color rgb="FFC00000"/>
      <name val="Calibri"/>
      <family val="2"/>
      <scheme val="minor"/>
    </font>
    <font>
      <u/>
      <sz val="11"/>
      <name val="Calibri"/>
      <family val="2"/>
      <scheme val="minor"/>
    </font>
    <font>
      <sz val="10"/>
      <name val="Arial"/>
      <family val="2"/>
    </font>
    <font>
      <sz val="10"/>
      <name val="Calibri"/>
      <family val="2"/>
      <scheme val="minor"/>
    </font>
    <font>
      <b/>
      <u/>
      <sz val="11"/>
      <name val="Calibri"/>
      <family val="2"/>
      <scheme val="minor"/>
    </font>
    <font>
      <sz val="11"/>
      <color indexed="10"/>
      <name val="Calibri"/>
      <family val="2"/>
      <scheme val="minor"/>
    </font>
    <font>
      <b/>
      <sz val="11"/>
      <color rgb="FF0070C0"/>
      <name val="Calibri"/>
      <family val="2"/>
      <scheme val="minor"/>
    </font>
    <font>
      <i/>
      <sz val="11"/>
      <name val="Calibri"/>
      <family val="2"/>
      <scheme val="minor"/>
    </font>
    <font>
      <sz val="14"/>
      <name val="Calibri"/>
      <family val="2"/>
      <scheme val="minor"/>
    </font>
    <font>
      <sz val="10"/>
      <name val="Arial"/>
      <family val="2"/>
      <charset val="204"/>
    </font>
    <font>
      <sz val="11"/>
      <name val="Tahoma"/>
      <family val="2"/>
    </font>
    <font>
      <sz val="10"/>
      <name val="MS Sans Serif"/>
      <family val="2"/>
    </font>
    <font>
      <b/>
      <sz val="10"/>
      <name val="MS Sans Serif"/>
      <family val="2"/>
    </font>
    <font>
      <sz val="10"/>
      <name val="Tahoma"/>
      <family val="2"/>
    </font>
    <font>
      <sz val="11"/>
      <color theme="1"/>
      <name val="Calibri"/>
      <family val="2"/>
      <scheme val="minor"/>
    </font>
    <font>
      <b/>
      <sz val="11"/>
      <color theme="1"/>
      <name val="Calibri"/>
      <family val="2"/>
      <scheme val="minor"/>
    </font>
    <font>
      <sz val="11"/>
      <color theme="0" tint="-0.499984740745262"/>
      <name val="Calibri"/>
      <family val="2"/>
      <scheme val="minor"/>
    </font>
    <font>
      <b/>
      <sz val="11"/>
      <color indexed="9"/>
      <name val="Arial"/>
      <family val="2"/>
    </font>
    <font>
      <sz val="9"/>
      <color indexed="9"/>
      <name val="Arial"/>
      <family val="2"/>
    </font>
    <font>
      <b/>
      <sz val="9"/>
      <color indexed="9"/>
      <name val="Arial"/>
      <family val="2"/>
    </font>
    <font>
      <b/>
      <sz val="10"/>
      <name val="Arial"/>
      <family val="2"/>
    </font>
    <font>
      <sz val="10"/>
      <color indexed="8"/>
      <name val="Arial"/>
      <family val="2"/>
    </font>
    <font>
      <sz val="11"/>
      <color rgb="FF0070C0"/>
      <name val="Calibri"/>
      <family val="2"/>
      <scheme val="minor"/>
    </font>
    <font>
      <b/>
      <sz val="11"/>
      <color rgb="FFFF0000"/>
      <name val="Calibri"/>
      <family val="2"/>
      <scheme val="minor"/>
    </font>
    <font>
      <b/>
      <sz val="14"/>
      <name val="Arial"/>
      <family val="2"/>
    </font>
    <font>
      <b/>
      <sz val="12"/>
      <name val="Arial"/>
      <family val="2"/>
    </font>
    <font>
      <i/>
      <sz val="10"/>
      <name val="Arial"/>
      <family val="2"/>
    </font>
    <font>
      <i/>
      <u/>
      <sz val="10"/>
      <name val="Arial"/>
      <family val="2"/>
    </font>
    <font>
      <b/>
      <u/>
      <sz val="10"/>
      <name val="Arial"/>
      <family val="2"/>
    </font>
    <font>
      <u/>
      <sz val="10"/>
      <name val="Arial"/>
      <family val="2"/>
    </font>
    <font>
      <sz val="10"/>
      <color indexed="10"/>
      <name val="Arial"/>
      <family val="2"/>
    </font>
    <font>
      <b/>
      <sz val="10"/>
      <color indexed="12"/>
      <name val="Arial"/>
      <family val="2"/>
    </font>
    <font>
      <b/>
      <sz val="10"/>
      <color indexed="10"/>
      <name val="Arial"/>
      <family val="2"/>
    </font>
    <font>
      <sz val="10"/>
      <color indexed="12"/>
      <name val="Arial"/>
      <family val="2"/>
    </font>
    <font>
      <b/>
      <sz val="10"/>
      <color indexed="8"/>
      <name val="Arial"/>
      <family val="2"/>
    </font>
    <font>
      <sz val="8"/>
      <name val="Arial"/>
      <family val="2"/>
    </font>
    <font>
      <b/>
      <sz val="10"/>
      <color indexed="18"/>
      <name val="Arial"/>
      <family val="2"/>
    </font>
    <font>
      <u/>
      <sz val="11"/>
      <color theme="10"/>
      <name val="Calibri"/>
      <family val="2"/>
      <scheme val="minor"/>
    </font>
    <font>
      <b/>
      <u/>
      <sz val="11"/>
      <color theme="10"/>
      <name val="Calibri"/>
      <family val="2"/>
      <scheme val="minor"/>
    </font>
    <font>
      <b/>
      <sz val="16"/>
      <name val="Arial"/>
      <family val="2"/>
    </font>
    <font>
      <sz val="8"/>
      <color rgb="FF008000"/>
      <name val="Arial"/>
      <family val="2"/>
    </font>
    <font>
      <sz val="14"/>
      <name val="Arial"/>
      <family val="2"/>
    </font>
    <font>
      <sz val="10"/>
      <color theme="0" tint="-0.34998626667073579"/>
      <name val="Arial"/>
      <family val="2"/>
    </font>
    <font>
      <u/>
      <sz val="10"/>
      <color theme="10"/>
      <name val="Arial"/>
      <family val="2"/>
    </font>
    <font>
      <sz val="10"/>
      <color theme="1"/>
      <name val="Arial"/>
      <family val="2"/>
    </font>
    <font>
      <sz val="12"/>
      <name val="Arial"/>
      <family val="2"/>
    </font>
    <font>
      <sz val="11"/>
      <name val="Arial"/>
      <family val="2"/>
    </font>
    <font>
      <b/>
      <sz val="11"/>
      <name val="Arial"/>
      <family val="2"/>
    </font>
    <font>
      <sz val="10"/>
      <color rgb="FF222222"/>
      <name val="Arial"/>
      <family val="2"/>
    </font>
    <font>
      <i/>
      <sz val="10"/>
      <color rgb="FF222222"/>
      <name val="Arial"/>
      <family val="2"/>
    </font>
  </fonts>
  <fills count="24">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C0000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2"/>
        <bgColor indexed="64"/>
      </patternFill>
    </fill>
    <fill>
      <patternFill patternType="mediumGray">
        <fgColor indexed="22"/>
      </patternFill>
    </fill>
    <fill>
      <patternFill patternType="solid">
        <fgColor theme="3" tint="0.39997558519241921"/>
        <bgColor indexed="24"/>
      </patternFill>
    </fill>
    <fill>
      <patternFill patternType="solid">
        <fgColor indexed="11"/>
        <bgColor indexed="64"/>
      </patternFill>
    </fill>
    <fill>
      <patternFill patternType="solid">
        <fgColor indexed="45"/>
        <bgColor indexed="64"/>
      </patternFill>
    </fill>
    <fill>
      <patternFill patternType="solid">
        <fgColor indexed="13"/>
        <bgColor indexed="64"/>
      </patternFill>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20"/>
        <bgColor indexed="24"/>
      </patternFill>
    </fill>
    <fill>
      <patternFill patternType="solid">
        <fgColor indexed="22"/>
        <bgColor indexed="24"/>
      </patternFill>
    </fill>
    <fill>
      <patternFill patternType="solid">
        <fgColor indexed="22"/>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6" tint="-0.249977111117893"/>
        <bgColor indexed="64"/>
      </patternFill>
    </fill>
  </fills>
  <borders count="42">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diagonal/>
    </border>
    <border>
      <left style="double">
        <color indexed="64"/>
      </left>
      <right/>
      <top/>
      <bottom style="double">
        <color indexed="64"/>
      </bottom>
      <diagonal/>
    </border>
    <border>
      <left style="double">
        <color indexed="64"/>
      </left>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style="thin">
        <color indexed="64"/>
      </left>
      <right style="thin">
        <color indexed="64"/>
      </right>
      <top/>
      <bottom style="double">
        <color indexed="64"/>
      </bottom>
      <diagonal/>
    </border>
  </borders>
  <cellStyleXfs count="30">
    <xf numFmtId="0" fontId="0" fillId="0" borderId="0"/>
    <xf numFmtId="164" fontId="3" fillId="0" borderId="0"/>
    <xf numFmtId="165" fontId="7" fillId="0" borderId="0" applyFont="0" applyFill="0" applyBorder="0" applyAlignment="0" applyProtection="0"/>
    <xf numFmtId="9" fontId="7"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18" fillId="0" borderId="0"/>
    <xf numFmtId="0" fontId="11" fillId="0" borderId="0"/>
    <xf numFmtId="43" fontId="19"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42" fontId="11" fillId="0" borderId="0" applyFont="0" applyFill="0" applyBorder="0" applyAlignment="0" applyProtection="0"/>
    <xf numFmtId="44" fontId="11" fillId="0" borderId="0" applyFont="0" applyFill="0" applyBorder="0" applyAlignment="0" applyProtection="0"/>
    <xf numFmtId="0" fontId="11" fillId="0" borderId="0"/>
    <xf numFmtId="0" fontId="20" fillId="0" borderId="0" applyNumberFormat="0" applyFont="0" applyFill="0" applyBorder="0" applyAlignment="0" applyProtection="0">
      <alignment horizontal="left"/>
    </xf>
    <xf numFmtId="15" fontId="20" fillId="0" borderId="0" applyFont="0" applyFill="0" applyBorder="0" applyAlignment="0" applyProtection="0"/>
    <xf numFmtId="4" fontId="20" fillId="0" borderId="0" applyFont="0" applyFill="0" applyBorder="0" applyAlignment="0" applyProtection="0"/>
    <xf numFmtId="0" fontId="21" fillId="0" borderId="1">
      <alignment horizontal="center"/>
    </xf>
    <xf numFmtId="3" fontId="20" fillId="0" borderId="0" applyFont="0" applyFill="0" applyBorder="0" applyAlignment="0" applyProtection="0"/>
    <xf numFmtId="0" fontId="20" fillId="10" borderId="0" applyNumberFormat="0" applyFont="0" applyBorder="0" applyAlignment="0" applyProtection="0"/>
    <xf numFmtId="0" fontId="22" fillId="0" borderId="0"/>
    <xf numFmtId="43" fontId="23" fillId="0" borderId="0" applyFont="0" applyFill="0" applyBorder="0" applyAlignment="0" applyProtection="0"/>
    <xf numFmtId="9" fontId="23" fillId="0" borderId="0" applyFont="0" applyFill="0" applyBorder="0" applyAlignment="0" applyProtection="0"/>
    <xf numFmtId="0" fontId="46" fillId="0" borderId="0" applyNumberFormat="0" applyFill="0" applyBorder="0" applyAlignment="0" applyProtection="0"/>
    <xf numFmtId="0" fontId="11" fillId="0" borderId="0"/>
    <xf numFmtId="0"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cellStyleXfs>
  <cellXfs count="604">
    <xf numFmtId="0" fontId="0" fillId="0" borderId="0" xfId="0"/>
    <xf numFmtId="164" fontId="4" fillId="0" borderId="0" xfId="1" applyFont="1"/>
    <xf numFmtId="164" fontId="5" fillId="0" borderId="0" xfId="1" applyFont="1"/>
    <xf numFmtId="164" fontId="6" fillId="0" borderId="0" xfId="1" applyFont="1"/>
    <xf numFmtId="164" fontId="6" fillId="0" borderId="0" xfId="1" applyFont="1" applyAlignment="1">
      <alignment horizontal="center" vertical="center"/>
    </xf>
    <xf numFmtId="164" fontId="6" fillId="0" borderId="0" xfId="1" applyFont="1" applyAlignment="1">
      <alignment horizontal="center"/>
    </xf>
    <xf numFmtId="165" fontId="5" fillId="0" borderId="0" xfId="2" applyFont="1"/>
    <xf numFmtId="164" fontId="5" fillId="0" borderId="0" xfId="1" applyFont="1" applyAlignment="1">
      <alignment horizontal="center"/>
    </xf>
    <xf numFmtId="164" fontId="5" fillId="2" borderId="0" xfId="1" applyFont="1" applyFill="1"/>
    <xf numFmtId="164" fontId="6" fillId="2" borderId="0" xfId="1" applyFont="1" applyFill="1"/>
    <xf numFmtId="164" fontId="6" fillId="0" borderId="0" xfId="1" applyFont="1" applyFill="1"/>
    <xf numFmtId="166" fontId="6" fillId="0" borderId="0" xfId="2" applyNumberFormat="1" applyFont="1" applyFill="1"/>
    <xf numFmtId="166" fontId="6" fillId="0" borderId="0" xfId="2" applyNumberFormat="1" applyFont="1"/>
    <xf numFmtId="165" fontId="6" fillId="0" borderId="0" xfId="2" applyFont="1" applyFill="1"/>
    <xf numFmtId="41" fontId="6" fillId="0" borderId="0" xfId="2" applyNumberFormat="1" applyFont="1"/>
    <xf numFmtId="41" fontId="6" fillId="0" borderId="0" xfId="1" applyNumberFormat="1" applyFont="1"/>
    <xf numFmtId="164" fontId="5" fillId="3" borderId="0" xfId="1" applyFont="1" applyFill="1"/>
    <xf numFmtId="41" fontId="6" fillId="3" borderId="0" xfId="1" applyNumberFormat="1" applyFont="1" applyFill="1"/>
    <xf numFmtId="164" fontId="6" fillId="3" borderId="0" xfId="1" applyFont="1" applyFill="1"/>
    <xf numFmtId="164" fontId="5" fillId="4" borderId="0" xfId="1" applyFont="1" applyFill="1"/>
    <xf numFmtId="41" fontId="5" fillId="4" borderId="0" xfId="2" applyNumberFormat="1" applyFont="1" applyFill="1"/>
    <xf numFmtId="164" fontId="5" fillId="0" borderId="0" xfId="1" applyFont="1" applyAlignment="1">
      <alignment horizontal="right"/>
    </xf>
    <xf numFmtId="167" fontId="1" fillId="5" borderId="0" xfId="3" applyNumberFormat="1" applyFont="1" applyFill="1"/>
    <xf numFmtId="164" fontId="6" fillId="0" borderId="0" xfId="1" applyFont="1" applyAlignment="1">
      <alignment horizontal="right"/>
    </xf>
    <xf numFmtId="3" fontId="6" fillId="0" borderId="0" xfId="2" applyNumberFormat="1" applyFont="1"/>
    <xf numFmtId="41" fontId="6" fillId="0" borderId="0" xfId="1" applyNumberFormat="1" applyFont="1" applyFill="1" applyBorder="1"/>
    <xf numFmtId="164" fontId="4" fillId="0" borderId="2" xfId="4" applyNumberFormat="1" applyFont="1" applyFill="1" applyBorder="1"/>
    <xf numFmtId="164" fontId="6" fillId="0" borderId="2" xfId="4" applyNumberFormat="1" applyFont="1" applyFill="1" applyBorder="1"/>
    <xf numFmtId="0" fontId="12" fillId="0" borderId="0" xfId="4" applyFont="1" applyFill="1"/>
    <xf numFmtId="164" fontId="5" fillId="6" borderId="0" xfId="4" applyNumberFormat="1" applyFont="1" applyFill="1"/>
    <xf numFmtId="9" fontId="6" fillId="6" borderId="0" xfId="5" applyFont="1" applyFill="1"/>
    <xf numFmtId="164" fontId="6" fillId="6" borderId="0" xfId="4" applyNumberFormat="1" applyFont="1" applyFill="1"/>
    <xf numFmtId="164" fontId="6" fillId="0" borderId="0" xfId="4" applyNumberFormat="1" applyFont="1" applyFill="1"/>
    <xf numFmtId="0" fontId="5" fillId="0" borderId="0" xfId="4" applyFont="1"/>
    <xf numFmtId="0" fontId="6" fillId="0" borderId="0" xfId="4" applyFont="1"/>
    <xf numFmtId="0" fontId="6" fillId="0" borderId="0" xfId="4" applyFont="1" applyFill="1"/>
    <xf numFmtId="0" fontId="13" fillId="0" borderId="0" xfId="4" applyFont="1"/>
    <xf numFmtId="0" fontId="6" fillId="0" borderId="0" xfId="4" applyFont="1" applyFill="1" applyBorder="1" applyAlignment="1">
      <alignment horizontal="left" indent="1"/>
    </xf>
    <xf numFmtId="168" fontId="6" fillId="0" borderId="0" xfId="6" applyNumberFormat="1" applyFont="1" applyFill="1" applyBorder="1" applyAlignment="1">
      <alignment horizontal="left" indent="1"/>
    </xf>
    <xf numFmtId="168" fontId="6" fillId="0" borderId="0" xfId="6" applyNumberFormat="1" applyFont="1" applyFill="1"/>
    <xf numFmtId="0" fontId="6" fillId="0" borderId="0" xfId="4" applyFont="1" applyAlignment="1">
      <alignment horizontal="left" indent="1"/>
    </xf>
    <xf numFmtId="168" fontId="6" fillId="0" borderId="0" xfId="6" applyNumberFormat="1" applyFont="1" applyAlignment="1">
      <alignment horizontal="left" indent="1"/>
    </xf>
    <xf numFmtId="168" fontId="6" fillId="0" borderId="0" xfId="4" applyNumberFormat="1" applyFont="1"/>
    <xf numFmtId="0" fontId="6" fillId="0" borderId="0" xfId="4" applyFont="1" applyBorder="1"/>
    <xf numFmtId="168" fontId="6" fillId="0" borderId="0" xfId="6" applyNumberFormat="1" applyFont="1"/>
    <xf numFmtId="0" fontId="13" fillId="0" borderId="0" xfId="4" applyFont="1" applyBorder="1"/>
    <xf numFmtId="0" fontId="12" fillId="0" borderId="0" xfId="4" applyFont="1"/>
    <xf numFmtId="168" fontId="12" fillId="0" borderId="0" xfId="6" applyNumberFormat="1" applyFont="1"/>
    <xf numFmtId="43" fontId="5" fillId="7" borderId="0" xfId="6" applyFont="1" applyFill="1"/>
    <xf numFmtId="43" fontId="6" fillId="7" borderId="0" xfId="6" applyFont="1" applyFill="1"/>
    <xf numFmtId="43" fontId="6" fillId="0" borderId="0" xfId="6" applyFont="1" applyFill="1"/>
    <xf numFmtId="43" fontId="5" fillId="0" borderId="0" xfId="6" applyFont="1" applyFill="1"/>
    <xf numFmtId="0" fontId="6" fillId="0" borderId="0" xfId="6" applyNumberFormat="1" applyFont="1" applyFill="1"/>
    <xf numFmtId="0" fontId="13" fillId="0" borderId="0" xfId="4" applyFont="1" applyFill="1" applyBorder="1" applyAlignment="1">
      <alignment horizontal="left"/>
    </xf>
    <xf numFmtId="0" fontId="6" fillId="0" borderId="0" xfId="4" applyFont="1" applyFill="1" applyBorder="1"/>
    <xf numFmtId="168" fontId="6" fillId="0" borderId="0" xfId="6" applyNumberFormat="1" applyFont="1" applyFill="1" applyBorder="1"/>
    <xf numFmtId="0" fontId="6" fillId="0" borderId="0" xfId="4" applyFont="1" applyBorder="1" applyAlignment="1">
      <alignment horizontal="left" indent="1"/>
    </xf>
    <xf numFmtId="168" fontId="6" fillId="0" borderId="0" xfId="4" applyNumberFormat="1" applyFont="1" applyBorder="1"/>
    <xf numFmtId="168" fontId="6" fillId="0" borderId="0" xfId="6" applyNumberFormat="1" applyFont="1" applyBorder="1"/>
    <xf numFmtId="43" fontId="6" fillId="0" borderId="0" xfId="6" applyFont="1" applyBorder="1"/>
    <xf numFmtId="0" fontId="6" fillId="0" borderId="0" xfId="4" applyFont="1" applyFill="1" applyAlignment="1">
      <alignment horizontal="left" indent="1"/>
    </xf>
    <xf numFmtId="43" fontId="6" fillId="0" borderId="0" xfId="6" applyFont="1"/>
    <xf numFmtId="0" fontId="14" fillId="0" borderId="0" xfId="4" applyFont="1"/>
    <xf numFmtId="168" fontId="6" fillId="0" borderId="0" xfId="4" applyNumberFormat="1" applyFont="1" applyFill="1"/>
    <xf numFmtId="164" fontId="5" fillId="3" borderId="0" xfId="4" applyNumberFormat="1" applyFont="1" applyFill="1"/>
    <xf numFmtId="164" fontId="6" fillId="3" borderId="0" xfId="4" applyNumberFormat="1" applyFont="1" applyFill="1"/>
    <xf numFmtId="9" fontId="6" fillId="0" borderId="0" xfId="4" applyNumberFormat="1" applyFont="1" applyFill="1"/>
    <xf numFmtId="9" fontId="6" fillId="0" borderId="0" xfId="4" applyNumberFormat="1" applyFont="1"/>
    <xf numFmtId="168" fontId="12" fillId="0" borderId="0" xfId="6" applyNumberFormat="1" applyFont="1" applyFill="1"/>
    <xf numFmtId="0" fontId="11" fillId="0" borderId="0" xfId="4"/>
    <xf numFmtId="0" fontId="6" fillId="0" borderId="2" xfId="4" applyFont="1" applyBorder="1"/>
    <xf numFmtId="2" fontId="6" fillId="0" borderId="0" xfId="4" applyNumberFormat="1" applyFont="1" applyFill="1"/>
    <xf numFmtId="0" fontId="16" fillId="0" borderId="0" xfId="4" applyFont="1" applyFill="1"/>
    <xf numFmtId="43" fontId="6" fillId="0" borderId="0" xfId="4" applyNumberFormat="1" applyFont="1"/>
    <xf numFmtId="164" fontId="5" fillId="0" borderId="0" xfId="4" applyNumberFormat="1" applyFont="1" applyFill="1"/>
    <xf numFmtId="9" fontId="6" fillId="0" borderId="0" xfId="5" applyFont="1" applyFill="1"/>
    <xf numFmtId="168" fontId="6" fillId="0" borderId="0" xfId="4" applyNumberFormat="1" applyFont="1" applyFill="1" applyBorder="1"/>
    <xf numFmtId="167" fontId="6" fillId="0" borderId="0" xfId="5" applyNumberFormat="1" applyFont="1" applyBorder="1"/>
    <xf numFmtId="164" fontId="10" fillId="0" borderId="0" xfId="4" applyNumberFormat="1" applyFont="1" applyFill="1"/>
    <xf numFmtId="164" fontId="6" fillId="0" borderId="0" xfId="4" applyNumberFormat="1" applyFont="1" applyFill="1" applyAlignment="1">
      <alignment horizontal="left" indent="1"/>
    </xf>
    <xf numFmtId="0" fontId="6" fillId="0" borderId="0" xfId="6" applyNumberFormat="1" applyFont="1" applyFill="1" applyAlignment="1">
      <alignment horizontal="left" indent="1"/>
    </xf>
    <xf numFmtId="166" fontId="6" fillId="0" borderId="0" xfId="6" applyNumberFormat="1" applyFont="1" applyFill="1"/>
    <xf numFmtId="165" fontId="6" fillId="0" borderId="0" xfId="6" applyNumberFormat="1" applyFont="1" applyFill="1"/>
    <xf numFmtId="164" fontId="4" fillId="0" borderId="2" xfId="4" applyNumberFormat="1" applyFont="1" applyBorder="1"/>
    <xf numFmtId="164" fontId="6" fillId="0" borderId="2" xfId="4" applyNumberFormat="1" applyFont="1" applyBorder="1"/>
    <xf numFmtId="164" fontId="17" fillId="0" borderId="0" xfId="4" applyNumberFormat="1" applyFont="1"/>
    <xf numFmtId="164" fontId="6" fillId="0" borderId="0" xfId="4" applyNumberFormat="1" applyFont="1"/>
    <xf numFmtId="11" fontId="6" fillId="0" borderId="0" xfId="6" applyNumberFormat="1" applyFont="1" applyFill="1"/>
    <xf numFmtId="166" fontId="6" fillId="0" borderId="0" xfId="6" applyNumberFormat="1" applyFont="1"/>
    <xf numFmtId="169" fontId="6" fillId="0" borderId="0" xfId="6" applyNumberFormat="1" applyFont="1"/>
    <xf numFmtId="169" fontId="6" fillId="0" borderId="0" xfId="6" applyNumberFormat="1" applyFont="1" applyFill="1"/>
    <xf numFmtId="165" fontId="6" fillId="0" borderId="0" xfId="6" applyNumberFormat="1" applyFont="1"/>
    <xf numFmtId="164" fontId="10" fillId="0" borderId="0" xfId="4" applyNumberFormat="1" applyFont="1"/>
    <xf numFmtId="164" fontId="5" fillId="8" borderId="0" xfId="4" applyNumberFormat="1" applyFont="1" applyFill="1"/>
    <xf numFmtId="164" fontId="6" fillId="8" borderId="0" xfId="4" applyNumberFormat="1" applyFont="1" applyFill="1"/>
    <xf numFmtId="43" fontId="6" fillId="0" borderId="0" xfId="6" applyNumberFormat="1" applyFont="1"/>
    <xf numFmtId="170" fontId="6" fillId="0" borderId="0" xfId="6" applyNumberFormat="1" applyFont="1"/>
    <xf numFmtId="165" fontId="6" fillId="3" borderId="0" xfId="6" applyNumberFormat="1" applyFont="1" applyFill="1"/>
    <xf numFmtId="168" fontId="5" fillId="3" borderId="0" xfId="6" applyNumberFormat="1" applyFont="1" applyFill="1"/>
    <xf numFmtId="166" fontId="5" fillId="0" borderId="0" xfId="6" applyNumberFormat="1" applyFont="1" applyFill="1"/>
    <xf numFmtId="168" fontId="5" fillId="0" borderId="0" xfId="6" applyNumberFormat="1" applyFont="1" applyFill="1"/>
    <xf numFmtId="164" fontId="5" fillId="9" borderId="0" xfId="4" applyNumberFormat="1" applyFont="1" applyFill="1"/>
    <xf numFmtId="164" fontId="6" fillId="9" borderId="0" xfId="4" applyNumberFormat="1" applyFont="1" applyFill="1"/>
    <xf numFmtId="0" fontId="11" fillId="0" borderId="0" xfId="4" applyFill="1"/>
    <xf numFmtId="0" fontId="6" fillId="9" borderId="0" xfId="7" applyFont="1" applyFill="1"/>
    <xf numFmtId="167" fontId="6" fillId="0" borderId="0" xfId="5" applyNumberFormat="1" applyFont="1"/>
    <xf numFmtId="2" fontId="6" fillId="0" borderId="0" xfId="4" applyNumberFormat="1" applyFont="1"/>
    <xf numFmtId="0" fontId="5" fillId="0" borderId="0" xfId="4" applyFont="1" applyFill="1" applyBorder="1"/>
    <xf numFmtId="0" fontId="6" fillId="0" borderId="2" xfId="4" applyFont="1" applyFill="1" applyBorder="1"/>
    <xf numFmtId="0" fontId="4" fillId="0" borderId="2" xfId="4" applyFont="1" applyBorder="1"/>
    <xf numFmtId="0" fontId="4" fillId="0" borderId="0" xfId="4" applyFont="1" applyBorder="1"/>
    <xf numFmtId="0" fontId="6" fillId="0" borderId="0" xfId="4" applyFont="1" applyBorder="1" applyAlignment="1">
      <alignment horizontal="center"/>
    </xf>
    <xf numFmtId="0" fontId="6" fillId="0" borderId="2" xfId="4" applyFont="1" applyBorder="1" applyAlignment="1">
      <alignment horizontal="left"/>
    </xf>
    <xf numFmtId="0" fontId="5" fillId="0" borderId="3" xfId="4" applyFont="1" applyBorder="1" applyAlignment="1">
      <alignment horizontal="left" indent="1"/>
    </xf>
    <xf numFmtId="168" fontId="5" fillId="0" borderId="3" xfId="4" applyNumberFormat="1" applyFont="1" applyBorder="1"/>
    <xf numFmtId="0" fontId="2" fillId="0" borderId="0" xfId="4" applyFont="1" applyFill="1"/>
    <xf numFmtId="0" fontId="5" fillId="0" borderId="0" xfId="4" applyFont="1" applyBorder="1"/>
    <xf numFmtId="168" fontId="5" fillId="0" borderId="0" xfId="4" applyNumberFormat="1" applyFont="1" applyBorder="1"/>
    <xf numFmtId="9" fontId="6" fillId="0" borderId="0" xfId="5" applyFont="1"/>
    <xf numFmtId="0" fontId="5" fillId="2" borderId="0" xfId="4" applyFont="1" applyFill="1" applyAlignment="1">
      <alignment horizontal="left"/>
    </xf>
    <xf numFmtId="0" fontId="6" fillId="2" borderId="0" xfId="4" applyFont="1" applyFill="1"/>
    <xf numFmtId="0" fontId="6" fillId="0" borderId="0" xfId="4" applyFont="1" applyAlignment="1">
      <alignment horizontal="right"/>
    </xf>
    <xf numFmtId="0" fontId="6" fillId="0" borderId="2" xfId="4" applyFont="1" applyBorder="1" applyAlignment="1">
      <alignment horizontal="right"/>
    </xf>
    <xf numFmtId="10" fontId="23" fillId="0" borderId="0" xfId="5" applyNumberFormat="1" applyFont="1"/>
    <xf numFmtId="10" fontId="23" fillId="0" borderId="0" xfId="5" applyNumberFormat="1" applyFont="1" applyFill="1" applyBorder="1"/>
    <xf numFmtId="172" fontId="23" fillId="0" borderId="0" xfId="6" applyNumberFormat="1" applyFont="1" applyFill="1" applyBorder="1"/>
    <xf numFmtId="168" fontId="23" fillId="0" borderId="0" xfId="6" applyNumberFormat="1" applyFont="1"/>
    <xf numFmtId="168" fontId="23" fillId="0" borderId="2" xfId="6" applyNumberFormat="1" applyFont="1" applyBorder="1"/>
    <xf numFmtId="0" fontId="5" fillId="0" borderId="2" xfId="4" applyFont="1" applyBorder="1" applyAlignment="1">
      <alignment wrapText="1"/>
    </xf>
    <xf numFmtId="0" fontId="5" fillId="0" borderId="0" xfId="4" applyFont="1" applyFill="1" applyBorder="1" applyAlignment="1">
      <alignment wrapText="1"/>
    </xf>
    <xf numFmtId="0" fontId="6" fillId="0" borderId="0" xfId="4" applyFont="1" applyFill="1" applyBorder="1" applyAlignment="1">
      <alignment wrapText="1"/>
    </xf>
    <xf numFmtId="9" fontId="6" fillId="0" borderId="0" xfId="4" applyNumberFormat="1" applyFont="1" applyFill="1" applyBorder="1"/>
    <xf numFmtId="9" fontId="6" fillId="0" borderId="0" xfId="4" applyNumberFormat="1" applyFont="1" applyFill="1" applyBorder="1" applyAlignment="1">
      <alignment horizontal="right"/>
    </xf>
    <xf numFmtId="171" fontId="6" fillId="0" borderId="0" xfId="4" applyNumberFormat="1" applyFont="1" applyFill="1" applyBorder="1"/>
    <xf numFmtId="0" fontId="5" fillId="0" borderId="2" xfId="4" applyFont="1" applyBorder="1"/>
    <xf numFmtId="172" fontId="6" fillId="0" borderId="0" xfId="4" applyNumberFormat="1" applyFont="1" applyFill="1" applyBorder="1"/>
    <xf numFmtId="0" fontId="6" fillId="0" borderId="2" xfId="4" applyFont="1" applyBorder="1" applyAlignment="1">
      <alignment horizontal="left" indent="1"/>
    </xf>
    <xf numFmtId="0" fontId="6" fillId="0" borderId="2" xfId="4" applyFont="1" applyBorder="1" applyAlignment="1">
      <alignment horizontal="right" wrapText="1"/>
    </xf>
    <xf numFmtId="9" fontId="6" fillId="0" borderId="0" xfId="4" applyNumberFormat="1" applyFont="1" applyFill="1" applyAlignment="1">
      <alignment horizontal="right"/>
    </xf>
    <xf numFmtId="171" fontId="6" fillId="0" borderId="0" xfId="4" applyNumberFormat="1" applyFont="1" applyFill="1"/>
    <xf numFmtId="172" fontId="23" fillId="0" borderId="2" xfId="6" applyNumberFormat="1" applyFont="1" applyBorder="1"/>
    <xf numFmtId="172" fontId="6" fillId="0" borderId="2" xfId="4" applyNumberFormat="1" applyFont="1" applyBorder="1"/>
    <xf numFmtId="168" fontId="23" fillId="0" borderId="0" xfId="6" applyNumberFormat="1" applyFont="1" applyBorder="1"/>
    <xf numFmtId="10" fontId="24" fillId="0" borderId="0" xfId="5" applyNumberFormat="1" applyFont="1" applyFill="1" applyBorder="1"/>
    <xf numFmtId="10" fontId="5" fillId="0" borderId="0" xfId="4" applyNumberFormat="1" applyFont="1" applyFill="1" applyBorder="1"/>
    <xf numFmtId="10" fontId="23" fillId="0" borderId="0" xfId="5" applyNumberFormat="1" applyFont="1" applyBorder="1"/>
    <xf numFmtId="164" fontId="6" fillId="0" borderId="3" xfId="4" applyNumberFormat="1" applyFont="1" applyFill="1" applyBorder="1" applyAlignment="1">
      <alignment horizontal="left" vertical="center"/>
    </xf>
    <xf numFmtId="0" fontId="5" fillId="9" borderId="0" xfId="4" applyFont="1" applyFill="1"/>
    <xf numFmtId="0" fontId="6" fillId="9" borderId="0" xfId="4" applyFont="1" applyFill="1"/>
    <xf numFmtId="0" fontId="15" fillId="9" borderId="0" xfId="4" applyFont="1" applyFill="1"/>
    <xf numFmtId="9" fontId="15" fillId="9" borderId="0" xfId="4" applyNumberFormat="1" applyFont="1" applyFill="1"/>
    <xf numFmtId="2" fontId="15" fillId="9" borderId="0" xfId="4" applyNumberFormat="1" applyFont="1" applyFill="1"/>
    <xf numFmtId="1" fontId="15" fillId="9" borderId="0" xfId="4" applyNumberFormat="1" applyFont="1" applyFill="1" applyBorder="1"/>
    <xf numFmtId="9" fontId="15" fillId="9" borderId="0" xfId="5" applyFont="1" applyFill="1"/>
    <xf numFmtId="167" fontId="15" fillId="9" borderId="0" xfId="5" applyNumberFormat="1" applyFont="1" applyFill="1"/>
    <xf numFmtId="164" fontId="6" fillId="0" borderId="3" xfId="4" applyNumberFormat="1" applyFont="1" applyFill="1" applyBorder="1" applyAlignment="1">
      <alignment horizontal="right" vertical="center" wrapText="1"/>
    </xf>
    <xf numFmtId="0" fontId="5" fillId="0" borderId="2" xfId="4" applyFont="1" applyBorder="1" applyAlignment="1">
      <alignment horizontal="right"/>
    </xf>
    <xf numFmtId="0" fontId="6" fillId="0" borderId="4" xfId="4" applyFont="1" applyFill="1" applyBorder="1"/>
    <xf numFmtId="0" fontId="6" fillId="9" borderId="0" xfId="4" applyFont="1" applyFill="1" applyBorder="1"/>
    <xf numFmtId="43" fontId="6" fillId="0" borderId="0" xfId="4" applyNumberFormat="1" applyFont="1" applyFill="1" applyBorder="1"/>
    <xf numFmtId="164" fontId="13" fillId="9" borderId="0" xfId="0" applyNumberFormat="1" applyFont="1" applyFill="1"/>
    <xf numFmtId="164" fontId="6" fillId="9" borderId="0" xfId="0" applyNumberFormat="1" applyFont="1" applyFill="1"/>
    <xf numFmtId="9" fontId="6" fillId="9" borderId="0" xfId="4" applyNumberFormat="1" applyFont="1" applyFill="1"/>
    <xf numFmtId="0" fontId="6" fillId="9" borderId="0" xfId="4" applyNumberFormat="1" applyFont="1" applyFill="1"/>
    <xf numFmtId="9" fontId="6" fillId="9" borderId="0" xfId="5" applyFont="1" applyFill="1" applyBorder="1"/>
    <xf numFmtId="167" fontId="6" fillId="9" borderId="0" xfId="23" applyNumberFormat="1" applyFont="1" applyFill="1"/>
    <xf numFmtId="3" fontId="6" fillId="0" borderId="0" xfId="4" applyNumberFormat="1" applyFont="1"/>
    <xf numFmtId="3" fontId="6" fillId="0" borderId="0" xfId="6" applyNumberFormat="1" applyFont="1"/>
    <xf numFmtId="43" fontId="6" fillId="0" borderId="0" xfId="22" applyFont="1"/>
    <xf numFmtId="0" fontId="10" fillId="0" borderId="0" xfId="4" applyFont="1" applyFill="1" applyBorder="1" applyAlignment="1">
      <alignment horizontal="left"/>
    </xf>
    <xf numFmtId="1" fontId="15" fillId="9" borderId="0" xfId="4" applyNumberFormat="1" applyFont="1" applyFill="1"/>
    <xf numFmtId="3" fontId="15" fillId="9" borderId="0" xfId="22" applyNumberFormat="1" applyFont="1" applyFill="1"/>
    <xf numFmtId="166" fontId="6" fillId="3" borderId="0" xfId="6" applyNumberFormat="1" applyFont="1" applyFill="1"/>
    <xf numFmtId="0" fontId="6" fillId="3" borderId="0" xfId="4" applyFont="1" applyFill="1"/>
    <xf numFmtId="168" fontId="6" fillId="3" borderId="0" xfId="4" applyNumberFormat="1" applyFont="1" applyFill="1"/>
    <xf numFmtId="168" fontId="6" fillId="3" borderId="0" xfId="6" applyNumberFormat="1" applyFont="1" applyFill="1"/>
    <xf numFmtId="3" fontId="15" fillId="9" borderId="0" xfId="6" applyNumberFormat="1" applyFont="1" applyFill="1"/>
    <xf numFmtId="9" fontId="6" fillId="3" borderId="0" xfId="5" applyFont="1" applyFill="1"/>
    <xf numFmtId="164" fontId="6" fillId="3" borderId="0" xfId="4" applyNumberFormat="1" applyFont="1" applyFill="1" applyAlignment="1">
      <alignment horizontal="left"/>
    </xf>
    <xf numFmtId="168" fontId="6" fillId="3" borderId="0" xfId="6" applyNumberFormat="1" applyFont="1" applyFill="1" applyBorder="1"/>
    <xf numFmtId="0" fontId="2" fillId="0" borderId="0" xfId="4" applyFont="1" applyFill="1" applyBorder="1"/>
    <xf numFmtId="0" fontId="5" fillId="0" borderId="0" xfId="4" applyFont="1" applyFill="1" applyBorder="1" applyAlignment="1">
      <alignment horizontal="left"/>
    </xf>
    <xf numFmtId="0" fontId="5" fillId="0" borderId="0" xfId="4" applyFont="1" applyFill="1" applyBorder="1" applyAlignment="1">
      <alignment horizontal="left" indent="1"/>
    </xf>
    <xf numFmtId="168" fontId="5" fillId="0" borderId="0" xfId="4" applyNumberFormat="1" applyFont="1" applyFill="1" applyBorder="1"/>
    <xf numFmtId="0" fontId="6" fillId="0" borderId="0" xfId="4" applyFont="1" applyFill="1" applyBorder="1" applyAlignment="1">
      <alignment horizontal="left"/>
    </xf>
    <xf numFmtId="37" fontId="6" fillId="9" borderId="0" xfId="22" applyNumberFormat="1" applyFont="1" applyFill="1" applyAlignment="1">
      <alignment horizontal="right"/>
    </xf>
    <xf numFmtId="0" fontId="10" fillId="0" borderId="0" xfId="4" applyFont="1"/>
    <xf numFmtId="168" fontId="6" fillId="0" borderId="0" xfId="2" applyNumberFormat="1" applyFont="1" applyFill="1"/>
    <xf numFmtId="168" fontId="6" fillId="9" borderId="0" xfId="4" applyNumberFormat="1" applyFont="1" applyFill="1" applyBorder="1"/>
    <xf numFmtId="9" fontId="6" fillId="0" borderId="0" xfId="23" applyFont="1"/>
    <xf numFmtId="3" fontId="6" fillId="0" borderId="2" xfId="4" applyNumberFormat="1" applyFont="1" applyBorder="1"/>
    <xf numFmtId="9" fontId="6" fillId="0" borderId="2" xfId="23" applyFont="1" applyBorder="1"/>
    <xf numFmtId="3" fontId="6" fillId="0" borderId="0" xfId="1" applyNumberFormat="1" applyFont="1" applyFill="1"/>
    <xf numFmtId="3" fontId="5" fillId="0" borderId="0" xfId="2" applyNumberFormat="1" applyFont="1"/>
    <xf numFmtId="41" fontId="5" fillId="0" borderId="0" xfId="2" applyNumberFormat="1" applyFont="1"/>
    <xf numFmtId="164" fontId="6" fillId="0" borderId="2" xfId="1" applyFont="1" applyFill="1" applyBorder="1"/>
    <xf numFmtId="3" fontId="6" fillId="0" borderId="2" xfId="1" applyNumberFormat="1" applyFont="1" applyFill="1" applyBorder="1"/>
    <xf numFmtId="166" fontId="6" fillId="0" borderId="2" xfId="2" applyNumberFormat="1" applyFont="1" applyFill="1" applyBorder="1"/>
    <xf numFmtId="164" fontId="6" fillId="0" borderId="0" xfId="1" applyFont="1" applyFill="1" applyBorder="1"/>
    <xf numFmtId="166" fontId="6" fillId="0" borderId="0" xfId="2" applyNumberFormat="1" applyFont="1" applyFill="1" applyBorder="1"/>
    <xf numFmtId="165" fontId="6" fillId="0" borderId="0" xfId="2" applyFont="1" applyFill="1" applyBorder="1"/>
    <xf numFmtId="166" fontId="6" fillId="0" borderId="0" xfId="2" applyNumberFormat="1" applyFont="1" applyBorder="1"/>
    <xf numFmtId="164" fontId="5" fillId="0" borderId="0" xfId="1" applyFont="1" applyFill="1" applyBorder="1" applyAlignment="1">
      <alignment horizontal="left" vertical="center"/>
    </xf>
    <xf numFmtId="3" fontId="5" fillId="0" borderId="0" xfId="2" applyNumberFormat="1" applyFont="1" applyFill="1" applyBorder="1"/>
    <xf numFmtId="164" fontId="5" fillId="0" borderId="0" xfId="1" applyFont="1" applyFill="1" applyBorder="1"/>
    <xf numFmtId="164" fontId="5" fillId="0" borderId="0" xfId="1" applyFont="1" applyFill="1" applyBorder="1" applyAlignment="1">
      <alignment horizontal="center"/>
    </xf>
    <xf numFmtId="3" fontId="5" fillId="0" borderId="0" xfId="2" applyNumberFormat="1" applyFont="1" applyFill="1" applyBorder="1" applyAlignment="1">
      <alignment horizontal="center"/>
    </xf>
    <xf numFmtId="41" fontId="8" fillId="0" borderId="0" xfId="1" applyNumberFormat="1" applyFont="1" applyFill="1" applyBorder="1"/>
    <xf numFmtId="41" fontId="9" fillId="0" borderId="0" xfId="1" applyNumberFormat="1" applyFont="1" applyFill="1" applyBorder="1"/>
    <xf numFmtId="164" fontId="10" fillId="0" borderId="0" xfId="1" applyFont="1" applyFill="1" applyBorder="1"/>
    <xf numFmtId="168" fontId="6" fillId="0" borderId="0" xfId="2" applyNumberFormat="1" applyFont="1" applyFill="1" applyBorder="1"/>
    <xf numFmtId="164" fontId="9" fillId="0" borderId="0" xfId="1" applyFont="1" applyFill="1" applyBorder="1" applyAlignment="1">
      <alignment horizontal="right"/>
    </xf>
    <xf numFmtId="167" fontId="9" fillId="0" borderId="0" xfId="3" applyNumberFormat="1" applyFont="1" applyFill="1" applyBorder="1"/>
    <xf numFmtId="41" fontId="6" fillId="3" borderId="0" xfId="4" applyNumberFormat="1" applyFont="1" applyFill="1"/>
    <xf numFmtId="0" fontId="12" fillId="9" borderId="0" xfId="4" applyFont="1" applyFill="1"/>
    <xf numFmtId="3" fontId="15" fillId="9" borderId="0" xfId="4" applyNumberFormat="1" applyFont="1" applyFill="1"/>
    <xf numFmtId="164" fontId="10" fillId="0" borderId="0" xfId="0" applyNumberFormat="1" applyFont="1"/>
    <xf numFmtId="41" fontId="6" fillId="0" borderId="0" xfId="0" applyNumberFormat="1" applyFont="1"/>
    <xf numFmtId="41" fontId="25" fillId="0" borderId="0" xfId="0" applyNumberFormat="1" applyFont="1"/>
    <xf numFmtId="164" fontId="6" fillId="0" borderId="0" xfId="0" applyNumberFormat="1" applyFont="1"/>
    <xf numFmtId="0" fontId="26" fillId="11" borderId="5" xfId="0" applyFont="1" applyFill="1" applyBorder="1" applyAlignment="1">
      <alignment horizontal="left"/>
    </xf>
    <xf numFmtId="0" fontId="27" fillId="11" borderId="5" xfId="0" applyFont="1" applyFill="1" applyBorder="1" applyAlignment="1">
      <alignment horizontal="right"/>
    </xf>
    <xf numFmtId="0" fontId="26" fillId="11" borderId="2" xfId="0" applyFont="1" applyFill="1" applyBorder="1" applyAlignment="1">
      <alignment horizontal="left"/>
    </xf>
    <xf numFmtId="0" fontId="28" fillId="11" borderId="2" xfId="0" applyFont="1" applyFill="1" applyBorder="1" applyAlignment="1">
      <alignment horizontal="right"/>
    </xf>
    <xf numFmtId="0" fontId="29" fillId="0" borderId="3" xfId="0" applyFont="1" applyFill="1" applyBorder="1" applyAlignment="1">
      <alignment horizontal="left"/>
    </xf>
    <xf numFmtId="0" fontId="0" fillId="0" borderId="3" xfId="0" applyFill="1" applyBorder="1" applyAlignment="1"/>
    <xf numFmtId="0" fontId="30" fillId="0" borderId="0" xfId="0" applyFont="1" applyFill="1" applyBorder="1" applyAlignment="1">
      <alignment horizontal="left"/>
    </xf>
    <xf numFmtId="168" fontId="0" fillId="0" borderId="0" xfId="0" applyNumberFormat="1" applyFill="1" applyBorder="1" applyAlignment="1"/>
    <xf numFmtId="9" fontId="0" fillId="0" borderId="0" xfId="0" applyNumberFormat="1" applyFill="1" applyBorder="1" applyAlignment="1"/>
    <xf numFmtId="166" fontId="6" fillId="0" borderId="2" xfId="2" applyNumberFormat="1" applyFont="1" applyBorder="1"/>
    <xf numFmtId="0" fontId="29" fillId="0" borderId="6" xfId="0" applyFont="1" applyFill="1" applyBorder="1" applyAlignment="1">
      <alignment horizontal="left"/>
    </xf>
    <xf numFmtId="0" fontId="31" fillId="9" borderId="0" xfId="4" applyFont="1" applyFill="1"/>
    <xf numFmtId="9" fontId="31" fillId="9" borderId="0" xfId="4" applyNumberFormat="1" applyFont="1" applyFill="1"/>
    <xf numFmtId="9" fontId="31" fillId="9" borderId="0" xfId="5" applyFont="1" applyFill="1" applyBorder="1"/>
    <xf numFmtId="168" fontId="31" fillId="9" borderId="0" xfId="4" applyNumberFormat="1" applyFont="1" applyFill="1" applyBorder="1"/>
    <xf numFmtId="9" fontId="6" fillId="0" borderId="0" xfId="5" applyFont="1" applyFill="1" applyBorder="1"/>
    <xf numFmtId="0" fontId="32" fillId="0" borderId="7" xfId="4" applyFont="1" applyFill="1" applyBorder="1"/>
    <xf numFmtId="167" fontId="32" fillId="0" borderId="8" xfId="23" applyNumberFormat="1" applyFont="1" applyFill="1" applyBorder="1"/>
    <xf numFmtId="167" fontId="0" fillId="0" borderId="6" xfId="23" applyNumberFormat="1" applyFont="1" applyFill="1" applyBorder="1" applyAlignment="1"/>
    <xf numFmtId="0" fontId="33" fillId="0" borderId="0" xfId="4" applyFont="1"/>
    <xf numFmtId="0" fontId="11" fillId="12" borderId="0" xfId="4" applyFont="1" applyFill="1"/>
    <xf numFmtId="168" fontId="11" fillId="12" borderId="0" xfId="4" applyNumberFormat="1" applyFont="1" applyFill="1" applyBorder="1"/>
    <xf numFmtId="0" fontId="34" fillId="0" borderId="0" xfId="4" applyFont="1"/>
    <xf numFmtId="0" fontId="11" fillId="0" borderId="2" xfId="4" applyBorder="1"/>
    <xf numFmtId="0" fontId="11" fillId="13" borderId="2" xfId="4" applyFill="1" applyBorder="1"/>
    <xf numFmtId="9" fontId="11" fillId="0" borderId="0" xfId="4" applyNumberFormat="1" applyFill="1"/>
    <xf numFmtId="168" fontId="0" fillId="14" borderId="0" xfId="6" applyNumberFormat="1" applyFont="1" applyFill="1"/>
    <xf numFmtId="168" fontId="0" fillId="0" borderId="0" xfId="6" applyNumberFormat="1" applyFont="1"/>
    <xf numFmtId="9" fontId="11" fillId="12" borderId="0" xfId="4" applyNumberFormat="1" applyFill="1"/>
    <xf numFmtId="9" fontId="11" fillId="14" borderId="0" xfId="4" applyNumberFormat="1" applyFill="1"/>
    <xf numFmtId="9" fontId="0" fillId="14" borderId="0" xfId="5" applyFont="1" applyFill="1"/>
    <xf numFmtId="168" fontId="0" fillId="0" borderId="0" xfId="6" applyNumberFormat="1" applyFont="1" applyFill="1"/>
    <xf numFmtId="167" fontId="0" fillId="0" borderId="0" xfId="5" applyNumberFormat="1" applyFont="1"/>
    <xf numFmtId="168" fontId="11" fillId="14" borderId="0" xfId="4" applyNumberFormat="1" applyFill="1"/>
    <xf numFmtId="168" fontId="11" fillId="0" borderId="0" xfId="4" applyNumberFormat="1"/>
    <xf numFmtId="0" fontId="11" fillId="0" borderId="0" xfId="4" applyBorder="1"/>
    <xf numFmtId="168" fontId="11" fillId="14" borderId="0" xfId="4" applyNumberFormat="1" applyFill="1" applyBorder="1"/>
    <xf numFmtId="168" fontId="11" fillId="0" borderId="0" xfId="4" applyNumberFormat="1" applyFill="1" applyBorder="1"/>
    <xf numFmtId="168" fontId="11" fillId="0" borderId="0" xfId="4" applyNumberFormat="1" applyFill="1"/>
    <xf numFmtId="168" fontId="11" fillId="0" borderId="2" xfId="4" applyNumberFormat="1" applyFill="1" applyBorder="1"/>
    <xf numFmtId="167" fontId="0" fillId="0" borderId="2" xfId="5" applyNumberFormat="1" applyFont="1" applyBorder="1"/>
    <xf numFmtId="0" fontId="11" fillId="12" borderId="0" xfId="4" applyFill="1"/>
    <xf numFmtId="0" fontId="11" fillId="14" borderId="0" xfId="4" applyFill="1"/>
    <xf numFmtId="0" fontId="34" fillId="0" borderId="0" xfId="4" applyFont="1" applyFill="1"/>
    <xf numFmtId="0" fontId="11" fillId="0" borderId="0" xfId="4" applyFill="1" applyBorder="1"/>
    <xf numFmtId="9" fontId="0" fillId="0" borderId="0" xfId="5" applyFont="1" applyFill="1"/>
    <xf numFmtId="9" fontId="0" fillId="12" borderId="0" xfId="5" applyFont="1" applyFill="1"/>
    <xf numFmtId="168" fontId="11" fillId="0" borderId="0" xfId="4" applyNumberFormat="1" applyFont="1"/>
    <xf numFmtId="1" fontId="11" fillId="12" borderId="0" xfId="4" applyNumberFormat="1" applyFill="1"/>
    <xf numFmtId="168" fontId="11" fillId="0" borderId="2" xfId="4" applyNumberFormat="1" applyBorder="1"/>
    <xf numFmtId="168" fontId="11" fillId="0" borderId="0" xfId="4" applyNumberFormat="1" applyBorder="1"/>
    <xf numFmtId="0" fontId="11" fillId="0" borderId="2" xfId="4" applyFill="1" applyBorder="1"/>
    <xf numFmtId="2" fontId="11" fillId="0" borderId="0" xfId="4" applyNumberFormat="1"/>
    <xf numFmtId="171" fontId="11" fillId="0" borderId="2" xfId="4" applyNumberFormat="1" applyBorder="1"/>
    <xf numFmtId="2" fontId="11" fillId="14" borderId="0" xfId="4" applyNumberFormat="1" applyFill="1"/>
    <xf numFmtId="43" fontId="0" fillId="0" borderId="0" xfId="6" applyFont="1"/>
    <xf numFmtId="2" fontId="11" fillId="14" borderId="2" xfId="4" applyNumberFormat="1" applyFill="1" applyBorder="1"/>
    <xf numFmtId="168" fontId="0" fillId="14" borderId="2" xfId="6" applyNumberFormat="1" applyFont="1" applyFill="1" applyBorder="1"/>
    <xf numFmtId="43" fontId="0" fillId="0" borderId="2" xfId="6" applyFont="1" applyBorder="1"/>
    <xf numFmtId="43" fontId="11" fillId="0" borderId="0" xfId="4" applyNumberFormat="1"/>
    <xf numFmtId="167" fontId="0" fillId="0" borderId="0" xfId="5" applyNumberFormat="1" applyFont="1" applyBorder="1"/>
    <xf numFmtId="0" fontId="34" fillId="15" borderId="3" xfId="4" applyFont="1" applyFill="1" applyBorder="1"/>
    <xf numFmtId="0" fontId="11" fillId="15" borderId="3" xfId="4" applyFill="1" applyBorder="1"/>
    <xf numFmtId="9" fontId="29" fillId="12" borderId="0" xfId="4" applyNumberFormat="1" applyFont="1" applyFill="1"/>
    <xf numFmtId="0" fontId="29" fillId="0" borderId="0" xfId="4" applyFont="1"/>
    <xf numFmtId="43" fontId="29" fillId="0" borderId="0" xfId="5" applyNumberFormat="1" applyFont="1"/>
    <xf numFmtId="43" fontId="29" fillId="0" borderId="0" xfId="6" applyNumberFormat="1" applyFont="1"/>
    <xf numFmtId="0" fontId="11" fillId="16" borderId="0" xfId="4" applyFill="1"/>
    <xf numFmtId="0" fontId="34" fillId="16" borderId="0" xfId="4" applyFont="1" applyFill="1"/>
    <xf numFmtId="168" fontId="0" fillId="14" borderId="0" xfId="6" applyNumberFormat="1" applyFont="1" applyFill="1" applyBorder="1"/>
    <xf numFmtId="0" fontId="11" fillId="14" borderId="0" xfId="4" applyFill="1" applyBorder="1"/>
    <xf numFmtId="2" fontId="11" fillId="14" borderId="0" xfId="4" applyNumberFormat="1" applyFill="1" applyBorder="1"/>
    <xf numFmtId="0" fontId="11" fillId="14" borderId="2" xfId="4" applyFill="1" applyBorder="1"/>
    <xf numFmtId="0" fontId="35" fillId="0" borderId="0" xfId="4" applyFont="1"/>
    <xf numFmtId="2" fontId="11" fillId="0" borderId="0" xfId="4" applyNumberFormat="1" applyFill="1" applyBorder="1"/>
    <xf numFmtId="43" fontId="0" fillId="0" borderId="0" xfId="5" applyNumberFormat="1" applyFont="1"/>
    <xf numFmtId="43" fontId="0" fillId="0" borderId="0" xfId="6" applyNumberFormat="1" applyFont="1"/>
    <xf numFmtId="170" fontId="11" fillId="0" borderId="0" xfId="4" applyNumberFormat="1"/>
    <xf numFmtId="170" fontId="11" fillId="0" borderId="0" xfId="4" applyNumberFormat="1" applyBorder="1"/>
    <xf numFmtId="170" fontId="11" fillId="0" borderId="2" xfId="4" applyNumberFormat="1" applyBorder="1"/>
    <xf numFmtId="0" fontId="34" fillId="17" borderId="0" xfId="4" applyFont="1" applyFill="1"/>
    <xf numFmtId="0" fontId="11" fillId="17" borderId="0" xfId="4" applyFill="1"/>
    <xf numFmtId="0" fontId="11" fillId="0" borderId="0" xfId="4" quotePrefix="1"/>
    <xf numFmtId="10" fontId="0" fillId="12" borderId="0" xfId="5" applyNumberFormat="1" applyFont="1" applyFill="1"/>
    <xf numFmtId="10" fontId="11" fillId="12" borderId="0" xfId="4" applyNumberFormat="1" applyFill="1"/>
    <xf numFmtId="168" fontId="0" fillId="0" borderId="2" xfId="6" applyNumberFormat="1" applyFont="1" applyBorder="1"/>
    <xf numFmtId="10" fontId="0" fillId="0" borderId="0" xfId="5" applyNumberFormat="1" applyFont="1"/>
    <xf numFmtId="9" fontId="0" fillId="12" borderId="0" xfId="5" applyNumberFormat="1" applyFont="1" applyFill="1"/>
    <xf numFmtId="43" fontId="0" fillId="0" borderId="0" xfId="6" applyFont="1" applyBorder="1"/>
    <xf numFmtId="43" fontId="0" fillId="0" borderId="0" xfId="6" applyFont="1" applyFill="1" applyBorder="1"/>
    <xf numFmtId="168" fontId="0" fillId="0" borderId="0" xfId="6" applyNumberFormat="1" applyFont="1" applyBorder="1"/>
    <xf numFmtId="43" fontId="0" fillId="0" borderId="2" xfId="6" applyNumberFormat="1" applyFont="1" applyBorder="1"/>
    <xf numFmtId="43" fontId="0" fillId="0" borderId="0" xfId="6" applyNumberFormat="1" applyFont="1" applyBorder="1"/>
    <xf numFmtId="0" fontId="39" fillId="0" borderId="0" xfId="4" applyFont="1"/>
    <xf numFmtId="168" fontId="40" fillId="0" borderId="0" xfId="4" applyNumberFormat="1" applyFont="1" applyFill="1" applyBorder="1"/>
    <xf numFmtId="9" fontId="40" fillId="0" borderId="0" xfId="5" applyFont="1" applyFill="1" applyBorder="1"/>
    <xf numFmtId="43" fontId="11" fillId="0" borderId="0" xfId="4" applyNumberFormat="1" applyFill="1" applyBorder="1"/>
    <xf numFmtId="0" fontId="11" fillId="0" borderId="0" xfId="4" applyFont="1"/>
    <xf numFmtId="9" fontId="11" fillId="0" borderId="0" xfId="4" applyNumberFormat="1" applyFill="1" applyBorder="1"/>
    <xf numFmtId="9" fontId="11" fillId="0" borderId="0" xfId="4" applyNumberFormat="1"/>
    <xf numFmtId="9" fontId="40" fillId="0" borderId="0" xfId="5" applyNumberFormat="1" applyFont="1" applyFill="1" applyBorder="1"/>
    <xf numFmtId="0" fontId="29" fillId="0" borderId="0" xfId="4" applyFont="1" applyBorder="1"/>
    <xf numFmtId="168" fontId="42" fillId="0" borderId="0" xfId="4" applyNumberFormat="1" applyFont="1"/>
    <xf numFmtId="0" fontId="29" fillId="0" borderId="0" xfId="4" applyFont="1" applyAlignment="1">
      <alignment horizontal="right"/>
    </xf>
    <xf numFmtId="0" fontId="29" fillId="16" borderId="0" xfId="4" applyFont="1" applyFill="1"/>
    <xf numFmtId="9" fontId="11" fillId="16" borderId="0" xfId="4" applyNumberFormat="1" applyFill="1"/>
    <xf numFmtId="9" fontId="29" fillId="16" borderId="0" xfId="5" applyFont="1" applyFill="1"/>
    <xf numFmtId="0" fontId="29" fillId="17" borderId="0" xfId="4" applyFont="1" applyFill="1"/>
    <xf numFmtId="9" fontId="29" fillId="17" borderId="0" xfId="5" applyFont="1" applyFill="1"/>
    <xf numFmtId="168" fontId="0" fillId="16" borderId="0" xfId="6" applyNumberFormat="1" applyFont="1" applyFill="1"/>
    <xf numFmtId="0" fontId="29" fillId="16" borderId="2" xfId="4" applyFont="1" applyFill="1" applyBorder="1"/>
    <xf numFmtId="0" fontId="11" fillId="16" borderId="2" xfId="4" applyFill="1" applyBorder="1"/>
    <xf numFmtId="43" fontId="0" fillId="16" borderId="2" xfId="6" applyFont="1" applyFill="1" applyBorder="1"/>
    <xf numFmtId="43" fontId="0" fillId="16" borderId="0" xfId="6" applyFont="1" applyFill="1" applyBorder="1"/>
    <xf numFmtId="0" fontId="11" fillId="0" borderId="0" xfId="4" applyAlignment="1">
      <alignment horizontal="right"/>
    </xf>
    <xf numFmtId="0" fontId="11" fillId="16" borderId="0" xfId="4" applyFill="1" applyBorder="1"/>
    <xf numFmtId="43" fontId="11" fillId="16" borderId="0" xfId="4" applyNumberFormat="1" applyFill="1"/>
    <xf numFmtId="0" fontId="29" fillId="16" borderId="0" xfId="4" applyFont="1" applyFill="1" applyAlignment="1">
      <alignment horizontal="right"/>
    </xf>
    <xf numFmtId="10" fontId="29" fillId="0" borderId="0" xfId="5" applyNumberFormat="1" applyFont="1"/>
    <xf numFmtId="0" fontId="29" fillId="0" borderId="2" xfId="4" applyFont="1" applyBorder="1"/>
    <xf numFmtId="170" fontId="0" fillId="0" borderId="0" xfId="6" applyNumberFormat="1" applyFont="1"/>
    <xf numFmtId="170" fontId="29" fillId="16" borderId="2" xfId="4" applyNumberFormat="1" applyFont="1" applyFill="1" applyBorder="1"/>
    <xf numFmtId="170" fontId="29" fillId="16" borderId="0" xfId="4" applyNumberFormat="1" applyFont="1" applyFill="1" applyBorder="1"/>
    <xf numFmtId="0" fontId="29" fillId="0" borderId="0" xfId="4" applyFont="1" applyFill="1" applyBorder="1"/>
    <xf numFmtId="0" fontId="11" fillId="17" borderId="0" xfId="4" applyFill="1" applyBorder="1"/>
    <xf numFmtId="168" fontId="0" fillId="17" borderId="0" xfId="6" applyNumberFormat="1" applyFont="1" applyFill="1" applyBorder="1"/>
    <xf numFmtId="0" fontId="29" fillId="17" borderId="0" xfId="4" applyFont="1" applyFill="1" applyBorder="1"/>
    <xf numFmtId="43" fontId="0" fillId="17" borderId="0" xfId="6" applyNumberFormat="1" applyFont="1" applyFill="1" applyBorder="1"/>
    <xf numFmtId="168" fontId="11" fillId="0" borderId="0" xfId="6" applyNumberFormat="1"/>
    <xf numFmtId="43" fontId="11" fillId="0" borderId="0" xfId="6" applyNumberFormat="1"/>
    <xf numFmtId="43" fontId="11" fillId="0" borderId="2" xfId="6" applyNumberFormat="1" applyBorder="1"/>
    <xf numFmtId="43" fontId="11" fillId="0" borderId="0" xfId="6" applyNumberFormat="1" applyBorder="1"/>
    <xf numFmtId="43" fontId="11" fillId="17" borderId="0" xfId="4" applyNumberFormat="1" applyFill="1"/>
    <xf numFmtId="0" fontId="29" fillId="17" borderId="0" xfId="4" applyFont="1" applyFill="1" applyAlignment="1">
      <alignment horizontal="right"/>
    </xf>
    <xf numFmtId="0" fontId="29" fillId="0" borderId="2" xfId="4" applyFont="1" applyFill="1" applyBorder="1"/>
    <xf numFmtId="8" fontId="11" fillId="0" borderId="0" xfId="4" applyNumberFormat="1"/>
    <xf numFmtId="9" fontId="11" fillId="0" borderId="2" xfId="4" applyNumberFormat="1" applyBorder="1"/>
    <xf numFmtId="9" fontId="0" fillId="0" borderId="2" xfId="6" applyNumberFormat="1" applyFont="1" applyBorder="1"/>
    <xf numFmtId="8" fontId="40" fillId="0" borderId="0" xfId="4" applyNumberFormat="1" applyFont="1"/>
    <xf numFmtId="0" fontId="11" fillId="17" borderId="2" xfId="4" applyFill="1" applyBorder="1"/>
    <xf numFmtId="8" fontId="40" fillId="0" borderId="2" xfId="4" applyNumberFormat="1" applyFont="1" applyBorder="1"/>
    <xf numFmtId="8" fontId="11" fillId="0" borderId="2" xfId="4" applyNumberFormat="1" applyBorder="1"/>
    <xf numFmtId="0" fontId="11" fillId="0" borderId="3" xfId="4" applyBorder="1"/>
    <xf numFmtId="8" fontId="11" fillId="0" borderId="3" xfId="4" applyNumberFormat="1" applyBorder="1"/>
    <xf numFmtId="8" fontId="40" fillId="0" borderId="3" xfId="4" applyNumberFormat="1" applyFont="1" applyBorder="1"/>
    <xf numFmtId="0" fontId="29" fillId="13" borderId="2" xfId="4" applyFont="1" applyFill="1" applyBorder="1"/>
    <xf numFmtId="0" fontId="29" fillId="0" borderId="2" xfId="4" applyFont="1" applyBorder="1" applyAlignment="1">
      <alignment horizontal="center"/>
    </xf>
    <xf numFmtId="0" fontId="29" fillId="0" borderId="0" xfId="4" applyFont="1" applyAlignment="1">
      <alignment horizontal="center"/>
    </xf>
    <xf numFmtId="0" fontId="29" fillId="0" borderId="0" xfId="4" applyFont="1" applyAlignment="1">
      <alignment horizontal="left"/>
    </xf>
    <xf numFmtId="167" fontId="11" fillId="0" borderId="0" xfId="4" applyNumberFormat="1"/>
    <xf numFmtId="0" fontId="29" fillId="0" borderId="0" xfId="4" applyFont="1" applyFill="1"/>
    <xf numFmtId="0" fontId="29" fillId="0" borderId="9" xfId="4" applyFont="1" applyBorder="1"/>
    <xf numFmtId="0" fontId="11" fillId="0" borderId="9" xfId="4" applyBorder="1"/>
    <xf numFmtId="168" fontId="29" fillId="0" borderId="9" xfId="4" applyNumberFormat="1" applyFont="1" applyBorder="1"/>
    <xf numFmtId="0" fontId="29" fillId="0" borderId="0" xfId="4" applyFont="1" applyBorder="1" applyAlignment="1">
      <alignment horizontal="center"/>
    </xf>
    <xf numFmtId="0" fontId="11" fillId="0" borderId="0" xfId="4" applyAlignment="1">
      <alignment horizontal="left"/>
    </xf>
    <xf numFmtId="168" fontId="29" fillId="0" borderId="0" xfId="4" applyNumberFormat="1" applyFont="1" applyBorder="1"/>
    <xf numFmtId="9" fontId="0" fillId="0" borderId="0" xfId="5" applyFont="1"/>
    <xf numFmtId="0" fontId="34" fillId="0" borderId="2" xfId="4" applyFont="1" applyBorder="1"/>
    <xf numFmtId="0" fontId="29" fillId="0" borderId="2" xfId="4" applyFont="1" applyBorder="1" applyAlignment="1">
      <alignment wrapText="1"/>
    </xf>
    <xf numFmtId="0" fontId="11" fillId="0" borderId="2" xfId="4" applyBorder="1" applyAlignment="1">
      <alignment wrapText="1"/>
    </xf>
    <xf numFmtId="9" fontId="11" fillId="14" borderId="0" xfId="4" applyNumberFormat="1" applyFill="1" applyBorder="1"/>
    <xf numFmtId="9" fontId="11" fillId="12" borderId="0" xfId="4" applyNumberFormat="1" applyFill="1" applyAlignment="1">
      <alignment horizontal="right"/>
    </xf>
    <xf numFmtId="171" fontId="11" fillId="12" borderId="0" xfId="4" applyNumberFormat="1" applyFill="1"/>
    <xf numFmtId="9" fontId="11" fillId="0" borderId="0" xfId="4" applyNumberFormat="1" applyAlignment="1">
      <alignment horizontal="right"/>
    </xf>
    <xf numFmtId="171" fontId="11" fillId="0" borderId="0" xfId="4" applyNumberFormat="1" applyFill="1"/>
    <xf numFmtId="9" fontId="11" fillId="0" borderId="2" xfId="4" applyNumberFormat="1" applyBorder="1" applyAlignment="1">
      <alignment horizontal="right"/>
    </xf>
    <xf numFmtId="171" fontId="11" fillId="0" borderId="2" xfId="4" applyNumberFormat="1" applyFill="1" applyBorder="1"/>
    <xf numFmtId="0" fontId="11" fillId="0" borderId="0" xfId="4" applyAlignment="1">
      <alignment horizontal="center"/>
    </xf>
    <xf numFmtId="9" fontId="11" fillId="0" borderId="2" xfId="4" applyNumberFormat="1" applyFill="1" applyBorder="1"/>
    <xf numFmtId="172" fontId="11" fillId="0" borderId="2" xfId="4" applyNumberFormat="1" applyFill="1" applyBorder="1"/>
    <xf numFmtId="172" fontId="0" fillId="0" borderId="0" xfId="6" applyNumberFormat="1" applyFont="1"/>
    <xf numFmtId="172" fontId="11" fillId="0" borderId="0" xfId="4" applyNumberFormat="1"/>
    <xf numFmtId="0" fontId="11" fillId="0" borderId="2" xfId="4" quotePrefix="1" applyBorder="1"/>
    <xf numFmtId="10" fontId="0" fillId="12" borderId="2" xfId="5" applyNumberFormat="1" applyFont="1" applyFill="1" applyBorder="1"/>
    <xf numFmtId="10" fontId="11" fillId="12" borderId="2" xfId="4" applyNumberFormat="1" applyFill="1" applyBorder="1"/>
    <xf numFmtId="172" fontId="11" fillId="14" borderId="0" xfId="4" applyNumberFormat="1" applyFill="1"/>
    <xf numFmtId="173" fontId="0" fillId="0" borderId="0" xfId="5" applyNumberFormat="1" applyFont="1"/>
    <xf numFmtId="173" fontId="0" fillId="0" borderId="2" xfId="5" applyNumberFormat="1" applyFont="1" applyBorder="1"/>
    <xf numFmtId="173" fontId="11" fillId="0" borderId="2" xfId="4" applyNumberFormat="1" applyBorder="1"/>
    <xf numFmtId="0" fontId="26" fillId="18" borderId="5" xfId="4" applyFont="1" applyFill="1" applyBorder="1" applyAlignment="1">
      <alignment horizontal="left"/>
    </xf>
    <xf numFmtId="0" fontId="27" fillId="18" borderId="5" xfId="4" applyFont="1" applyFill="1" applyBorder="1" applyAlignment="1">
      <alignment horizontal="right"/>
    </xf>
    <xf numFmtId="0" fontId="26" fillId="18" borderId="2" xfId="4" applyFont="1" applyFill="1" applyBorder="1" applyAlignment="1">
      <alignment horizontal="left"/>
    </xf>
    <xf numFmtId="0" fontId="27" fillId="18" borderId="2" xfId="4" applyFont="1" applyFill="1" applyBorder="1" applyAlignment="1">
      <alignment horizontal="right"/>
    </xf>
    <xf numFmtId="0" fontId="43" fillId="19" borderId="0" xfId="4" applyFont="1" applyFill="1" applyBorder="1" applyAlignment="1">
      <alignment horizontal="left"/>
    </xf>
    <xf numFmtId="0" fontId="11" fillId="0" borderId="0" xfId="4" applyFill="1" applyBorder="1" applyAlignment="1"/>
    <xf numFmtId="0" fontId="44" fillId="0" borderId="0" xfId="4" applyFont="1" applyFill="1" applyBorder="1" applyAlignment="1">
      <alignment vertical="top" wrapText="1"/>
    </xf>
    <xf numFmtId="0" fontId="45" fillId="19" borderId="3" xfId="4" applyFont="1" applyFill="1" applyBorder="1" applyAlignment="1">
      <alignment horizontal="left"/>
    </xf>
    <xf numFmtId="0" fontId="11" fillId="0" borderId="3" xfId="4" applyFill="1" applyBorder="1" applyAlignment="1"/>
    <xf numFmtId="168" fontId="11" fillId="0" borderId="0" xfId="4" applyNumberFormat="1" applyFill="1" applyBorder="1" applyAlignment="1"/>
    <xf numFmtId="168" fontId="11" fillId="20" borderId="0" xfId="4" applyNumberFormat="1" applyFill="1" applyBorder="1" applyAlignment="1"/>
    <xf numFmtId="9" fontId="11" fillId="0" borderId="0" xfId="4" applyNumberFormat="1" applyFill="1" applyBorder="1" applyAlignment="1"/>
    <xf numFmtId="9" fontId="11" fillId="20" borderId="0" xfId="4" applyNumberFormat="1" applyFill="1" applyBorder="1" applyAlignment="1"/>
    <xf numFmtId="8" fontId="11" fillId="0" borderId="0" xfId="4" applyNumberFormat="1" applyFill="1" applyBorder="1" applyAlignment="1"/>
    <xf numFmtId="0" fontId="43" fillId="19" borderId="1" xfId="4" applyFont="1" applyFill="1" applyBorder="1" applyAlignment="1">
      <alignment horizontal="left"/>
    </xf>
    <xf numFmtId="8" fontId="11" fillId="0" borderId="1" xfId="4" applyNumberFormat="1" applyFill="1" applyBorder="1" applyAlignment="1"/>
    <xf numFmtId="9" fontId="0" fillId="0" borderId="0" xfId="23" applyFont="1"/>
    <xf numFmtId="9" fontId="0" fillId="21" borderId="0" xfId="23" applyFont="1" applyFill="1"/>
    <xf numFmtId="9" fontId="0" fillId="23" borderId="0" xfId="0" applyNumberFormat="1" applyFill="1"/>
    <xf numFmtId="9" fontId="0" fillId="22" borderId="0" xfId="0" applyNumberFormat="1" applyFill="1"/>
    <xf numFmtId="6" fontId="0" fillId="22" borderId="0" xfId="0" applyNumberFormat="1" applyFill="1"/>
    <xf numFmtId="0" fontId="24" fillId="0" borderId="0" xfId="0" applyFont="1"/>
    <xf numFmtId="6" fontId="0" fillId="21" borderId="0" xfId="0" applyNumberFormat="1" applyFill="1"/>
    <xf numFmtId="6" fontId="0" fillId="23" borderId="0" xfId="0" applyNumberFormat="1" applyFill="1"/>
    <xf numFmtId="0" fontId="47" fillId="23" borderId="0" xfId="24" applyFont="1" applyFill="1"/>
    <xf numFmtId="174" fontId="0" fillId="23" borderId="0" xfId="0" applyNumberFormat="1" applyFill="1"/>
    <xf numFmtId="174" fontId="0" fillId="22" borderId="0" xfId="0" applyNumberFormat="1" applyFill="1"/>
    <xf numFmtId="0" fontId="47" fillId="21" borderId="0" xfId="24" applyFont="1" applyFill="1"/>
    <xf numFmtId="174" fontId="0" fillId="21" borderId="0" xfId="0" applyNumberFormat="1" applyFill="1"/>
    <xf numFmtId="0" fontId="24" fillId="22" borderId="0" xfId="0" applyFont="1" applyFill="1"/>
    <xf numFmtId="0" fontId="11" fillId="0" borderId="0" xfId="25"/>
    <xf numFmtId="0" fontId="48" fillId="0" borderId="0" xfId="25" applyFont="1" applyAlignment="1">
      <alignment horizontal="center" vertical="center"/>
    </xf>
    <xf numFmtId="0" fontId="49" fillId="0" borderId="0" xfId="25" applyFont="1" applyAlignment="1">
      <alignment horizontal="left"/>
    </xf>
    <xf numFmtId="0" fontId="11" fillId="0" borderId="0" xfId="25" applyAlignment="1">
      <alignment vertical="center"/>
    </xf>
    <xf numFmtId="0" fontId="29" fillId="0" borderId="16" xfId="25" applyFont="1" applyBorder="1" applyAlignment="1">
      <alignment horizontal="left" vertical="center" wrapText="1"/>
    </xf>
    <xf numFmtId="0" fontId="29" fillId="0" borderId="17" xfId="26" applyFont="1" applyFill="1" applyBorder="1" applyAlignment="1">
      <alignment horizontal="left" vertical="center" wrapText="1"/>
    </xf>
    <xf numFmtId="0" fontId="29" fillId="0" borderId="18" xfId="25" applyFont="1" applyBorder="1" applyAlignment="1">
      <alignment horizontal="left" vertical="center" wrapText="1"/>
    </xf>
    <xf numFmtId="0" fontId="29" fillId="0" borderId="21" xfId="0" applyFont="1" applyBorder="1" applyAlignment="1">
      <alignment vertical="center"/>
    </xf>
    <xf numFmtId="0" fontId="29" fillId="0" borderId="22" xfId="0" applyFont="1" applyBorder="1"/>
    <xf numFmtId="0" fontId="2" fillId="0" borderId="0" xfId="0" applyFont="1"/>
    <xf numFmtId="0" fontId="29" fillId="0" borderId="27" xfId="0" applyFont="1" applyBorder="1"/>
    <xf numFmtId="0" fontId="0" fillId="0" borderId="17" xfId="0" applyBorder="1"/>
    <xf numFmtId="0" fontId="52" fillId="0" borderId="25" xfId="24" applyFont="1" applyBorder="1" applyAlignment="1" applyProtection="1"/>
    <xf numFmtId="0" fontId="52" fillId="0" borderId="28" xfId="24" applyFont="1" applyBorder="1" applyAlignment="1" applyProtection="1"/>
    <xf numFmtId="0" fontId="0" fillId="0" borderId="28" xfId="0" applyBorder="1"/>
    <xf numFmtId="0" fontId="0" fillId="0" borderId="29" xfId="0" applyBorder="1"/>
    <xf numFmtId="0" fontId="11" fillId="0" borderId="0" xfId="25" applyBorder="1"/>
    <xf numFmtId="0" fontId="48" fillId="0" borderId="0" xfId="25" applyFont="1" applyBorder="1" applyAlignment="1"/>
    <xf numFmtId="0" fontId="11" fillId="0" borderId="0" xfId="25" applyFont="1" applyBorder="1"/>
    <xf numFmtId="0" fontId="29" fillId="0" borderId="0" xfId="25" applyFont="1" applyBorder="1" applyAlignment="1"/>
    <xf numFmtId="0" fontId="50" fillId="0" borderId="0" xfId="25" applyFont="1" applyBorder="1" applyAlignment="1">
      <alignment horizontal="left"/>
    </xf>
    <xf numFmtId="0" fontId="50" fillId="0" borderId="0" xfId="25" applyFont="1" applyBorder="1"/>
    <xf numFmtId="0" fontId="37" fillId="0" borderId="0" xfId="25" applyFont="1" applyBorder="1"/>
    <xf numFmtId="0" fontId="38" fillId="0" borderId="0" xfId="25" applyFont="1" applyBorder="1" applyAlignment="1">
      <alignment vertical="center"/>
    </xf>
    <xf numFmtId="0" fontId="11" fillId="0" borderId="0" xfId="25" applyBorder="1" applyAlignment="1">
      <alignment horizontal="left" vertical="top"/>
    </xf>
    <xf numFmtId="0" fontId="11" fillId="0" borderId="0" xfId="25" applyNumberFormat="1" applyFont="1" applyFill="1" applyBorder="1" applyAlignment="1">
      <alignment horizontal="justify" vertical="top" wrapText="1"/>
    </xf>
    <xf numFmtId="0" fontId="11" fillId="0" borderId="0" xfId="25" applyBorder="1" applyAlignment="1">
      <alignment horizontal="left" vertical="center"/>
    </xf>
    <xf numFmtId="0" fontId="29" fillId="0" borderId="0" xfId="25" applyNumberFormat="1" applyFont="1" applyFill="1" applyBorder="1" applyAlignment="1">
      <alignment horizontal="left" vertical="center" wrapText="1"/>
    </xf>
    <xf numFmtId="0" fontId="37" fillId="0" borderId="0" xfId="25" applyNumberFormat="1" applyFont="1" applyFill="1" applyBorder="1" applyAlignment="1">
      <alignment horizontal="justify" vertical="top" wrapText="1"/>
    </xf>
    <xf numFmtId="0" fontId="37" fillId="0" borderId="0" xfId="25" applyFont="1" applyBorder="1" applyAlignment="1">
      <alignment horizontal="justify" vertical="top" wrapText="1"/>
    </xf>
    <xf numFmtId="0" fontId="53" fillId="0" borderId="0" xfId="0" applyFont="1"/>
    <xf numFmtId="0" fontId="52" fillId="0" borderId="26" xfId="24" applyFont="1" applyBorder="1" applyAlignment="1" applyProtection="1"/>
    <xf numFmtId="6" fontId="11" fillId="0" borderId="20" xfId="25" applyNumberFormat="1" applyFont="1" applyFill="1" applyBorder="1" applyAlignment="1">
      <alignment horizontal="left" vertical="center" wrapText="1"/>
    </xf>
    <xf numFmtId="0" fontId="11" fillId="0" borderId="24" xfId="25" applyFont="1" applyFill="1" applyBorder="1" applyAlignment="1">
      <alignment horizontal="left" vertical="center" wrapText="1"/>
    </xf>
    <xf numFmtId="0" fontId="54" fillId="0" borderId="0" xfId="25" applyFont="1" applyBorder="1" applyAlignment="1">
      <alignment horizontal="left"/>
    </xf>
    <xf numFmtId="0" fontId="11" fillId="0" borderId="0" xfId="4" applyNumberFormat="1" applyAlignment="1">
      <alignment horizontal="right"/>
    </xf>
    <xf numFmtId="1" fontId="29" fillId="0" borderId="0" xfId="4" applyNumberFormat="1" applyFont="1" applyFill="1"/>
    <xf numFmtId="0" fontId="11" fillId="0" borderId="0" xfId="4" applyAlignment="1">
      <alignment vertical="center" wrapText="1"/>
    </xf>
    <xf numFmtId="1" fontId="11" fillId="12" borderId="2" xfId="4" applyNumberFormat="1" applyFill="1" applyBorder="1"/>
    <xf numFmtId="0" fontId="35" fillId="0" borderId="0" xfId="4" applyFont="1" applyFill="1"/>
    <xf numFmtId="0" fontId="29" fillId="0" borderId="0" xfId="4" applyFont="1" applyAlignment="1">
      <alignment wrapText="1"/>
    </xf>
    <xf numFmtId="164" fontId="5" fillId="9" borderId="0" xfId="4" applyNumberFormat="1" applyFont="1" applyFill="1" applyAlignment="1">
      <alignment horizontal="center"/>
    </xf>
    <xf numFmtId="0" fontId="5" fillId="9" borderId="0" xfId="4" applyFont="1" applyFill="1" applyAlignment="1">
      <alignment horizontal="center"/>
    </xf>
    <xf numFmtId="0" fontId="13" fillId="9" borderId="0" xfId="4" applyFont="1" applyFill="1" applyAlignment="1">
      <alignment horizontal="left"/>
    </xf>
    <xf numFmtId="9" fontId="11" fillId="0" borderId="0" xfId="4" applyNumberFormat="1" applyAlignment="1">
      <alignment horizontal="center"/>
    </xf>
    <xf numFmtId="0" fontId="11" fillId="0" borderId="0" xfId="4" applyAlignment="1">
      <alignment horizontal="center"/>
    </xf>
    <xf numFmtId="0" fontId="11" fillId="0" borderId="33" xfId="4" applyBorder="1"/>
    <xf numFmtId="0" fontId="11" fillId="0" borderId="33" xfId="4" applyBorder="1" applyAlignment="1">
      <alignment horizontal="right"/>
    </xf>
    <xf numFmtId="0" fontId="11" fillId="0" borderId="0" xfId="4" applyFont="1" applyAlignment="1">
      <alignment vertical="top" wrapText="1"/>
    </xf>
    <xf numFmtId="0" fontId="11" fillId="0" borderId="0" xfId="4" applyFont="1" applyAlignment="1">
      <alignment vertical="top"/>
    </xf>
    <xf numFmtId="0" fontId="11" fillId="0" borderId="33" xfId="4" applyBorder="1" applyAlignment="1">
      <alignment vertical="center"/>
    </xf>
    <xf numFmtId="9" fontId="40" fillId="0" borderId="0" xfId="5" applyFont="1" applyFill="1" applyBorder="1" applyAlignment="1">
      <alignment vertical="center"/>
    </xf>
    <xf numFmtId="0" fontId="11" fillId="0" borderId="0" xfId="4" applyAlignment="1">
      <alignment vertical="center"/>
    </xf>
    <xf numFmtId="9" fontId="11" fillId="0" borderId="0" xfId="4" applyNumberFormat="1" applyAlignment="1">
      <alignment vertical="center"/>
    </xf>
    <xf numFmtId="9" fontId="40" fillId="0" borderId="0" xfId="5" applyNumberFormat="1" applyFont="1" applyFill="1" applyBorder="1" applyAlignment="1">
      <alignment vertical="center"/>
    </xf>
    <xf numFmtId="0" fontId="29" fillId="0" borderId="1" xfId="4" applyFont="1" applyBorder="1"/>
    <xf numFmtId="0" fontId="39" fillId="0" borderId="1" xfId="4" applyFont="1" applyBorder="1"/>
    <xf numFmtId="0" fontId="11" fillId="0" borderId="1" xfId="4" applyFont="1" applyBorder="1"/>
    <xf numFmtId="0" fontId="11" fillId="0" borderId="1" xfId="4" applyFont="1" applyFill="1" applyBorder="1"/>
    <xf numFmtId="168" fontId="11" fillId="0" borderId="1" xfId="4" applyNumberFormat="1" applyFont="1" applyFill="1" applyBorder="1"/>
    <xf numFmtId="0" fontId="11" fillId="0" borderId="0" xfId="4" applyFont="1" applyAlignment="1">
      <alignment vertical="center"/>
    </xf>
    <xf numFmtId="0" fontId="6" fillId="9" borderId="0" xfId="7" applyFont="1" applyFill="1" applyAlignment="1">
      <alignment wrapText="1"/>
    </xf>
    <xf numFmtId="164" fontId="6" fillId="9" borderId="0" xfId="4" applyNumberFormat="1" applyFont="1" applyFill="1" applyAlignment="1">
      <alignment vertical="center"/>
    </xf>
    <xf numFmtId="0" fontId="15" fillId="9" borderId="0" xfId="7" applyFont="1" applyFill="1" applyAlignment="1">
      <alignment vertical="center"/>
    </xf>
    <xf numFmtId="164" fontId="6" fillId="0" borderId="33" xfId="4" applyNumberFormat="1" applyFont="1" applyFill="1" applyBorder="1"/>
    <xf numFmtId="0" fontId="6" fillId="0" borderId="33" xfId="4" applyFont="1" applyFill="1" applyBorder="1"/>
    <xf numFmtId="164" fontId="5" fillId="0" borderId="33" xfId="4" applyNumberFormat="1" applyFont="1" applyFill="1" applyBorder="1"/>
    <xf numFmtId="0" fontId="6" fillId="0" borderId="35" xfId="4" applyFont="1" applyFill="1" applyBorder="1"/>
    <xf numFmtId="0" fontId="6" fillId="0" borderId="33" xfId="4" applyFont="1" applyBorder="1" applyAlignment="1">
      <alignment horizontal="right"/>
    </xf>
    <xf numFmtId="0" fontId="6" fillId="0" borderId="33" xfId="4" applyFont="1" applyBorder="1"/>
    <xf numFmtId="164" fontId="5" fillId="0" borderId="0" xfId="4" applyNumberFormat="1" applyFont="1" applyFill="1" applyAlignment="1"/>
    <xf numFmtId="164" fontId="6" fillId="0" borderId="0" xfId="4" applyNumberFormat="1" applyFont="1" applyFill="1" applyAlignment="1"/>
    <xf numFmtId="164" fontId="6" fillId="0" borderId="0" xfId="4" applyNumberFormat="1" applyFont="1" applyFill="1" applyAlignment="1">
      <alignment vertical="center" wrapText="1"/>
    </xf>
    <xf numFmtId="164" fontId="2" fillId="0" borderId="0" xfId="4" applyNumberFormat="1" applyFont="1" applyFill="1" applyAlignment="1"/>
    <xf numFmtId="0" fontId="34" fillId="0" borderId="1" xfId="4" applyFont="1" applyBorder="1"/>
    <xf numFmtId="0" fontId="11" fillId="0" borderId="34" xfId="4" applyBorder="1"/>
    <xf numFmtId="167" fontId="0" fillId="0" borderId="0" xfId="5" applyNumberFormat="1" applyFont="1" applyAlignment="1">
      <alignment horizontal="center"/>
    </xf>
    <xf numFmtId="0" fontId="12" fillId="0" borderId="0" xfId="4" applyFont="1" applyFill="1" applyAlignment="1">
      <alignment horizontal="left"/>
    </xf>
    <xf numFmtId="0" fontId="12" fillId="0" borderId="33" xfId="4" applyFont="1" applyFill="1" applyBorder="1"/>
    <xf numFmtId="43" fontId="6" fillId="0" borderId="33" xfId="6" applyFont="1" applyFill="1" applyBorder="1"/>
    <xf numFmtId="0" fontId="6" fillId="9" borderId="0" xfId="4" applyFont="1" applyFill="1" applyAlignment="1">
      <alignment horizontal="center"/>
    </xf>
    <xf numFmtId="0" fontId="12" fillId="0" borderId="33" xfId="4" applyFont="1" applyBorder="1" applyAlignment="1">
      <alignment horizontal="right"/>
    </xf>
    <xf numFmtId="0" fontId="12" fillId="0" borderId="33" xfId="4" applyFont="1" applyBorder="1"/>
    <xf numFmtId="0" fontId="13" fillId="0" borderId="0" xfId="4" applyFont="1" applyFill="1"/>
    <xf numFmtId="0" fontId="11" fillId="0" borderId="20" xfId="25" applyFont="1" applyFill="1" applyBorder="1" applyAlignment="1">
      <alignment horizontal="justify" vertical="center" wrapText="1"/>
    </xf>
    <xf numFmtId="0" fontId="57" fillId="0" borderId="0" xfId="0" applyFont="1" applyAlignment="1">
      <alignment vertical="top" wrapText="1"/>
    </xf>
    <xf numFmtId="0" fontId="11" fillId="0" borderId="38" xfId="25" applyFont="1" applyFill="1" applyBorder="1" applyAlignment="1">
      <alignment horizontal="justify" vertical="center" wrapText="1"/>
    </xf>
    <xf numFmtId="0" fontId="11" fillId="0" borderId="0" xfId="25" applyFont="1" applyFill="1" applyBorder="1" applyAlignment="1">
      <alignment horizontal="justify" vertical="top" wrapText="1"/>
    </xf>
    <xf numFmtId="0" fontId="29" fillId="0" borderId="40" xfId="25" applyFont="1" applyBorder="1" applyAlignment="1">
      <alignment horizontal="left" vertical="center" wrapText="1"/>
    </xf>
    <xf numFmtId="0" fontId="11" fillId="0" borderId="38" xfId="25" applyFont="1" applyFill="1" applyBorder="1" applyAlignment="1">
      <alignment vertical="center" wrapText="1"/>
    </xf>
    <xf numFmtId="9" fontId="51" fillId="0" borderId="23" xfId="25" applyNumberFormat="1" applyFont="1" applyFill="1" applyBorder="1" applyAlignment="1">
      <alignment horizontal="left" vertical="center" wrapText="1"/>
    </xf>
    <xf numFmtId="9" fontId="51" fillId="0" borderId="39" xfId="25" applyNumberFormat="1" applyFont="1" applyFill="1" applyBorder="1" applyAlignment="1">
      <alignment horizontal="left" vertical="center" wrapText="1"/>
    </xf>
    <xf numFmtId="9" fontId="51" fillId="0" borderId="41" xfId="25" applyNumberFormat="1" applyFont="1" applyFill="1" applyBorder="1" applyAlignment="1">
      <alignment horizontal="left" vertical="center" wrapText="1"/>
    </xf>
    <xf numFmtId="9" fontId="51" fillId="0" borderId="19" xfId="25" applyNumberFormat="1" applyFont="1" applyFill="1" applyBorder="1" applyAlignment="1">
      <alignment horizontal="left" vertical="center" wrapText="1"/>
    </xf>
    <xf numFmtId="0" fontId="53" fillId="0" borderId="25" xfId="0" applyFont="1" applyBorder="1" applyAlignment="1">
      <alignment horizontal="left"/>
    </xf>
    <xf numFmtId="0" fontId="53" fillId="0" borderId="28" xfId="0" applyFont="1" applyBorder="1" applyAlignment="1">
      <alignment horizontal="left"/>
    </xf>
    <xf numFmtId="0" fontId="48" fillId="0" borderId="0" xfId="25" applyFont="1" applyAlignment="1">
      <alignment horizontal="center" vertical="center"/>
    </xf>
    <xf numFmtId="0" fontId="50" fillId="0" borderId="9" xfId="25" applyFont="1" applyBorder="1" applyAlignment="1">
      <alignment horizontal="center" vertical="center"/>
    </xf>
    <xf numFmtId="0" fontId="29" fillId="0" borderId="36" xfId="25" applyFont="1" applyBorder="1" applyAlignment="1">
      <alignment horizontal="left" vertical="center" wrapText="1"/>
    </xf>
    <xf numFmtId="0" fontId="29" fillId="0" borderId="25" xfId="25" applyFont="1" applyBorder="1" applyAlignment="1">
      <alignment horizontal="left" vertical="center" wrapText="1"/>
    </xf>
    <xf numFmtId="0" fontId="29" fillId="0" borderId="37" xfId="25" applyFont="1" applyBorder="1" applyAlignment="1">
      <alignment horizontal="left" vertical="center" wrapText="1"/>
    </xf>
    <xf numFmtId="0" fontId="53" fillId="0" borderId="25" xfId="0" applyFont="1" applyBorder="1" applyAlignment="1">
      <alignment horizontal="left" wrapText="1"/>
    </xf>
    <xf numFmtId="0" fontId="53" fillId="0" borderId="28" xfId="0" applyFont="1" applyBorder="1" applyAlignment="1">
      <alignment horizontal="left" wrapText="1"/>
    </xf>
    <xf numFmtId="0" fontId="53" fillId="0" borderId="25" xfId="0" applyFont="1" applyBorder="1" applyAlignment="1">
      <alignment wrapText="1"/>
    </xf>
    <xf numFmtId="0" fontId="53" fillId="0" borderId="28" xfId="0" applyFont="1" applyBorder="1" applyAlignment="1">
      <alignment wrapText="1"/>
    </xf>
    <xf numFmtId="0" fontId="11" fillId="0" borderId="25" xfId="26" applyFont="1" applyBorder="1" applyAlignment="1">
      <alignment horizontal="left" wrapText="1"/>
    </xf>
    <xf numFmtId="0" fontId="11" fillId="0" borderId="28" xfId="26" applyFont="1" applyBorder="1" applyAlignment="1">
      <alignment horizontal="left" wrapText="1"/>
    </xf>
    <xf numFmtId="0" fontId="0" fillId="0" borderId="10" xfId="0" applyBorder="1" applyAlignment="1">
      <alignment horizontal="left" vertical="top" wrapText="1"/>
    </xf>
    <xf numFmtId="0" fontId="0" fillId="0" borderId="5"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0"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 xfId="0" applyBorder="1" applyAlignment="1">
      <alignment horizontal="left" vertical="top" wrapText="1"/>
    </xf>
    <xf numFmtId="0" fontId="0" fillId="0" borderId="15" xfId="0" applyBorder="1" applyAlignment="1">
      <alignment horizontal="left" vertical="top" wrapText="1"/>
    </xf>
    <xf numFmtId="0" fontId="11" fillId="15" borderId="3" xfId="4" applyFill="1" applyBorder="1" applyAlignment="1">
      <alignment horizontal="center"/>
    </xf>
    <xf numFmtId="0" fontId="11" fillId="0" borderId="2" xfId="4" applyBorder="1" applyAlignment="1">
      <alignment horizontal="center"/>
    </xf>
    <xf numFmtId="43" fontId="11" fillId="16" borderId="4" xfId="4" applyNumberFormat="1" applyFill="1" applyBorder="1" applyAlignment="1">
      <alignment horizontal="center"/>
    </xf>
    <xf numFmtId="9" fontId="40" fillId="16" borderId="0" xfId="4" applyNumberFormat="1" applyFont="1" applyFill="1" applyAlignment="1">
      <alignment horizontal="right"/>
    </xf>
    <xf numFmtId="0" fontId="29" fillId="0" borderId="0" xfId="4" applyFont="1" applyAlignment="1">
      <alignment horizontal="left" vertical="center" wrapText="1"/>
    </xf>
    <xf numFmtId="43" fontId="0" fillId="16" borderId="2" xfId="6" applyFont="1" applyFill="1" applyBorder="1" applyAlignment="1">
      <alignment horizontal="center"/>
    </xf>
    <xf numFmtId="168" fontId="0" fillId="0" borderId="0" xfId="6" applyNumberFormat="1" applyFont="1" applyAlignment="1">
      <alignment horizontal="center"/>
    </xf>
    <xf numFmtId="0" fontId="11" fillId="0" borderId="0" xfId="4" applyAlignment="1">
      <alignment horizontal="center"/>
    </xf>
    <xf numFmtId="0" fontId="11" fillId="0" borderId="2" xfId="4" applyFill="1" applyBorder="1" applyAlignment="1">
      <alignment horizontal="center"/>
    </xf>
    <xf numFmtId="0" fontId="11" fillId="0" borderId="3" xfId="4" applyBorder="1" applyAlignment="1">
      <alignment horizontal="center"/>
    </xf>
    <xf numFmtId="0" fontId="11" fillId="16" borderId="4" xfId="4" applyFill="1" applyBorder="1" applyAlignment="1">
      <alignment horizontal="center"/>
    </xf>
    <xf numFmtId="0" fontId="11" fillId="17" borderId="2" xfId="4" applyFill="1" applyBorder="1" applyAlignment="1">
      <alignment horizontal="center"/>
    </xf>
    <xf numFmtId="0" fontId="11" fillId="0" borderId="2" xfId="4" applyBorder="1" applyAlignment="1">
      <alignment horizontal="right"/>
    </xf>
    <xf numFmtId="0" fontId="11" fillId="0" borderId="4" xfId="4" applyBorder="1" applyAlignment="1">
      <alignment horizontal="center"/>
    </xf>
    <xf numFmtId="43" fontId="11" fillId="17" borderId="4" xfId="4" applyNumberFormat="1" applyFill="1" applyBorder="1" applyAlignment="1"/>
    <xf numFmtId="9" fontId="40" fillId="17" borderId="0" xfId="4" applyNumberFormat="1" applyFont="1" applyFill="1" applyAlignment="1">
      <alignment horizontal="center"/>
    </xf>
    <xf numFmtId="168" fontId="0" fillId="17" borderId="0" xfId="6" applyNumberFormat="1" applyFont="1" applyFill="1" applyBorder="1" applyAlignment="1">
      <alignment horizontal="center"/>
    </xf>
    <xf numFmtId="43" fontId="0" fillId="17" borderId="0" xfId="6" applyNumberFormat="1" applyFont="1" applyFill="1" applyBorder="1" applyAlignment="1">
      <alignment horizontal="center"/>
    </xf>
    <xf numFmtId="43" fontId="11" fillId="0" borderId="2" xfId="6" applyNumberFormat="1" applyBorder="1" applyAlignment="1">
      <alignment horizontal="center"/>
    </xf>
    <xf numFmtId="43" fontId="0" fillId="0" borderId="0" xfId="6" applyNumberFormat="1" applyFont="1" applyBorder="1" applyAlignment="1">
      <alignment horizontal="center"/>
    </xf>
    <xf numFmtId="168" fontId="0" fillId="0" borderId="0" xfId="6" applyNumberFormat="1" applyFont="1" applyBorder="1" applyAlignment="1">
      <alignment horizontal="center"/>
    </xf>
    <xf numFmtId="168" fontId="11" fillId="0" borderId="0" xfId="6" applyNumberFormat="1" applyAlignment="1">
      <alignment horizontal="center"/>
    </xf>
    <xf numFmtId="43" fontId="11" fillId="0" borderId="0" xfId="6" applyNumberFormat="1" applyAlignment="1">
      <alignment horizontal="center"/>
    </xf>
    <xf numFmtId="43" fontId="0" fillId="0" borderId="2" xfId="6" applyNumberFormat="1" applyFont="1" applyBorder="1" applyAlignment="1">
      <alignment horizontal="center"/>
    </xf>
    <xf numFmtId="43" fontId="0" fillId="0" borderId="4" xfId="6" applyNumberFormat="1" applyFont="1" applyBorder="1" applyAlignment="1">
      <alignment horizontal="center"/>
    </xf>
    <xf numFmtId="170" fontId="0" fillId="0" borderId="0" xfId="6" applyNumberFormat="1" applyFont="1" applyAlignment="1">
      <alignment horizontal="center"/>
    </xf>
    <xf numFmtId="0" fontId="11" fillId="17" borderId="0" xfId="4" applyFill="1" applyAlignment="1">
      <alignment horizontal="center"/>
    </xf>
    <xf numFmtId="170" fontId="29" fillId="16" borderId="2" xfId="4" applyNumberFormat="1" applyFont="1" applyFill="1" applyBorder="1" applyAlignment="1">
      <alignment horizontal="center"/>
    </xf>
    <xf numFmtId="10" fontId="29" fillId="0" borderId="4" xfId="5" applyNumberFormat="1" applyFont="1" applyBorder="1" applyAlignment="1">
      <alignment horizontal="center"/>
    </xf>
    <xf numFmtId="10" fontId="29" fillId="0" borderId="0" xfId="5" applyNumberFormat="1" applyFont="1" applyAlignment="1">
      <alignment horizontal="center"/>
    </xf>
    <xf numFmtId="0" fontId="11" fillId="16" borderId="0" xfId="4" applyFill="1" applyAlignment="1">
      <alignment horizontal="center"/>
    </xf>
    <xf numFmtId="1" fontId="0" fillId="0" borderId="2" xfId="6" applyNumberFormat="1" applyFont="1" applyBorder="1" applyAlignment="1">
      <alignment horizontal="right"/>
    </xf>
    <xf numFmtId="168" fontId="0" fillId="16" borderId="0" xfId="6" applyNumberFormat="1" applyFont="1" applyFill="1" applyAlignment="1">
      <alignment horizontal="center"/>
    </xf>
    <xf numFmtId="168" fontId="11" fillId="0" borderId="4" xfId="4" applyNumberFormat="1" applyFill="1" applyBorder="1" applyAlignment="1">
      <alignment horizontal="center"/>
    </xf>
    <xf numFmtId="168" fontId="29" fillId="17" borderId="0" xfId="4" applyNumberFormat="1" applyFont="1" applyFill="1" applyAlignment="1">
      <alignment horizontal="center"/>
    </xf>
    <xf numFmtId="168" fontId="29" fillId="16" borderId="0" xfId="4" applyNumberFormat="1" applyFont="1" applyFill="1" applyAlignment="1">
      <alignment horizontal="center"/>
    </xf>
    <xf numFmtId="0" fontId="11" fillId="0" borderId="0" xfId="4" applyAlignment="1">
      <alignment horizontal="left" vertical="center" wrapText="1"/>
    </xf>
    <xf numFmtId="0" fontId="11" fillId="0" borderId="0" xfId="4" applyAlignment="1">
      <alignment horizontal="left" vertical="center"/>
    </xf>
    <xf numFmtId="9" fontId="11" fillId="0" borderId="0" xfId="4" applyNumberFormat="1" applyAlignment="1">
      <alignment horizontal="left" vertical="center" wrapText="1"/>
    </xf>
    <xf numFmtId="168" fontId="11" fillId="0" borderId="0" xfId="4" applyNumberFormat="1" applyAlignment="1">
      <alignment horizontal="center"/>
    </xf>
    <xf numFmtId="9" fontId="11" fillId="0" borderId="0" xfId="4" applyNumberFormat="1" applyAlignment="1">
      <alignment horizontal="center"/>
    </xf>
    <xf numFmtId="43" fontId="11" fillId="0" borderId="0" xfId="4" applyNumberFormat="1" applyAlignment="1">
      <alignment horizontal="center"/>
    </xf>
    <xf numFmtId="168" fontId="11" fillId="0" borderId="0" xfId="4" applyNumberFormat="1" applyFill="1" applyBorder="1" applyAlignment="1">
      <alignment horizontal="center"/>
    </xf>
    <xf numFmtId="168" fontId="11" fillId="0" borderId="4" xfId="4" applyNumberFormat="1" applyBorder="1" applyAlignment="1">
      <alignment horizontal="center"/>
    </xf>
    <xf numFmtId="0" fontId="11" fillId="0" borderId="0" xfId="4" applyFont="1" applyAlignment="1">
      <alignment horizontal="left" vertical="center" wrapText="1"/>
    </xf>
    <xf numFmtId="0" fontId="11" fillId="0" borderId="0" xfId="4" applyAlignment="1">
      <alignment horizontal="left" wrapText="1"/>
    </xf>
    <xf numFmtId="0" fontId="11" fillId="0" borderId="33" xfId="4" applyBorder="1" applyAlignment="1">
      <alignment horizontal="right" vertical="top"/>
    </xf>
    <xf numFmtId="0" fontId="11" fillId="0" borderId="0" xfId="4" applyAlignment="1">
      <alignment horizontal="left"/>
    </xf>
    <xf numFmtId="9" fontId="11" fillId="0" borderId="0" xfId="5" applyFont="1" applyFill="1" applyBorder="1" applyAlignment="1">
      <alignment horizontal="center"/>
    </xf>
    <xf numFmtId="0" fontId="11" fillId="0" borderId="0" xfId="4" applyFill="1" applyAlignment="1">
      <alignment horizontal="left" vertical="top" wrapText="1"/>
    </xf>
    <xf numFmtId="0" fontId="11" fillId="0" borderId="0" xfId="4" applyAlignment="1">
      <alignment horizontal="left" vertical="top" wrapText="1"/>
    </xf>
    <xf numFmtId="0" fontId="11" fillId="0" borderId="0" xfId="4" applyAlignment="1">
      <alignment horizontal="center" vertical="center" wrapText="1"/>
    </xf>
    <xf numFmtId="0" fontId="55" fillId="12" borderId="32" xfId="4" applyFont="1" applyFill="1" applyBorder="1" applyAlignment="1">
      <alignment horizontal="left"/>
    </xf>
    <xf numFmtId="0" fontId="55" fillId="12" borderId="33" xfId="4" applyFont="1" applyFill="1" applyBorder="1" applyAlignment="1">
      <alignment horizontal="left"/>
    </xf>
    <xf numFmtId="0" fontId="55" fillId="14" borderId="34" xfId="4" applyFont="1" applyFill="1" applyBorder="1" applyAlignment="1">
      <alignment horizontal="left"/>
    </xf>
    <xf numFmtId="0" fontId="55" fillId="14" borderId="35" xfId="4" applyFont="1" applyFill="1" applyBorder="1" applyAlignment="1">
      <alignment horizontal="left"/>
    </xf>
    <xf numFmtId="0" fontId="56" fillId="0" borderId="30" xfId="25" applyFont="1" applyBorder="1" applyAlignment="1">
      <alignment horizontal="left"/>
    </xf>
    <xf numFmtId="0" fontId="56" fillId="0" borderId="31" xfId="25" applyFont="1" applyBorder="1" applyAlignment="1">
      <alignment horizontal="left"/>
    </xf>
  </cellXfs>
  <cellStyles count="30">
    <cellStyle name="=C:\WINNT35\SYSTEM32\COMMAND.COM" xfId="8"/>
    <cellStyle name="Comma" xfId="22" builtinId="3"/>
    <cellStyle name="Comma 2" xfId="6"/>
    <cellStyle name="Comma 2 2" xfId="28"/>
    <cellStyle name="Comma 3" xfId="2"/>
    <cellStyle name="Currency 2" xfId="29"/>
    <cellStyle name="Hyperlink" xfId="24" builtinId="8"/>
    <cellStyle name="Komma_Data book Typical windpark" xfId="9"/>
    <cellStyle name="Milliers [0]_Budget 2000" xfId="10"/>
    <cellStyle name="Milliers_Budget 2000" xfId="11"/>
    <cellStyle name="Monétaire [0]_Budget 2000" xfId="12"/>
    <cellStyle name="Monétaire_Budget 2000" xfId="13"/>
    <cellStyle name="Normal" xfId="0" builtinId="0"/>
    <cellStyle name="Normal 2" xfId="4"/>
    <cellStyle name="Normal 2 2" xfId="7"/>
    <cellStyle name="Normal 3" xfId="14"/>
    <cellStyle name="Normal 4" xfId="1"/>
    <cellStyle name="Normal_ConsolidatedAg_IM_Clean" xfId="25"/>
    <cellStyle name="Normal_mcc-err-namibia_mkt" xfId="26"/>
    <cellStyle name="Percent" xfId="23" builtinId="5"/>
    <cellStyle name="Percent 2" xfId="5"/>
    <cellStyle name="Percent 2 2" xfId="27"/>
    <cellStyle name="Percent 3" xfId="3"/>
    <cellStyle name="PSChar" xfId="15"/>
    <cellStyle name="PSDate" xfId="16"/>
    <cellStyle name="PSDec" xfId="17"/>
    <cellStyle name="PSHeading" xfId="18"/>
    <cellStyle name="PSInt" xfId="19"/>
    <cellStyle name="PSSpacer" xfId="20"/>
    <cellStyle name="Standaard_Data book Typical windpark"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Ger area PM reduction scenarios</a:t>
            </a:r>
          </a:p>
        </c:rich>
      </c:tx>
      <c:layout>
        <c:manualLayout>
          <c:xMode val="edge"/>
          <c:yMode val="edge"/>
          <c:x val="0.26803596317090123"/>
          <c:y val="4.1841004184100417E-2"/>
        </c:manualLayout>
      </c:layout>
      <c:overlay val="0"/>
      <c:spPr>
        <a:noFill/>
        <a:ln w="25400">
          <a:noFill/>
        </a:ln>
      </c:spPr>
    </c:title>
    <c:autoTitleDeleted val="0"/>
    <c:plotArea>
      <c:layout>
        <c:manualLayout>
          <c:layoutTarget val="inner"/>
          <c:xMode val="edge"/>
          <c:yMode val="edge"/>
          <c:x val="0.16689031669131585"/>
          <c:y val="0.15481171548117154"/>
          <c:w val="0.72066273116704571"/>
          <c:h val="0.60251046025104604"/>
        </c:manualLayout>
      </c:layout>
      <c:scatterChart>
        <c:scatterStyle val="lineMarker"/>
        <c:varyColors val="0"/>
        <c:ser>
          <c:idx val="0"/>
          <c:order val="0"/>
          <c:tx>
            <c:v>All-cause mortality</c:v>
          </c:tx>
          <c:spPr>
            <a:ln w="12700">
              <a:solidFill>
                <a:srgbClr val="000080"/>
              </a:solidFill>
              <a:prstDash val="solid"/>
            </a:ln>
          </c:spPr>
          <c:marker>
            <c:symbol val="diamond"/>
            <c:size val="5"/>
            <c:spPr>
              <a:solidFill>
                <a:srgbClr val="000080"/>
              </a:solidFill>
              <a:ln>
                <a:solidFill>
                  <a:srgbClr val="000080"/>
                </a:solidFill>
                <a:prstDash val="solid"/>
              </a:ln>
            </c:spPr>
          </c:marker>
          <c:xVal>
            <c:numRef>
              <c:f>'Insulation Health'!$B$15:$B$18</c:f>
              <c:numCache>
                <c:formatCode>0%</c:formatCode>
                <c:ptCount val="4"/>
                <c:pt idx="0">
                  <c:v>0</c:v>
                </c:pt>
                <c:pt idx="1">
                  <c:v>0.3</c:v>
                </c:pt>
                <c:pt idx="2">
                  <c:v>0.5</c:v>
                </c:pt>
                <c:pt idx="3">
                  <c:v>0.8</c:v>
                </c:pt>
              </c:numCache>
            </c:numRef>
          </c:xVal>
          <c:yVal>
            <c:numRef>
              <c:f>'Insulation Health'!$C$15:$C$18</c:f>
              <c:numCache>
                <c:formatCode>General</c:formatCode>
                <c:ptCount val="4"/>
                <c:pt idx="0">
                  <c:v>614</c:v>
                </c:pt>
                <c:pt idx="1">
                  <c:v>531</c:v>
                </c:pt>
                <c:pt idx="2">
                  <c:v>465</c:v>
                </c:pt>
                <c:pt idx="3">
                  <c:v>341</c:v>
                </c:pt>
              </c:numCache>
            </c:numRef>
          </c:yVal>
          <c:smooth val="0"/>
        </c:ser>
        <c:ser>
          <c:idx val="1"/>
          <c:order val="1"/>
          <c:tx>
            <c:strRef>
              <c:f>'Insulation Health'!$D$9</c:f>
              <c:strCache>
                <c:ptCount val="1"/>
                <c:pt idx="0">
                  <c:v>Chronic bronchitis</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xVal>
            <c:numRef>
              <c:f>'Insulation Health'!$B$15:$B$18</c:f>
              <c:numCache>
                <c:formatCode>0%</c:formatCode>
                <c:ptCount val="4"/>
                <c:pt idx="0">
                  <c:v>0</c:v>
                </c:pt>
                <c:pt idx="1">
                  <c:v>0.3</c:v>
                </c:pt>
                <c:pt idx="2">
                  <c:v>0.5</c:v>
                </c:pt>
                <c:pt idx="3">
                  <c:v>0.8</c:v>
                </c:pt>
              </c:numCache>
            </c:numRef>
          </c:xVal>
          <c:yVal>
            <c:numRef>
              <c:f>'Insulation Health'!$D$15:$D$18</c:f>
              <c:numCache>
                <c:formatCode>General</c:formatCode>
                <c:ptCount val="4"/>
                <c:pt idx="0">
                  <c:v>379</c:v>
                </c:pt>
                <c:pt idx="1">
                  <c:v>308</c:v>
                </c:pt>
                <c:pt idx="2">
                  <c:v>258</c:v>
                </c:pt>
                <c:pt idx="3">
                  <c:v>178</c:v>
                </c:pt>
              </c:numCache>
            </c:numRef>
          </c:yVal>
          <c:smooth val="0"/>
        </c:ser>
        <c:ser>
          <c:idx val="2"/>
          <c:order val="2"/>
          <c:tx>
            <c:v>Hospital admissions (RD)</c:v>
          </c:tx>
          <c:spPr>
            <a:ln w="12700">
              <a:solidFill>
                <a:srgbClr val="FFFF00"/>
              </a:solidFill>
              <a:prstDash val="solid"/>
            </a:ln>
          </c:spPr>
          <c:marker>
            <c:symbol val="triangle"/>
            <c:size val="5"/>
            <c:spPr>
              <a:solidFill>
                <a:srgbClr val="FFFF00"/>
              </a:solidFill>
              <a:ln>
                <a:solidFill>
                  <a:srgbClr val="FFFF00"/>
                </a:solidFill>
                <a:prstDash val="solid"/>
              </a:ln>
            </c:spPr>
          </c:marker>
          <c:xVal>
            <c:numRef>
              <c:f>'Insulation Health'!$B$15:$B$18</c:f>
              <c:numCache>
                <c:formatCode>0%</c:formatCode>
                <c:ptCount val="4"/>
                <c:pt idx="0">
                  <c:v>0</c:v>
                </c:pt>
                <c:pt idx="1">
                  <c:v>0.3</c:v>
                </c:pt>
                <c:pt idx="2">
                  <c:v>0.5</c:v>
                </c:pt>
                <c:pt idx="3">
                  <c:v>0.8</c:v>
                </c:pt>
              </c:numCache>
            </c:numRef>
          </c:xVal>
          <c:yVal>
            <c:numRef>
              <c:f>'Insulation Health'!$E$15:$E$18</c:f>
              <c:numCache>
                <c:formatCode>General</c:formatCode>
                <c:ptCount val="4"/>
                <c:pt idx="0">
                  <c:v>735</c:v>
                </c:pt>
                <c:pt idx="1">
                  <c:v>570</c:v>
                </c:pt>
                <c:pt idx="2">
                  <c:v>458</c:v>
                </c:pt>
                <c:pt idx="3">
                  <c:v>289</c:v>
                </c:pt>
              </c:numCache>
            </c:numRef>
          </c:yVal>
          <c:smooth val="0"/>
        </c:ser>
        <c:ser>
          <c:idx val="3"/>
          <c:order val="3"/>
          <c:tx>
            <c:v>Hospital admissions (CVD)</c:v>
          </c:tx>
          <c:spPr>
            <a:ln w="12700">
              <a:solidFill>
                <a:srgbClr val="00FFFF"/>
              </a:solidFill>
              <a:prstDash val="solid"/>
            </a:ln>
          </c:spPr>
          <c:marker>
            <c:symbol val="x"/>
            <c:size val="5"/>
            <c:spPr>
              <a:noFill/>
              <a:ln>
                <a:solidFill>
                  <a:srgbClr val="00FFFF"/>
                </a:solidFill>
                <a:prstDash val="solid"/>
              </a:ln>
            </c:spPr>
          </c:marker>
          <c:xVal>
            <c:numRef>
              <c:f>'Insulation Health'!$B$15:$B$18</c:f>
              <c:numCache>
                <c:formatCode>0%</c:formatCode>
                <c:ptCount val="4"/>
                <c:pt idx="0">
                  <c:v>0</c:v>
                </c:pt>
                <c:pt idx="1">
                  <c:v>0.3</c:v>
                </c:pt>
                <c:pt idx="2">
                  <c:v>0.5</c:v>
                </c:pt>
                <c:pt idx="3">
                  <c:v>0.8</c:v>
                </c:pt>
              </c:numCache>
            </c:numRef>
          </c:xVal>
          <c:yVal>
            <c:numRef>
              <c:f>'Insulation Health'!$F$15:$F$18</c:f>
              <c:numCache>
                <c:formatCode>General</c:formatCode>
                <c:ptCount val="4"/>
                <c:pt idx="0">
                  <c:v>448</c:v>
                </c:pt>
                <c:pt idx="1">
                  <c:v>346</c:v>
                </c:pt>
                <c:pt idx="2">
                  <c:v>278</c:v>
                </c:pt>
                <c:pt idx="3">
                  <c:v>174</c:v>
                </c:pt>
              </c:numCache>
            </c:numRef>
          </c:yVal>
          <c:smooth val="0"/>
        </c:ser>
        <c:dLbls>
          <c:showLegendKey val="0"/>
          <c:showVal val="0"/>
          <c:showCatName val="0"/>
          <c:showSerName val="0"/>
          <c:showPercent val="0"/>
          <c:showBubbleSize val="0"/>
        </c:dLbls>
        <c:axId val="116301976"/>
        <c:axId val="116300800"/>
      </c:scatterChart>
      <c:valAx>
        <c:axId val="116301976"/>
        <c:scaling>
          <c:orientation val="minMax"/>
        </c:scaling>
        <c:delete val="0"/>
        <c:axPos val="b"/>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PM emissions (percent of 2007 levels)</a:t>
                </a:r>
              </a:p>
            </c:rich>
          </c:tx>
          <c:layout>
            <c:manualLayout>
              <c:xMode val="edge"/>
              <c:yMode val="edge"/>
              <c:x val="0.25792139852294266"/>
              <c:y val="0.8744769874476987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6300800"/>
        <c:crosses val="autoZero"/>
        <c:crossBetween val="midCat"/>
        <c:majorUnit val="0.1"/>
      </c:valAx>
      <c:valAx>
        <c:axId val="11630080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Number of cases (annual)</a:t>
                </a:r>
              </a:p>
            </c:rich>
          </c:tx>
          <c:layout>
            <c:manualLayout>
              <c:xMode val="edge"/>
              <c:yMode val="edge"/>
              <c:x val="4.2986899753823776E-2"/>
              <c:y val="0.1548117154811715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6301976"/>
        <c:crosses val="autoZero"/>
        <c:crossBetween val="midCat"/>
      </c:valAx>
      <c:spPr>
        <a:solidFill>
          <a:srgbClr val="C0C0C0"/>
        </a:solidFill>
        <a:ln w="12700">
          <a:solidFill>
            <a:srgbClr val="808080"/>
          </a:solidFill>
          <a:prstDash val="solid"/>
        </a:ln>
      </c:spPr>
    </c:plotArea>
    <c:legend>
      <c:legendPos val="r"/>
      <c:layout>
        <c:manualLayout>
          <c:xMode val="edge"/>
          <c:yMode val="edge"/>
          <c:x val="0.42481171521425853"/>
          <c:y val="0.14225941422594143"/>
          <c:w val="0.45768405032012377"/>
          <c:h val="0.2384937238493724"/>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12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All sectors PM reduction scenarios</a:t>
            </a:r>
          </a:p>
        </c:rich>
      </c:tx>
      <c:layout>
        <c:manualLayout>
          <c:xMode val="edge"/>
          <c:yMode val="edge"/>
          <c:x val="0.25033547503697379"/>
          <c:y val="4.1841004184100417E-2"/>
        </c:manualLayout>
      </c:layout>
      <c:overlay val="0"/>
      <c:spPr>
        <a:noFill/>
        <a:ln w="25400">
          <a:noFill/>
        </a:ln>
      </c:spPr>
    </c:title>
    <c:autoTitleDeleted val="0"/>
    <c:plotArea>
      <c:layout>
        <c:manualLayout>
          <c:layoutTarget val="inner"/>
          <c:xMode val="edge"/>
          <c:yMode val="edge"/>
          <c:x val="0.16689031669131585"/>
          <c:y val="0.15481171548117154"/>
          <c:w val="0.72066273116704571"/>
          <c:h val="0.60251046025104604"/>
        </c:manualLayout>
      </c:layout>
      <c:scatterChart>
        <c:scatterStyle val="lineMarker"/>
        <c:varyColors val="0"/>
        <c:ser>
          <c:idx val="0"/>
          <c:order val="0"/>
          <c:tx>
            <c:v>All-cause mortality</c:v>
          </c:tx>
          <c:spPr>
            <a:ln w="12700">
              <a:solidFill>
                <a:srgbClr val="000080"/>
              </a:solidFill>
              <a:prstDash val="solid"/>
            </a:ln>
          </c:spPr>
          <c:marker>
            <c:symbol val="diamond"/>
            <c:size val="5"/>
            <c:spPr>
              <a:solidFill>
                <a:srgbClr val="000080"/>
              </a:solidFill>
              <a:ln>
                <a:solidFill>
                  <a:srgbClr val="000080"/>
                </a:solidFill>
                <a:prstDash val="solid"/>
              </a:ln>
            </c:spPr>
          </c:marker>
          <c:xVal>
            <c:numRef>
              <c:f>'Insulation Health'!$I$15:$I$18</c:f>
              <c:numCache>
                <c:formatCode>0%</c:formatCode>
                <c:ptCount val="4"/>
                <c:pt idx="0">
                  <c:v>0</c:v>
                </c:pt>
                <c:pt idx="1">
                  <c:v>0.3</c:v>
                </c:pt>
                <c:pt idx="2">
                  <c:v>0.5</c:v>
                </c:pt>
                <c:pt idx="3">
                  <c:v>0.8</c:v>
                </c:pt>
              </c:numCache>
            </c:numRef>
          </c:xVal>
          <c:yVal>
            <c:numRef>
              <c:f>'Insulation Health'!$J$15:$J$18</c:f>
              <c:numCache>
                <c:formatCode>General</c:formatCode>
                <c:ptCount val="4"/>
                <c:pt idx="0">
                  <c:v>614</c:v>
                </c:pt>
                <c:pt idx="1">
                  <c:v>485</c:v>
                </c:pt>
                <c:pt idx="2">
                  <c:v>370</c:v>
                </c:pt>
                <c:pt idx="3">
                  <c:v>110</c:v>
                </c:pt>
              </c:numCache>
            </c:numRef>
          </c:yVal>
          <c:smooth val="0"/>
        </c:ser>
        <c:ser>
          <c:idx val="1"/>
          <c:order val="1"/>
          <c:tx>
            <c:strRef>
              <c:f>'Insulation Health'!$D$9</c:f>
              <c:strCache>
                <c:ptCount val="1"/>
                <c:pt idx="0">
                  <c:v>Chronic bronchitis</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xVal>
            <c:numRef>
              <c:f>'Insulation Health'!$I$15:$I$18</c:f>
              <c:numCache>
                <c:formatCode>0%</c:formatCode>
                <c:ptCount val="4"/>
                <c:pt idx="0">
                  <c:v>0</c:v>
                </c:pt>
                <c:pt idx="1">
                  <c:v>0.3</c:v>
                </c:pt>
                <c:pt idx="2">
                  <c:v>0.5</c:v>
                </c:pt>
                <c:pt idx="3">
                  <c:v>0.8</c:v>
                </c:pt>
              </c:numCache>
            </c:numRef>
          </c:xVal>
          <c:yVal>
            <c:numRef>
              <c:f>'Insulation Health'!$K$15:$K$18</c:f>
              <c:numCache>
                <c:formatCode>General</c:formatCode>
                <c:ptCount val="4"/>
                <c:pt idx="0">
                  <c:v>379</c:v>
                </c:pt>
                <c:pt idx="1">
                  <c:v>272</c:v>
                </c:pt>
                <c:pt idx="2">
                  <c:v>195</c:v>
                </c:pt>
                <c:pt idx="3">
                  <c:v>71</c:v>
                </c:pt>
              </c:numCache>
            </c:numRef>
          </c:yVal>
          <c:smooth val="0"/>
        </c:ser>
        <c:ser>
          <c:idx val="2"/>
          <c:order val="2"/>
          <c:tx>
            <c:v>Hospital admissions (RD)</c:v>
          </c:tx>
          <c:spPr>
            <a:ln w="12700">
              <a:solidFill>
                <a:srgbClr val="FFFF00"/>
              </a:solidFill>
              <a:prstDash val="solid"/>
            </a:ln>
          </c:spPr>
          <c:marker>
            <c:symbol val="triangle"/>
            <c:size val="5"/>
            <c:spPr>
              <a:solidFill>
                <a:srgbClr val="FFFF00"/>
              </a:solidFill>
              <a:ln>
                <a:solidFill>
                  <a:srgbClr val="FFFF00"/>
                </a:solidFill>
                <a:prstDash val="solid"/>
              </a:ln>
            </c:spPr>
          </c:marker>
          <c:xVal>
            <c:numRef>
              <c:f>'Insulation Health'!$I$15:$I$18</c:f>
              <c:numCache>
                <c:formatCode>0%</c:formatCode>
                <c:ptCount val="4"/>
                <c:pt idx="0">
                  <c:v>0</c:v>
                </c:pt>
                <c:pt idx="1">
                  <c:v>0.3</c:v>
                </c:pt>
                <c:pt idx="2">
                  <c:v>0.5</c:v>
                </c:pt>
                <c:pt idx="3">
                  <c:v>0.8</c:v>
                </c:pt>
              </c:numCache>
            </c:numRef>
          </c:xVal>
          <c:yVal>
            <c:numRef>
              <c:f>'Insulation Health'!$L$15:$L$18</c:f>
              <c:numCache>
                <c:formatCode>General</c:formatCode>
                <c:ptCount val="4"/>
                <c:pt idx="0">
                  <c:v>735</c:v>
                </c:pt>
                <c:pt idx="1">
                  <c:v>490</c:v>
                </c:pt>
                <c:pt idx="2">
                  <c:v>324</c:v>
                </c:pt>
                <c:pt idx="3">
                  <c:v>71</c:v>
                </c:pt>
              </c:numCache>
            </c:numRef>
          </c:yVal>
          <c:smooth val="0"/>
        </c:ser>
        <c:ser>
          <c:idx val="3"/>
          <c:order val="3"/>
          <c:tx>
            <c:v>Hospital admissions (CVD)</c:v>
          </c:tx>
          <c:spPr>
            <a:ln w="12700">
              <a:solidFill>
                <a:srgbClr val="00FFFF"/>
              </a:solidFill>
              <a:prstDash val="solid"/>
            </a:ln>
          </c:spPr>
          <c:marker>
            <c:symbol val="x"/>
            <c:size val="5"/>
            <c:spPr>
              <a:noFill/>
              <a:ln>
                <a:solidFill>
                  <a:srgbClr val="00FFFF"/>
                </a:solidFill>
                <a:prstDash val="solid"/>
              </a:ln>
            </c:spPr>
          </c:marker>
          <c:xVal>
            <c:numRef>
              <c:f>'Insulation Health'!$I$15:$I$18</c:f>
              <c:numCache>
                <c:formatCode>0%</c:formatCode>
                <c:ptCount val="4"/>
                <c:pt idx="0">
                  <c:v>0</c:v>
                </c:pt>
                <c:pt idx="1">
                  <c:v>0.3</c:v>
                </c:pt>
                <c:pt idx="2">
                  <c:v>0.5</c:v>
                </c:pt>
                <c:pt idx="3">
                  <c:v>0.8</c:v>
                </c:pt>
              </c:numCache>
            </c:numRef>
          </c:xVal>
          <c:yVal>
            <c:numRef>
              <c:f>'Insulation Health'!$M$15:$M$18</c:f>
              <c:numCache>
                <c:formatCode>General</c:formatCode>
                <c:ptCount val="4"/>
                <c:pt idx="0">
                  <c:v>448</c:v>
                </c:pt>
                <c:pt idx="1">
                  <c:v>297</c:v>
                </c:pt>
                <c:pt idx="2">
                  <c:v>196</c:v>
                </c:pt>
                <c:pt idx="3">
                  <c:v>42</c:v>
                </c:pt>
              </c:numCache>
            </c:numRef>
          </c:yVal>
          <c:smooth val="0"/>
        </c:ser>
        <c:dLbls>
          <c:showLegendKey val="0"/>
          <c:showVal val="0"/>
          <c:showCatName val="0"/>
          <c:showSerName val="0"/>
          <c:showPercent val="0"/>
          <c:showBubbleSize val="0"/>
        </c:dLbls>
        <c:axId val="326025640"/>
        <c:axId val="326028384"/>
      </c:scatterChart>
      <c:valAx>
        <c:axId val="326025640"/>
        <c:scaling>
          <c:orientation val="minMax"/>
        </c:scaling>
        <c:delete val="0"/>
        <c:axPos val="b"/>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PM emissions (percent of 2007 levels)</a:t>
                </a:r>
              </a:p>
            </c:rich>
          </c:tx>
          <c:layout>
            <c:manualLayout>
              <c:xMode val="edge"/>
              <c:yMode val="edge"/>
              <c:x val="0.25792139852294266"/>
              <c:y val="0.8744769874476987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6028384"/>
        <c:crosses val="autoZero"/>
        <c:crossBetween val="midCat"/>
        <c:majorUnit val="0.1"/>
      </c:valAx>
      <c:valAx>
        <c:axId val="32602838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Number of cases (annual)</a:t>
                </a:r>
              </a:p>
            </c:rich>
          </c:tx>
          <c:layout>
            <c:manualLayout>
              <c:xMode val="edge"/>
              <c:yMode val="edge"/>
              <c:x val="4.2986899753823776E-2"/>
              <c:y val="0.1548117154811715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6025640"/>
        <c:crosses val="autoZero"/>
        <c:crossBetween val="midCat"/>
      </c:valAx>
      <c:spPr>
        <a:solidFill>
          <a:srgbClr val="C0C0C0"/>
        </a:solidFill>
        <a:ln w="12700">
          <a:solidFill>
            <a:srgbClr val="808080"/>
          </a:solidFill>
          <a:prstDash val="solid"/>
        </a:ln>
      </c:spPr>
    </c:plotArea>
    <c:legend>
      <c:legendPos val="r"/>
      <c:layout>
        <c:manualLayout>
          <c:xMode val="edge"/>
          <c:yMode val="edge"/>
          <c:x val="0.42481171521425853"/>
          <c:y val="0.14225941422594143"/>
          <c:w val="0.45768405032012377"/>
          <c:h val="0.2384937238493724"/>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251810</xdr:colOff>
      <xdr:row>1</xdr:row>
      <xdr:rowOff>58135</xdr:rowOff>
    </xdr:from>
    <xdr:to>
      <xdr:col>1</xdr:col>
      <xdr:colOff>2297934</xdr:colOff>
      <xdr:row>7</xdr:row>
      <xdr:rowOff>17918</xdr:rowOff>
    </xdr:to>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810" y="258160"/>
          <a:ext cx="2655724" cy="883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16</xdr:row>
      <xdr:rowOff>0</xdr:rowOff>
    </xdr:from>
    <xdr:to>
      <xdr:col>1</xdr:col>
      <xdr:colOff>2171700</xdr:colOff>
      <xdr:row>16</xdr:row>
      <xdr:rowOff>152400</xdr:rowOff>
    </xdr:to>
    <xdr:pic>
      <xdr:nvPicPr>
        <xdr:cNvPr id="3" name="Picture 2"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258175"/>
          <a:ext cx="2171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123825</xdr:colOff>
      <xdr:row>26</xdr:row>
      <xdr:rowOff>47625</xdr:rowOff>
    </xdr:from>
    <xdr:to>
      <xdr:col>6</xdr:col>
      <xdr:colOff>142875</xdr:colOff>
      <xdr:row>40</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114300</xdr:colOff>
      <xdr:row>26</xdr:row>
      <xdr:rowOff>47625</xdr:rowOff>
    </xdr:from>
    <xdr:to>
      <xdr:col>13</xdr:col>
      <xdr:colOff>133350</xdr:colOff>
      <xdr:row>40</xdr:row>
      <xdr:rowOff>123825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lestikowgs/Local%20Settings/Temporary%20Internet%20Files/Content.Outlook/Z0MPFWC4/EEFAnalysis11-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Salkhit%20Project\MCC\MCC_20090720\Investment%20model%20200905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_divisions\Economic%20Analysis\ERR%20Spreadsheets\Web%20Dissemination\Ongoing%20Work\Mongolia\Mongolia%20Health%20ERR.IM%20Clean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Salkhit%20Project\MCC\MCC_20090720\ERR\mcc-err-mongolia-rai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GerInsulation"/>
      <sheetName val="CertifiedStoves"/>
      <sheetName val="CertifiedStoves, v2"/>
      <sheetName val="Project ERR"/>
      <sheetName val="Stove Replacement"/>
      <sheetName val="Fuel Savings"/>
      <sheetName val="Pollution"/>
      <sheetName val="Health, v2"/>
      <sheetName val="Health"/>
      <sheetName val="Assumptions"/>
      <sheetName val="MCC"/>
      <sheetName val="Additional Costs"/>
      <sheetName val="Ger Scenario"/>
      <sheetName val="Stove Scenario"/>
      <sheetName val="Ger ERR (WTP)"/>
      <sheetName val="Ger ERR (DALY)"/>
      <sheetName val="Stoves ERR (WTP)"/>
      <sheetName val="Stoves ERR (DALY)"/>
      <sheetName val="Beneficiaries"/>
    </sheetNames>
    <sheetDataSet>
      <sheetData sheetId="0" refreshError="1"/>
      <sheetData sheetId="1" refreshError="1"/>
      <sheetData sheetId="2">
        <row r="11">
          <cell r="D11">
            <v>0.1</v>
          </cell>
        </row>
        <row r="18">
          <cell r="D18">
            <v>0.35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f change"/>
      <sheetName val="Cover"/>
      <sheetName val="Versions"/>
      <sheetName val="WACC"/>
      <sheetName val="Hidden"/>
      <sheetName val="EQ IRR 0"/>
      <sheetName val="information"/>
      <sheetName val="investment change "/>
      <sheetName val="Data book"/>
      <sheetName val="General&amp;Opex"/>
      <sheetName val="Energy yield"/>
      <sheetName val="Investment"/>
      <sheetName val="Financing"/>
      <sheetName val="Finance"/>
      <sheetName val="Depreciation"/>
      <sheetName val="PPA"/>
      <sheetName val="Taxes"/>
      <sheetName val="P&amp;L"/>
      <sheetName val="BS"/>
      <sheetName val="CF"/>
      <sheetName val="Results"/>
      <sheetName val="Graphs"/>
      <sheetName val="Presentation"/>
      <sheetName val="Civil work"/>
      <sheetName val="base"/>
      <sheetName val="Sheet1"/>
    </sheetNames>
    <sheetDataSet>
      <sheetData sheetId="0" refreshError="1"/>
      <sheetData sheetId="1" refreshError="1"/>
      <sheetData sheetId="2" refreshError="1"/>
      <sheetData sheetId="3" refreshError="1"/>
      <sheetData sheetId="4" refreshError="1">
        <row r="46">
          <cell r="B46">
            <v>1</v>
          </cell>
        </row>
        <row r="47">
          <cell r="B47">
            <v>0</v>
          </cell>
        </row>
      </sheetData>
      <sheetData sheetId="5" refreshError="1"/>
      <sheetData sheetId="6" refreshError="1"/>
      <sheetData sheetId="7" refreshError="1"/>
      <sheetData sheetId="8" refreshError="1"/>
      <sheetData sheetId="9" refreshError="1">
        <row r="10">
          <cell r="D10" t="str">
            <v>US$</v>
          </cell>
        </row>
      </sheetData>
      <sheetData sheetId="10" refreshError="1"/>
      <sheetData sheetId="11" refreshError="1">
        <row r="8">
          <cell r="F8">
            <v>1.36</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 &amp; Sensitivity analysis"/>
      <sheetName val="Overview of worksheets"/>
      <sheetName val="ERR Summary"/>
      <sheetName val="Data &amp; Assumptions"/>
      <sheetName val="Hypertension"/>
      <sheetName val="Diabetes"/>
      <sheetName val="Cancer"/>
      <sheetName val="Indicators"/>
    </sheetNames>
    <sheetDataSet>
      <sheetData sheetId="0"/>
      <sheetData sheetId="1"/>
      <sheetData sheetId="2"/>
      <sheetData sheetId="3"/>
      <sheetData sheetId="4">
        <row r="5">
          <cell r="C5">
            <v>1.4999999999999999E-2</v>
          </cell>
        </row>
        <row r="6">
          <cell r="E6">
            <v>955.44908060203898</v>
          </cell>
        </row>
        <row r="27">
          <cell r="C27">
            <v>0.33</v>
          </cell>
        </row>
        <row r="28">
          <cell r="C28">
            <v>0.2</v>
          </cell>
        </row>
        <row r="32">
          <cell r="E32">
            <v>0.14285714285714285</v>
          </cell>
          <cell r="J32">
            <v>0.02</v>
          </cell>
        </row>
        <row r="33">
          <cell r="E33">
            <v>0.2</v>
          </cell>
          <cell r="J33">
            <v>0.04</v>
          </cell>
        </row>
        <row r="34">
          <cell r="E34">
            <v>0.33333333333333331</v>
          </cell>
          <cell r="J34">
            <v>0.06</v>
          </cell>
        </row>
        <row r="82">
          <cell r="J82">
            <v>0.02</v>
          </cell>
        </row>
        <row r="83">
          <cell r="J83">
            <v>0.04</v>
          </cell>
        </row>
        <row r="84">
          <cell r="J84">
            <v>0.06</v>
          </cell>
        </row>
      </sheetData>
      <sheetData sheetId="5">
        <row r="25">
          <cell r="C25">
            <v>0.2</v>
          </cell>
        </row>
        <row r="26">
          <cell r="C26">
            <v>0.1</v>
          </cell>
        </row>
        <row r="31">
          <cell r="E31">
            <v>0.25</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Project Description"/>
      <sheetName val="ERR &amp; Sensitivity Analysis"/>
      <sheetName val="Income Statements &amp; GDP Impact"/>
      <sheetName val="Operating Costs"/>
    </sheetNames>
    <sheetDataSet>
      <sheetData sheetId="0"/>
      <sheetData sheetId="1" refreshError="1"/>
      <sheetData sheetId="2"/>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topLeftCell="A11" workbookViewId="0">
      <selection activeCell="D11" sqref="D11"/>
    </sheetView>
  </sheetViews>
  <sheetFormatPr defaultRowHeight="15"/>
  <cols>
    <col min="2" max="2" width="35.42578125" customWidth="1"/>
    <col min="3" max="3" width="40.85546875" customWidth="1"/>
    <col min="4" max="4" width="39.7109375" customWidth="1"/>
  </cols>
  <sheetData>
    <row r="1" spans="1:4" ht="20.25">
      <c r="A1" s="430"/>
      <c r="B1" s="430"/>
      <c r="C1" s="431"/>
      <c r="D1" s="432"/>
    </row>
    <row r="2" spans="1:4" ht="20.25">
      <c r="A2" s="430"/>
      <c r="B2" s="430"/>
      <c r="C2" s="431"/>
      <c r="D2" s="431"/>
    </row>
    <row r="3" spans="1:4">
      <c r="A3" s="430"/>
      <c r="B3" s="430"/>
      <c r="C3" s="526" t="s">
        <v>476</v>
      </c>
      <c r="D3" s="526"/>
    </row>
    <row r="4" spans="1:4">
      <c r="A4" s="430"/>
      <c r="B4" s="430"/>
      <c r="C4" s="526"/>
      <c r="D4" s="526"/>
    </row>
    <row r="5" spans="1:4">
      <c r="A5" s="430"/>
      <c r="B5" s="430"/>
      <c r="C5" s="526"/>
      <c r="D5" s="526"/>
    </row>
    <row r="6" spans="1:4" ht="12.75" customHeight="1">
      <c r="A6" s="430"/>
      <c r="B6" s="430"/>
      <c r="C6" s="526"/>
      <c r="D6" s="526"/>
    </row>
    <row r="7" spans="1:4" hidden="1">
      <c r="A7" s="430"/>
      <c r="B7" s="430"/>
      <c r="C7" s="526"/>
      <c r="D7" s="526"/>
    </row>
    <row r="8" spans="1:4" ht="18.75" thickBot="1">
      <c r="A8" s="430"/>
      <c r="B8" s="430"/>
      <c r="C8" s="527" t="s">
        <v>553</v>
      </c>
      <c r="D8" s="527"/>
    </row>
    <row r="9" spans="1:4" ht="18.75" customHeight="1" thickTop="1" thickBot="1">
      <c r="A9" s="433"/>
      <c r="B9" s="434" t="s">
        <v>477</v>
      </c>
      <c r="C9" s="520" t="s">
        <v>478</v>
      </c>
      <c r="D9" s="435" t="s">
        <v>479</v>
      </c>
    </row>
    <row r="10" spans="1:4" ht="38.25" customHeight="1" thickTop="1">
      <c r="A10" s="433"/>
      <c r="B10" s="436" t="s">
        <v>480</v>
      </c>
      <c r="C10" s="521" t="s">
        <v>557</v>
      </c>
      <c r="D10" s="462" t="s">
        <v>552</v>
      </c>
    </row>
    <row r="11" spans="1:4" ht="120" customHeight="1">
      <c r="A11" s="430"/>
      <c r="B11" s="437" t="s">
        <v>481</v>
      </c>
      <c r="C11" s="523" t="s">
        <v>509</v>
      </c>
      <c r="D11" s="514" t="s">
        <v>509</v>
      </c>
    </row>
    <row r="12" spans="1:4">
      <c r="A12" s="430"/>
      <c r="B12" s="528" t="s">
        <v>482</v>
      </c>
      <c r="C12" s="523" t="s">
        <v>121</v>
      </c>
      <c r="D12" s="516" t="s">
        <v>121</v>
      </c>
    </row>
    <row r="13" spans="1:4" ht="14.25" customHeight="1">
      <c r="A13" s="430"/>
      <c r="B13" s="529"/>
      <c r="C13" s="523" t="s">
        <v>122</v>
      </c>
      <c r="D13" s="516" t="s">
        <v>122</v>
      </c>
    </row>
    <row r="14" spans="1:4" ht="13.5" customHeight="1">
      <c r="A14" s="430"/>
      <c r="B14" s="530"/>
      <c r="C14" s="523" t="s">
        <v>517</v>
      </c>
      <c r="D14" s="516" t="s">
        <v>517</v>
      </c>
    </row>
    <row r="15" spans="1:4" ht="34.5" customHeight="1">
      <c r="A15" s="430"/>
      <c r="B15" s="518" t="s">
        <v>483</v>
      </c>
      <c r="C15" s="523" t="s">
        <v>518</v>
      </c>
      <c r="D15" s="519" t="s">
        <v>518</v>
      </c>
    </row>
    <row r="16" spans="1:4" ht="16.5" customHeight="1" thickBot="1">
      <c r="A16" s="430"/>
      <c r="B16" s="438" t="s">
        <v>484</v>
      </c>
      <c r="C16" s="522" t="s">
        <v>556</v>
      </c>
      <c r="D16" s="463" t="s">
        <v>485</v>
      </c>
    </row>
    <row r="17" spans="2:3" ht="16.5" thickTop="1" thickBot="1"/>
    <row r="18" spans="2:3" ht="15.75" thickTop="1">
      <c r="B18" s="440" t="s">
        <v>486</v>
      </c>
      <c r="C18" s="441"/>
    </row>
    <row r="19" spans="2:3">
      <c r="B19" s="442" t="s">
        <v>487</v>
      </c>
      <c r="C19" s="443"/>
    </row>
    <row r="20" spans="2:3" ht="24.75" customHeight="1">
      <c r="B20" s="535" t="s">
        <v>502</v>
      </c>
      <c r="C20" s="536"/>
    </row>
    <row r="21" spans="2:3">
      <c r="B21" s="442" t="s">
        <v>470</v>
      </c>
      <c r="C21" s="444"/>
    </row>
    <row r="22" spans="2:3" ht="25.5" customHeight="1">
      <c r="B22" s="531" t="s">
        <v>503</v>
      </c>
      <c r="C22" s="532"/>
    </row>
    <row r="23" spans="2:3" ht="15" customHeight="1">
      <c r="B23" s="442" t="s">
        <v>465</v>
      </c>
      <c r="C23" s="444"/>
    </row>
    <row r="24" spans="2:3" s="460" customFormat="1" ht="24" customHeight="1">
      <c r="B24" s="531" t="s">
        <v>504</v>
      </c>
      <c r="C24" s="532"/>
    </row>
    <row r="25" spans="2:3">
      <c r="B25" s="442" t="s">
        <v>488</v>
      </c>
      <c r="C25" s="444"/>
    </row>
    <row r="26" spans="2:3" ht="15" customHeight="1">
      <c r="B26" s="524" t="s">
        <v>510</v>
      </c>
      <c r="C26" s="525"/>
    </row>
    <row r="27" spans="2:3">
      <c r="B27" s="442" t="s">
        <v>489</v>
      </c>
      <c r="C27" s="444"/>
    </row>
    <row r="28" spans="2:3">
      <c r="B28" s="524" t="s">
        <v>511</v>
      </c>
      <c r="C28" s="525"/>
    </row>
    <row r="29" spans="2:3" ht="15" customHeight="1">
      <c r="B29" s="442" t="s">
        <v>490</v>
      </c>
      <c r="C29" s="444"/>
    </row>
    <row r="30" spans="2:3">
      <c r="B30" s="524" t="s">
        <v>512</v>
      </c>
      <c r="C30" s="525"/>
    </row>
    <row r="31" spans="2:3">
      <c r="B31" s="442" t="s">
        <v>491</v>
      </c>
      <c r="C31" s="444"/>
    </row>
    <row r="32" spans="2:3" ht="15" customHeight="1">
      <c r="B32" s="524" t="s">
        <v>513</v>
      </c>
      <c r="C32" s="525"/>
    </row>
    <row r="33" spans="2:3">
      <c r="B33" s="442" t="s">
        <v>492</v>
      </c>
      <c r="C33" s="444"/>
    </row>
    <row r="34" spans="2:3">
      <c r="B34" s="524" t="s">
        <v>514</v>
      </c>
      <c r="C34" s="525"/>
    </row>
    <row r="35" spans="2:3" ht="15" customHeight="1">
      <c r="B35" s="442" t="s">
        <v>493</v>
      </c>
      <c r="C35" s="444"/>
    </row>
    <row r="36" spans="2:3">
      <c r="B36" s="524" t="s">
        <v>515</v>
      </c>
      <c r="C36" s="525"/>
    </row>
    <row r="37" spans="2:3">
      <c r="B37" s="442" t="s">
        <v>466</v>
      </c>
      <c r="C37" s="444"/>
    </row>
    <row r="38" spans="2:3" ht="25.5" customHeight="1">
      <c r="B38" s="533" t="s">
        <v>505</v>
      </c>
      <c r="C38" s="534"/>
    </row>
    <row r="39" spans="2:3">
      <c r="B39" s="442" t="s">
        <v>494</v>
      </c>
      <c r="C39" s="444"/>
    </row>
    <row r="40" spans="2:3">
      <c r="B40" s="524" t="s">
        <v>507</v>
      </c>
      <c r="C40" s="525"/>
    </row>
    <row r="41" spans="2:3" ht="15" customHeight="1">
      <c r="B41" s="442" t="s">
        <v>495</v>
      </c>
      <c r="C41" s="444"/>
    </row>
    <row r="42" spans="2:3">
      <c r="B42" s="524" t="s">
        <v>516</v>
      </c>
      <c r="C42" s="525"/>
    </row>
    <row r="43" spans="2:3">
      <c r="B43" s="442" t="s">
        <v>496</v>
      </c>
      <c r="C43" s="444"/>
    </row>
    <row r="44" spans="2:3" ht="15" customHeight="1">
      <c r="B44" s="524" t="s">
        <v>508</v>
      </c>
      <c r="C44" s="525"/>
    </row>
    <row r="45" spans="2:3" ht="15.75" thickBot="1">
      <c r="B45" s="461" t="s">
        <v>497</v>
      </c>
      <c r="C45" s="445"/>
    </row>
    <row r="46" spans="2:3" ht="15" customHeight="1" thickTop="1"/>
    <row r="49" ht="15" customHeight="1"/>
    <row r="52" ht="15" customHeight="1"/>
  </sheetData>
  <mergeCells count="16">
    <mergeCell ref="B42:C42"/>
    <mergeCell ref="B44:C44"/>
    <mergeCell ref="C3:D7"/>
    <mergeCell ref="C8:D8"/>
    <mergeCell ref="B12:B14"/>
    <mergeCell ref="B40:C40"/>
    <mergeCell ref="B22:C22"/>
    <mergeCell ref="B24:C24"/>
    <mergeCell ref="B38:C38"/>
    <mergeCell ref="B20:C20"/>
    <mergeCell ref="B26:C26"/>
    <mergeCell ref="B28:C28"/>
    <mergeCell ref="B30:C30"/>
    <mergeCell ref="B32:C32"/>
    <mergeCell ref="B34:C34"/>
    <mergeCell ref="B36:C36"/>
  </mergeCells>
  <hyperlinks>
    <hyperlink ref="B19" location="'Activity Description'!A1" display="Activity Description"/>
    <hyperlink ref="B21" location="'Combined ERR'!A1" display="Combined ERR"/>
    <hyperlink ref="B23" location="'Stove ERR'!A1" display="Stove ERR"/>
    <hyperlink ref="B25" location="'Stove Assumptions'!A1" display="Stove Assumptions"/>
    <hyperlink ref="B27" location="'Stove Additional Costs'!A1" display="Stove Additional Costs"/>
    <hyperlink ref="B29" location="'Stove Replacement'!A1" display="Stove Replacement"/>
    <hyperlink ref="B31" location="'Stove Fuel Savings'!A1" display="Stove Fuel Savings"/>
    <hyperlink ref="B33" location="'Stove Pollution'!A1" display="Stove Pollution"/>
    <hyperlink ref="B35" location="'Stove Health'!A1" display="Stove Health"/>
    <hyperlink ref="B37" location="'Insulation ERR'!A1" display="Insulation ERR"/>
    <hyperlink ref="B39" location="'Insulation Base'!A1" display="Insulation Base"/>
    <hyperlink ref="B41" location="'Insulation MCC Costs'!A1" display="Insulation MCC Costs"/>
    <hyperlink ref="B43" location="'Insulation Health'!A1" display="Insulation Health"/>
    <hyperlink ref="B45" location="'Insulation Ger Scenario'!A1" display="Insulation Ger Scenario"/>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Y151"/>
  <sheetViews>
    <sheetView zoomScaleNormal="100" workbookViewId="0">
      <pane ySplit="4" topLeftCell="A5" activePane="bottomLeft" state="frozen"/>
      <selection activeCell="F6" sqref="F6"/>
      <selection pane="bottomLeft" activeCell="B2" sqref="B2"/>
    </sheetView>
  </sheetViews>
  <sheetFormatPr defaultRowHeight="12.75"/>
  <cols>
    <col min="1" max="1" width="6.140625" style="103" customWidth="1"/>
    <col min="2" max="2" width="47.140625" style="69" customWidth="1"/>
    <col min="3" max="3" width="13.7109375" style="69" customWidth="1"/>
    <col min="4" max="5" width="13.42578125" style="69" bestFit="1" customWidth="1"/>
    <col min="6" max="6" width="15.7109375" style="69" customWidth="1"/>
    <col min="7" max="7" width="15.42578125" style="69" customWidth="1"/>
    <col min="8" max="8" width="15.5703125" style="69" customWidth="1"/>
    <col min="9" max="15" width="14.28515625" style="69" bestFit="1" customWidth="1"/>
    <col min="16" max="17" width="13.42578125" style="69" bestFit="1" customWidth="1"/>
    <col min="18" max="25" width="13.28515625" style="103" bestFit="1" customWidth="1"/>
    <col min="26" max="16384" width="9.140625" style="103"/>
  </cols>
  <sheetData>
    <row r="1" spans="1:25" customFormat="1" ht="19.5" customHeight="1">
      <c r="B1" s="447" t="s">
        <v>501</v>
      </c>
      <c r="C1" s="447"/>
    </row>
    <row r="2" spans="1:25" customFormat="1" ht="18">
      <c r="B2" s="450" t="s">
        <v>553</v>
      </c>
      <c r="C2" s="464"/>
    </row>
    <row r="3" spans="1:25" customFormat="1" ht="15.75">
      <c r="B3" s="464"/>
      <c r="C3" s="464"/>
    </row>
    <row r="4" spans="1:25" s="32" customFormat="1" ht="21">
      <c r="A4" s="32" t="s">
        <v>529</v>
      </c>
      <c r="B4" s="83" t="s">
        <v>61</v>
      </c>
      <c r="C4" s="84">
        <v>2009</v>
      </c>
      <c r="D4" s="84">
        <v>2010</v>
      </c>
      <c r="E4" s="84">
        <v>2011</v>
      </c>
      <c r="F4" s="84">
        <v>2012</v>
      </c>
      <c r="G4" s="84">
        <v>2013</v>
      </c>
      <c r="H4" s="84">
        <v>2014</v>
      </c>
      <c r="I4" s="84">
        <v>2015</v>
      </c>
      <c r="J4" s="84">
        <v>2016</v>
      </c>
      <c r="K4" s="84">
        <v>2017</v>
      </c>
      <c r="L4" s="84">
        <v>2018</v>
      </c>
      <c r="M4" s="84">
        <v>2019</v>
      </c>
      <c r="N4" s="84">
        <v>2020</v>
      </c>
      <c r="O4" s="84">
        <v>2021</v>
      </c>
      <c r="P4" s="84">
        <v>2022</v>
      </c>
      <c r="Q4" s="84">
        <v>2023</v>
      </c>
    </row>
    <row r="5" spans="1:25" s="32" customFormat="1" ht="18.75">
      <c r="A5" s="494"/>
      <c r="B5" s="85" t="s">
        <v>62</v>
      </c>
      <c r="C5" s="86"/>
      <c r="D5" s="86"/>
      <c r="E5" s="86"/>
      <c r="F5" s="86"/>
      <c r="G5" s="86"/>
      <c r="H5" s="86"/>
      <c r="I5" s="86"/>
      <c r="J5" s="86"/>
      <c r="K5" s="86"/>
      <c r="L5" s="86"/>
      <c r="M5" s="86"/>
      <c r="N5" s="86"/>
      <c r="O5" s="86"/>
      <c r="P5" s="86"/>
      <c r="Q5" s="86"/>
    </row>
    <row r="6" spans="1:25" s="32" customFormat="1" ht="18.75">
      <c r="A6" s="494"/>
      <c r="B6" s="85"/>
      <c r="C6" s="86"/>
      <c r="D6" s="86"/>
      <c r="E6" s="86"/>
      <c r="F6" s="86"/>
      <c r="G6" s="86"/>
      <c r="H6" s="86"/>
      <c r="I6" s="86"/>
      <c r="J6" s="86"/>
      <c r="K6" s="86"/>
      <c r="L6" s="86"/>
      <c r="M6" s="86"/>
      <c r="N6" s="86"/>
      <c r="O6" s="86"/>
      <c r="P6" s="86"/>
      <c r="Q6" s="86"/>
    </row>
    <row r="7" spans="1:25" s="32" customFormat="1" ht="15">
      <c r="A7" s="494">
        <v>1</v>
      </c>
      <c r="B7" s="86" t="s">
        <v>63</v>
      </c>
      <c r="C7" s="44">
        <v>1067472</v>
      </c>
      <c r="D7" s="44">
        <f>C7*(1+$D$49)</f>
        <v>1099496.1599999999</v>
      </c>
      <c r="E7" s="44">
        <f t="shared" ref="E7:Q7" si="0">D7*(1+$D$49)</f>
        <v>1132481.0448</v>
      </c>
      <c r="F7" s="44">
        <f t="shared" si="0"/>
        <v>1166455.476144</v>
      </c>
      <c r="G7" s="44">
        <f t="shared" si="0"/>
        <v>1201449.14042832</v>
      </c>
      <c r="H7" s="44">
        <f t="shared" si="0"/>
        <v>1237492.6146411698</v>
      </c>
      <c r="I7" s="44">
        <f t="shared" si="0"/>
        <v>1274617.393080405</v>
      </c>
      <c r="J7" s="44">
        <f t="shared" si="0"/>
        <v>1312855.9148728172</v>
      </c>
      <c r="K7" s="44">
        <f t="shared" si="0"/>
        <v>1352241.5923190017</v>
      </c>
      <c r="L7" s="44">
        <f t="shared" si="0"/>
        <v>1392808.8400885717</v>
      </c>
      <c r="M7" s="44">
        <f t="shared" si="0"/>
        <v>1434593.1052912287</v>
      </c>
      <c r="N7" s="44">
        <f t="shared" si="0"/>
        <v>1477630.8984499658</v>
      </c>
      <c r="O7" s="44">
        <f t="shared" si="0"/>
        <v>1521959.8254034647</v>
      </c>
      <c r="P7" s="44">
        <f t="shared" si="0"/>
        <v>1567618.6201655688</v>
      </c>
      <c r="Q7" s="44">
        <f t="shared" si="0"/>
        <v>1614647.1787705359</v>
      </c>
      <c r="R7" s="39"/>
      <c r="S7" s="39"/>
      <c r="T7" s="39"/>
      <c r="U7" s="39"/>
      <c r="V7" s="39"/>
      <c r="W7" s="39"/>
      <c r="X7" s="39"/>
      <c r="Y7" s="39"/>
    </row>
    <row r="8" spans="1:25" s="32" customFormat="1" ht="15">
      <c r="A8" s="494">
        <v>2</v>
      </c>
      <c r="B8" s="86" t="s">
        <v>151</v>
      </c>
      <c r="C8" s="44">
        <v>2257.2981241379293</v>
      </c>
      <c r="D8" s="44">
        <v>2353.9624070170207</v>
      </c>
      <c r="E8" s="44">
        <v>2494.2450309782357</v>
      </c>
      <c r="F8" s="44">
        <v>2776.2747208456472</v>
      </c>
      <c r="G8" s="44">
        <v>3137.9513095884618</v>
      </c>
      <c r="H8" s="44">
        <v>3326.6603219602739</v>
      </c>
      <c r="I8" s="44">
        <v>3539.7761621660147</v>
      </c>
      <c r="J8" s="44">
        <v>3766.544842442856</v>
      </c>
      <c r="K8" s="44">
        <v>4007.8410046842728</v>
      </c>
      <c r="L8" s="44">
        <v>4264.5953229673614</v>
      </c>
      <c r="M8" s="44">
        <v>4537.7980931426191</v>
      </c>
      <c r="N8" s="44">
        <v>4828.5030523836149</v>
      </c>
      <c r="O8" s="44">
        <v>5137.8314434284657</v>
      </c>
      <c r="P8" s="44">
        <v>5466.9763391888237</v>
      </c>
      <c r="Q8" s="44">
        <v>5817.2072444062778</v>
      </c>
      <c r="R8" s="39"/>
      <c r="S8" s="39"/>
      <c r="T8" s="39"/>
      <c r="U8" s="39"/>
      <c r="V8" s="39"/>
      <c r="W8" s="39"/>
      <c r="X8" s="39"/>
      <c r="Y8" s="39"/>
    </row>
    <row r="9" spans="1:25" s="32" customFormat="1" ht="15">
      <c r="A9" s="494"/>
      <c r="B9" s="86" t="s">
        <v>152</v>
      </c>
      <c r="C9" s="44">
        <f>(C8*10^6)/C7</f>
        <v>2114.6204529373413</v>
      </c>
      <c r="D9" s="44">
        <f t="shared" ref="D9:Q9" si="1">(D8*10^6)/D7</f>
        <v>2140.9464558903242</v>
      </c>
      <c r="E9" s="44">
        <f t="shared" si="1"/>
        <v>2202.4607320634914</v>
      </c>
      <c r="F9" s="44">
        <f t="shared" si="1"/>
        <v>2380.0948922828097</v>
      </c>
      <c r="G9" s="44">
        <f t="shared" si="1"/>
        <v>2611.8053640371104</v>
      </c>
      <c r="H9" s="44">
        <f t="shared" si="1"/>
        <v>2688.2264044257677</v>
      </c>
      <c r="I9" s="44">
        <f t="shared" si="1"/>
        <v>2777.1284005558205</v>
      </c>
      <c r="J9" s="44">
        <f t="shared" si="1"/>
        <v>2868.9704633792503</v>
      </c>
      <c r="K9" s="44">
        <f t="shared" si="1"/>
        <v>2963.8498234705976</v>
      </c>
      <c r="L9" s="44">
        <f t="shared" si="1"/>
        <v>3061.8669269044608</v>
      </c>
      <c r="M9" s="44">
        <f t="shared" si="1"/>
        <v>3163.1255415948945</v>
      </c>
      <c r="N9" s="44">
        <f t="shared" si="1"/>
        <v>3267.7328671515411</v>
      </c>
      <c r="O9" s="44">
        <f t="shared" si="1"/>
        <v>3375.7996483688062</v>
      </c>
      <c r="P9" s="44">
        <f t="shared" si="1"/>
        <v>3487.4402924682104</v>
      </c>
      <c r="Q9" s="44">
        <f t="shared" si="1"/>
        <v>3602.7729902180599</v>
      </c>
      <c r="R9" s="39"/>
      <c r="S9" s="39"/>
      <c r="T9" s="39"/>
      <c r="U9" s="39"/>
      <c r="V9" s="39"/>
      <c r="W9" s="39"/>
      <c r="X9" s="39"/>
      <c r="Y9" s="39"/>
    </row>
    <row r="10" spans="1:25" s="35" customFormat="1" ht="15">
      <c r="A10" s="495"/>
      <c r="B10" s="34"/>
      <c r="C10" s="34"/>
      <c r="D10" s="34"/>
      <c r="E10" s="34"/>
      <c r="F10" s="34"/>
      <c r="G10" s="34"/>
      <c r="H10" s="34"/>
      <c r="I10" s="34"/>
      <c r="J10" s="34"/>
      <c r="K10" s="34"/>
      <c r="L10" s="34"/>
      <c r="M10" s="34"/>
      <c r="N10" s="34"/>
      <c r="O10" s="34"/>
      <c r="P10" s="34"/>
      <c r="Q10" s="34"/>
    </row>
    <row r="11" spans="1:25" s="35" customFormat="1" ht="15">
      <c r="A11" s="495"/>
      <c r="B11" s="34"/>
      <c r="C11" s="34"/>
      <c r="D11" s="34"/>
      <c r="E11" s="34"/>
      <c r="F11" s="34"/>
      <c r="G11" s="34"/>
      <c r="H11" s="34"/>
      <c r="I11" s="34"/>
      <c r="J11" s="34"/>
      <c r="K11" s="34"/>
      <c r="L11" s="34"/>
      <c r="M11" s="34"/>
      <c r="N11" s="34"/>
      <c r="O11" s="34"/>
      <c r="P11" s="34"/>
      <c r="Q11" s="34"/>
    </row>
    <row r="12" spans="1:25" s="32" customFormat="1" ht="15">
      <c r="A12" s="494"/>
      <c r="B12" s="29" t="s">
        <v>64</v>
      </c>
      <c r="C12" s="31"/>
      <c r="D12" s="31"/>
      <c r="E12" s="31"/>
      <c r="F12" s="31"/>
      <c r="G12" s="31"/>
      <c r="H12" s="31"/>
      <c r="I12" s="31"/>
      <c r="J12" s="31"/>
      <c r="K12" s="31"/>
      <c r="L12" s="31"/>
      <c r="M12" s="31"/>
      <c r="N12" s="31"/>
      <c r="O12" s="31"/>
      <c r="P12" s="31"/>
      <c r="Q12" s="31"/>
    </row>
    <row r="13" spans="1:25" s="32" customFormat="1" ht="15">
      <c r="A13" s="494"/>
      <c r="B13" s="78" t="s">
        <v>65</v>
      </c>
      <c r="C13" s="87"/>
      <c r="D13" s="87"/>
      <c r="E13" s="87"/>
      <c r="F13" s="87"/>
      <c r="G13" s="87"/>
      <c r="H13" s="87"/>
      <c r="I13" s="87"/>
      <c r="J13" s="87"/>
      <c r="K13" s="87"/>
      <c r="L13" s="87"/>
      <c r="M13" s="87"/>
      <c r="N13" s="87"/>
      <c r="O13" s="87"/>
      <c r="P13" s="87"/>
      <c r="Q13" s="87"/>
      <c r="R13" s="87"/>
      <c r="S13" s="87"/>
      <c r="T13" s="87"/>
      <c r="U13" s="87"/>
      <c r="V13" s="87"/>
      <c r="W13" s="87"/>
      <c r="X13" s="87"/>
      <c r="Y13" s="87"/>
    </row>
    <row r="14" spans="1:25" s="32" customFormat="1" ht="15">
      <c r="A14" s="494"/>
      <c r="B14" s="86" t="s">
        <v>66</v>
      </c>
      <c r="C14" s="88">
        <f>C7*$D$47</f>
        <v>41072.067494520001</v>
      </c>
      <c r="D14" s="88">
        <f t="shared" ref="D14:Q14" si="2">D7*$D$47</f>
        <v>42304.229519355598</v>
      </c>
      <c r="E14" s="88">
        <f t="shared" si="2"/>
        <v>43573.356404936269</v>
      </c>
      <c r="F14" s="88">
        <f t="shared" si="2"/>
        <v>44880.557097084355</v>
      </c>
      <c r="G14" s="88">
        <f t="shared" si="2"/>
        <v>46226.973809996889</v>
      </c>
      <c r="H14" s="88">
        <f t="shared" si="2"/>
        <v>47613.783024296805</v>
      </c>
      <c r="I14" s="88">
        <f t="shared" si="2"/>
        <v>49042.196515025709</v>
      </c>
      <c r="J14" s="88">
        <f t="shared" si="2"/>
        <v>50513.462410476488</v>
      </c>
      <c r="K14" s="88">
        <f t="shared" si="2"/>
        <v>52028.866282790776</v>
      </c>
      <c r="L14" s="88">
        <f t="shared" si="2"/>
        <v>53589.732271274501</v>
      </c>
      <c r="M14" s="88">
        <f t="shared" si="2"/>
        <v>55197.424239412729</v>
      </c>
      <c r="N14" s="88">
        <f t="shared" si="2"/>
        <v>56853.34696659512</v>
      </c>
      <c r="O14" s="88">
        <f t="shared" si="2"/>
        <v>58558.947375592972</v>
      </c>
      <c r="P14" s="88">
        <f t="shared" si="2"/>
        <v>60315.715796860764</v>
      </c>
      <c r="Q14" s="88">
        <f t="shared" si="2"/>
        <v>62125.18727076659</v>
      </c>
      <c r="R14" s="81"/>
      <c r="S14" s="81"/>
      <c r="T14" s="81"/>
      <c r="U14" s="81"/>
      <c r="V14" s="81"/>
      <c r="W14" s="81"/>
      <c r="X14" s="81"/>
      <c r="Y14" s="81"/>
    </row>
    <row r="15" spans="1:25" s="32" customFormat="1" ht="15">
      <c r="A15" s="494"/>
      <c r="B15" s="86" t="s">
        <v>153</v>
      </c>
      <c r="C15" s="88">
        <f>C14*$D$45/$D$48</f>
        <v>3013040.763064784</v>
      </c>
      <c r="D15" s="88">
        <f t="shared" ref="D15:Q15" si="3">D14*$D$45/$D$48</f>
        <v>3103431.9859567275</v>
      </c>
      <c r="E15" s="88">
        <f t="shared" si="3"/>
        <v>3196534.9455354298</v>
      </c>
      <c r="F15" s="88">
        <f t="shared" si="3"/>
        <v>3292430.9939014921</v>
      </c>
      <c r="G15" s="88">
        <f t="shared" si="3"/>
        <v>3391203.9237185372</v>
      </c>
      <c r="H15" s="88">
        <f t="shared" si="3"/>
        <v>3492940.0414300938</v>
      </c>
      <c r="I15" s="88">
        <f t="shared" si="3"/>
        <v>3597728.2426729971</v>
      </c>
      <c r="J15" s="88">
        <f t="shared" si="3"/>
        <v>3705660.0899531869</v>
      </c>
      <c r="K15" s="88">
        <f t="shared" si="3"/>
        <v>3816829.8926517828</v>
      </c>
      <c r="L15" s="88">
        <f t="shared" si="3"/>
        <v>3931334.7894313359</v>
      </c>
      <c r="M15" s="88">
        <f t="shared" si="3"/>
        <v>4049274.8331142752</v>
      </c>
      <c r="N15" s="88">
        <f t="shared" si="3"/>
        <v>4170753.0781077044</v>
      </c>
      <c r="O15" s="88">
        <f t="shared" si="3"/>
        <v>4295875.6704509351</v>
      </c>
      <c r="P15" s="88">
        <f t="shared" si="3"/>
        <v>4424751.9405644638</v>
      </c>
      <c r="Q15" s="88">
        <f t="shared" si="3"/>
        <v>4557494.4987813979</v>
      </c>
      <c r="R15" s="81"/>
      <c r="S15" s="81"/>
      <c r="T15" s="81"/>
      <c r="U15" s="81"/>
      <c r="V15" s="81"/>
      <c r="W15" s="81"/>
      <c r="X15" s="81"/>
      <c r="Y15" s="81"/>
    </row>
    <row r="16" spans="1:25" s="32" customFormat="1" ht="15">
      <c r="A16" s="494"/>
      <c r="B16" s="86"/>
      <c r="C16" s="89"/>
      <c r="D16" s="91"/>
      <c r="E16" s="91"/>
      <c r="F16" s="91"/>
      <c r="G16" s="91"/>
      <c r="H16" s="91"/>
      <c r="I16" s="91"/>
      <c r="J16" s="91"/>
      <c r="K16" s="91"/>
      <c r="L16" s="91"/>
      <c r="M16" s="91"/>
      <c r="N16" s="91"/>
      <c r="O16" s="91"/>
      <c r="P16" s="91"/>
      <c r="Q16" s="91"/>
      <c r="R16" s="82"/>
      <c r="S16" s="82"/>
      <c r="T16" s="82"/>
      <c r="U16" s="82"/>
      <c r="V16" s="82"/>
      <c r="W16" s="82"/>
      <c r="X16" s="82"/>
      <c r="Y16" s="82"/>
    </row>
    <row r="17" spans="1:25" s="32" customFormat="1" ht="15">
      <c r="A17" s="494"/>
      <c r="B17" s="92" t="s">
        <v>67</v>
      </c>
      <c r="C17" s="88"/>
      <c r="D17" s="88"/>
      <c r="E17" s="88"/>
      <c r="F17" s="88"/>
      <c r="G17" s="88"/>
      <c r="H17" s="88"/>
      <c r="I17" s="88"/>
      <c r="J17" s="88"/>
      <c r="K17" s="88"/>
      <c r="L17" s="88"/>
      <c r="M17" s="88"/>
      <c r="N17" s="88"/>
      <c r="O17" s="88"/>
      <c r="P17" s="88"/>
      <c r="Q17" s="88"/>
      <c r="R17" s="81"/>
      <c r="S17" s="81"/>
      <c r="T17" s="81"/>
      <c r="U17" s="81"/>
      <c r="V17" s="81"/>
      <c r="W17" s="81"/>
      <c r="X17" s="81"/>
      <c r="Y17" s="81"/>
    </row>
    <row r="18" spans="1:25" s="32" customFormat="1" ht="15">
      <c r="A18" s="494"/>
      <c r="B18" s="86" t="s">
        <v>68</v>
      </c>
      <c r="C18" s="88">
        <f>C7/100000*$D$50</f>
        <v>22476.542924882728</v>
      </c>
      <c r="D18" s="88">
        <f t="shared" ref="D18:Q18" si="4">D7/100000*$D$50</f>
        <v>23150.839212629206</v>
      </c>
      <c r="E18" s="88">
        <f t="shared" si="4"/>
        <v>23845.364389008086</v>
      </c>
      <c r="F18" s="88">
        <f t="shared" si="4"/>
        <v>24560.725320678324</v>
      </c>
      <c r="G18" s="88">
        <f t="shared" si="4"/>
        <v>25297.547080298675</v>
      </c>
      <c r="H18" s="88">
        <f t="shared" si="4"/>
        <v>26056.473492707639</v>
      </c>
      <c r="I18" s="88">
        <f t="shared" si="4"/>
        <v>26838.167697488869</v>
      </c>
      <c r="J18" s="88">
        <f t="shared" si="4"/>
        <v>27643.312728413537</v>
      </c>
      <c r="K18" s="88">
        <f t="shared" si="4"/>
        <v>28472.612110265945</v>
      </c>
      <c r="L18" s="88">
        <f t="shared" si="4"/>
        <v>29326.790473573921</v>
      </c>
      <c r="M18" s="88">
        <f t="shared" si="4"/>
        <v>30206.594187781138</v>
      </c>
      <c r="N18" s="88">
        <f t="shared" si="4"/>
        <v>31112.792013414572</v>
      </c>
      <c r="O18" s="88">
        <f t="shared" si="4"/>
        <v>32046.175773817013</v>
      </c>
      <c r="P18" s="88">
        <f t="shared" si="4"/>
        <v>33007.561047031522</v>
      </c>
      <c r="Q18" s="88">
        <f t="shared" si="4"/>
        <v>33997.787878442468</v>
      </c>
      <c r="R18" s="81"/>
      <c r="S18" s="81"/>
      <c r="T18" s="81"/>
      <c r="U18" s="81"/>
      <c r="V18" s="81"/>
      <c r="W18" s="81"/>
      <c r="X18" s="81"/>
      <c r="Y18" s="81"/>
    </row>
    <row r="19" spans="1:25" s="32" customFormat="1" ht="15">
      <c r="A19" s="494"/>
      <c r="B19" s="86" t="s">
        <v>154</v>
      </c>
      <c r="C19" s="89">
        <f t="shared" ref="C19:Q19" si="5">C9*C18/1000000</f>
        <v>47.529357380281105</v>
      </c>
      <c r="D19" s="89">
        <f t="shared" si="5"/>
        <v>49.564707163165238</v>
      </c>
      <c r="E19" s="89">
        <f t="shared" si="5"/>
        <v>52.518478708535454</v>
      </c>
      <c r="F19" s="89">
        <f t="shared" si="5"/>
        <v>58.456856886507559</v>
      </c>
      <c r="G19" s="89">
        <f t="shared" si="5"/>
        <v>66.072269161305414</v>
      </c>
      <c r="H19" s="89">
        <f t="shared" si="5"/>
        <v>70.045700049316778</v>
      </c>
      <c r="I19" s="89">
        <f t="shared" si="5"/>
        <v>74.533037731576144</v>
      </c>
      <c r="J19" s="89">
        <f t="shared" si="5"/>
        <v>79.307847727774117</v>
      </c>
      <c r="K19" s="89">
        <f t="shared" si="5"/>
        <v>84.388546376758512</v>
      </c>
      <c r="L19" s="89">
        <f t="shared" si="5"/>
        <v>89.794729823292798</v>
      </c>
      <c r="M19" s="89">
        <f t="shared" si="5"/>
        <v>95.547249599962399</v>
      </c>
      <c r="N19" s="89">
        <f t="shared" si="5"/>
        <v>101.66829305108477</v>
      </c>
      <c r="O19" s="89">
        <f t="shared" si="5"/>
        <v>108.18146890881643</v>
      </c>
      <c r="P19" s="89">
        <f t="shared" si="5"/>
        <v>115.11189835152193</v>
      </c>
      <c r="Q19" s="89">
        <f t="shared" si="5"/>
        <v>122.48631189561549</v>
      </c>
      <c r="R19" s="90"/>
      <c r="S19" s="90"/>
      <c r="T19" s="90"/>
      <c r="U19" s="90"/>
      <c r="V19" s="90"/>
      <c r="W19" s="90"/>
      <c r="X19" s="90"/>
      <c r="Y19" s="90"/>
    </row>
    <row r="20" spans="1:25" s="32" customFormat="1" ht="15">
      <c r="A20" s="494"/>
      <c r="B20" s="86"/>
      <c r="C20" s="89"/>
      <c r="D20" s="89"/>
      <c r="E20" s="89"/>
      <c r="F20" s="89"/>
      <c r="G20" s="89"/>
      <c r="H20" s="89"/>
      <c r="I20" s="89"/>
      <c r="J20" s="89"/>
      <c r="K20" s="89"/>
      <c r="L20" s="89"/>
      <c r="M20" s="89"/>
      <c r="N20" s="89"/>
      <c r="O20" s="89"/>
      <c r="P20" s="89"/>
      <c r="Q20" s="89"/>
      <c r="R20" s="90"/>
      <c r="S20" s="90"/>
      <c r="T20" s="90"/>
      <c r="U20" s="90"/>
      <c r="V20" s="90"/>
      <c r="W20" s="90"/>
      <c r="X20" s="90"/>
      <c r="Y20" s="90"/>
    </row>
    <row r="21" spans="1:25" s="32" customFormat="1" ht="15">
      <c r="A21" s="494"/>
      <c r="B21" s="86" t="s">
        <v>147</v>
      </c>
      <c r="C21" s="39">
        <f>C15+(C19*10^6)</f>
        <v>50542398.143345892</v>
      </c>
      <c r="D21" s="39">
        <f t="shared" ref="D21:Q21" si="6">D15+(D19*10^6)</f>
        <v>52668139.14912197</v>
      </c>
      <c r="E21" s="39">
        <f t="shared" si="6"/>
        <v>55715013.654070884</v>
      </c>
      <c r="F21" s="39">
        <f t="shared" si="6"/>
        <v>61749287.880409047</v>
      </c>
      <c r="G21" s="39">
        <f t="shared" si="6"/>
        <v>69463473.085023955</v>
      </c>
      <c r="H21" s="39">
        <f t="shared" si="6"/>
        <v>73538640.09074688</v>
      </c>
      <c r="I21" s="39">
        <f t="shared" si="6"/>
        <v>78130765.974249139</v>
      </c>
      <c r="J21" s="39">
        <f t="shared" si="6"/>
        <v>83013507.817727298</v>
      </c>
      <c r="K21" s="39">
        <f t="shared" si="6"/>
        <v>88205376.269410297</v>
      </c>
      <c r="L21" s="39">
        <f t="shared" si="6"/>
        <v>93726064.612724125</v>
      </c>
      <c r="M21" s="39">
        <f t="shared" si="6"/>
        <v>99596524.43307668</v>
      </c>
      <c r="N21" s="39">
        <f t="shared" si="6"/>
        <v>105839046.12919247</v>
      </c>
      <c r="O21" s="39">
        <f t="shared" si="6"/>
        <v>112477344.57926737</v>
      </c>
      <c r="P21" s="39">
        <f t="shared" si="6"/>
        <v>119536650.29208639</v>
      </c>
      <c r="Q21" s="39">
        <f t="shared" si="6"/>
        <v>127043806.39439689</v>
      </c>
      <c r="R21" s="90"/>
      <c r="S21" s="90"/>
      <c r="T21" s="90"/>
      <c r="U21" s="90"/>
      <c r="V21" s="90"/>
      <c r="W21" s="90"/>
      <c r="X21" s="90"/>
      <c r="Y21" s="90"/>
    </row>
    <row r="22" spans="1:25" s="32" customFormat="1" ht="15">
      <c r="A22" s="494"/>
      <c r="B22" s="86"/>
      <c r="C22" s="39"/>
      <c r="D22" s="39"/>
      <c r="E22" s="39"/>
      <c r="F22" s="39"/>
      <c r="G22" s="39"/>
      <c r="H22" s="39"/>
      <c r="I22" s="39"/>
      <c r="J22" s="39"/>
      <c r="K22" s="39"/>
      <c r="L22" s="39"/>
      <c r="M22" s="39"/>
      <c r="N22" s="39"/>
      <c r="O22" s="39"/>
      <c r="P22" s="39"/>
      <c r="Q22" s="39"/>
      <c r="R22" s="90"/>
      <c r="S22" s="90"/>
      <c r="T22" s="90"/>
      <c r="U22" s="90"/>
      <c r="V22" s="90"/>
      <c r="W22" s="90"/>
      <c r="X22" s="90"/>
      <c r="Y22" s="90"/>
    </row>
    <row r="23" spans="1:25" s="32" customFormat="1" ht="15">
      <c r="A23" s="494"/>
      <c r="B23" s="86"/>
      <c r="C23" s="89"/>
      <c r="D23" s="89"/>
      <c r="E23" s="89"/>
      <c r="F23" s="89"/>
      <c r="G23" s="89"/>
      <c r="H23" s="89"/>
      <c r="I23" s="89"/>
      <c r="J23" s="89"/>
      <c r="K23" s="89"/>
      <c r="L23" s="89"/>
      <c r="M23" s="89"/>
      <c r="N23" s="89"/>
      <c r="O23" s="89"/>
      <c r="P23" s="89"/>
      <c r="Q23" s="89"/>
      <c r="R23" s="90"/>
      <c r="S23" s="90"/>
      <c r="T23" s="90"/>
      <c r="U23" s="90"/>
      <c r="V23" s="90"/>
      <c r="W23" s="90"/>
      <c r="X23" s="90"/>
      <c r="Y23" s="90"/>
    </row>
    <row r="24" spans="1:25" s="32" customFormat="1" ht="15">
      <c r="A24" s="494"/>
      <c r="B24" s="93" t="s">
        <v>69</v>
      </c>
      <c r="C24" s="94"/>
      <c r="D24" s="94"/>
      <c r="E24" s="94"/>
      <c r="F24" s="94"/>
      <c r="G24" s="94"/>
      <c r="H24" s="94"/>
      <c r="I24" s="94"/>
      <c r="J24" s="94"/>
      <c r="K24" s="94"/>
      <c r="L24" s="94"/>
      <c r="M24" s="94"/>
      <c r="N24" s="94"/>
      <c r="O24" s="94"/>
      <c r="P24" s="94"/>
      <c r="Q24" s="94"/>
    </row>
    <row r="25" spans="1:25" s="32" customFormat="1" ht="15">
      <c r="A25" s="494"/>
      <c r="B25" s="78" t="s">
        <v>65</v>
      </c>
    </row>
    <row r="26" spans="1:25" s="32" customFormat="1" ht="15">
      <c r="A26" s="494"/>
      <c r="B26" s="86" t="s">
        <v>66</v>
      </c>
      <c r="C26" s="44">
        <f>C14-(C14*'Stove Pollution'!E31*$G$62*100)</f>
        <v>41072.067494520001</v>
      </c>
      <c r="D26" s="44">
        <f>D14-(D14*'Stove Pollution'!F31*$G$62*100)</f>
        <v>42304.229519355598</v>
      </c>
      <c r="E26" s="44">
        <f>E14-(E14*'Stove Pollution'!G31*$G$62*100)</f>
        <v>41968.206737695815</v>
      </c>
      <c r="F26" s="44">
        <f>F14-(F14*'Stove Pollution'!H31*$G$62*100)</f>
        <v>41667.696157331004</v>
      </c>
      <c r="G26" s="44">
        <f>G14-(G14*'Stove Pollution'!I31*$G$62*100)</f>
        <v>41403.87124965035</v>
      </c>
      <c r="H26" s="44">
        <f>H14-(H14*'Stove Pollution'!J31*$G$62*100)</f>
        <v>42786.900369737697</v>
      </c>
      <c r="I26" s="44">
        <f>I14-(I14*'Stove Pollution'!K31*$G$62*100)</f>
        <v>44211.564622395243</v>
      </c>
      <c r="J26" s="44">
        <f>J14-(J14*'Stove Pollution'!L31*$G$62*100)</f>
        <v>45679.111935897803</v>
      </c>
      <c r="K26" s="44">
        <f>K14-(K14*'Stove Pollution'!M31*$G$62*100)</f>
        <v>47190.827682732437</v>
      </c>
      <c r="L26" s="44">
        <f>L14-(L14*'Stove Pollution'!N31*$G$62*100)</f>
        <v>48748.035802932383</v>
      </c>
      <c r="M26" s="44">
        <f>M14-(M14*'Stove Pollution'!O31*$G$62*100)</f>
        <v>50352.099961109903</v>
      </c>
      <c r="N26" s="44">
        <f>N14-(N14*'Stove Pollution'!P31*$G$62*100)</f>
        <v>52004.424738199348</v>
      </c>
      <c r="O26" s="44">
        <f>O14-(O14*'Stove Pollution'!Q31*$G$62*100)</f>
        <v>55323.953697831916</v>
      </c>
      <c r="P26" s="44">
        <f>P14-(P14*'Stove Pollution'!R31*$G$62*100)</f>
        <v>58697.039349990977</v>
      </c>
      <c r="Q26" s="44">
        <f>Q14-(Q14*'Stove Pollution'!S31*$G$62*100)</f>
        <v>62125.187270766583</v>
      </c>
      <c r="R26" s="82"/>
      <c r="S26" s="82"/>
      <c r="T26" s="82"/>
      <c r="U26" s="82"/>
      <c r="V26" s="82"/>
      <c r="W26" s="82"/>
      <c r="X26" s="82"/>
      <c r="Y26" s="82"/>
    </row>
    <row r="27" spans="1:25" s="32" customFormat="1" ht="15">
      <c r="A27" s="494"/>
      <c r="B27" s="86" t="s">
        <v>153</v>
      </c>
      <c r="C27" s="44">
        <f>C26*$D$45/$D$48</f>
        <v>3013040.763064784</v>
      </c>
      <c r="D27" s="44">
        <f t="shared" ref="D27:Q27" si="7">D26*$D$45/$D$48</f>
        <v>3103431.9859567275</v>
      </c>
      <c r="E27" s="44">
        <f t="shared" si="7"/>
        <v>3078781.4046682538</v>
      </c>
      <c r="F27" s="44">
        <f t="shared" si="7"/>
        <v>3056735.9931853223</v>
      </c>
      <c r="G27" s="44">
        <f t="shared" si="7"/>
        <v>3037381.8371945219</v>
      </c>
      <c r="H27" s="44">
        <f t="shared" si="7"/>
        <v>3138840.6477568294</v>
      </c>
      <c r="I27" s="44">
        <f t="shared" si="7"/>
        <v>3243353.805452412</v>
      </c>
      <c r="J27" s="44">
        <f t="shared" si="7"/>
        <v>3351012.858113918</v>
      </c>
      <c r="K27" s="44">
        <f t="shared" si="7"/>
        <v>3461912.1004758324</v>
      </c>
      <c r="L27" s="44">
        <f t="shared" si="7"/>
        <v>3576148.6565820943</v>
      </c>
      <c r="M27" s="44">
        <f t="shared" si="7"/>
        <v>3693822.5646658526</v>
      </c>
      <c r="N27" s="44">
        <f t="shared" si="7"/>
        <v>3815036.8645755588</v>
      </c>
      <c r="O27" s="44">
        <f t="shared" si="7"/>
        <v>4058557.0153661519</v>
      </c>
      <c r="P27" s="44">
        <f t="shared" si="7"/>
        <v>4306006.077155414</v>
      </c>
      <c r="Q27" s="44">
        <f t="shared" si="7"/>
        <v>4557494.4987813979</v>
      </c>
      <c r="R27" s="82"/>
      <c r="S27" s="82"/>
      <c r="T27" s="82"/>
      <c r="U27" s="82"/>
      <c r="V27" s="82"/>
      <c r="W27" s="82"/>
      <c r="X27" s="82"/>
      <c r="Y27" s="82"/>
    </row>
    <row r="28" spans="1:25" s="32" customFormat="1" ht="15">
      <c r="A28" s="494"/>
      <c r="B28" s="86"/>
      <c r="C28" s="95"/>
      <c r="D28" s="95"/>
      <c r="E28" s="95"/>
      <c r="F28" s="95"/>
      <c r="G28" s="95"/>
      <c r="H28" s="95"/>
      <c r="I28" s="95"/>
      <c r="J28" s="95"/>
      <c r="K28" s="95"/>
      <c r="L28" s="95"/>
      <c r="M28" s="95"/>
      <c r="N28" s="95"/>
      <c r="O28" s="95"/>
      <c r="P28" s="95"/>
      <c r="Q28" s="95"/>
      <c r="R28" s="82"/>
      <c r="S28" s="82"/>
      <c r="T28" s="82"/>
      <c r="U28" s="82"/>
      <c r="V28" s="82"/>
      <c r="W28" s="82"/>
      <c r="X28" s="82"/>
      <c r="Y28" s="82"/>
    </row>
    <row r="29" spans="1:25" s="32" customFormat="1" ht="15">
      <c r="A29" s="494"/>
      <c r="B29" s="92" t="s">
        <v>67</v>
      </c>
      <c r="C29" s="95"/>
      <c r="D29" s="95"/>
      <c r="E29" s="95"/>
      <c r="F29" s="95"/>
      <c r="G29" s="95"/>
      <c r="H29" s="95"/>
      <c r="I29" s="95"/>
      <c r="J29" s="95"/>
      <c r="K29" s="95"/>
      <c r="L29" s="95"/>
      <c r="M29" s="95"/>
      <c r="N29" s="95"/>
      <c r="O29" s="95"/>
      <c r="P29" s="95"/>
      <c r="Q29" s="95"/>
      <c r="R29" s="82"/>
      <c r="S29" s="82"/>
      <c r="T29" s="82"/>
      <c r="U29" s="82"/>
      <c r="V29" s="82"/>
      <c r="W29" s="82"/>
      <c r="X29" s="82"/>
      <c r="Y29" s="82"/>
    </row>
    <row r="30" spans="1:25" s="32" customFormat="1" ht="15">
      <c r="A30" s="494"/>
      <c r="B30" s="86" t="s">
        <v>68</v>
      </c>
      <c r="C30" s="44">
        <f>C18-(C18*'Stove Pollution'!E31*$E$62*100)</f>
        <v>22476.542924882728</v>
      </c>
      <c r="D30" s="44">
        <f>D18-(D18*'Stove Pollution'!F31*$E$62*100)</f>
        <v>23150.839212629206</v>
      </c>
      <c r="E30" s="44">
        <f>E18-(E18*'Stove Pollution'!G31*$E$62*100)</f>
        <v>23244.15709267792</v>
      </c>
      <c r="F30" s="44">
        <f>F18-(F18*'Stove Pollution'!H31*$E$62*100)</f>
        <v>23357.351281175408</v>
      </c>
      <c r="G30" s="44">
        <f>G18-(G18*'Stove Pollution'!I31*$E$62*100)</f>
        <v>23491.05855813231</v>
      </c>
      <c r="H30" s="44">
        <f>H18-(H18*'Stove Pollution'!J31*$E$62*100)</f>
        <v>24248.569139813593</v>
      </c>
      <c r="I30" s="44">
        <f>I18-(I18*'Stove Pollution'!K31*$E$62*100)</f>
        <v>25028.859071005769</v>
      </c>
      <c r="J30" s="44">
        <f>J18-(J18*'Stove Pollution'!L31*$E$62*100)</f>
        <v>25832.611310563439</v>
      </c>
      <c r="K30" s="44">
        <f>K18-(K18*'Stove Pollution'!M31*$E$62*100)</f>
        <v>26660.529308490473</v>
      </c>
      <c r="L30" s="44">
        <f>L18-(L18*'Stove Pollution'!N31*$E$62*100)</f>
        <v>27513.337620677295</v>
      </c>
      <c r="M30" s="44">
        <f>M18-(M18*'Stove Pollution'!O31*$E$62*100)</f>
        <v>28391.78254207996</v>
      </c>
      <c r="N30" s="44">
        <f>N18-(N18*'Stove Pollution'!P31*$E$62*100)</f>
        <v>29296.632758894193</v>
      </c>
      <c r="O30" s="44">
        <f>O18-(O18*'Stove Pollution'!Q31*$E$62*100)</f>
        <v>30834.511938135234</v>
      </c>
      <c r="P30" s="44">
        <f>P18-(P18*'Stove Pollution'!R31*$E$62*100)</f>
        <v>32401.287308129067</v>
      </c>
      <c r="Q30" s="44">
        <f>Q18-(Q18*'Stove Pollution'!S31*$E$62*100)</f>
        <v>33997.787878442468</v>
      </c>
      <c r="R30" s="82"/>
      <c r="S30" s="82"/>
      <c r="T30" s="82"/>
      <c r="U30" s="82"/>
      <c r="V30" s="82"/>
      <c r="W30" s="82"/>
      <c r="X30" s="82"/>
      <c r="Y30" s="82"/>
    </row>
    <row r="31" spans="1:25" s="32" customFormat="1" ht="15">
      <c r="A31" s="494"/>
      <c r="B31" s="86" t="s">
        <v>154</v>
      </c>
      <c r="C31" s="96">
        <f t="shared" ref="C31:Q31" si="8">C9*C30/10^6</f>
        <v>47.529357380281105</v>
      </c>
      <c r="D31" s="96">
        <f t="shared" si="8"/>
        <v>49.564707163165238</v>
      </c>
      <c r="E31" s="96">
        <f t="shared" si="8"/>
        <v>51.19434324653821</v>
      </c>
      <c r="F31" s="96">
        <f t="shared" si="8"/>
        <v>55.592712481580925</v>
      </c>
      <c r="G31" s="96">
        <f t="shared" si="8"/>
        <v>61.354072749039837</v>
      </c>
      <c r="H31" s="96">
        <f t="shared" si="8"/>
        <v>65.185643831190731</v>
      </c>
      <c r="I31" s="96">
        <f t="shared" si="8"/>
        <v>69.508355359599292</v>
      </c>
      <c r="J31" s="96">
        <f t="shared" si="8"/>
        <v>74.112998841963247</v>
      </c>
      <c r="K31" s="96">
        <f t="shared" si="8"/>
        <v>79.017805084602173</v>
      </c>
      <c r="L31" s="96">
        <f t="shared" si="8"/>
        <v>84.242178509508079</v>
      </c>
      <c r="M31" s="96">
        <f t="shared" si="8"/>
        <v>89.806772530261142</v>
      </c>
      <c r="N31" s="96">
        <f t="shared" si="8"/>
        <v>95.733569763107084</v>
      </c>
      <c r="O31" s="96">
        <f t="shared" si="8"/>
        <v>104.09113455838067</v>
      </c>
      <c r="P31" s="96">
        <f t="shared" si="8"/>
        <v>112.99755488620815</v>
      </c>
      <c r="Q31" s="96">
        <f t="shared" si="8"/>
        <v>122.48631189561549</v>
      </c>
      <c r="R31" s="82"/>
      <c r="S31" s="82"/>
      <c r="T31" s="82"/>
      <c r="U31" s="82"/>
      <c r="V31" s="82"/>
      <c r="W31" s="82"/>
      <c r="X31" s="82"/>
      <c r="Y31" s="82"/>
    </row>
    <row r="32" spans="1:25" s="32" customFormat="1" ht="15">
      <c r="A32" s="494"/>
      <c r="B32" s="86"/>
      <c r="C32" s="96"/>
      <c r="D32" s="96"/>
      <c r="E32" s="96"/>
      <c r="F32" s="96"/>
      <c r="G32" s="96"/>
      <c r="H32" s="96"/>
      <c r="I32" s="96"/>
      <c r="J32" s="96"/>
      <c r="K32" s="96"/>
      <c r="L32" s="96"/>
      <c r="M32" s="96"/>
      <c r="N32" s="96"/>
      <c r="O32" s="96"/>
      <c r="P32" s="96"/>
      <c r="Q32" s="96"/>
      <c r="R32" s="82"/>
      <c r="S32" s="82"/>
      <c r="T32" s="82"/>
      <c r="U32" s="82"/>
      <c r="V32" s="82"/>
      <c r="W32" s="82"/>
      <c r="X32" s="82"/>
      <c r="Y32" s="82"/>
    </row>
    <row r="33" spans="1:25" s="32" customFormat="1" ht="15">
      <c r="A33" s="494"/>
      <c r="B33" s="86" t="s">
        <v>147</v>
      </c>
      <c r="C33" s="39">
        <f>C27+(C31*10^6)</f>
        <v>50542398.143345892</v>
      </c>
      <c r="D33" s="39">
        <f t="shared" ref="D33:Q33" si="9">D27+(D31*10^6)</f>
        <v>52668139.14912197</v>
      </c>
      <c r="E33" s="39">
        <f t="shared" si="9"/>
        <v>54273124.651206464</v>
      </c>
      <c r="F33" s="39">
        <f t="shared" si="9"/>
        <v>58649448.474766247</v>
      </c>
      <c r="G33" s="39">
        <f t="shared" si="9"/>
        <v>64391454.586234361</v>
      </c>
      <c r="H33" s="39">
        <f t="shared" si="9"/>
        <v>68324484.47894755</v>
      </c>
      <c r="I33" s="39">
        <f t="shared" si="9"/>
        <v>72751709.165051699</v>
      </c>
      <c r="J33" s="39">
        <f t="shared" si="9"/>
        <v>77464011.700077161</v>
      </c>
      <c r="K33" s="39">
        <f t="shared" si="9"/>
        <v>82479717.18507801</v>
      </c>
      <c r="L33" s="39">
        <f t="shared" si="9"/>
        <v>87818327.166090161</v>
      </c>
      <c r="M33" s="39">
        <f t="shared" si="9"/>
        <v>93500595.094926998</v>
      </c>
      <c r="N33" s="39">
        <f t="shared" si="9"/>
        <v>99548606.627682656</v>
      </c>
      <c r="O33" s="39">
        <f t="shared" si="9"/>
        <v>108149691.57374683</v>
      </c>
      <c r="P33" s="39">
        <f t="shared" si="9"/>
        <v>117303560.96336356</v>
      </c>
      <c r="Q33" s="39">
        <f t="shared" si="9"/>
        <v>127043806.39439689</v>
      </c>
      <c r="R33" s="82"/>
      <c r="S33" s="82"/>
      <c r="T33" s="82"/>
      <c r="U33" s="82"/>
      <c r="V33" s="82"/>
      <c r="W33" s="82"/>
      <c r="X33" s="82"/>
      <c r="Y33" s="82"/>
    </row>
    <row r="34" spans="1:25" s="32" customFormat="1" ht="15">
      <c r="A34" s="494"/>
      <c r="B34" s="86"/>
      <c r="C34" s="39"/>
      <c r="D34" s="39"/>
      <c r="E34" s="39"/>
      <c r="F34" s="39"/>
      <c r="G34" s="39"/>
      <c r="H34" s="39"/>
      <c r="I34" s="39"/>
      <c r="J34" s="39"/>
      <c r="K34" s="39"/>
      <c r="L34" s="39"/>
      <c r="M34" s="39"/>
      <c r="N34" s="39"/>
      <c r="O34" s="39"/>
      <c r="P34" s="39"/>
      <c r="Q34" s="39"/>
      <c r="R34" s="82"/>
      <c r="S34" s="82"/>
      <c r="T34" s="82"/>
      <c r="U34" s="82"/>
      <c r="V34" s="82"/>
      <c r="W34" s="82"/>
      <c r="X34" s="82"/>
      <c r="Y34" s="82"/>
    </row>
    <row r="35" spans="1:25" s="74" customFormat="1" ht="15">
      <c r="A35" s="496"/>
      <c r="D35" s="99"/>
      <c r="E35" s="99"/>
      <c r="F35" s="99"/>
      <c r="G35" s="99"/>
      <c r="H35" s="99"/>
      <c r="I35" s="99"/>
      <c r="J35" s="99"/>
      <c r="K35" s="99"/>
      <c r="L35" s="99"/>
      <c r="M35" s="99"/>
      <c r="N35" s="99"/>
      <c r="O35" s="99"/>
      <c r="P35" s="99"/>
      <c r="Q35" s="99"/>
      <c r="R35" s="99"/>
      <c r="S35" s="99"/>
      <c r="T35" s="99"/>
      <c r="U35" s="99"/>
      <c r="V35" s="99"/>
      <c r="W35" s="99"/>
      <c r="X35" s="99"/>
      <c r="Y35" s="99"/>
    </row>
    <row r="36" spans="1:25" s="32" customFormat="1" ht="15">
      <c r="A36" s="494"/>
      <c r="B36" s="64" t="s">
        <v>20</v>
      </c>
      <c r="C36" s="65"/>
      <c r="D36" s="97"/>
      <c r="E36" s="97"/>
      <c r="F36" s="97"/>
      <c r="G36" s="97"/>
      <c r="H36" s="97"/>
      <c r="I36" s="97"/>
      <c r="J36" s="97"/>
      <c r="K36" s="97"/>
      <c r="L36" s="97"/>
      <c r="M36" s="97"/>
      <c r="N36" s="97"/>
      <c r="O36" s="97"/>
      <c r="P36" s="97"/>
      <c r="Q36" s="97"/>
      <c r="R36" s="82"/>
      <c r="S36" s="82"/>
      <c r="T36" s="82"/>
      <c r="U36" s="82"/>
      <c r="V36" s="82"/>
      <c r="W36" s="82"/>
      <c r="X36" s="82"/>
      <c r="Y36" s="82"/>
    </row>
    <row r="37" spans="1:25" s="32" customFormat="1" ht="15">
      <c r="A37" s="494"/>
      <c r="B37" s="65" t="s">
        <v>70</v>
      </c>
      <c r="C37" s="175">
        <f t="shared" ref="C37:Q37" si="10">C14-C26</f>
        <v>0</v>
      </c>
      <c r="D37" s="175">
        <f t="shared" si="10"/>
        <v>0</v>
      </c>
      <c r="E37" s="175">
        <f t="shared" si="10"/>
        <v>1605.1496672404537</v>
      </c>
      <c r="F37" s="175">
        <f t="shared" si="10"/>
        <v>3212.860939753351</v>
      </c>
      <c r="G37" s="175">
        <f t="shared" si="10"/>
        <v>4823.1025603465387</v>
      </c>
      <c r="H37" s="175">
        <f t="shared" si="10"/>
        <v>4826.8826545591073</v>
      </c>
      <c r="I37" s="175">
        <f t="shared" si="10"/>
        <v>4830.6318926304666</v>
      </c>
      <c r="J37" s="175">
        <f t="shared" si="10"/>
        <v>4834.350474578685</v>
      </c>
      <c r="K37" s="175">
        <f t="shared" si="10"/>
        <v>4838.0386000583385</v>
      </c>
      <c r="L37" s="175">
        <f t="shared" si="10"/>
        <v>4841.6964683421174</v>
      </c>
      <c r="M37" s="175">
        <f t="shared" si="10"/>
        <v>4845.3242783028254</v>
      </c>
      <c r="N37" s="179">
        <f t="shared" si="10"/>
        <v>4848.9222283957715</v>
      </c>
      <c r="O37" s="175">
        <f t="shared" si="10"/>
        <v>3234.9936777610565</v>
      </c>
      <c r="P37" s="175">
        <f t="shared" si="10"/>
        <v>1618.6764468697875</v>
      </c>
      <c r="Q37" s="175">
        <f t="shared" si="10"/>
        <v>0</v>
      </c>
      <c r="R37" s="82"/>
      <c r="S37" s="82"/>
      <c r="T37" s="82"/>
      <c r="U37" s="82"/>
      <c r="V37" s="82"/>
      <c r="W37" s="82"/>
      <c r="X37" s="82"/>
      <c r="Y37" s="82"/>
    </row>
    <row r="38" spans="1:25" s="32" customFormat="1" ht="15">
      <c r="A38" s="494"/>
      <c r="B38" s="65" t="s">
        <v>150</v>
      </c>
      <c r="C38" s="175">
        <f t="shared" ref="C38:Q38" si="11">C15-C27</f>
        <v>0</v>
      </c>
      <c r="D38" s="175">
        <f t="shared" si="11"/>
        <v>0</v>
      </c>
      <c r="E38" s="175">
        <f t="shared" si="11"/>
        <v>117753.54086717591</v>
      </c>
      <c r="F38" s="175">
        <f t="shared" si="11"/>
        <v>235695.00071616983</v>
      </c>
      <c r="G38" s="175">
        <f t="shared" si="11"/>
        <v>353822.08652401529</v>
      </c>
      <c r="H38" s="175">
        <f t="shared" si="11"/>
        <v>354099.39367326442</v>
      </c>
      <c r="I38" s="175">
        <f t="shared" si="11"/>
        <v>354374.43722058507</v>
      </c>
      <c r="J38" s="175">
        <f t="shared" si="11"/>
        <v>354647.23183926893</v>
      </c>
      <c r="K38" s="175">
        <f t="shared" si="11"/>
        <v>354917.79217595048</v>
      </c>
      <c r="L38" s="175">
        <f t="shared" si="11"/>
        <v>355186.13284924161</v>
      </c>
      <c r="M38" s="175">
        <f t="shared" si="11"/>
        <v>355452.26844842266</v>
      </c>
      <c r="N38" s="175">
        <f t="shared" si="11"/>
        <v>355716.2135321456</v>
      </c>
      <c r="O38" s="175">
        <f t="shared" si="11"/>
        <v>237318.65508478321</v>
      </c>
      <c r="P38" s="175">
        <f t="shared" si="11"/>
        <v>118745.86340904981</v>
      </c>
      <c r="Q38" s="175">
        <f t="shared" si="11"/>
        <v>0</v>
      </c>
      <c r="R38" s="81"/>
      <c r="S38" s="81"/>
      <c r="T38" s="81"/>
      <c r="U38" s="81"/>
      <c r="V38" s="81"/>
      <c r="W38" s="81"/>
      <c r="X38" s="82"/>
      <c r="Y38" s="82"/>
    </row>
    <row r="39" spans="1:25" s="32" customFormat="1" ht="15">
      <c r="A39" s="494"/>
      <c r="B39" s="65" t="s">
        <v>149</v>
      </c>
      <c r="C39" s="175">
        <f t="shared" ref="C39:Q39" si="12">(C19-C31)*10^6</f>
        <v>0</v>
      </c>
      <c r="D39" s="175">
        <f t="shared" si="12"/>
        <v>0</v>
      </c>
      <c r="E39" s="175">
        <f t="shared" si="12"/>
        <v>1324135.461997244</v>
      </c>
      <c r="F39" s="175">
        <f t="shared" si="12"/>
        <v>2864144.4049266339</v>
      </c>
      <c r="G39" s="175">
        <f t="shared" si="12"/>
        <v>4718196.4122655774</v>
      </c>
      <c r="H39" s="175">
        <f t="shared" si="12"/>
        <v>4860056.2181260474</v>
      </c>
      <c r="I39" s="175">
        <f t="shared" si="12"/>
        <v>5024682.3719768515</v>
      </c>
      <c r="J39" s="175">
        <f t="shared" si="12"/>
        <v>5194848.8858108707</v>
      </c>
      <c r="K39" s="175">
        <f t="shared" si="12"/>
        <v>5370741.2921563387</v>
      </c>
      <c r="L39" s="175">
        <f t="shared" si="12"/>
        <v>5552551.3137847185</v>
      </c>
      <c r="M39" s="175">
        <f t="shared" si="12"/>
        <v>5740477.0697012562</v>
      </c>
      <c r="N39" s="175">
        <f t="shared" si="12"/>
        <v>5934723.2879776899</v>
      </c>
      <c r="O39" s="175">
        <f t="shared" si="12"/>
        <v>4090334.3504357538</v>
      </c>
      <c r="P39" s="175">
        <f t="shared" si="12"/>
        <v>2114343.4653137801</v>
      </c>
      <c r="Q39" s="175">
        <f t="shared" si="12"/>
        <v>0</v>
      </c>
      <c r="R39" s="81"/>
      <c r="S39" s="81"/>
      <c r="T39" s="81"/>
      <c r="U39" s="81"/>
      <c r="V39" s="81"/>
      <c r="W39" s="81"/>
      <c r="X39" s="81"/>
      <c r="Y39" s="81"/>
    </row>
    <row r="40" spans="1:25" s="74" customFormat="1" ht="15">
      <c r="A40" s="496"/>
      <c r="B40" s="64" t="s">
        <v>148</v>
      </c>
      <c r="C40" s="98">
        <f>C38+C39</f>
        <v>0</v>
      </c>
      <c r="D40" s="98">
        <f t="shared" ref="D40:Q40" si="13">D38+D39</f>
        <v>0</v>
      </c>
      <c r="E40" s="98">
        <f t="shared" si="13"/>
        <v>1441889.0028644199</v>
      </c>
      <c r="F40" s="98">
        <f t="shared" si="13"/>
        <v>3099839.4056428038</v>
      </c>
      <c r="G40" s="98">
        <f t="shared" si="13"/>
        <v>5072018.4987895926</v>
      </c>
      <c r="H40" s="98">
        <f t="shared" si="13"/>
        <v>5214155.6117993118</v>
      </c>
      <c r="I40" s="98">
        <f t="shared" si="13"/>
        <v>5379056.809197437</v>
      </c>
      <c r="J40" s="98">
        <f t="shared" si="13"/>
        <v>5549496.1176501401</v>
      </c>
      <c r="K40" s="98">
        <f t="shared" si="13"/>
        <v>5725659.0843322892</v>
      </c>
      <c r="L40" s="98">
        <f t="shared" si="13"/>
        <v>5907737.4466339601</v>
      </c>
      <c r="M40" s="98">
        <f t="shared" si="13"/>
        <v>6095929.3381496789</v>
      </c>
      <c r="N40" s="98">
        <f t="shared" si="13"/>
        <v>6290439.5015098359</v>
      </c>
      <c r="O40" s="98">
        <f t="shared" si="13"/>
        <v>4327653.0055205375</v>
      </c>
      <c r="P40" s="98">
        <f t="shared" si="13"/>
        <v>2233089.3287228299</v>
      </c>
      <c r="Q40" s="98">
        <f t="shared" si="13"/>
        <v>0</v>
      </c>
      <c r="R40" s="99"/>
      <c r="S40" s="99"/>
      <c r="T40" s="99"/>
      <c r="U40" s="99"/>
      <c r="V40" s="99"/>
      <c r="W40" s="99"/>
      <c r="X40" s="99"/>
      <c r="Y40" s="99"/>
    </row>
    <row r="41" spans="1:25" s="74" customFormat="1" ht="15">
      <c r="A41" s="496"/>
      <c r="C41" s="100"/>
      <c r="D41" s="100"/>
      <c r="E41" s="100"/>
      <c r="F41" s="100"/>
      <c r="G41" s="100"/>
      <c r="H41" s="100"/>
      <c r="I41" s="100"/>
      <c r="J41" s="100"/>
      <c r="K41" s="100"/>
      <c r="L41" s="100"/>
      <c r="M41" s="100"/>
      <c r="N41" s="100"/>
      <c r="O41" s="100"/>
      <c r="P41" s="100"/>
      <c r="Q41" s="100"/>
      <c r="R41" s="99"/>
      <c r="S41" s="99"/>
      <c r="T41" s="99"/>
      <c r="U41" s="99"/>
      <c r="V41" s="99"/>
      <c r="W41" s="99"/>
      <c r="X41" s="99"/>
      <c r="Y41" s="99"/>
    </row>
    <row r="42" spans="1:25" s="74" customFormat="1" ht="15">
      <c r="A42" s="496"/>
      <c r="C42" s="100"/>
      <c r="D42" s="100"/>
      <c r="E42" s="100"/>
      <c r="F42" s="100"/>
      <c r="G42" s="100"/>
      <c r="H42" s="100"/>
      <c r="I42" s="100"/>
      <c r="J42" s="100"/>
      <c r="K42" s="100"/>
      <c r="L42" s="100"/>
      <c r="M42" s="100"/>
      <c r="N42" s="100"/>
      <c r="O42" s="100"/>
      <c r="P42" s="100"/>
      <c r="Q42" s="100"/>
      <c r="R42" s="99"/>
      <c r="S42" s="99"/>
      <c r="T42" s="99"/>
      <c r="U42" s="99"/>
      <c r="V42" s="99"/>
      <c r="W42" s="99"/>
      <c r="X42" s="99"/>
      <c r="Y42" s="99"/>
    </row>
    <row r="43" spans="1:25" s="35" customFormat="1" ht="15">
      <c r="A43" s="495"/>
      <c r="B43" s="34"/>
      <c r="C43" s="34"/>
      <c r="D43" s="34"/>
      <c r="E43" s="34"/>
      <c r="F43" s="34"/>
      <c r="G43" s="34"/>
      <c r="H43" s="34"/>
      <c r="I43" s="34"/>
      <c r="J43" s="34"/>
      <c r="K43" s="34"/>
      <c r="L43" s="34"/>
      <c r="M43" s="34"/>
      <c r="N43" s="34"/>
      <c r="O43" s="34"/>
      <c r="P43" s="34"/>
      <c r="Q43" s="34"/>
    </row>
    <row r="44" spans="1:25" s="35" customFormat="1" ht="15">
      <c r="A44" s="495"/>
      <c r="B44" s="101" t="s">
        <v>21</v>
      </c>
      <c r="C44" s="102"/>
      <c r="D44" s="102"/>
      <c r="E44" s="471" t="s">
        <v>528</v>
      </c>
      <c r="F44" s="500"/>
      <c r="G44" s="500"/>
      <c r="H44" s="34"/>
      <c r="I44" s="34"/>
      <c r="J44" s="34"/>
      <c r="K44" s="34"/>
      <c r="L44" s="34"/>
      <c r="M44" s="34"/>
      <c r="N44" s="34"/>
      <c r="O44" s="34"/>
      <c r="P44" s="34"/>
      <c r="Q44" s="34"/>
    </row>
    <row r="45" spans="1:25" s="35" customFormat="1" ht="15">
      <c r="A45" s="495">
        <v>3</v>
      </c>
      <c r="B45" s="102" t="s">
        <v>71</v>
      </c>
      <c r="C45" s="102"/>
      <c r="D45" s="176">
        <f>H74</f>
        <v>104904.58732708107</v>
      </c>
      <c r="E45" s="104" t="s">
        <v>72</v>
      </c>
      <c r="F45" s="501"/>
      <c r="G45" s="501"/>
      <c r="H45" s="34"/>
      <c r="I45" s="34"/>
      <c r="J45" s="34"/>
      <c r="K45" s="34"/>
      <c r="L45" s="34"/>
      <c r="M45" s="34"/>
      <c r="N45" s="34"/>
      <c r="O45" s="34"/>
      <c r="P45" s="34"/>
      <c r="Q45" s="34"/>
    </row>
    <row r="46" spans="1:25" s="35" customFormat="1" ht="30" customHeight="1">
      <c r="A46" s="495">
        <v>3</v>
      </c>
      <c r="B46" s="492" t="s">
        <v>73</v>
      </c>
      <c r="C46" s="102"/>
      <c r="D46" s="493">
        <v>1</v>
      </c>
      <c r="E46" s="491" t="s">
        <v>74</v>
      </c>
      <c r="F46" s="502"/>
      <c r="G46" s="502"/>
      <c r="H46" s="34"/>
      <c r="I46" s="34"/>
      <c r="J46" s="34"/>
      <c r="K46" s="34"/>
      <c r="L46" s="34"/>
      <c r="M46" s="34"/>
      <c r="N46" s="34"/>
      <c r="O46" s="34"/>
      <c r="P46" s="34"/>
      <c r="Q46" s="34"/>
    </row>
    <row r="47" spans="1:25" s="35" customFormat="1" ht="15">
      <c r="A47" s="495">
        <v>3</v>
      </c>
      <c r="B47" s="102" t="s">
        <v>75</v>
      </c>
      <c r="C47" s="102"/>
      <c r="D47" s="154">
        <f>E74</f>
        <v>3.8476013885628851E-2</v>
      </c>
      <c r="E47" s="104"/>
      <c r="F47" s="501"/>
      <c r="G47" s="501"/>
      <c r="H47" s="34"/>
      <c r="I47" s="34"/>
      <c r="J47" s="34"/>
      <c r="K47" s="34"/>
      <c r="L47" s="34"/>
      <c r="M47" s="34"/>
      <c r="N47" s="34"/>
      <c r="O47" s="34"/>
      <c r="P47" s="34"/>
      <c r="Q47" s="34"/>
    </row>
    <row r="48" spans="1:25" s="35" customFormat="1" ht="15">
      <c r="A48" s="495"/>
      <c r="B48" s="102" t="s">
        <v>44</v>
      </c>
      <c r="C48" s="102"/>
      <c r="D48" s="176">
        <f>'Stove Assumptions'!C9</f>
        <v>1430</v>
      </c>
      <c r="E48" s="104" t="s">
        <v>45</v>
      </c>
      <c r="F48" s="501"/>
      <c r="G48" s="501"/>
      <c r="H48" s="34"/>
      <c r="I48" s="34"/>
      <c r="J48" s="34"/>
      <c r="K48" s="34"/>
      <c r="L48" s="34"/>
      <c r="M48" s="34"/>
      <c r="N48" s="34"/>
      <c r="O48" s="34"/>
      <c r="P48" s="34"/>
      <c r="Q48" s="34"/>
    </row>
    <row r="49" spans="1:17" s="35" customFormat="1" ht="15">
      <c r="A49" s="495"/>
      <c r="B49" s="102" t="s">
        <v>76</v>
      </c>
      <c r="C49" s="102"/>
      <c r="D49" s="154">
        <f>'Stove Assumptions'!C10</f>
        <v>0.03</v>
      </c>
      <c r="E49" s="102" t="s">
        <v>77</v>
      </c>
      <c r="F49" s="501"/>
      <c r="G49" s="501"/>
      <c r="H49" s="34"/>
      <c r="I49" s="34"/>
      <c r="O49" s="34"/>
      <c r="P49" s="34"/>
      <c r="Q49" s="34"/>
    </row>
    <row r="50" spans="1:17" s="35" customFormat="1" ht="15">
      <c r="A50" s="495"/>
      <c r="B50" s="158" t="s">
        <v>78</v>
      </c>
      <c r="C50" s="102"/>
      <c r="D50" s="176">
        <f>D69</f>
        <v>2105.5861816406168</v>
      </c>
      <c r="E50" s="102"/>
      <c r="F50" s="503"/>
      <c r="G50" s="503"/>
      <c r="H50" s="34"/>
      <c r="I50" s="34"/>
      <c r="J50" s="34"/>
      <c r="K50" s="34"/>
      <c r="L50" s="34"/>
      <c r="M50" s="34"/>
      <c r="N50" s="34"/>
      <c r="O50" s="34"/>
      <c r="P50" s="34"/>
      <c r="Q50" s="34"/>
    </row>
    <row r="51" spans="1:17" s="35" customFormat="1" ht="15">
      <c r="A51" s="495"/>
      <c r="B51" s="34"/>
      <c r="C51" s="34"/>
      <c r="D51" s="34"/>
      <c r="E51" s="34"/>
      <c r="F51" s="34"/>
      <c r="G51" s="34"/>
      <c r="H51" s="34"/>
      <c r="I51" s="34"/>
      <c r="J51" s="34"/>
      <c r="K51" s="34"/>
      <c r="L51" s="34"/>
      <c r="M51" s="34"/>
      <c r="N51" s="34"/>
      <c r="O51" s="34"/>
      <c r="P51" s="34"/>
      <c r="Q51" s="34"/>
    </row>
    <row r="52" spans="1:17" s="108" customFormat="1" ht="15">
      <c r="A52" s="497"/>
      <c r="B52" s="70"/>
      <c r="C52" s="70"/>
      <c r="D52" s="70"/>
      <c r="E52" s="70"/>
      <c r="F52" s="70"/>
      <c r="G52" s="70"/>
      <c r="H52" s="70"/>
      <c r="I52" s="70"/>
      <c r="J52" s="70"/>
      <c r="K52" s="70"/>
      <c r="L52" s="70"/>
      <c r="M52" s="70"/>
      <c r="N52" s="70"/>
      <c r="O52" s="70"/>
      <c r="P52" s="70"/>
      <c r="Q52" s="70"/>
    </row>
    <row r="53" spans="1:17" s="35" customFormat="1" ht="15">
      <c r="A53" s="495"/>
      <c r="B53" s="34"/>
      <c r="C53" s="34"/>
      <c r="D53" s="34"/>
      <c r="E53" s="34"/>
      <c r="F53" s="34"/>
      <c r="G53" s="34"/>
      <c r="H53" s="73"/>
      <c r="I53" s="34"/>
      <c r="J53" s="34"/>
      <c r="K53" s="34"/>
      <c r="L53" s="34"/>
      <c r="M53" s="34"/>
      <c r="N53" s="34"/>
      <c r="O53" s="34"/>
      <c r="P53" s="34"/>
      <c r="Q53" s="34"/>
    </row>
    <row r="54" spans="1:17" s="35" customFormat="1" ht="15">
      <c r="A54" s="495"/>
      <c r="H54" s="34"/>
      <c r="I54" s="54"/>
      <c r="J54" s="54"/>
      <c r="K54" s="54"/>
      <c r="L54" s="54"/>
      <c r="M54" s="54"/>
      <c r="N54" s="54"/>
      <c r="O54" s="54"/>
      <c r="P54" s="34"/>
      <c r="Q54" s="34"/>
    </row>
    <row r="55" spans="1:17" s="35" customFormat="1" ht="15">
      <c r="A55" s="495">
        <v>4</v>
      </c>
      <c r="B55" s="134" t="s">
        <v>120</v>
      </c>
      <c r="C55" s="70"/>
      <c r="D55" s="70"/>
      <c r="E55" s="70"/>
      <c r="F55" s="70"/>
      <c r="G55" s="70"/>
      <c r="H55" s="34"/>
      <c r="I55" s="54"/>
      <c r="J55" s="54"/>
      <c r="K55" s="54"/>
      <c r="L55" s="54"/>
      <c r="M55" s="54"/>
      <c r="N55" s="54"/>
      <c r="O55" s="54"/>
      <c r="P55" s="34"/>
      <c r="Q55" s="34"/>
    </row>
    <row r="56" spans="1:17" s="35" customFormat="1" ht="60">
      <c r="A56" s="495"/>
      <c r="B56" s="128"/>
      <c r="C56" s="137" t="s">
        <v>113</v>
      </c>
      <c r="D56" s="137" t="s">
        <v>79</v>
      </c>
      <c r="E56" s="137" t="s">
        <v>80</v>
      </c>
      <c r="F56" s="137" t="s">
        <v>81</v>
      </c>
      <c r="G56" s="137" t="s">
        <v>82</v>
      </c>
      <c r="H56" s="34"/>
      <c r="I56" s="129"/>
      <c r="J56" s="129"/>
      <c r="K56" s="130"/>
      <c r="L56" s="130"/>
      <c r="M56" s="130"/>
      <c r="N56" s="130"/>
      <c r="O56" s="54"/>
      <c r="P56" s="34"/>
      <c r="Q56" s="34"/>
    </row>
    <row r="57" spans="1:17" s="35" customFormat="1" ht="15">
      <c r="A57" s="495"/>
      <c r="B57" s="34" t="s">
        <v>114</v>
      </c>
      <c r="C57" s="66">
        <v>0</v>
      </c>
      <c r="D57" s="35">
        <v>614</v>
      </c>
      <c r="E57" s="35">
        <v>379</v>
      </c>
      <c r="F57" s="35">
        <v>735</v>
      </c>
      <c r="G57" s="35">
        <v>448</v>
      </c>
      <c r="H57" s="34"/>
      <c r="I57" s="54"/>
      <c r="J57" s="131"/>
      <c r="K57" s="54"/>
      <c r="L57" s="54"/>
      <c r="M57" s="54"/>
      <c r="N57" s="54"/>
      <c r="O57" s="54"/>
      <c r="P57" s="34"/>
      <c r="Q57" s="34"/>
    </row>
    <row r="58" spans="1:17" s="35" customFormat="1" ht="15">
      <c r="A58" s="495"/>
      <c r="B58" s="34" t="s">
        <v>115</v>
      </c>
      <c r="C58" s="66">
        <v>0.3</v>
      </c>
      <c r="D58" s="35">
        <v>83</v>
      </c>
      <c r="E58" s="35">
        <v>71</v>
      </c>
      <c r="F58" s="35">
        <v>165</v>
      </c>
      <c r="G58" s="35">
        <v>102</v>
      </c>
      <c r="H58" s="34"/>
      <c r="I58" s="54"/>
      <c r="J58" s="131"/>
      <c r="K58" s="54"/>
      <c r="L58" s="54"/>
      <c r="M58" s="54"/>
      <c r="N58" s="54"/>
      <c r="O58" s="54"/>
      <c r="P58" s="34"/>
      <c r="Q58" s="34"/>
    </row>
    <row r="59" spans="1:17" s="35" customFormat="1" ht="15">
      <c r="A59" s="495"/>
      <c r="B59" s="34" t="s">
        <v>116</v>
      </c>
      <c r="C59" s="138" t="s">
        <v>83</v>
      </c>
      <c r="D59" s="139">
        <f>(D58)/(100*($C58-$C57))</f>
        <v>2.7666666666666666</v>
      </c>
      <c r="E59" s="139">
        <f>(E58)/(100*($C58-$C57))</f>
        <v>2.3666666666666667</v>
      </c>
      <c r="F59" s="139">
        <f>(F58)/(100*($C58-$C57))</f>
        <v>5.5</v>
      </c>
      <c r="G59" s="139">
        <f>(G58)/(100*($C58-$C57))</f>
        <v>3.4</v>
      </c>
      <c r="H59" s="34"/>
      <c r="I59" s="54"/>
      <c r="J59" s="132"/>
      <c r="K59" s="133"/>
      <c r="L59" s="133"/>
      <c r="M59" s="133"/>
      <c r="N59" s="133"/>
      <c r="O59" s="34"/>
      <c r="P59" s="34"/>
      <c r="Q59" s="34"/>
    </row>
    <row r="60" spans="1:17" s="35" customFormat="1" ht="15">
      <c r="A60" s="495"/>
      <c r="B60" s="34" t="s">
        <v>117</v>
      </c>
      <c r="C60" s="34"/>
      <c r="D60" s="123">
        <f>D59/D57</f>
        <v>4.5059717698154181E-3</v>
      </c>
      <c r="E60" s="123">
        <f>E59/E57</f>
        <v>6.2445030782761653E-3</v>
      </c>
      <c r="F60" s="123">
        <f>F59/F57</f>
        <v>7.4829931972789114E-3</v>
      </c>
      <c r="G60" s="123">
        <f>G59/G57</f>
        <v>7.5892857142857142E-3</v>
      </c>
      <c r="H60" s="34"/>
      <c r="I60" s="54"/>
      <c r="J60" s="54"/>
      <c r="K60" s="124"/>
      <c r="L60" s="124"/>
      <c r="M60" s="124"/>
      <c r="N60" s="124"/>
      <c r="O60" s="54"/>
      <c r="P60" s="34"/>
      <c r="Q60" s="34"/>
    </row>
    <row r="61" spans="1:17" s="35" customFormat="1" ht="15">
      <c r="A61" s="495"/>
      <c r="B61" s="70" t="s">
        <v>84</v>
      </c>
      <c r="C61" s="70"/>
      <c r="D61" s="140">
        <v>1</v>
      </c>
      <c r="E61" s="141">
        <v>0.6</v>
      </c>
      <c r="F61" s="70"/>
      <c r="G61" s="70"/>
      <c r="H61" s="34"/>
      <c r="I61" s="54"/>
      <c r="J61" s="54"/>
      <c r="K61" s="125"/>
      <c r="L61" s="135"/>
      <c r="M61" s="54"/>
      <c r="N61" s="54"/>
      <c r="O61" s="54"/>
      <c r="P61" s="34"/>
      <c r="Q61" s="34"/>
    </row>
    <row r="62" spans="1:17" s="35" customFormat="1" ht="15">
      <c r="A62" s="495"/>
      <c r="B62" s="34" t="s">
        <v>118</v>
      </c>
      <c r="C62" s="34"/>
      <c r="D62" s="34"/>
      <c r="E62" s="143">
        <f>(D60*D61+E60*E61)/(D61+E61)</f>
        <v>5.1579210104881982E-3</v>
      </c>
      <c r="F62" s="34"/>
      <c r="G62" s="144">
        <f>AVERAGE(F60:G60)</f>
        <v>7.5361394557823128E-3</v>
      </c>
      <c r="H62" s="34"/>
      <c r="I62" s="54"/>
      <c r="J62" s="54"/>
      <c r="K62" s="54"/>
      <c r="L62" s="54"/>
      <c r="M62" s="54"/>
      <c r="N62" s="54"/>
      <c r="O62" s="54"/>
      <c r="P62" s="34"/>
      <c r="Q62" s="34"/>
    </row>
    <row r="63" spans="1:17" s="35" customFormat="1" ht="15">
      <c r="A63" s="495"/>
      <c r="B63" s="43"/>
      <c r="C63" s="43"/>
      <c r="D63" s="145"/>
      <c r="E63" s="145"/>
      <c r="F63" s="145"/>
      <c r="G63" s="145"/>
      <c r="H63" s="34"/>
      <c r="I63" s="54"/>
      <c r="J63" s="54"/>
      <c r="K63" s="124"/>
      <c r="L63" s="124"/>
      <c r="M63" s="124"/>
      <c r="N63" s="124"/>
      <c r="O63" s="54"/>
      <c r="P63" s="34"/>
      <c r="Q63" s="34"/>
    </row>
    <row r="64" spans="1:17" s="35" customFormat="1" ht="15">
      <c r="A64" s="495"/>
      <c r="B64" s="34"/>
      <c r="C64" s="34"/>
      <c r="D64" s="34"/>
      <c r="E64" s="34"/>
      <c r="F64" s="34"/>
      <c r="G64" s="34"/>
      <c r="H64" s="34"/>
      <c r="I64" s="34"/>
      <c r="J64" s="34"/>
      <c r="K64" s="34"/>
      <c r="L64" s="34"/>
      <c r="M64" s="34"/>
      <c r="N64" s="34"/>
      <c r="O64" s="34"/>
      <c r="P64" s="34"/>
      <c r="Q64" s="34"/>
    </row>
    <row r="65" spans="1:17" s="35" customFormat="1" ht="15">
      <c r="A65" s="495">
        <v>5</v>
      </c>
      <c r="B65" s="134" t="s">
        <v>85</v>
      </c>
      <c r="D65" s="156" t="s">
        <v>78</v>
      </c>
      <c r="F65" s="34"/>
      <c r="G65" s="34"/>
      <c r="H65" s="34"/>
      <c r="I65" s="34"/>
      <c r="J65" s="34"/>
      <c r="K65" s="34"/>
      <c r="L65" s="34"/>
      <c r="M65" s="34"/>
      <c r="N65" s="34"/>
      <c r="O65" s="34"/>
      <c r="P65" s="34"/>
      <c r="Q65" s="34"/>
    </row>
    <row r="66" spans="1:17" s="35" customFormat="1" ht="15">
      <c r="A66" s="495"/>
      <c r="B66" s="40" t="s">
        <v>86</v>
      </c>
      <c r="C66" s="157"/>
      <c r="D66" s="126">
        <v>1009.34216308593</v>
      </c>
      <c r="F66" s="34"/>
      <c r="G66" s="34"/>
      <c r="H66" s="34"/>
      <c r="I66" s="34"/>
      <c r="J66" s="34"/>
      <c r="K66" s="34"/>
      <c r="L66" s="34"/>
      <c r="M66" s="34"/>
      <c r="N66" s="34"/>
      <c r="O66" s="34"/>
      <c r="P66" s="34"/>
      <c r="Q66" s="34"/>
    </row>
    <row r="67" spans="1:17" s="35" customFormat="1" ht="15">
      <c r="A67" s="495"/>
      <c r="B67" s="40" t="s">
        <v>87</v>
      </c>
      <c r="D67" s="126">
        <v>284.90875244140602</v>
      </c>
      <c r="F67" s="34"/>
      <c r="G67" s="34"/>
      <c r="H67" s="34"/>
      <c r="I67" s="34"/>
      <c r="J67" s="34"/>
      <c r="K67" s="34"/>
      <c r="L67" s="34"/>
      <c r="M67" s="34"/>
      <c r="N67" s="34"/>
      <c r="O67" s="34"/>
      <c r="P67" s="34"/>
      <c r="Q67" s="34"/>
    </row>
    <row r="68" spans="1:17" s="35" customFormat="1" ht="15">
      <c r="A68" s="495"/>
      <c r="B68" s="136" t="s">
        <v>88</v>
      </c>
      <c r="C68" s="108"/>
      <c r="D68" s="127">
        <v>811.33526611328102</v>
      </c>
      <c r="F68" s="34"/>
      <c r="G68" s="34"/>
      <c r="H68" s="34"/>
      <c r="I68" s="34"/>
      <c r="J68" s="34"/>
      <c r="K68" s="34"/>
      <c r="L68" s="34"/>
      <c r="M68" s="34"/>
      <c r="N68" s="34"/>
      <c r="O68" s="34"/>
      <c r="P68" s="34"/>
      <c r="Q68" s="34"/>
    </row>
    <row r="69" spans="1:17" s="35" customFormat="1" ht="15">
      <c r="A69" s="495"/>
      <c r="B69" s="56" t="s">
        <v>16</v>
      </c>
      <c r="D69" s="142">
        <f>SUM(D66:D68)</f>
        <v>2105.5861816406168</v>
      </c>
      <c r="F69" s="34"/>
      <c r="G69" s="34"/>
      <c r="H69" s="34"/>
      <c r="I69" s="34"/>
      <c r="J69" s="34"/>
      <c r="K69" s="34"/>
      <c r="L69" s="34"/>
      <c r="M69" s="34"/>
      <c r="N69" s="34"/>
      <c r="O69" s="34"/>
      <c r="P69" s="34"/>
      <c r="Q69" s="34"/>
    </row>
    <row r="70" spans="1:17" s="35" customFormat="1" ht="15">
      <c r="A70" s="495"/>
      <c r="B70" s="56"/>
      <c r="C70" s="43"/>
      <c r="D70" s="43"/>
      <c r="E70" s="142"/>
      <c r="F70" s="34"/>
      <c r="G70" s="34"/>
      <c r="H70" s="34"/>
      <c r="I70" s="34"/>
      <c r="J70" s="34"/>
      <c r="K70" s="34"/>
      <c r="L70" s="34"/>
      <c r="M70" s="34"/>
      <c r="N70" s="34"/>
      <c r="O70" s="34"/>
      <c r="P70" s="34"/>
      <c r="Q70" s="34"/>
    </row>
    <row r="71" spans="1:17" s="35" customFormat="1" ht="15">
      <c r="A71" s="495"/>
      <c r="B71" s="34"/>
      <c r="C71" s="34"/>
      <c r="D71" s="34"/>
      <c r="E71" s="34"/>
      <c r="F71" s="34"/>
      <c r="G71" s="34"/>
      <c r="H71" s="34"/>
      <c r="I71" s="34"/>
      <c r="J71" s="34"/>
      <c r="K71" s="34"/>
      <c r="L71" s="34"/>
      <c r="M71" s="34"/>
      <c r="N71" s="34"/>
      <c r="O71" s="34"/>
      <c r="P71" s="34"/>
      <c r="Q71" s="34"/>
    </row>
    <row r="72" spans="1:17" s="35" customFormat="1" ht="15">
      <c r="A72" s="495">
        <v>3</v>
      </c>
      <c r="B72" s="33" t="s">
        <v>119</v>
      </c>
      <c r="D72" s="34"/>
      <c r="E72" s="34"/>
      <c r="F72" s="34"/>
      <c r="G72" s="34"/>
      <c r="H72" s="34"/>
      <c r="I72" s="34"/>
      <c r="J72" s="34"/>
      <c r="K72" s="34"/>
      <c r="L72" s="34"/>
      <c r="M72" s="34"/>
      <c r="N72" s="34"/>
      <c r="O72" s="34"/>
      <c r="P72" s="34"/>
      <c r="Q72" s="34"/>
    </row>
    <row r="73" spans="1:17" s="54" customFormat="1" ht="45">
      <c r="A73" s="495"/>
      <c r="B73" s="146"/>
      <c r="C73" s="155" t="s">
        <v>89</v>
      </c>
      <c r="D73" s="155" t="s">
        <v>90</v>
      </c>
      <c r="E73" s="155" t="s">
        <v>91</v>
      </c>
      <c r="F73" s="155" t="s">
        <v>92</v>
      </c>
      <c r="G73" s="155" t="s">
        <v>93</v>
      </c>
      <c r="H73" s="155" t="s">
        <v>94</v>
      </c>
      <c r="I73" s="43"/>
      <c r="J73" s="43"/>
      <c r="K73" s="43"/>
      <c r="L73" s="43"/>
      <c r="M73" s="43"/>
      <c r="N73" s="43"/>
      <c r="O73" s="43"/>
      <c r="P73" s="43"/>
      <c r="Q73" s="43"/>
    </row>
    <row r="74" spans="1:17" s="35" customFormat="1" ht="15">
      <c r="B74" s="34" t="s">
        <v>16</v>
      </c>
      <c r="C74" s="44">
        <v>36492</v>
      </c>
      <c r="D74" s="44">
        <f>'Stove Assumptions'!C34</f>
        <v>948435.04601265618</v>
      </c>
      <c r="E74" s="105">
        <f>C74/D74</f>
        <v>3.8476013885628851E-2</v>
      </c>
      <c r="F74" s="44">
        <v>2426781.4000000004</v>
      </c>
      <c r="G74" s="42">
        <f>F74/C74*1000</f>
        <v>66501.73736709416</v>
      </c>
      <c r="H74" s="42">
        <f>G74*'Stove Assumptions'!C30</f>
        <v>104904.58732708107</v>
      </c>
      <c r="I74" s="34"/>
      <c r="J74" s="34"/>
      <c r="K74" s="34"/>
      <c r="L74" s="34"/>
      <c r="M74" s="34"/>
      <c r="N74" s="34"/>
      <c r="O74" s="34"/>
      <c r="P74" s="34"/>
      <c r="Q74" s="34"/>
    </row>
    <row r="75" spans="1:17" s="35" customFormat="1" ht="15">
      <c r="B75" s="34"/>
      <c r="C75" s="34"/>
      <c r="D75" s="34"/>
      <c r="E75" s="34"/>
      <c r="F75" s="34"/>
      <c r="G75" s="34"/>
      <c r="H75" s="34"/>
      <c r="I75" s="34"/>
      <c r="J75" s="34"/>
      <c r="K75" s="34"/>
      <c r="L75" s="34"/>
      <c r="M75" s="34"/>
      <c r="N75" s="34"/>
      <c r="O75" s="34"/>
      <c r="P75" s="34"/>
      <c r="Q75" s="34"/>
    </row>
    <row r="76" spans="1:17" s="35" customFormat="1" ht="15">
      <c r="B76" s="34"/>
      <c r="C76" s="34"/>
      <c r="D76" s="34"/>
      <c r="E76" s="34"/>
      <c r="F76" s="34"/>
      <c r="G76" s="34"/>
      <c r="H76" s="34"/>
      <c r="I76" s="34"/>
      <c r="J76" s="34"/>
      <c r="K76" s="34"/>
      <c r="L76" s="34"/>
      <c r="M76" s="34"/>
      <c r="N76" s="34"/>
      <c r="O76" s="34"/>
      <c r="P76" s="34"/>
      <c r="Q76" s="34"/>
    </row>
    <row r="77" spans="1:17" s="35" customFormat="1" ht="15">
      <c r="B77" s="34"/>
      <c r="C77" s="34"/>
      <c r="D77" s="34"/>
      <c r="E77" s="34"/>
      <c r="F77" s="34"/>
      <c r="G77" s="34"/>
      <c r="H77" s="34"/>
      <c r="I77" s="34"/>
      <c r="J77" s="34"/>
      <c r="K77" s="34"/>
      <c r="L77" s="34"/>
      <c r="M77" s="34"/>
      <c r="N77" s="34"/>
      <c r="O77" s="34"/>
      <c r="P77" s="34"/>
      <c r="Q77" s="34"/>
    </row>
    <row r="78" spans="1:17" s="35" customFormat="1" ht="15">
      <c r="B78" s="498" t="s">
        <v>529</v>
      </c>
      <c r="C78" s="34" t="s">
        <v>530</v>
      </c>
      <c r="D78" s="34"/>
      <c r="E78" s="34"/>
      <c r="F78" s="34"/>
      <c r="G78" s="34"/>
      <c r="H78" s="34"/>
      <c r="I78" s="34"/>
      <c r="J78" s="34"/>
      <c r="K78" s="34"/>
      <c r="L78" s="34"/>
      <c r="M78" s="34"/>
      <c r="N78" s="34"/>
      <c r="O78" s="34"/>
      <c r="P78" s="34"/>
      <c r="Q78" s="34"/>
    </row>
    <row r="79" spans="1:17" s="35" customFormat="1" ht="15">
      <c r="B79" s="499">
        <v>1</v>
      </c>
      <c r="C79" s="34" t="s">
        <v>535</v>
      </c>
      <c r="D79" s="34"/>
      <c r="E79" s="34"/>
      <c r="F79" s="34"/>
      <c r="G79" s="34"/>
      <c r="H79" s="34"/>
      <c r="I79" s="34"/>
      <c r="J79" s="34"/>
      <c r="K79" s="34"/>
      <c r="L79" s="34"/>
      <c r="M79" s="34"/>
      <c r="N79" s="34"/>
      <c r="O79" s="34"/>
      <c r="P79" s="34"/>
      <c r="Q79" s="34"/>
    </row>
    <row r="80" spans="1:17" s="35" customFormat="1" ht="15">
      <c r="B80" s="499">
        <v>2</v>
      </c>
      <c r="C80" s="34" t="s">
        <v>536</v>
      </c>
      <c r="D80" s="34"/>
      <c r="E80" s="34"/>
      <c r="F80" s="34"/>
      <c r="G80" s="34"/>
      <c r="H80" s="34"/>
      <c r="I80" s="34"/>
      <c r="J80" s="34"/>
      <c r="K80" s="34"/>
      <c r="L80" s="34"/>
      <c r="M80" s="34"/>
      <c r="N80" s="34"/>
      <c r="O80" s="34"/>
      <c r="P80" s="34"/>
      <c r="Q80" s="34"/>
    </row>
    <row r="81" spans="2:17" s="35" customFormat="1" ht="15">
      <c r="B81" s="499">
        <v>3</v>
      </c>
      <c r="C81" s="34" t="s">
        <v>534</v>
      </c>
      <c r="D81" s="34"/>
      <c r="E81" s="34"/>
      <c r="F81" s="34"/>
      <c r="G81" s="34"/>
      <c r="H81" s="34"/>
      <c r="I81" s="34"/>
      <c r="J81" s="34"/>
      <c r="K81" s="34"/>
      <c r="L81" s="34"/>
      <c r="M81" s="34"/>
      <c r="N81" s="34"/>
      <c r="O81" s="34"/>
      <c r="P81" s="34"/>
      <c r="Q81" s="34"/>
    </row>
    <row r="82" spans="2:17" s="35" customFormat="1" ht="15">
      <c r="B82" s="499">
        <v>4</v>
      </c>
      <c r="C82" s="35" t="s">
        <v>537</v>
      </c>
      <c r="D82" s="34"/>
      <c r="E82" s="34"/>
      <c r="F82" s="34"/>
      <c r="G82" s="34"/>
      <c r="H82" s="34"/>
      <c r="I82" s="34"/>
      <c r="J82" s="34"/>
      <c r="K82" s="34"/>
      <c r="L82" s="34"/>
      <c r="M82" s="34"/>
      <c r="N82" s="34"/>
      <c r="O82" s="34"/>
      <c r="P82" s="34"/>
      <c r="Q82" s="34"/>
    </row>
    <row r="83" spans="2:17" s="35" customFormat="1" ht="15">
      <c r="B83" s="499">
        <v>5</v>
      </c>
      <c r="C83" s="34" t="s">
        <v>538</v>
      </c>
      <c r="D83" s="34"/>
      <c r="E83" s="34"/>
      <c r="F83" s="34"/>
      <c r="G83" s="34"/>
      <c r="H83" s="34"/>
      <c r="I83" s="34"/>
      <c r="J83" s="34"/>
      <c r="K83" s="34"/>
      <c r="L83" s="34"/>
      <c r="M83" s="34"/>
      <c r="N83" s="34"/>
      <c r="O83" s="34"/>
      <c r="P83" s="34"/>
      <c r="Q83" s="34"/>
    </row>
    <row r="84" spans="2:17" s="35" customFormat="1" ht="15">
      <c r="B84" s="34"/>
      <c r="C84" s="34"/>
      <c r="D84" s="34"/>
      <c r="E84" s="34"/>
      <c r="F84" s="34"/>
      <c r="G84" s="34"/>
      <c r="H84" s="34"/>
      <c r="I84" s="34"/>
      <c r="J84" s="34"/>
      <c r="K84" s="34"/>
      <c r="L84" s="34"/>
      <c r="M84" s="34"/>
      <c r="N84" s="34"/>
      <c r="O84" s="34"/>
      <c r="P84" s="34"/>
      <c r="Q84" s="34"/>
    </row>
    <row r="85" spans="2:17" s="35" customFormat="1" ht="15">
      <c r="B85" s="34"/>
      <c r="C85" s="34"/>
      <c r="D85" s="34"/>
      <c r="E85" s="34"/>
      <c r="F85" s="34"/>
      <c r="G85" s="34"/>
      <c r="H85" s="34"/>
      <c r="I85" s="34"/>
      <c r="J85" s="34"/>
      <c r="K85" s="34"/>
      <c r="L85" s="34"/>
      <c r="M85" s="34"/>
      <c r="N85" s="34"/>
      <c r="O85" s="34"/>
      <c r="P85" s="34"/>
      <c r="Q85" s="34"/>
    </row>
    <row r="86" spans="2:17" s="35" customFormat="1" ht="15">
      <c r="B86" s="34"/>
      <c r="C86" s="34"/>
      <c r="D86" s="34"/>
      <c r="E86" s="34"/>
      <c r="F86" s="34"/>
      <c r="G86" s="34"/>
      <c r="H86" s="34"/>
      <c r="I86" s="34"/>
      <c r="J86" s="34"/>
      <c r="K86" s="34"/>
      <c r="L86" s="34"/>
      <c r="M86" s="34"/>
      <c r="N86" s="34"/>
      <c r="O86" s="34"/>
      <c r="P86" s="34"/>
      <c r="Q86" s="34"/>
    </row>
    <row r="87" spans="2:17" s="35" customFormat="1" ht="15">
      <c r="B87" s="34"/>
      <c r="C87" s="34"/>
      <c r="D87" s="34"/>
      <c r="E87" s="34"/>
      <c r="F87" s="34"/>
      <c r="G87" s="34"/>
      <c r="H87" s="34"/>
      <c r="I87" s="34"/>
      <c r="J87" s="34"/>
      <c r="K87" s="34"/>
      <c r="L87" s="34"/>
      <c r="M87" s="34"/>
      <c r="N87" s="34"/>
      <c r="O87" s="34"/>
      <c r="P87" s="34"/>
      <c r="Q87" s="34"/>
    </row>
    <row r="88" spans="2:17" s="35" customFormat="1" ht="15">
      <c r="B88" s="34"/>
      <c r="C88" s="34"/>
      <c r="D88" s="34"/>
      <c r="E88" s="34"/>
      <c r="F88" s="34"/>
      <c r="G88" s="34"/>
      <c r="H88" s="34"/>
      <c r="I88" s="34"/>
      <c r="J88" s="34"/>
      <c r="K88" s="34"/>
      <c r="L88" s="34"/>
      <c r="M88" s="34"/>
      <c r="N88" s="34"/>
      <c r="O88" s="34"/>
      <c r="P88" s="34"/>
      <c r="Q88" s="34"/>
    </row>
    <row r="89" spans="2:17" s="35" customFormat="1" ht="15">
      <c r="B89" s="34"/>
      <c r="C89" s="34"/>
      <c r="D89" s="34"/>
      <c r="E89" s="34"/>
      <c r="F89" s="34"/>
      <c r="G89" s="34"/>
      <c r="H89" s="34"/>
      <c r="I89" s="34"/>
      <c r="J89" s="34"/>
      <c r="K89" s="34"/>
      <c r="L89" s="34"/>
      <c r="M89" s="34"/>
      <c r="N89" s="34"/>
      <c r="O89" s="34"/>
      <c r="P89" s="34"/>
      <c r="Q89" s="34"/>
    </row>
    <row r="90" spans="2:17" s="35" customFormat="1" ht="15">
      <c r="B90" s="34"/>
      <c r="C90" s="34"/>
      <c r="D90" s="34"/>
      <c r="E90" s="34"/>
      <c r="F90" s="34"/>
      <c r="G90" s="34"/>
      <c r="H90" s="34"/>
      <c r="I90" s="34"/>
      <c r="J90" s="34"/>
      <c r="K90" s="34"/>
      <c r="L90" s="34"/>
      <c r="M90" s="34"/>
      <c r="N90" s="34"/>
      <c r="O90" s="34"/>
      <c r="P90" s="34"/>
      <c r="Q90" s="34"/>
    </row>
    <row r="91" spans="2:17" s="35" customFormat="1" ht="15">
      <c r="B91" s="34"/>
      <c r="C91" s="34"/>
      <c r="D91" s="34"/>
      <c r="E91" s="34"/>
      <c r="F91" s="34"/>
      <c r="G91" s="34"/>
      <c r="H91" s="34"/>
      <c r="I91" s="34"/>
      <c r="J91" s="34"/>
      <c r="K91" s="34"/>
      <c r="L91" s="34"/>
      <c r="M91" s="34"/>
      <c r="N91" s="34"/>
      <c r="O91" s="34"/>
      <c r="P91" s="34"/>
      <c r="Q91" s="34"/>
    </row>
    <row r="92" spans="2:17" s="35" customFormat="1" ht="15">
      <c r="B92" s="34"/>
      <c r="C92" s="34"/>
      <c r="D92" s="34"/>
      <c r="E92" s="34"/>
      <c r="F92" s="34"/>
      <c r="G92" s="34"/>
      <c r="H92" s="34"/>
      <c r="I92" s="34"/>
      <c r="J92" s="34"/>
      <c r="K92" s="34"/>
      <c r="L92" s="34"/>
      <c r="M92" s="34"/>
      <c r="N92" s="34"/>
      <c r="O92" s="34"/>
      <c r="P92" s="34"/>
      <c r="Q92" s="34"/>
    </row>
    <row r="93" spans="2:17" s="35" customFormat="1" ht="15">
      <c r="B93" s="34"/>
      <c r="C93" s="34"/>
      <c r="D93" s="34"/>
      <c r="E93" s="34"/>
      <c r="F93" s="34"/>
      <c r="G93" s="34"/>
      <c r="H93" s="34"/>
      <c r="I93" s="34"/>
      <c r="J93" s="34"/>
      <c r="K93" s="34"/>
      <c r="L93" s="34"/>
      <c r="M93" s="34"/>
      <c r="N93" s="34"/>
      <c r="O93" s="34"/>
      <c r="P93" s="34"/>
      <c r="Q93" s="34"/>
    </row>
    <row r="94" spans="2:17" s="35" customFormat="1" ht="15">
      <c r="B94" s="34"/>
      <c r="C94" s="34"/>
      <c r="D94" s="34"/>
      <c r="E94" s="34"/>
      <c r="F94" s="34"/>
      <c r="G94" s="34"/>
      <c r="H94" s="34"/>
      <c r="I94" s="34"/>
      <c r="J94" s="34"/>
      <c r="K94" s="34"/>
      <c r="L94" s="34"/>
      <c r="M94" s="34"/>
      <c r="N94" s="34"/>
      <c r="O94" s="34"/>
      <c r="P94" s="34"/>
      <c r="Q94" s="34"/>
    </row>
    <row r="95" spans="2:17" s="35" customFormat="1" ht="15">
      <c r="B95" s="34"/>
      <c r="C95" s="34"/>
      <c r="D95" s="34"/>
      <c r="E95" s="34"/>
      <c r="F95" s="34"/>
      <c r="G95" s="34"/>
      <c r="H95" s="34"/>
      <c r="I95" s="34"/>
      <c r="J95" s="34"/>
      <c r="K95" s="34"/>
      <c r="L95" s="34"/>
      <c r="M95" s="34"/>
      <c r="N95" s="34"/>
      <c r="O95" s="34"/>
      <c r="P95" s="34"/>
      <c r="Q95" s="34"/>
    </row>
    <row r="96" spans="2:17" s="35" customFormat="1" ht="15">
      <c r="B96" s="34"/>
      <c r="C96" s="34"/>
      <c r="D96" s="34"/>
      <c r="E96" s="34"/>
      <c r="F96" s="34"/>
      <c r="G96" s="34"/>
      <c r="H96" s="34"/>
      <c r="I96" s="34"/>
      <c r="J96" s="34"/>
      <c r="K96" s="34"/>
      <c r="L96" s="34"/>
      <c r="M96" s="34"/>
      <c r="N96" s="34"/>
      <c r="O96" s="34"/>
      <c r="P96" s="34"/>
      <c r="Q96" s="34"/>
    </row>
    <row r="97" spans="2:17" s="35" customFormat="1" ht="15">
      <c r="B97" s="34"/>
      <c r="C97" s="34"/>
      <c r="D97" s="34"/>
      <c r="E97" s="34"/>
      <c r="F97" s="34"/>
      <c r="G97" s="34"/>
      <c r="H97" s="34"/>
      <c r="I97" s="34"/>
      <c r="J97" s="34"/>
      <c r="K97" s="34"/>
      <c r="L97" s="34"/>
      <c r="M97" s="34"/>
      <c r="N97" s="34"/>
      <c r="O97" s="34"/>
      <c r="P97" s="34"/>
      <c r="Q97" s="34"/>
    </row>
    <row r="98" spans="2:17" s="35" customFormat="1" ht="15">
      <c r="B98" s="34"/>
      <c r="C98" s="34"/>
      <c r="D98" s="34"/>
      <c r="E98" s="34"/>
      <c r="F98" s="34"/>
      <c r="G98" s="34"/>
      <c r="H98" s="34"/>
      <c r="I98" s="34"/>
      <c r="J98" s="34"/>
      <c r="K98" s="34"/>
      <c r="L98" s="34"/>
      <c r="M98" s="34"/>
      <c r="N98" s="34"/>
      <c r="O98" s="34"/>
      <c r="P98" s="34"/>
      <c r="Q98" s="34"/>
    </row>
    <row r="99" spans="2:17" s="35" customFormat="1" ht="15">
      <c r="B99" s="34"/>
      <c r="C99" s="34"/>
      <c r="D99" s="34"/>
      <c r="E99" s="34"/>
      <c r="F99" s="34"/>
      <c r="G99" s="34"/>
      <c r="H99" s="34"/>
      <c r="I99" s="34"/>
      <c r="J99" s="34"/>
      <c r="K99" s="34"/>
      <c r="L99" s="34"/>
      <c r="M99" s="34"/>
      <c r="N99" s="34"/>
      <c r="O99" s="34"/>
      <c r="P99" s="34"/>
      <c r="Q99" s="34"/>
    </row>
    <row r="100" spans="2:17" s="35" customFormat="1" ht="15">
      <c r="B100" s="34"/>
      <c r="C100" s="34"/>
      <c r="D100" s="34"/>
      <c r="E100" s="34"/>
      <c r="F100" s="34"/>
      <c r="G100" s="34"/>
      <c r="H100" s="34"/>
      <c r="I100" s="34"/>
      <c r="J100" s="34"/>
      <c r="K100" s="34"/>
      <c r="L100" s="34"/>
      <c r="M100" s="34"/>
      <c r="N100" s="34"/>
      <c r="O100" s="34"/>
      <c r="P100" s="34"/>
      <c r="Q100" s="34"/>
    </row>
    <row r="101" spans="2:17" s="35" customFormat="1" ht="15">
      <c r="B101" s="34"/>
      <c r="C101" s="34"/>
      <c r="D101" s="34"/>
      <c r="E101" s="34"/>
      <c r="F101" s="34"/>
      <c r="G101" s="34"/>
      <c r="H101" s="34"/>
      <c r="I101" s="34"/>
      <c r="J101" s="34"/>
      <c r="K101" s="34"/>
      <c r="L101" s="34"/>
      <c r="M101" s="34"/>
      <c r="N101" s="34"/>
      <c r="O101" s="34"/>
      <c r="P101" s="34"/>
      <c r="Q101" s="34"/>
    </row>
    <row r="102" spans="2:17" s="35" customFormat="1" ht="15">
      <c r="B102" s="34"/>
      <c r="C102" s="34"/>
      <c r="D102" s="34"/>
      <c r="E102" s="34"/>
      <c r="F102" s="34"/>
      <c r="G102" s="34"/>
      <c r="H102" s="34"/>
      <c r="I102" s="34"/>
      <c r="J102" s="34"/>
      <c r="K102" s="34"/>
      <c r="L102" s="34"/>
      <c r="M102" s="34"/>
      <c r="N102" s="34"/>
      <c r="O102" s="34"/>
      <c r="P102" s="34"/>
      <c r="Q102" s="34"/>
    </row>
    <row r="103" spans="2:17" s="35" customFormat="1" ht="15">
      <c r="B103" s="34"/>
      <c r="C103" s="34"/>
      <c r="D103" s="34"/>
      <c r="E103" s="34"/>
      <c r="F103" s="34"/>
      <c r="G103" s="34"/>
      <c r="H103" s="34"/>
      <c r="I103" s="34"/>
      <c r="J103" s="34"/>
      <c r="K103" s="34"/>
      <c r="L103" s="34"/>
      <c r="M103" s="34"/>
      <c r="N103" s="34"/>
      <c r="O103" s="34"/>
      <c r="P103" s="34"/>
      <c r="Q103" s="34"/>
    </row>
    <row r="104" spans="2:17" s="35" customFormat="1" ht="15">
      <c r="B104" s="34"/>
      <c r="C104" s="34"/>
      <c r="D104" s="34"/>
      <c r="E104" s="34"/>
      <c r="F104" s="34"/>
      <c r="G104" s="34"/>
      <c r="H104" s="34"/>
      <c r="I104" s="34"/>
      <c r="J104" s="34"/>
      <c r="K104" s="34"/>
      <c r="L104" s="34"/>
      <c r="M104" s="34"/>
      <c r="N104" s="34"/>
      <c r="O104" s="34"/>
      <c r="P104" s="34"/>
      <c r="Q104" s="34"/>
    </row>
    <row r="105" spans="2:17" s="35" customFormat="1" ht="15">
      <c r="B105" s="34"/>
      <c r="C105" s="34"/>
      <c r="D105" s="34"/>
      <c r="E105" s="34"/>
      <c r="F105" s="34"/>
      <c r="G105" s="34"/>
      <c r="H105" s="34"/>
      <c r="I105" s="34"/>
      <c r="J105" s="34"/>
      <c r="K105" s="34"/>
      <c r="L105" s="34"/>
      <c r="M105" s="34"/>
      <c r="N105" s="34"/>
      <c r="O105" s="34"/>
      <c r="P105" s="34"/>
      <c r="Q105" s="34"/>
    </row>
    <row r="106" spans="2:17" s="35" customFormat="1" ht="15">
      <c r="B106" s="34"/>
      <c r="C106" s="34"/>
      <c r="D106" s="34"/>
      <c r="E106" s="34"/>
      <c r="F106" s="34"/>
      <c r="G106" s="34"/>
      <c r="H106" s="34"/>
      <c r="I106" s="34"/>
      <c r="J106" s="34"/>
      <c r="K106" s="34"/>
      <c r="L106" s="34"/>
      <c r="M106" s="34"/>
      <c r="N106" s="34"/>
      <c r="O106" s="34"/>
      <c r="P106" s="34"/>
      <c r="Q106" s="34"/>
    </row>
    <row r="107" spans="2:17" s="35" customFormat="1" ht="15">
      <c r="B107" s="34"/>
      <c r="C107" s="34"/>
      <c r="D107" s="34"/>
      <c r="E107" s="34"/>
      <c r="F107" s="34"/>
      <c r="G107" s="34"/>
      <c r="H107" s="34"/>
      <c r="I107" s="34"/>
      <c r="J107" s="34"/>
      <c r="K107" s="34"/>
      <c r="L107" s="34"/>
      <c r="M107" s="34"/>
      <c r="N107" s="34"/>
      <c r="O107" s="34"/>
      <c r="P107" s="34"/>
      <c r="Q107" s="34"/>
    </row>
    <row r="108" spans="2:17" s="35" customFormat="1" ht="15">
      <c r="B108" s="34"/>
      <c r="C108" s="34"/>
      <c r="D108" s="34"/>
      <c r="E108" s="34"/>
      <c r="F108" s="34"/>
      <c r="G108" s="34"/>
      <c r="H108" s="34"/>
      <c r="I108" s="34"/>
      <c r="J108" s="34"/>
      <c r="K108" s="34"/>
      <c r="L108" s="34"/>
      <c r="M108" s="34"/>
      <c r="N108" s="34"/>
      <c r="O108" s="34"/>
      <c r="P108" s="34"/>
      <c r="Q108" s="34"/>
    </row>
    <row r="109" spans="2:17" s="35" customFormat="1" ht="15">
      <c r="B109" s="34"/>
      <c r="C109" s="34"/>
      <c r="D109" s="34"/>
      <c r="E109" s="34"/>
      <c r="F109" s="34"/>
      <c r="G109" s="34"/>
      <c r="H109" s="34"/>
      <c r="I109" s="34"/>
      <c r="J109" s="34"/>
      <c r="K109" s="34"/>
      <c r="L109" s="34"/>
      <c r="M109" s="34"/>
      <c r="N109" s="34"/>
      <c r="O109" s="34"/>
      <c r="P109" s="34"/>
      <c r="Q109" s="34"/>
    </row>
    <row r="110" spans="2:17" s="35" customFormat="1" ht="15">
      <c r="B110" s="34"/>
      <c r="C110" s="34"/>
      <c r="D110" s="34"/>
      <c r="E110" s="34"/>
      <c r="F110" s="34"/>
      <c r="G110" s="34"/>
      <c r="H110" s="34"/>
      <c r="I110" s="34"/>
      <c r="J110" s="34"/>
      <c r="K110" s="34"/>
      <c r="L110" s="34"/>
      <c r="M110" s="34"/>
      <c r="N110" s="34"/>
      <c r="O110" s="34"/>
      <c r="P110" s="34"/>
      <c r="Q110" s="34"/>
    </row>
    <row r="111" spans="2:17" s="35" customFormat="1" ht="15">
      <c r="B111" s="34"/>
      <c r="C111" s="34"/>
      <c r="D111" s="34"/>
      <c r="E111" s="34"/>
      <c r="F111" s="34"/>
      <c r="G111" s="34"/>
      <c r="H111" s="34"/>
      <c r="I111" s="34"/>
      <c r="J111" s="34"/>
      <c r="K111" s="34"/>
      <c r="L111" s="34"/>
      <c r="M111" s="34"/>
      <c r="N111" s="34"/>
      <c r="O111" s="34"/>
      <c r="P111" s="34"/>
      <c r="Q111" s="34"/>
    </row>
    <row r="112" spans="2:17" s="35" customFormat="1" ht="15">
      <c r="B112" s="34"/>
      <c r="C112" s="34"/>
      <c r="D112" s="34"/>
      <c r="E112" s="34"/>
      <c r="F112" s="34"/>
      <c r="G112" s="34"/>
      <c r="H112" s="34"/>
      <c r="I112" s="34"/>
      <c r="J112" s="34"/>
      <c r="K112" s="34"/>
      <c r="L112" s="34"/>
      <c r="M112" s="34"/>
      <c r="N112" s="34"/>
      <c r="O112" s="34"/>
      <c r="P112" s="34"/>
      <c r="Q112" s="34"/>
    </row>
    <row r="113" spans="2:17" s="35" customFormat="1" ht="15">
      <c r="B113" s="34"/>
      <c r="C113" s="34"/>
      <c r="D113" s="34"/>
      <c r="E113" s="34"/>
      <c r="F113" s="34"/>
      <c r="G113" s="34"/>
      <c r="H113" s="34"/>
      <c r="I113" s="34"/>
      <c r="J113" s="34"/>
      <c r="K113" s="34"/>
      <c r="L113" s="34"/>
      <c r="M113" s="34"/>
      <c r="N113" s="34"/>
      <c r="O113" s="34"/>
      <c r="P113" s="34"/>
      <c r="Q113" s="34"/>
    </row>
    <row r="114" spans="2:17" s="35" customFormat="1" ht="15">
      <c r="B114" s="34"/>
      <c r="C114" s="34"/>
      <c r="D114" s="34"/>
      <c r="E114" s="34"/>
      <c r="F114" s="34"/>
      <c r="G114" s="34"/>
      <c r="H114" s="34"/>
      <c r="I114" s="34"/>
      <c r="J114" s="34"/>
      <c r="K114" s="34"/>
      <c r="L114" s="34"/>
      <c r="M114" s="34"/>
      <c r="N114" s="34"/>
      <c r="O114" s="34"/>
      <c r="P114" s="34"/>
      <c r="Q114" s="34"/>
    </row>
    <row r="115" spans="2:17" s="35" customFormat="1" ht="15">
      <c r="B115" s="34"/>
      <c r="C115" s="34"/>
      <c r="D115" s="34"/>
      <c r="E115" s="34"/>
      <c r="F115" s="34"/>
      <c r="G115" s="34"/>
      <c r="H115" s="34"/>
      <c r="I115" s="34"/>
      <c r="J115" s="34"/>
      <c r="K115" s="34"/>
      <c r="L115" s="34"/>
      <c r="M115" s="34"/>
      <c r="N115" s="34"/>
      <c r="O115" s="34"/>
      <c r="P115" s="34"/>
      <c r="Q115" s="34"/>
    </row>
    <row r="116" spans="2:17" s="35" customFormat="1" ht="15">
      <c r="B116" s="34"/>
      <c r="C116" s="34"/>
      <c r="D116" s="34"/>
      <c r="E116" s="34"/>
      <c r="F116" s="34"/>
      <c r="G116" s="34"/>
      <c r="H116" s="34"/>
      <c r="I116" s="34"/>
      <c r="J116" s="34"/>
      <c r="K116" s="34"/>
      <c r="L116" s="34"/>
      <c r="M116" s="34"/>
      <c r="N116" s="34"/>
      <c r="O116" s="34"/>
      <c r="P116" s="34"/>
      <c r="Q116" s="34"/>
    </row>
    <row r="117" spans="2:17" s="35" customFormat="1" ht="15">
      <c r="B117" s="34"/>
      <c r="C117" s="34"/>
      <c r="D117" s="34"/>
      <c r="E117" s="34"/>
      <c r="F117" s="34"/>
      <c r="G117" s="34"/>
      <c r="H117" s="34"/>
      <c r="I117" s="34"/>
      <c r="J117" s="34"/>
      <c r="K117" s="34"/>
      <c r="L117" s="34"/>
      <c r="M117" s="34"/>
      <c r="N117" s="34"/>
      <c r="O117" s="34"/>
      <c r="P117" s="34"/>
      <c r="Q117" s="34"/>
    </row>
    <row r="118" spans="2:17" s="35" customFormat="1" ht="15">
      <c r="B118" s="34"/>
      <c r="C118" s="34"/>
      <c r="D118" s="34"/>
      <c r="E118" s="34"/>
      <c r="F118" s="34"/>
      <c r="G118" s="34"/>
      <c r="H118" s="34"/>
      <c r="I118" s="34"/>
      <c r="J118" s="34"/>
      <c r="K118" s="34"/>
      <c r="L118" s="34"/>
      <c r="M118" s="34"/>
      <c r="N118" s="34"/>
      <c r="O118" s="34"/>
      <c r="P118" s="34"/>
      <c r="Q118" s="34"/>
    </row>
    <row r="119" spans="2:17" s="35" customFormat="1" ht="15">
      <c r="B119" s="34"/>
      <c r="C119" s="34"/>
      <c r="D119" s="34"/>
      <c r="E119" s="34"/>
      <c r="F119" s="34"/>
      <c r="G119" s="34"/>
      <c r="H119" s="34"/>
      <c r="I119" s="34"/>
      <c r="J119" s="34"/>
      <c r="K119" s="34"/>
      <c r="L119" s="34"/>
      <c r="M119" s="34"/>
      <c r="N119" s="34"/>
      <c r="O119" s="34"/>
      <c r="P119" s="34"/>
      <c r="Q119" s="34"/>
    </row>
    <row r="120" spans="2:17" s="35" customFormat="1" ht="15">
      <c r="B120" s="34"/>
      <c r="C120" s="34"/>
      <c r="D120" s="34"/>
      <c r="E120" s="34"/>
      <c r="F120" s="34"/>
      <c r="G120" s="34"/>
      <c r="H120" s="34"/>
      <c r="I120" s="34"/>
      <c r="J120" s="34"/>
      <c r="K120" s="34"/>
      <c r="L120" s="34"/>
      <c r="M120" s="34"/>
      <c r="N120" s="34"/>
      <c r="O120" s="34"/>
      <c r="P120" s="34"/>
      <c r="Q120" s="34"/>
    </row>
    <row r="121" spans="2:17" s="35" customFormat="1" ht="15">
      <c r="B121" s="34"/>
      <c r="C121" s="34"/>
      <c r="D121" s="34"/>
      <c r="E121" s="34"/>
      <c r="F121" s="34"/>
      <c r="G121" s="34"/>
      <c r="H121" s="34"/>
      <c r="I121" s="34"/>
      <c r="J121" s="34"/>
      <c r="K121" s="34"/>
      <c r="L121" s="34"/>
      <c r="M121" s="34"/>
      <c r="N121" s="34"/>
      <c r="O121" s="34"/>
      <c r="P121" s="34"/>
      <c r="Q121" s="34"/>
    </row>
    <row r="122" spans="2:17" s="35" customFormat="1" ht="15">
      <c r="B122" s="34"/>
      <c r="C122" s="34"/>
      <c r="D122" s="34"/>
      <c r="E122" s="34"/>
      <c r="F122" s="34"/>
      <c r="G122" s="34"/>
      <c r="H122" s="34"/>
      <c r="I122" s="34"/>
      <c r="J122" s="34"/>
      <c r="K122" s="34"/>
      <c r="L122" s="34"/>
      <c r="M122" s="34"/>
      <c r="N122" s="34"/>
      <c r="O122" s="34"/>
      <c r="P122" s="34"/>
      <c r="Q122" s="34"/>
    </row>
    <row r="123" spans="2:17" s="35" customFormat="1" ht="15">
      <c r="B123" s="34"/>
      <c r="C123" s="34"/>
      <c r="D123" s="34"/>
      <c r="E123" s="34"/>
      <c r="F123" s="34"/>
      <c r="G123" s="34"/>
      <c r="H123" s="34"/>
      <c r="I123" s="34"/>
      <c r="J123" s="34"/>
      <c r="K123" s="34"/>
      <c r="L123" s="34"/>
      <c r="M123" s="34"/>
      <c r="N123" s="34"/>
      <c r="O123" s="34"/>
      <c r="P123" s="34"/>
      <c r="Q123" s="34"/>
    </row>
    <row r="124" spans="2:17" s="35" customFormat="1" ht="15">
      <c r="B124" s="34"/>
      <c r="C124" s="34"/>
      <c r="D124" s="34"/>
      <c r="E124" s="34"/>
      <c r="F124" s="34"/>
      <c r="G124" s="34"/>
      <c r="H124" s="34"/>
      <c r="I124" s="34"/>
      <c r="J124" s="34"/>
      <c r="K124" s="34"/>
      <c r="L124" s="34"/>
      <c r="M124" s="34"/>
      <c r="N124" s="34"/>
      <c r="O124" s="34"/>
      <c r="P124" s="34"/>
      <c r="Q124" s="34"/>
    </row>
    <row r="125" spans="2:17" s="35" customFormat="1" ht="15">
      <c r="B125" s="34"/>
      <c r="C125" s="34"/>
      <c r="D125" s="34"/>
      <c r="E125" s="34"/>
      <c r="F125" s="34"/>
      <c r="G125" s="34"/>
      <c r="H125" s="34"/>
      <c r="I125" s="34"/>
      <c r="J125" s="34"/>
      <c r="K125" s="34"/>
      <c r="L125" s="34"/>
      <c r="M125" s="34"/>
      <c r="N125" s="34"/>
      <c r="O125" s="34"/>
      <c r="P125" s="34"/>
      <c r="Q125" s="34"/>
    </row>
    <row r="126" spans="2:17" s="35" customFormat="1" ht="15">
      <c r="B126" s="34"/>
      <c r="C126" s="34"/>
      <c r="D126" s="34"/>
      <c r="E126" s="34"/>
      <c r="F126" s="34"/>
      <c r="G126" s="34"/>
      <c r="H126" s="34"/>
      <c r="I126" s="34"/>
      <c r="J126" s="34"/>
      <c r="K126" s="34"/>
      <c r="L126" s="34"/>
      <c r="M126" s="34"/>
      <c r="N126" s="34"/>
      <c r="O126" s="34"/>
      <c r="P126" s="34"/>
      <c r="Q126" s="34"/>
    </row>
    <row r="127" spans="2:17" s="35" customFormat="1" ht="15">
      <c r="B127" s="34"/>
      <c r="C127" s="34"/>
      <c r="D127" s="34"/>
      <c r="E127" s="34"/>
      <c r="F127" s="34"/>
      <c r="G127" s="34"/>
      <c r="H127" s="34"/>
      <c r="I127" s="34"/>
      <c r="J127" s="34"/>
      <c r="K127" s="34"/>
      <c r="L127" s="34"/>
      <c r="M127" s="34"/>
      <c r="N127" s="34"/>
      <c r="O127" s="34"/>
      <c r="P127" s="34"/>
      <c r="Q127" s="34"/>
    </row>
    <row r="128" spans="2:17" s="35" customFormat="1" ht="15">
      <c r="B128" s="34"/>
      <c r="C128" s="34"/>
      <c r="D128" s="34"/>
      <c r="E128" s="34"/>
      <c r="F128" s="34"/>
      <c r="G128" s="34"/>
      <c r="H128" s="34"/>
      <c r="I128" s="34"/>
      <c r="J128" s="34"/>
      <c r="K128" s="34"/>
      <c r="L128" s="34"/>
      <c r="M128" s="34"/>
      <c r="N128" s="34"/>
      <c r="O128" s="34"/>
      <c r="P128" s="34"/>
      <c r="Q128" s="34"/>
    </row>
    <row r="129" spans="2:17" s="35" customFormat="1" ht="15">
      <c r="B129" s="34"/>
      <c r="C129" s="34"/>
      <c r="D129" s="34"/>
      <c r="E129" s="34"/>
      <c r="F129" s="34"/>
      <c r="G129" s="34"/>
      <c r="H129" s="34"/>
      <c r="I129" s="34"/>
      <c r="J129" s="34"/>
      <c r="K129" s="34"/>
      <c r="L129" s="34"/>
      <c r="M129" s="34"/>
      <c r="N129" s="34"/>
      <c r="O129" s="34"/>
      <c r="P129" s="34"/>
      <c r="Q129" s="34"/>
    </row>
    <row r="130" spans="2:17" s="35" customFormat="1" ht="15">
      <c r="B130" s="34"/>
      <c r="C130" s="34"/>
      <c r="D130" s="34"/>
      <c r="E130" s="34"/>
      <c r="F130" s="34"/>
      <c r="G130" s="34"/>
      <c r="H130" s="34"/>
      <c r="I130" s="34"/>
      <c r="J130" s="34"/>
      <c r="K130" s="34"/>
      <c r="L130" s="34"/>
      <c r="M130" s="34"/>
      <c r="N130" s="34"/>
      <c r="O130" s="34"/>
      <c r="P130" s="34"/>
      <c r="Q130" s="34"/>
    </row>
    <row r="131" spans="2:17" s="35" customFormat="1" ht="15">
      <c r="B131" s="34"/>
      <c r="C131" s="34"/>
      <c r="D131" s="34"/>
      <c r="E131" s="34"/>
      <c r="F131" s="34"/>
      <c r="G131" s="34"/>
      <c r="H131" s="34"/>
      <c r="I131" s="34"/>
      <c r="J131" s="34"/>
      <c r="K131" s="34"/>
      <c r="L131" s="34"/>
      <c r="M131" s="34"/>
      <c r="N131" s="34"/>
      <c r="O131" s="34"/>
      <c r="P131" s="34"/>
      <c r="Q131" s="34"/>
    </row>
    <row r="132" spans="2:17" s="35" customFormat="1" ht="15">
      <c r="B132" s="34"/>
      <c r="C132" s="34"/>
      <c r="D132" s="34"/>
      <c r="E132" s="34"/>
      <c r="F132" s="34"/>
      <c r="G132" s="34"/>
      <c r="H132" s="34"/>
      <c r="I132" s="34"/>
      <c r="J132" s="34"/>
      <c r="K132" s="34"/>
      <c r="L132" s="34"/>
      <c r="M132" s="34"/>
      <c r="N132" s="34"/>
      <c r="O132" s="34"/>
      <c r="P132" s="34"/>
      <c r="Q132" s="34"/>
    </row>
    <row r="133" spans="2:17" s="35" customFormat="1" ht="15">
      <c r="B133" s="34"/>
      <c r="C133" s="34"/>
      <c r="D133" s="34"/>
      <c r="E133" s="34"/>
      <c r="F133" s="34"/>
      <c r="G133" s="34"/>
      <c r="H133" s="34"/>
      <c r="I133" s="34"/>
      <c r="J133" s="34"/>
      <c r="K133" s="34"/>
      <c r="L133" s="34"/>
      <c r="M133" s="34"/>
      <c r="N133" s="34"/>
      <c r="O133" s="34"/>
      <c r="P133" s="34"/>
      <c r="Q133" s="34"/>
    </row>
    <row r="134" spans="2:17" s="35" customFormat="1" ht="15">
      <c r="B134" s="34"/>
      <c r="C134" s="34"/>
      <c r="D134" s="34"/>
      <c r="E134" s="34"/>
      <c r="F134" s="34"/>
      <c r="G134" s="34"/>
      <c r="H134" s="34"/>
      <c r="I134" s="34"/>
      <c r="J134" s="34"/>
      <c r="K134" s="34"/>
      <c r="L134" s="34"/>
      <c r="M134" s="34"/>
      <c r="N134" s="34"/>
      <c r="O134" s="34"/>
      <c r="P134" s="34"/>
      <c r="Q134" s="34"/>
    </row>
    <row r="135" spans="2:17" s="35" customFormat="1" ht="15">
      <c r="B135" s="34"/>
      <c r="C135" s="34"/>
      <c r="D135" s="34"/>
      <c r="E135" s="34"/>
      <c r="F135" s="34"/>
      <c r="G135" s="34"/>
      <c r="H135" s="34"/>
      <c r="I135" s="34"/>
      <c r="J135" s="34"/>
      <c r="K135" s="34"/>
      <c r="L135" s="34"/>
      <c r="M135" s="34"/>
      <c r="N135" s="34"/>
      <c r="O135" s="34"/>
      <c r="P135" s="34"/>
      <c r="Q135" s="34"/>
    </row>
    <row r="136" spans="2:17" s="35" customFormat="1" ht="15">
      <c r="B136" s="34"/>
      <c r="C136" s="34"/>
      <c r="D136" s="34"/>
      <c r="E136" s="34"/>
      <c r="F136" s="34"/>
      <c r="G136" s="34"/>
      <c r="H136" s="34"/>
      <c r="I136" s="34"/>
      <c r="J136" s="34"/>
      <c r="K136" s="34"/>
      <c r="L136" s="34"/>
      <c r="M136" s="34"/>
      <c r="N136" s="34"/>
      <c r="O136" s="34"/>
      <c r="P136" s="34"/>
      <c r="Q136" s="34"/>
    </row>
    <row r="137" spans="2:17" s="35" customFormat="1" ht="15">
      <c r="B137" s="34"/>
      <c r="C137" s="34"/>
      <c r="D137" s="34"/>
      <c r="E137" s="34"/>
      <c r="F137" s="34"/>
      <c r="G137" s="34"/>
      <c r="H137" s="34"/>
      <c r="I137" s="34"/>
      <c r="J137" s="34"/>
      <c r="K137" s="34"/>
      <c r="L137" s="34"/>
      <c r="M137" s="34"/>
      <c r="N137" s="34"/>
      <c r="O137" s="34"/>
      <c r="P137" s="34"/>
      <c r="Q137" s="34"/>
    </row>
    <row r="138" spans="2:17" s="35" customFormat="1" ht="15">
      <c r="B138" s="34"/>
      <c r="C138" s="34"/>
      <c r="D138" s="34"/>
      <c r="E138" s="34"/>
      <c r="F138" s="34"/>
      <c r="G138" s="34"/>
      <c r="H138" s="34"/>
      <c r="I138" s="34"/>
      <c r="J138" s="34"/>
      <c r="K138" s="34"/>
      <c r="L138" s="34"/>
      <c r="M138" s="34"/>
      <c r="N138" s="34"/>
      <c r="O138" s="34"/>
      <c r="P138" s="34"/>
      <c r="Q138" s="34"/>
    </row>
    <row r="139" spans="2:17" s="35" customFormat="1" ht="15">
      <c r="B139" s="34"/>
      <c r="C139" s="34"/>
      <c r="D139" s="34"/>
      <c r="E139" s="34"/>
      <c r="F139" s="34"/>
      <c r="G139" s="34"/>
      <c r="H139" s="34"/>
      <c r="I139" s="34"/>
      <c r="J139" s="34"/>
      <c r="K139" s="34"/>
      <c r="L139" s="34"/>
      <c r="M139" s="34"/>
      <c r="N139" s="34"/>
      <c r="O139" s="34"/>
      <c r="P139" s="34"/>
      <c r="Q139" s="34"/>
    </row>
    <row r="140" spans="2:17" s="35" customFormat="1" ht="15">
      <c r="B140" s="34"/>
      <c r="C140" s="34"/>
      <c r="D140" s="34"/>
      <c r="E140" s="34"/>
      <c r="F140" s="34"/>
      <c r="G140" s="34"/>
      <c r="H140" s="34"/>
      <c r="I140" s="34"/>
      <c r="J140" s="34"/>
      <c r="K140" s="34"/>
      <c r="L140" s="34"/>
      <c r="M140" s="34"/>
      <c r="N140" s="34"/>
      <c r="O140" s="34"/>
      <c r="P140" s="34"/>
      <c r="Q140" s="34"/>
    </row>
    <row r="141" spans="2:17" s="35" customFormat="1" ht="15">
      <c r="B141" s="34"/>
      <c r="C141" s="34"/>
      <c r="D141" s="34"/>
      <c r="E141" s="34"/>
      <c r="F141" s="34"/>
      <c r="G141" s="34"/>
      <c r="H141" s="34"/>
      <c r="I141" s="34"/>
      <c r="J141" s="34"/>
      <c r="K141" s="34"/>
      <c r="L141" s="34"/>
      <c r="M141" s="34"/>
      <c r="N141" s="34"/>
      <c r="O141" s="34"/>
      <c r="P141" s="34"/>
      <c r="Q141" s="34"/>
    </row>
    <row r="142" spans="2:17" s="35" customFormat="1" ht="15">
      <c r="B142" s="34"/>
      <c r="C142" s="34"/>
      <c r="D142" s="34"/>
      <c r="E142" s="34"/>
      <c r="F142" s="34"/>
      <c r="G142" s="34"/>
      <c r="H142" s="34"/>
      <c r="I142" s="34"/>
      <c r="J142" s="34"/>
      <c r="K142" s="34"/>
      <c r="L142" s="34"/>
      <c r="M142" s="34"/>
      <c r="N142" s="34"/>
      <c r="O142" s="34"/>
      <c r="P142" s="34"/>
      <c r="Q142" s="34"/>
    </row>
    <row r="143" spans="2:17" s="35" customFormat="1" ht="15">
      <c r="B143" s="34"/>
      <c r="C143" s="34"/>
      <c r="D143" s="34"/>
      <c r="E143" s="34"/>
      <c r="F143" s="34"/>
      <c r="G143" s="34"/>
      <c r="H143" s="34"/>
      <c r="I143" s="34"/>
      <c r="J143" s="34"/>
      <c r="K143" s="34"/>
      <c r="L143" s="34"/>
      <c r="M143" s="34"/>
      <c r="N143" s="34"/>
      <c r="O143" s="34"/>
      <c r="P143" s="34"/>
      <c r="Q143" s="34"/>
    </row>
    <row r="144" spans="2:17" s="35" customFormat="1" ht="15">
      <c r="B144" s="34"/>
      <c r="C144" s="34"/>
      <c r="D144" s="34"/>
      <c r="E144" s="34"/>
      <c r="F144" s="34"/>
      <c r="G144" s="34"/>
      <c r="H144" s="34"/>
      <c r="I144" s="34"/>
      <c r="J144" s="34"/>
      <c r="K144" s="34"/>
      <c r="L144" s="34"/>
      <c r="M144" s="34"/>
      <c r="N144" s="34"/>
      <c r="O144" s="34"/>
      <c r="P144" s="34"/>
      <c r="Q144" s="34"/>
    </row>
    <row r="145" spans="2:17" s="35" customFormat="1" ht="15">
      <c r="B145" s="34"/>
      <c r="C145" s="34"/>
      <c r="D145" s="34"/>
      <c r="E145" s="34"/>
      <c r="F145" s="34"/>
      <c r="G145" s="34"/>
      <c r="H145" s="34"/>
      <c r="I145" s="34"/>
      <c r="J145" s="34"/>
      <c r="K145" s="34"/>
      <c r="L145" s="34"/>
      <c r="M145" s="34"/>
      <c r="N145" s="34"/>
      <c r="O145" s="34"/>
      <c r="P145" s="34"/>
      <c r="Q145" s="34"/>
    </row>
    <row r="146" spans="2:17" s="35" customFormat="1" ht="15">
      <c r="B146" s="34"/>
      <c r="C146" s="34"/>
      <c r="D146" s="34"/>
      <c r="E146" s="34"/>
      <c r="F146" s="34"/>
      <c r="G146" s="34"/>
      <c r="H146" s="34"/>
      <c r="I146" s="34"/>
      <c r="J146" s="34"/>
      <c r="K146" s="34"/>
      <c r="L146" s="34"/>
      <c r="M146" s="34"/>
      <c r="N146" s="34"/>
      <c r="O146" s="34"/>
      <c r="P146" s="34"/>
      <c r="Q146" s="34"/>
    </row>
    <row r="147" spans="2:17" s="35" customFormat="1" ht="15">
      <c r="B147" s="34"/>
      <c r="C147" s="34"/>
      <c r="D147" s="34"/>
      <c r="E147" s="34"/>
      <c r="F147" s="34"/>
      <c r="G147" s="34"/>
      <c r="H147" s="34"/>
      <c r="I147" s="34"/>
      <c r="J147" s="34"/>
      <c r="K147" s="34"/>
      <c r="L147" s="34"/>
      <c r="M147" s="34"/>
      <c r="N147" s="34"/>
      <c r="O147" s="34"/>
      <c r="P147" s="34"/>
      <c r="Q147" s="34"/>
    </row>
    <row r="148" spans="2:17" s="35" customFormat="1" ht="15">
      <c r="B148" s="34"/>
      <c r="C148" s="34"/>
      <c r="D148" s="34"/>
      <c r="E148" s="34"/>
      <c r="F148" s="34"/>
      <c r="G148" s="34"/>
      <c r="H148" s="34"/>
      <c r="I148" s="34"/>
      <c r="J148" s="34"/>
      <c r="K148" s="34"/>
      <c r="L148" s="34"/>
      <c r="M148" s="34"/>
      <c r="N148" s="34"/>
      <c r="O148" s="34"/>
      <c r="P148" s="34"/>
      <c r="Q148" s="34"/>
    </row>
    <row r="149" spans="2:17" s="35" customFormat="1" ht="15">
      <c r="B149" s="34"/>
      <c r="C149" s="34"/>
      <c r="D149" s="34"/>
      <c r="E149" s="34"/>
      <c r="F149" s="34"/>
      <c r="G149" s="34"/>
      <c r="H149" s="34"/>
      <c r="I149" s="34"/>
      <c r="J149" s="34"/>
      <c r="K149" s="34"/>
      <c r="L149" s="34"/>
      <c r="M149" s="34"/>
      <c r="N149" s="34"/>
      <c r="O149" s="34"/>
      <c r="P149" s="34"/>
      <c r="Q149" s="34"/>
    </row>
    <row r="150" spans="2:17" s="35" customFormat="1" ht="15">
      <c r="B150" s="34"/>
      <c r="C150" s="34"/>
      <c r="D150" s="34"/>
      <c r="E150" s="34"/>
      <c r="F150" s="34"/>
      <c r="G150" s="34"/>
      <c r="H150" s="34"/>
      <c r="I150" s="34"/>
      <c r="J150" s="34"/>
      <c r="K150" s="34"/>
      <c r="L150" s="34"/>
      <c r="M150" s="34"/>
      <c r="N150" s="34"/>
      <c r="O150" s="34"/>
      <c r="P150" s="34"/>
      <c r="Q150" s="34"/>
    </row>
    <row r="151" spans="2:17" s="35" customFormat="1" ht="15">
      <c r="B151" s="34"/>
      <c r="C151" s="34"/>
      <c r="D151" s="34"/>
      <c r="E151" s="34"/>
      <c r="F151" s="34"/>
      <c r="G151" s="34"/>
      <c r="H151" s="34"/>
      <c r="I151" s="34"/>
      <c r="J151" s="34"/>
      <c r="K151" s="34"/>
      <c r="L151" s="34"/>
      <c r="M151" s="34"/>
      <c r="N151" s="34"/>
      <c r="O151" s="34"/>
      <c r="P151" s="34"/>
      <c r="Q151" s="3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V210"/>
  <sheetViews>
    <sheetView showGridLines="0" zoomScale="96" zoomScaleNormal="96" workbookViewId="0">
      <selection activeCell="C2" sqref="C2"/>
    </sheetView>
  </sheetViews>
  <sheetFormatPr defaultRowHeight="12.75"/>
  <cols>
    <col min="1" max="1" width="5.7109375" style="69" customWidth="1"/>
    <col min="2" max="2" width="3.140625" style="69" customWidth="1"/>
    <col min="3" max="3" width="3.7109375" style="69" customWidth="1"/>
    <col min="4" max="4" width="29.42578125" style="69" customWidth="1"/>
    <col min="5" max="5" width="12.7109375" style="69" customWidth="1"/>
    <col min="6" max="6" width="3.5703125" style="69" customWidth="1"/>
    <col min="7" max="8" width="12.7109375" style="69" customWidth="1"/>
    <col min="9" max="9" width="13.140625" style="69" customWidth="1"/>
    <col min="10" max="10" width="14.5703125" style="69" customWidth="1"/>
    <col min="11" max="11" width="13.42578125" style="69" customWidth="1"/>
    <col min="12" max="22" width="12.7109375" style="69" customWidth="1"/>
    <col min="23" max="16384" width="9.140625" style="69"/>
  </cols>
  <sheetData>
    <row r="1" spans="1:19" customFormat="1" ht="19.5" customHeight="1">
      <c r="B1" s="447" t="s">
        <v>501</v>
      </c>
      <c r="C1" s="447"/>
    </row>
    <row r="2" spans="1:19" customFormat="1" ht="18">
      <c r="B2" s="450" t="s">
        <v>553</v>
      </c>
      <c r="C2" s="464"/>
    </row>
    <row r="3" spans="1:19" customFormat="1" ht="15.75">
      <c r="B3" s="464"/>
      <c r="C3" s="464"/>
    </row>
    <row r="4" spans="1:19" ht="18">
      <c r="B4" s="239" t="s">
        <v>519</v>
      </c>
    </row>
    <row r="5" spans="1:19" ht="12.75" customHeight="1">
      <c r="B5" s="239"/>
    </row>
    <row r="6" spans="1:19" ht="16.5" thickBot="1">
      <c r="A6" s="476" t="s">
        <v>529</v>
      </c>
      <c r="B6" s="504" t="s">
        <v>303</v>
      </c>
      <c r="C6" s="487"/>
      <c r="D6" s="488"/>
      <c r="E6" s="489"/>
      <c r="F6" s="489"/>
      <c r="G6" s="485"/>
      <c r="H6" s="487"/>
      <c r="I6" s="487"/>
      <c r="J6" s="486"/>
    </row>
    <row r="7" spans="1:19" ht="12.75" customHeight="1">
      <c r="A7" s="476">
        <v>1</v>
      </c>
      <c r="B7" s="242"/>
      <c r="C7" s="593" t="s">
        <v>304</v>
      </c>
      <c r="D7" s="593"/>
      <c r="E7" s="257">
        <f>'Insulation Base'!B40</f>
        <v>335</v>
      </c>
      <c r="F7" s="257"/>
      <c r="G7" s="317"/>
      <c r="J7" s="313"/>
      <c r="K7" s="590" t="s">
        <v>523</v>
      </c>
      <c r="L7" s="590"/>
      <c r="M7" s="590"/>
      <c r="N7" s="590"/>
      <c r="O7" s="490"/>
      <c r="P7" s="490"/>
      <c r="Q7" s="490"/>
    </row>
    <row r="8" spans="1:19">
      <c r="A8" s="476">
        <v>2</v>
      </c>
      <c r="C8" s="593" t="s">
        <v>305</v>
      </c>
      <c r="D8" s="593"/>
      <c r="E8" s="314">
        <v>350</v>
      </c>
      <c r="F8" s="314"/>
      <c r="G8" s="317"/>
      <c r="J8" s="313"/>
      <c r="K8" s="590"/>
      <c r="L8" s="590"/>
      <c r="M8" s="590"/>
      <c r="N8" s="590"/>
      <c r="O8" s="490"/>
      <c r="P8" s="490"/>
      <c r="Q8" s="490"/>
    </row>
    <row r="9" spans="1:19" ht="15" customHeight="1">
      <c r="A9" s="476">
        <v>3</v>
      </c>
      <c r="C9" s="593" t="s">
        <v>101</v>
      </c>
      <c r="D9" s="593"/>
      <c r="E9" s="315">
        <v>0.7</v>
      </c>
      <c r="F9" s="315"/>
      <c r="K9" s="590"/>
      <c r="L9" s="590"/>
      <c r="M9" s="590"/>
      <c r="N9" s="590"/>
      <c r="O9" s="490"/>
      <c r="P9" s="490"/>
      <c r="Q9" s="490"/>
      <c r="R9" s="490"/>
      <c r="S9" s="490"/>
    </row>
    <row r="10" spans="1:19" ht="12.75" customHeight="1">
      <c r="A10" s="476"/>
      <c r="C10" s="593" t="s">
        <v>307</v>
      </c>
      <c r="D10" s="593"/>
      <c r="E10" s="316">
        <f>E9*E8</f>
        <v>244.99999999999997</v>
      </c>
      <c r="F10" s="316"/>
      <c r="K10" s="590"/>
      <c r="L10" s="590"/>
      <c r="M10" s="590"/>
      <c r="N10" s="590"/>
      <c r="O10" s="490"/>
      <c r="P10" s="490"/>
      <c r="Q10" s="490"/>
      <c r="R10" s="490"/>
      <c r="S10" s="490"/>
    </row>
    <row r="11" spans="1:19">
      <c r="A11" s="476"/>
      <c r="C11" s="593" t="s">
        <v>308</v>
      </c>
      <c r="D11" s="593"/>
      <c r="E11" s="316">
        <f>(1-E9)*E8</f>
        <v>105.00000000000001</v>
      </c>
      <c r="F11" s="316"/>
      <c r="K11" s="590"/>
      <c r="L11" s="590"/>
      <c r="M11" s="590"/>
      <c r="N11" s="590"/>
      <c r="O11" s="490"/>
      <c r="P11" s="490"/>
      <c r="Q11" s="490"/>
      <c r="R11" s="490"/>
      <c r="S11" s="490"/>
    </row>
    <row r="12" spans="1:19">
      <c r="A12" s="476">
        <v>4</v>
      </c>
      <c r="C12" s="582" t="s">
        <v>309</v>
      </c>
      <c r="D12" s="582"/>
      <c r="E12" s="318">
        <v>0.1</v>
      </c>
      <c r="F12" s="318"/>
      <c r="K12" s="590"/>
      <c r="L12" s="590"/>
      <c r="M12" s="590"/>
      <c r="N12" s="590"/>
      <c r="O12" s="490"/>
      <c r="P12" s="490"/>
      <c r="Q12" s="490"/>
      <c r="R12" s="490"/>
      <c r="S12" s="490"/>
    </row>
    <row r="13" spans="1:19" ht="53.25" customHeight="1">
      <c r="A13" s="476"/>
      <c r="C13" s="582" t="s">
        <v>311</v>
      </c>
      <c r="D13" s="582"/>
      <c r="E13" s="318"/>
      <c r="F13" s="318"/>
      <c r="K13" s="590"/>
      <c r="L13" s="590"/>
      <c r="M13" s="590"/>
      <c r="N13" s="590"/>
    </row>
    <row r="14" spans="1:19" ht="12.75" customHeight="1">
      <c r="A14" s="476">
        <v>5</v>
      </c>
      <c r="B14" s="339" t="s">
        <v>524</v>
      </c>
      <c r="C14" s="243"/>
      <c r="D14" s="271"/>
      <c r="E14" s="259"/>
      <c r="F14" s="259"/>
      <c r="G14" s="243"/>
      <c r="H14" s="243"/>
      <c r="I14" s="243"/>
      <c r="J14" s="243"/>
      <c r="K14" s="590"/>
      <c r="L14" s="590"/>
      <c r="M14" s="590"/>
      <c r="N14" s="590"/>
      <c r="O14" s="479"/>
      <c r="P14" s="479"/>
      <c r="Q14" s="479"/>
      <c r="R14" s="479"/>
      <c r="S14" s="479"/>
    </row>
    <row r="15" spans="1:19">
      <c r="A15" s="476"/>
      <c r="C15" s="593" t="s">
        <v>312</v>
      </c>
      <c r="D15" s="593"/>
      <c r="E15" s="314">
        <v>9500</v>
      </c>
      <c r="F15" s="314"/>
      <c r="M15" s="479"/>
      <c r="N15" s="479"/>
      <c r="O15" s="479"/>
      <c r="P15" s="479"/>
      <c r="Q15" s="479"/>
      <c r="R15" s="479"/>
      <c r="S15" s="479"/>
    </row>
    <row r="16" spans="1:19">
      <c r="A16" s="476"/>
      <c r="C16" s="593" t="s">
        <v>313</v>
      </c>
      <c r="D16" s="593"/>
      <c r="E16" s="319">
        <v>0.75</v>
      </c>
      <c r="F16" s="319"/>
      <c r="M16" s="479"/>
      <c r="N16" s="479"/>
      <c r="O16" s="479"/>
      <c r="P16" s="479"/>
      <c r="Q16" s="479"/>
      <c r="R16" s="479"/>
      <c r="S16" s="479"/>
    </row>
    <row r="17" spans="1:21">
      <c r="A17" s="476">
        <v>6</v>
      </c>
      <c r="C17" s="593" t="s">
        <v>314</v>
      </c>
      <c r="D17" s="593"/>
      <c r="E17" s="465" t="s">
        <v>520</v>
      </c>
      <c r="F17" s="465"/>
      <c r="G17" s="583"/>
      <c r="H17" s="583"/>
      <c r="I17" s="583"/>
      <c r="J17" s="583"/>
      <c r="K17" s="583"/>
      <c r="M17" s="479"/>
      <c r="N17" s="479"/>
      <c r="O17" s="479"/>
      <c r="P17" s="479"/>
      <c r="Q17" s="479"/>
      <c r="R17" s="479"/>
      <c r="S17" s="479"/>
    </row>
    <row r="18" spans="1:21" ht="32.25" customHeight="1">
      <c r="A18" s="480">
        <v>7</v>
      </c>
      <c r="C18" s="582" t="s">
        <v>315</v>
      </c>
      <c r="D18" s="582"/>
      <c r="E18" s="481">
        <v>0.3</v>
      </c>
      <c r="F18" s="315"/>
      <c r="G18" s="582"/>
      <c r="H18" s="582"/>
      <c r="I18" s="582"/>
      <c r="J18" s="582"/>
      <c r="K18" s="582"/>
      <c r="M18" s="479"/>
      <c r="N18" s="479"/>
      <c r="O18" s="479"/>
      <c r="P18" s="479"/>
      <c r="Q18" s="479"/>
      <c r="R18" s="479"/>
      <c r="S18" s="479"/>
    </row>
    <row r="19" spans="1:21">
      <c r="A19" s="480">
        <v>8</v>
      </c>
      <c r="C19" s="583" t="s">
        <v>317</v>
      </c>
      <c r="D19" s="583"/>
      <c r="E19" s="481">
        <v>0.15</v>
      </c>
      <c r="F19" s="315"/>
      <c r="G19" s="584"/>
      <c r="H19" s="584"/>
      <c r="I19" s="584"/>
      <c r="J19" s="584"/>
      <c r="K19" s="584"/>
    </row>
    <row r="20" spans="1:21" ht="24.75" customHeight="1">
      <c r="A20" s="480">
        <v>9</v>
      </c>
      <c r="C20" s="582" t="s">
        <v>319</v>
      </c>
      <c r="D20" s="582"/>
      <c r="E20" s="484">
        <v>0</v>
      </c>
      <c r="F20" s="320"/>
      <c r="G20" s="582"/>
      <c r="H20" s="582"/>
      <c r="I20" s="582"/>
      <c r="J20" s="582"/>
      <c r="K20" s="582"/>
    </row>
    <row r="21" spans="1:21" ht="28.5" customHeight="1">
      <c r="A21" s="480">
        <v>10</v>
      </c>
      <c r="C21" s="582" t="s">
        <v>321</v>
      </c>
      <c r="D21" s="582"/>
      <c r="E21" s="484">
        <v>0</v>
      </c>
      <c r="F21" s="320"/>
      <c r="G21" s="582"/>
      <c r="H21" s="582"/>
      <c r="I21" s="582"/>
      <c r="J21" s="582"/>
      <c r="K21" s="582"/>
    </row>
    <row r="22" spans="1:21" ht="14.25" customHeight="1">
      <c r="A22" s="476"/>
      <c r="B22" s="339" t="s">
        <v>525</v>
      </c>
      <c r="C22" s="243"/>
      <c r="D22" s="271"/>
      <c r="E22" s="259"/>
      <c r="F22" s="259"/>
      <c r="G22" s="243"/>
      <c r="H22" s="243"/>
      <c r="I22" s="243"/>
      <c r="J22" s="243"/>
    </row>
    <row r="23" spans="1:21">
      <c r="A23" s="476"/>
      <c r="B23" s="284"/>
      <c r="D23" s="103"/>
      <c r="E23" s="588"/>
      <c r="F23" s="588"/>
    </row>
    <row r="24" spans="1:21">
      <c r="A24" s="476"/>
      <c r="D24" s="103"/>
      <c r="E24" s="594"/>
      <c r="F24" s="594"/>
    </row>
    <row r="25" spans="1:21" ht="15.75">
      <c r="A25" s="476"/>
      <c r="B25" s="242" t="s">
        <v>323</v>
      </c>
      <c r="D25" s="255"/>
      <c r="E25" s="547">
        <v>2008</v>
      </c>
      <c r="F25" s="547"/>
      <c r="G25" s="244">
        <v>2009</v>
      </c>
      <c r="H25" s="244">
        <v>2010</v>
      </c>
      <c r="I25" s="244">
        <v>2011</v>
      </c>
      <c r="J25" s="244">
        <v>2012</v>
      </c>
      <c r="K25" s="244">
        <v>2013</v>
      </c>
      <c r="L25" s="69">
        <v>2014</v>
      </c>
      <c r="M25" s="69">
        <v>2015</v>
      </c>
      <c r="N25" s="69">
        <v>2016</v>
      </c>
      <c r="O25" s="69">
        <v>2017</v>
      </c>
      <c r="P25" s="69">
        <v>2018</v>
      </c>
      <c r="Q25" s="69">
        <v>2019</v>
      </c>
      <c r="R25" s="69">
        <v>2020</v>
      </c>
      <c r="S25" s="69">
        <v>2021</v>
      </c>
      <c r="T25" s="69">
        <v>2022</v>
      </c>
      <c r="U25" s="69">
        <v>2023</v>
      </c>
    </row>
    <row r="26" spans="1:21">
      <c r="A26" s="476"/>
      <c r="B26" s="284" t="s">
        <v>324</v>
      </c>
      <c r="D26" s="255"/>
      <c r="E26" s="559"/>
      <c r="F26" s="559"/>
    </row>
    <row r="27" spans="1:21" ht="15">
      <c r="A27" s="476"/>
      <c r="B27" s="284"/>
      <c r="C27" s="69" t="s">
        <v>325</v>
      </c>
      <c r="D27" s="255"/>
      <c r="E27" s="566">
        <f>SUM(E67:E68)</f>
        <v>1899084.85</v>
      </c>
      <c r="F27" s="566"/>
      <c r="G27" s="310">
        <f t="shared" ref="G27:U27" si="0">SUM(G67:G68)</f>
        <v>1956057.3955000001</v>
      </c>
      <c r="H27" s="310">
        <f t="shared" si="0"/>
        <v>2014739.1173650001</v>
      </c>
      <c r="I27" s="310">
        <f t="shared" si="0"/>
        <v>2075181.2908859504</v>
      </c>
      <c r="J27" s="310">
        <f t="shared" si="0"/>
        <v>2137436.7296125288</v>
      </c>
      <c r="K27" s="310">
        <f t="shared" si="0"/>
        <v>2201559.8315009051</v>
      </c>
      <c r="L27" s="310">
        <f t="shared" si="0"/>
        <v>2267606.6264459323</v>
      </c>
      <c r="M27" s="310">
        <f t="shared" si="0"/>
        <v>2335634.8252393105</v>
      </c>
      <c r="N27" s="310">
        <f t="shared" si="0"/>
        <v>2405703.86999649</v>
      </c>
      <c r="O27" s="310">
        <f t="shared" si="0"/>
        <v>2477874.9860963849</v>
      </c>
      <c r="P27" s="310">
        <f t="shared" si="0"/>
        <v>2552211.2356792768</v>
      </c>
      <c r="Q27" s="310">
        <f t="shared" si="0"/>
        <v>2628777.5727496548</v>
      </c>
      <c r="R27" s="310">
        <f t="shared" si="0"/>
        <v>2707640.8999321442</v>
      </c>
      <c r="S27" s="310">
        <f t="shared" si="0"/>
        <v>2788870.1269301092</v>
      </c>
      <c r="T27" s="310">
        <f t="shared" si="0"/>
        <v>2872536.2307380121</v>
      </c>
      <c r="U27" s="310">
        <f t="shared" si="0"/>
        <v>2958712.3176601529</v>
      </c>
    </row>
    <row r="28" spans="1:21" ht="15">
      <c r="A28" s="476"/>
      <c r="B28" s="284"/>
      <c r="C28" s="69" t="s">
        <v>326</v>
      </c>
      <c r="D28" s="255"/>
      <c r="E28" s="566">
        <f>SUM(E70:E71)</f>
        <v>11833450.76047555</v>
      </c>
      <c r="F28" s="566"/>
      <c r="G28" s="310">
        <f t="shared" ref="G28:U28" si="1">SUM(G70:G71)</f>
        <v>12188454.283289816</v>
      </c>
      <c r="H28" s="310">
        <f t="shared" si="1"/>
        <v>12554107.91178851</v>
      </c>
      <c r="I28" s="310">
        <f t="shared" si="1"/>
        <v>12930731.149142167</v>
      </c>
      <c r="J28" s="310">
        <f t="shared" si="1"/>
        <v>13318653.083616434</v>
      </c>
      <c r="K28" s="310">
        <f t="shared" si="1"/>
        <v>13718212.676124929</v>
      </c>
      <c r="L28" s="310">
        <f t="shared" si="1"/>
        <v>14129759.056408677</v>
      </c>
      <c r="M28" s="310">
        <f t="shared" si="1"/>
        <v>14553651.828100938</v>
      </c>
      <c r="N28" s="310">
        <f t="shared" si="1"/>
        <v>14990261.382943967</v>
      </c>
      <c r="O28" s="310">
        <f t="shared" si="1"/>
        <v>15439969.224432288</v>
      </c>
      <c r="P28" s="310">
        <f t="shared" si="1"/>
        <v>15903168.301165257</v>
      </c>
      <c r="Q28" s="310">
        <f t="shared" si="1"/>
        <v>16380263.350200215</v>
      </c>
      <c r="R28" s="310">
        <f t="shared" si="1"/>
        <v>16871671.250706222</v>
      </c>
      <c r="S28" s="310">
        <f t="shared" si="1"/>
        <v>17377821.388227411</v>
      </c>
      <c r="T28" s="310">
        <f t="shared" si="1"/>
        <v>17899156.029874232</v>
      </c>
      <c r="U28" s="310">
        <f t="shared" si="1"/>
        <v>18436130.710770458</v>
      </c>
    </row>
    <row r="29" spans="1:21" ht="15">
      <c r="A29" s="476"/>
      <c r="B29" s="284" t="s">
        <v>327</v>
      </c>
      <c r="C29" s="255"/>
      <c r="D29" s="255"/>
      <c r="E29" s="566">
        <f>E73</f>
        <v>156179080.35300002</v>
      </c>
      <c r="F29" s="566"/>
      <c r="G29" s="310">
        <f t="shared" ref="G29:U29" si="2">G73</f>
        <v>164477221.41662768</v>
      </c>
      <c r="H29" s="310">
        <f t="shared" si="2"/>
        <v>173244324.32313427</v>
      </c>
      <c r="I29" s="310">
        <f t="shared" si="2"/>
        <v>182507857.00031403</v>
      </c>
      <c r="J29" s="310">
        <f t="shared" si="2"/>
        <v>192296927.41731113</v>
      </c>
      <c r="K29" s="310">
        <f t="shared" si="2"/>
        <v>202642382.48047367</v>
      </c>
      <c r="L29" s="310">
        <f t="shared" si="2"/>
        <v>213576912.92248625</v>
      </c>
      <c r="M29" s="310">
        <f t="shared" si="2"/>
        <v>225135164.548886</v>
      </c>
      <c r="N29" s="310">
        <f t="shared" si="2"/>
        <v>237353856.22821602</v>
      </c>
      <c r="O29" s="310">
        <f t="shared" si="2"/>
        <v>250271905.03556636</v>
      </c>
      <c r="P29" s="310">
        <f t="shared" si="2"/>
        <v>263930558.98417589</v>
      </c>
      <c r="Q29" s="310">
        <f t="shared" si="2"/>
        <v>278373537.80621409</v>
      </c>
      <c r="R29" s="310">
        <f t="shared" si="2"/>
        <v>293647182.27191138</v>
      </c>
      <c r="S29" s="310">
        <f t="shared" si="2"/>
        <v>309800612.56596869</v>
      </c>
      <c r="T29" s="310">
        <f t="shared" si="2"/>
        <v>326885896.27174509</v>
      </c>
      <c r="U29" s="310">
        <f t="shared" si="2"/>
        <v>344958226.5472185</v>
      </c>
    </row>
    <row r="30" spans="1:21" ht="15">
      <c r="A30" s="476"/>
      <c r="B30" s="284" t="s">
        <v>328</v>
      </c>
      <c r="C30" s="255"/>
      <c r="D30" s="255"/>
      <c r="E30" s="566">
        <f>E149</f>
        <v>52423843.16386278</v>
      </c>
      <c r="F30" s="566"/>
      <c r="G30" s="310">
        <f t="shared" ref="G30:U30" si="3">G149</f>
        <v>55141195.679864205</v>
      </c>
      <c r="H30" s="310">
        <f t="shared" si="3"/>
        <v>58870812.017444879</v>
      </c>
      <c r="I30" s="310">
        <f t="shared" si="3"/>
        <v>63809319.62774267</v>
      </c>
      <c r="J30" s="310">
        <f t="shared" si="3"/>
        <v>72455832.002643526</v>
      </c>
      <c r="K30" s="310">
        <f t="shared" si="3"/>
        <v>83509291.290182039</v>
      </c>
      <c r="L30" s="310">
        <f t="shared" si="3"/>
        <v>90607734.797008902</v>
      </c>
      <c r="M30" s="310">
        <f t="shared" si="3"/>
        <v>98668819.513414189</v>
      </c>
      <c r="N30" s="310">
        <f t="shared" si="3"/>
        <v>107462498.43393029</v>
      </c>
      <c r="O30" s="310">
        <f t="shared" si="3"/>
        <v>117056458.55176565</v>
      </c>
      <c r="P30" s="310">
        <f t="shared" si="3"/>
        <v>127524716.45424925</v>
      </c>
      <c r="Q30" s="310">
        <f t="shared" si="3"/>
        <v>138948215.2493327</v>
      </c>
      <c r="R30" s="310">
        <f t="shared" si="3"/>
        <v>151415478.11470631</v>
      </c>
      <c r="S30" s="310">
        <f t="shared" si="3"/>
        <v>165023323.86175969</v>
      </c>
      <c r="T30" s="310">
        <f t="shared" si="3"/>
        <v>179877650.421482</v>
      </c>
      <c r="U30" s="310">
        <f t="shared" si="3"/>
        <v>196094292.72351292</v>
      </c>
    </row>
    <row r="31" spans="1:21" ht="15">
      <c r="A31" s="476"/>
      <c r="B31" s="321" t="s">
        <v>329</v>
      </c>
      <c r="C31" s="255"/>
      <c r="D31" s="255"/>
      <c r="E31" s="565">
        <f>SUM(E27:E29)/1000000</f>
        <v>169.91161596347555</v>
      </c>
      <c r="F31" s="565"/>
      <c r="G31" s="312">
        <f t="shared" ref="G31:L31" si="4">SUM(G27:G29)/1000000</f>
        <v>178.62173309541751</v>
      </c>
      <c r="H31" s="312">
        <f t="shared" si="4"/>
        <v>187.81317135228778</v>
      </c>
      <c r="I31" s="312">
        <f t="shared" si="4"/>
        <v>197.51376944034212</v>
      </c>
      <c r="J31" s="312">
        <f t="shared" si="4"/>
        <v>207.75301723054011</v>
      </c>
      <c r="K31" s="312">
        <f t="shared" si="4"/>
        <v>218.56215498809951</v>
      </c>
      <c r="L31" s="312">
        <f t="shared" si="4"/>
        <v>229.97427860534086</v>
      </c>
      <c r="M31" s="312">
        <f t="shared" ref="M31:U31" si="5">SUM(M27:M29)/1000000</f>
        <v>242.02445120222626</v>
      </c>
      <c r="N31" s="312">
        <f t="shared" si="5"/>
        <v>254.74982148115646</v>
      </c>
      <c r="O31" s="312">
        <f t="shared" si="5"/>
        <v>268.189749246095</v>
      </c>
      <c r="P31" s="312">
        <f t="shared" si="5"/>
        <v>282.38593852102042</v>
      </c>
      <c r="Q31" s="312">
        <f t="shared" si="5"/>
        <v>297.38257872916392</v>
      </c>
      <c r="R31" s="312">
        <f t="shared" si="5"/>
        <v>313.22649442254971</v>
      </c>
      <c r="S31" s="312">
        <f t="shared" si="5"/>
        <v>329.9673040811262</v>
      </c>
      <c r="T31" s="312">
        <f t="shared" si="5"/>
        <v>347.65758853235735</v>
      </c>
      <c r="U31" s="312">
        <f t="shared" si="5"/>
        <v>366.35306957564916</v>
      </c>
    </row>
    <row r="32" spans="1:21" ht="12.75" customHeight="1">
      <c r="A32" s="476"/>
      <c r="B32" s="321" t="s">
        <v>330</v>
      </c>
      <c r="E32" s="587">
        <f>(SUM(E27:E28)+E30)/1000000</f>
        <v>66.156378774338322</v>
      </c>
      <c r="F32" s="587"/>
      <c r="G32" s="279">
        <f t="shared" ref="G32:L32" si="6">(SUM(G27:G28)+G30)/1000000</f>
        <v>69.285707358654022</v>
      </c>
      <c r="H32" s="279">
        <f t="shared" si="6"/>
        <v>73.439659046598393</v>
      </c>
      <c r="I32" s="279">
        <f t="shared" si="6"/>
        <v>78.815232067770779</v>
      </c>
      <c r="J32" s="279">
        <f t="shared" si="6"/>
        <v>87.911921815872489</v>
      </c>
      <c r="K32" s="279">
        <f t="shared" si="6"/>
        <v>99.429063797807871</v>
      </c>
      <c r="L32" s="279">
        <f t="shared" si="6"/>
        <v>107.00510047986351</v>
      </c>
      <c r="M32" s="279">
        <f t="shared" ref="M32:U32" si="7">(SUM(M27:M28)+M30)/1000000</f>
        <v>115.55810616675444</v>
      </c>
      <c r="N32" s="279">
        <f t="shared" si="7"/>
        <v>124.85846368687075</v>
      </c>
      <c r="O32" s="279">
        <f t="shared" si="7"/>
        <v>134.97430276229431</v>
      </c>
      <c r="P32" s="279">
        <f t="shared" si="7"/>
        <v>145.98009599109378</v>
      </c>
      <c r="Q32" s="279">
        <f t="shared" si="7"/>
        <v>157.95725617228257</v>
      </c>
      <c r="R32" s="279">
        <f t="shared" si="7"/>
        <v>170.99479026534468</v>
      </c>
      <c r="S32" s="279">
        <f t="shared" si="7"/>
        <v>185.19001537691722</v>
      </c>
      <c r="T32" s="279">
        <f t="shared" si="7"/>
        <v>200.64934268209424</v>
      </c>
      <c r="U32" s="279">
        <f t="shared" si="7"/>
        <v>217.48913575194354</v>
      </c>
    </row>
    <row r="33" spans="1:22" ht="12.75" customHeight="1">
      <c r="A33" s="476"/>
      <c r="B33" s="321"/>
      <c r="E33" s="553"/>
      <c r="F33" s="553"/>
    </row>
    <row r="34" spans="1:22" ht="15.75" customHeight="1">
      <c r="A34" s="476"/>
      <c r="B34" s="242" t="s">
        <v>331</v>
      </c>
      <c r="E34" s="547">
        <v>2008</v>
      </c>
      <c r="F34" s="547"/>
      <c r="G34" s="244">
        <v>2009</v>
      </c>
      <c r="H34" s="244">
        <v>2010</v>
      </c>
      <c r="I34" s="244">
        <v>2011</v>
      </c>
      <c r="J34" s="244">
        <v>2012</v>
      </c>
      <c r="K34" s="244">
        <v>2013</v>
      </c>
      <c r="L34" s="69">
        <v>2014</v>
      </c>
      <c r="M34" s="69">
        <v>2015</v>
      </c>
      <c r="N34" s="69">
        <v>2016</v>
      </c>
      <c r="O34" s="69">
        <v>2017</v>
      </c>
      <c r="P34" s="69">
        <v>2018</v>
      </c>
      <c r="Q34" s="69">
        <v>2019</v>
      </c>
      <c r="R34" s="69">
        <v>2020</v>
      </c>
      <c r="S34" s="69">
        <v>2021</v>
      </c>
      <c r="T34" s="69">
        <v>2022</v>
      </c>
      <c r="U34" s="69">
        <v>2023</v>
      </c>
      <c r="V34" s="69" t="s">
        <v>332</v>
      </c>
    </row>
    <row r="35" spans="1:22" ht="15">
      <c r="A35" s="476"/>
      <c r="B35" s="284" t="s">
        <v>333</v>
      </c>
      <c r="D35" s="255"/>
      <c r="E35" s="570">
        <f>SUM(E91:E95)</f>
        <v>0</v>
      </c>
      <c r="F35" s="570"/>
      <c r="G35" s="312">
        <f t="shared" ref="G35:U35" si="8">SUM(G91:G95)</f>
        <v>0</v>
      </c>
      <c r="H35" s="312">
        <f t="shared" si="8"/>
        <v>505644.71999999991</v>
      </c>
      <c r="I35" s="312">
        <f t="shared" si="8"/>
        <v>3118012.0999999996</v>
      </c>
      <c r="J35" s="312">
        <f t="shared" si="8"/>
        <v>3044835.4999999995</v>
      </c>
      <c r="K35" s="312">
        <f t="shared" si="8"/>
        <v>3107007.6799999997</v>
      </c>
      <c r="L35" s="312">
        <f t="shared" si="8"/>
        <v>0</v>
      </c>
      <c r="M35" s="312">
        <f t="shared" si="8"/>
        <v>0</v>
      </c>
      <c r="N35" s="312">
        <f t="shared" si="8"/>
        <v>0</v>
      </c>
      <c r="O35" s="312">
        <f t="shared" si="8"/>
        <v>0</v>
      </c>
      <c r="P35" s="312">
        <f t="shared" si="8"/>
        <v>0</v>
      </c>
      <c r="Q35" s="312">
        <f t="shared" si="8"/>
        <v>0</v>
      </c>
      <c r="R35" s="312">
        <f t="shared" si="8"/>
        <v>0</v>
      </c>
      <c r="S35" s="312">
        <f t="shared" si="8"/>
        <v>0</v>
      </c>
      <c r="T35" s="312">
        <f t="shared" si="8"/>
        <v>0</v>
      </c>
      <c r="U35" s="312">
        <f t="shared" si="8"/>
        <v>0</v>
      </c>
      <c r="V35" s="322">
        <f>SUM(G35:K35)</f>
        <v>9775499.9999999981</v>
      </c>
    </row>
    <row r="36" spans="1:22" ht="12.75" customHeight="1">
      <c r="A36" s="476"/>
      <c r="B36" s="284" t="s">
        <v>324</v>
      </c>
      <c r="E36" s="553"/>
      <c r="F36" s="553"/>
    </row>
    <row r="37" spans="1:22" ht="12.75" customHeight="1">
      <c r="A37" s="476"/>
      <c r="B37" s="284"/>
      <c r="C37" s="69" t="s">
        <v>325</v>
      </c>
      <c r="E37" s="585">
        <f>SUM(E99:E102)</f>
        <v>1899084.85</v>
      </c>
      <c r="F37" s="585"/>
      <c r="G37" s="254">
        <f t="shared" ref="G37:U37" si="9">SUM(G99:G102)</f>
        <v>1956057.3955000001</v>
      </c>
      <c r="H37" s="254">
        <f t="shared" si="9"/>
        <v>2014739.1173650001</v>
      </c>
      <c r="I37" s="254">
        <f t="shared" si="9"/>
        <v>1585329.193923967</v>
      </c>
      <c r="J37" s="254">
        <f t="shared" si="9"/>
        <v>1626832.8197416859</v>
      </c>
      <c r="K37" s="254">
        <f t="shared" si="9"/>
        <v>1669581.5543339369</v>
      </c>
      <c r="L37" s="254">
        <f t="shared" si="9"/>
        <v>1312856.6264459323</v>
      </c>
      <c r="M37" s="254">
        <f t="shared" si="9"/>
        <v>1380884.82523931</v>
      </c>
      <c r="N37" s="254">
        <f t="shared" si="9"/>
        <v>1450953.8699964895</v>
      </c>
      <c r="O37" s="254">
        <f t="shared" si="9"/>
        <v>1523124.986096384</v>
      </c>
      <c r="P37" s="254">
        <f t="shared" si="9"/>
        <v>1597461.2356792756</v>
      </c>
      <c r="Q37" s="254">
        <f t="shared" si="9"/>
        <v>1674027.5727496543</v>
      </c>
      <c r="R37" s="254">
        <f t="shared" si="9"/>
        <v>1752890.8999321442</v>
      </c>
      <c r="S37" s="254">
        <f t="shared" si="9"/>
        <v>5334870.1269301083</v>
      </c>
      <c r="T37" s="254">
        <f t="shared" si="9"/>
        <v>5736786.2307380121</v>
      </c>
      <c r="U37" s="254">
        <f t="shared" si="9"/>
        <v>6141212.317660151</v>
      </c>
    </row>
    <row r="38" spans="1:22" ht="12.75" customHeight="1">
      <c r="A38" s="476"/>
      <c r="B38" s="284"/>
      <c r="C38" s="69" t="s">
        <v>326</v>
      </c>
      <c r="E38" s="585">
        <f>SUM(E104:E107)</f>
        <v>11833450.76047555</v>
      </c>
      <c r="F38" s="585"/>
      <c r="G38" s="254">
        <f t="shared" ref="G38:U38" si="10">SUM(G104:G107)</f>
        <v>12188454.283289816</v>
      </c>
      <c r="H38" s="254">
        <f t="shared" si="10"/>
        <v>12554107.91178851</v>
      </c>
      <c r="I38" s="254">
        <f t="shared" si="10"/>
        <v>12410178.382667907</v>
      </c>
      <c r="J38" s="254">
        <f t="shared" si="10"/>
        <v>12277547.550667915</v>
      </c>
      <c r="K38" s="254">
        <f t="shared" si="10"/>
        <v>12156554.37670215</v>
      </c>
      <c r="L38" s="254">
        <f t="shared" si="10"/>
        <v>12568100.756985899</v>
      </c>
      <c r="M38" s="254">
        <f t="shared" si="10"/>
        <v>12991993.52867816</v>
      </c>
      <c r="N38" s="254">
        <f t="shared" si="10"/>
        <v>13428603.083521191</v>
      </c>
      <c r="O38" s="254">
        <f t="shared" si="10"/>
        <v>13878310.925009511</v>
      </c>
      <c r="P38" s="254">
        <f t="shared" si="10"/>
        <v>14341510.001742482</v>
      </c>
      <c r="Q38" s="254">
        <f t="shared" si="10"/>
        <v>14818605.050777437</v>
      </c>
      <c r="R38" s="254">
        <f t="shared" si="10"/>
        <v>15310012.951283444</v>
      </c>
      <c r="S38" s="254">
        <f t="shared" si="10"/>
        <v>16336715.855278889</v>
      </c>
      <c r="T38" s="254">
        <f t="shared" si="10"/>
        <v>17378603.263399974</v>
      </c>
      <c r="U38" s="254">
        <f t="shared" si="10"/>
        <v>18436130.710770458</v>
      </c>
    </row>
    <row r="39" spans="1:22" ht="12.75" customHeight="1">
      <c r="A39" s="476"/>
      <c r="B39" s="284" t="s">
        <v>327</v>
      </c>
      <c r="C39" s="255"/>
      <c r="E39" s="585">
        <f>E109</f>
        <v>156179080.35300002</v>
      </c>
      <c r="F39" s="585"/>
      <c r="G39" s="254">
        <f t="shared" ref="G39:U39" si="11">G109</f>
        <v>164477221.41662768</v>
      </c>
      <c r="H39" s="254">
        <f t="shared" si="11"/>
        <v>173244324.32313427</v>
      </c>
      <c r="I39" s="254">
        <f t="shared" si="11"/>
        <v>182507857.00031403</v>
      </c>
      <c r="J39" s="254">
        <f t="shared" si="11"/>
        <v>192296927.41731113</v>
      </c>
      <c r="K39" s="254">
        <f t="shared" si="11"/>
        <v>202642382.48047367</v>
      </c>
      <c r="L39" s="254">
        <f t="shared" si="11"/>
        <v>213576912.92248625</v>
      </c>
      <c r="M39" s="254">
        <f t="shared" si="11"/>
        <v>225135164.548886</v>
      </c>
      <c r="N39" s="254">
        <f t="shared" si="11"/>
        <v>237353856.22821602</v>
      </c>
      <c r="O39" s="254">
        <f t="shared" si="11"/>
        <v>250271905.03556636</v>
      </c>
      <c r="P39" s="254">
        <f t="shared" si="11"/>
        <v>263930558.98417589</v>
      </c>
      <c r="Q39" s="254">
        <f t="shared" si="11"/>
        <v>278373537.80621409</v>
      </c>
      <c r="R39" s="254">
        <f t="shared" si="11"/>
        <v>293647182.27191138</v>
      </c>
      <c r="S39" s="254">
        <f t="shared" si="11"/>
        <v>309800612.56596869</v>
      </c>
      <c r="T39" s="254">
        <f t="shared" si="11"/>
        <v>326885896.27174509</v>
      </c>
      <c r="U39" s="254">
        <f t="shared" si="11"/>
        <v>344958226.5472185</v>
      </c>
    </row>
    <row r="40" spans="1:22" ht="12.75" customHeight="1">
      <c r="A40" s="476"/>
      <c r="B40" s="284" t="s">
        <v>328</v>
      </c>
      <c r="C40" s="255"/>
      <c r="E40" s="585">
        <f>E164</f>
        <v>52423843.16386278</v>
      </c>
      <c r="F40" s="585"/>
      <c r="G40" s="254">
        <f t="shared" ref="G40:U40" si="12">G164</f>
        <v>55141195.679864205</v>
      </c>
      <c r="H40" s="254">
        <f t="shared" si="12"/>
        <v>58870812.017444879</v>
      </c>
      <c r="I40" s="254">
        <f t="shared" si="12"/>
        <v>63809319.62774267</v>
      </c>
      <c r="J40" s="254">
        <f t="shared" si="12"/>
        <v>72455832.002643526</v>
      </c>
      <c r="K40" s="254">
        <f t="shared" si="12"/>
        <v>83509291.290182039</v>
      </c>
      <c r="L40" s="254">
        <f t="shared" si="12"/>
        <v>90607734.797008902</v>
      </c>
      <c r="M40" s="254">
        <f t="shared" si="12"/>
        <v>98668819.513414189</v>
      </c>
      <c r="N40" s="254">
        <f t="shared" si="12"/>
        <v>107462498.43393029</v>
      </c>
      <c r="O40" s="254">
        <f t="shared" si="12"/>
        <v>117056458.55176565</v>
      </c>
      <c r="P40" s="254">
        <f t="shared" si="12"/>
        <v>127524716.45424925</v>
      </c>
      <c r="Q40" s="254">
        <f t="shared" si="12"/>
        <v>138948215.2493327</v>
      </c>
      <c r="R40" s="254">
        <f t="shared" si="12"/>
        <v>151415478.11470631</v>
      </c>
      <c r="S40" s="254">
        <f t="shared" si="12"/>
        <v>165023323.86175969</v>
      </c>
      <c r="T40" s="254">
        <f t="shared" si="12"/>
        <v>179877650.421482</v>
      </c>
      <c r="U40" s="254">
        <f t="shared" si="12"/>
        <v>196094292.72351292</v>
      </c>
    </row>
    <row r="41" spans="1:22" ht="12.75" customHeight="1">
      <c r="A41" s="476"/>
      <c r="B41" s="321" t="s">
        <v>329</v>
      </c>
      <c r="C41" s="255"/>
      <c r="E41" s="565">
        <f>SUM(E35:E39)/1000000</f>
        <v>169.91161596347555</v>
      </c>
      <c r="F41" s="565"/>
      <c r="G41" s="312">
        <f t="shared" ref="G41:M41" si="13">SUM(G35:G39)/1000000</f>
        <v>178.62173309541751</v>
      </c>
      <c r="H41" s="312">
        <f t="shared" si="13"/>
        <v>188.3188160722878</v>
      </c>
      <c r="I41" s="312">
        <f t="shared" si="13"/>
        <v>199.6213766769059</v>
      </c>
      <c r="J41" s="312">
        <f t="shared" si="13"/>
        <v>209.24614328772074</v>
      </c>
      <c r="K41" s="312">
        <f t="shared" si="13"/>
        <v>219.57552609150977</v>
      </c>
      <c r="L41" s="312">
        <f t="shared" si="13"/>
        <v>227.45787030591808</v>
      </c>
      <c r="M41" s="312">
        <f t="shared" si="13"/>
        <v>239.50804290280348</v>
      </c>
      <c r="N41" s="312">
        <f t="shared" ref="N41:U41" si="14">SUM(N35:N39)/1000000</f>
        <v>252.23341318173371</v>
      </c>
      <c r="O41" s="312">
        <f t="shared" si="14"/>
        <v>265.67334094667228</v>
      </c>
      <c r="P41" s="312">
        <f t="shared" si="14"/>
        <v>279.8695302215977</v>
      </c>
      <c r="Q41" s="312">
        <f t="shared" si="14"/>
        <v>294.8661704297412</v>
      </c>
      <c r="R41" s="312">
        <f t="shared" si="14"/>
        <v>310.71008612312698</v>
      </c>
      <c r="S41" s="312">
        <f t="shared" si="14"/>
        <v>331.47219854817774</v>
      </c>
      <c r="T41" s="312">
        <f t="shared" si="14"/>
        <v>350.0012857658831</v>
      </c>
      <c r="U41" s="312">
        <f t="shared" si="14"/>
        <v>369.53556957564916</v>
      </c>
    </row>
    <row r="42" spans="1:22" ht="12.75" customHeight="1">
      <c r="A42" s="476"/>
      <c r="B42" s="321" t="s">
        <v>330</v>
      </c>
      <c r="E42" s="587">
        <f>(SUM(E35:E38)+E40)/1000000</f>
        <v>66.156378774338322</v>
      </c>
      <c r="F42" s="587"/>
      <c r="G42" s="279">
        <f t="shared" ref="G42:M42" si="15">(SUM(G35:G38)+G40)/1000000</f>
        <v>69.285707358654022</v>
      </c>
      <c r="H42" s="279">
        <f t="shared" si="15"/>
        <v>73.945303766598386</v>
      </c>
      <c r="I42" s="279">
        <f t="shared" si="15"/>
        <v>80.922839304334545</v>
      </c>
      <c r="J42" s="279">
        <f t="shared" si="15"/>
        <v>89.405047873053135</v>
      </c>
      <c r="K42" s="279">
        <f t="shared" si="15"/>
        <v>100.44243490121812</v>
      </c>
      <c r="L42" s="279">
        <f t="shared" si="15"/>
        <v>104.48869218044074</v>
      </c>
      <c r="M42" s="279">
        <f t="shared" si="15"/>
        <v>113.04169786733165</v>
      </c>
      <c r="N42" s="279">
        <f t="shared" ref="N42:U42" si="16">(SUM(N35:N38)+N40)/1000000</f>
        <v>122.34205538744797</v>
      </c>
      <c r="O42" s="279">
        <f t="shared" si="16"/>
        <v>132.45789446287156</v>
      </c>
      <c r="P42" s="279">
        <f t="shared" si="16"/>
        <v>143.46368769167103</v>
      </c>
      <c r="Q42" s="279">
        <f t="shared" si="16"/>
        <v>155.44084787285976</v>
      </c>
      <c r="R42" s="279">
        <f t="shared" si="16"/>
        <v>168.47838196592187</v>
      </c>
      <c r="S42" s="279">
        <f t="shared" si="16"/>
        <v>186.6949098439687</v>
      </c>
      <c r="T42" s="279">
        <f t="shared" si="16"/>
        <v>202.99303991561996</v>
      </c>
      <c r="U42" s="279">
        <f t="shared" si="16"/>
        <v>220.67163575194354</v>
      </c>
    </row>
    <row r="43" spans="1:22">
      <c r="A43" s="476"/>
      <c r="D43" s="323"/>
      <c r="E43" s="586"/>
      <c r="F43" s="586"/>
    </row>
    <row r="44" spans="1:22" ht="15.75">
      <c r="A44" s="476"/>
      <c r="B44" s="242" t="s">
        <v>334</v>
      </c>
      <c r="D44" s="323"/>
      <c r="E44" s="547">
        <v>2008</v>
      </c>
      <c r="F44" s="547"/>
      <c r="G44" s="244">
        <v>2009</v>
      </c>
      <c r="H44" s="244">
        <v>2010</v>
      </c>
      <c r="I44" s="244">
        <v>2011</v>
      </c>
      <c r="J44" s="244">
        <v>2012</v>
      </c>
      <c r="K44" s="244">
        <v>2013</v>
      </c>
      <c r="L44" s="69">
        <v>2014</v>
      </c>
      <c r="M44" s="69">
        <v>2015</v>
      </c>
      <c r="N44" s="69">
        <v>2016</v>
      </c>
      <c r="O44" s="69">
        <v>2017</v>
      </c>
      <c r="P44" s="69">
        <v>2018</v>
      </c>
      <c r="Q44" s="69">
        <v>2019</v>
      </c>
      <c r="R44" s="69">
        <v>2020</v>
      </c>
      <c r="S44" s="69">
        <v>2021</v>
      </c>
      <c r="T44" s="69">
        <v>2022</v>
      </c>
      <c r="U44" s="69">
        <v>2023</v>
      </c>
    </row>
    <row r="45" spans="1:22">
      <c r="A45" s="476"/>
      <c r="C45" s="284" t="s">
        <v>335</v>
      </c>
      <c r="E45" s="589">
        <f>-E35</f>
        <v>0</v>
      </c>
      <c r="F45" s="589"/>
      <c r="G45" s="254">
        <f t="shared" ref="G45:U45" si="17">-G35</f>
        <v>0</v>
      </c>
      <c r="H45" s="254">
        <f t="shared" si="17"/>
        <v>-505644.71999999991</v>
      </c>
      <c r="I45" s="254">
        <f t="shared" si="17"/>
        <v>-3118012.0999999996</v>
      </c>
      <c r="J45" s="254">
        <f t="shared" si="17"/>
        <v>-3044835.4999999995</v>
      </c>
      <c r="K45" s="254">
        <f t="shared" si="17"/>
        <v>-3107007.6799999997</v>
      </c>
      <c r="L45" s="254">
        <f t="shared" si="17"/>
        <v>0</v>
      </c>
      <c r="M45" s="254">
        <f>-M35</f>
        <v>0</v>
      </c>
      <c r="N45" s="254">
        <f t="shared" si="17"/>
        <v>0</v>
      </c>
      <c r="O45" s="254">
        <f t="shared" si="17"/>
        <v>0</v>
      </c>
      <c r="P45" s="254">
        <f t="shared" si="17"/>
        <v>0</v>
      </c>
      <c r="Q45" s="254">
        <f t="shared" si="17"/>
        <v>0</v>
      </c>
      <c r="R45" s="254">
        <f>-R35</f>
        <v>0</v>
      </c>
      <c r="S45" s="254">
        <f t="shared" si="17"/>
        <v>0</v>
      </c>
      <c r="T45" s="254">
        <f t="shared" si="17"/>
        <v>0</v>
      </c>
      <c r="U45" s="254">
        <f t="shared" si="17"/>
        <v>0</v>
      </c>
    </row>
    <row r="46" spans="1:22">
      <c r="A46" s="476"/>
      <c r="C46" s="284" t="s">
        <v>336</v>
      </c>
      <c r="E46" s="585"/>
      <c r="F46" s="585"/>
      <c r="G46" s="254"/>
      <c r="H46" s="254"/>
      <c r="I46" s="254"/>
      <c r="J46" s="254"/>
      <c r="K46" s="254"/>
      <c r="L46" s="254"/>
      <c r="M46" s="254"/>
      <c r="N46" s="254"/>
      <c r="O46" s="254"/>
      <c r="P46" s="254"/>
      <c r="Q46" s="254"/>
      <c r="R46" s="254"/>
      <c r="S46" s="254"/>
      <c r="T46" s="254"/>
      <c r="U46" s="254"/>
    </row>
    <row r="47" spans="1:22">
      <c r="A47" s="476"/>
      <c r="C47" s="284"/>
      <c r="D47" s="69" t="s">
        <v>337</v>
      </c>
      <c r="E47" s="585">
        <f>E27-E37</f>
        <v>0</v>
      </c>
      <c r="F47" s="585"/>
      <c r="G47" s="254">
        <f t="shared" ref="G47:O50" si="18">G27-G37</f>
        <v>0</v>
      </c>
      <c r="H47" s="254">
        <f t="shared" si="18"/>
        <v>0</v>
      </c>
      <c r="I47" s="254">
        <f>I27-I37</f>
        <v>489852.09696198348</v>
      </c>
      <c r="J47" s="254">
        <f t="shared" ref="J47:U50" si="19">J27-J37</f>
        <v>510603.90987084294</v>
      </c>
      <c r="K47" s="254">
        <f t="shared" si="19"/>
        <v>531978.27716696821</v>
      </c>
      <c r="L47" s="254">
        <f t="shared" si="19"/>
        <v>954750</v>
      </c>
      <c r="M47" s="254">
        <f t="shared" si="19"/>
        <v>954750.00000000047</v>
      </c>
      <c r="N47" s="254">
        <f t="shared" si="19"/>
        <v>954750.00000000047</v>
      </c>
      <c r="O47" s="254">
        <f t="shared" si="19"/>
        <v>954750.00000000093</v>
      </c>
      <c r="P47" s="254">
        <f t="shared" si="19"/>
        <v>954750.00000000116</v>
      </c>
      <c r="Q47" s="254">
        <f t="shared" si="19"/>
        <v>954750.00000000047</v>
      </c>
      <c r="R47" s="254">
        <f t="shared" si="19"/>
        <v>954750</v>
      </c>
      <c r="S47" s="254">
        <f t="shared" si="19"/>
        <v>-2545999.9999999991</v>
      </c>
      <c r="T47" s="254">
        <f t="shared" si="19"/>
        <v>-2864250</v>
      </c>
      <c r="U47" s="254">
        <f t="shared" si="19"/>
        <v>-3182499.9999999981</v>
      </c>
    </row>
    <row r="48" spans="1:22">
      <c r="A48" s="476"/>
      <c r="C48" s="284"/>
      <c r="D48" s="69" t="s">
        <v>338</v>
      </c>
      <c r="E48" s="585">
        <f>E28-E38</f>
        <v>0</v>
      </c>
      <c r="F48" s="585"/>
      <c r="G48" s="254">
        <f t="shared" si="18"/>
        <v>0</v>
      </c>
      <c r="H48" s="254">
        <f t="shared" si="18"/>
        <v>0</v>
      </c>
      <c r="I48" s="254">
        <f t="shared" si="18"/>
        <v>520552.76647426002</v>
      </c>
      <c r="J48" s="254">
        <f t="shared" si="18"/>
        <v>1041105.5329485182</v>
      </c>
      <c r="K48" s="254">
        <f t="shared" si="18"/>
        <v>1561658.2994227782</v>
      </c>
      <c r="L48" s="254">
        <f t="shared" si="18"/>
        <v>1561658.2994227782</v>
      </c>
      <c r="M48" s="254">
        <f t="shared" si="18"/>
        <v>1561658.2994227782</v>
      </c>
      <c r="N48" s="254">
        <f t="shared" si="18"/>
        <v>1561658.2994227763</v>
      </c>
      <c r="O48" s="254">
        <f t="shared" si="18"/>
        <v>1561658.2994227763</v>
      </c>
      <c r="P48" s="254">
        <f t="shared" si="19"/>
        <v>1561658.2994227745</v>
      </c>
      <c r="Q48" s="254">
        <f t="shared" si="19"/>
        <v>1561658.2994227782</v>
      </c>
      <c r="R48" s="254">
        <f t="shared" si="19"/>
        <v>1561658.2994227782</v>
      </c>
      <c r="S48" s="254">
        <f t="shared" si="19"/>
        <v>1041105.5329485219</v>
      </c>
      <c r="T48" s="254">
        <f t="shared" si="19"/>
        <v>520552.76647425815</v>
      </c>
      <c r="U48" s="254">
        <f t="shared" si="19"/>
        <v>0</v>
      </c>
    </row>
    <row r="49" spans="1:21">
      <c r="A49" s="476"/>
      <c r="C49" s="284" t="s">
        <v>339</v>
      </c>
      <c r="E49" s="585">
        <f>E29-E39</f>
        <v>0</v>
      </c>
      <c r="F49" s="585"/>
      <c r="G49" s="254">
        <f t="shared" si="18"/>
        <v>0</v>
      </c>
      <c r="H49" s="254">
        <f t="shared" si="18"/>
        <v>0</v>
      </c>
      <c r="I49" s="254">
        <f t="shared" si="18"/>
        <v>0</v>
      </c>
      <c r="J49" s="254">
        <f t="shared" si="18"/>
        <v>0</v>
      </c>
      <c r="K49" s="254">
        <f t="shared" si="18"/>
        <v>0</v>
      </c>
      <c r="L49" s="254">
        <f t="shared" si="18"/>
        <v>0</v>
      </c>
      <c r="M49" s="254">
        <f t="shared" si="18"/>
        <v>0</v>
      </c>
      <c r="N49" s="254">
        <f t="shared" si="18"/>
        <v>0</v>
      </c>
      <c r="O49" s="254">
        <f t="shared" si="18"/>
        <v>0</v>
      </c>
      <c r="P49" s="254">
        <f t="shared" si="19"/>
        <v>0</v>
      </c>
      <c r="Q49" s="254">
        <f t="shared" si="19"/>
        <v>0</v>
      </c>
      <c r="R49" s="254">
        <f t="shared" si="19"/>
        <v>0</v>
      </c>
      <c r="S49" s="254">
        <f t="shared" si="19"/>
        <v>0</v>
      </c>
      <c r="T49" s="254">
        <f t="shared" si="19"/>
        <v>0</v>
      </c>
      <c r="U49" s="254">
        <f t="shared" si="19"/>
        <v>0</v>
      </c>
    </row>
    <row r="50" spans="1:21">
      <c r="A50" s="476"/>
      <c r="C50" s="284" t="s">
        <v>340</v>
      </c>
      <c r="E50" s="585">
        <f>E30-E40</f>
        <v>0</v>
      </c>
      <c r="F50" s="585"/>
      <c r="G50" s="254">
        <f t="shared" si="18"/>
        <v>0</v>
      </c>
      <c r="H50" s="254">
        <f t="shared" si="18"/>
        <v>0</v>
      </c>
      <c r="I50" s="254">
        <f t="shared" si="18"/>
        <v>0</v>
      </c>
      <c r="J50" s="254">
        <f t="shared" si="18"/>
        <v>0</v>
      </c>
      <c r="K50" s="254">
        <f t="shared" si="18"/>
        <v>0</v>
      </c>
      <c r="L50" s="254">
        <f t="shared" si="18"/>
        <v>0</v>
      </c>
      <c r="M50" s="254">
        <f t="shared" si="18"/>
        <v>0</v>
      </c>
      <c r="N50" s="254">
        <f t="shared" si="18"/>
        <v>0</v>
      </c>
      <c r="O50" s="254">
        <f t="shared" si="18"/>
        <v>0</v>
      </c>
      <c r="P50" s="254">
        <f t="shared" si="19"/>
        <v>0</v>
      </c>
      <c r="Q50" s="254">
        <f t="shared" si="19"/>
        <v>0</v>
      </c>
      <c r="R50" s="254">
        <f t="shared" si="19"/>
        <v>0</v>
      </c>
      <c r="S50" s="254">
        <f t="shared" si="19"/>
        <v>0</v>
      </c>
      <c r="T50" s="254">
        <f t="shared" si="19"/>
        <v>0</v>
      </c>
      <c r="U50" s="254">
        <f t="shared" si="19"/>
        <v>0</v>
      </c>
    </row>
    <row r="51" spans="1:21">
      <c r="A51" s="476"/>
      <c r="B51" s="324" t="s">
        <v>341</v>
      </c>
      <c r="C51" s="325"/>
      <c r="D51" s="287"/>
      <c r="E51" s="581" t="s">
        <v>190</v>
      </c>
      <c r="F51" s="581"/>
      <c r="G51" s="326">
        <f>IRR(H51:U51)</f>
        <v>0.24492532510422604</v>
      </c>
      <c r="H51" s="254">
        <f>1000000*(H31-H41)</f>
        <v>-505644.72000002069</v>
      </c>
      <c r="I51" s="254">
        <f>1000000*(I31-I41)</f>
        <v>-2107607.2365637799</v>
      </c>
      <c r="J51" s="254">
        <f t="shared" ref="J51:U52" si="20">1000000*(J31-J41)</f>
        <v>-1493126.0571806319</v>
      </c>
      <c r="K51" s="254">
        <f t="shared" si="20"/>
        <v>-1013371.1034102646</v>
      </c>
      <c r="L51" s="254">
        <f t="shared" si="20"/>
        <v>2516408.2994227782</v>
      </c>
      <c r="M51" s="254">
        <f t="shared" si="20"/>
        <v>2516408.2994227782</v>
      </c>
      <c r="N51" s="254">
        <f t="shared" si="20"/>
        <v>2516408.2994227498</v>
      </c>
      <c r="O51" s="254">
        <f t="shared" si="20"/>
        <v>2516408.2994227214</v>
      </c>
      <c r="P51" s="254">
        <f t="shared" si="20"/>
        <v>2516408.2994227214</v>
      </c>
      <c r="Q51" s="254">
        <f t="shared" si="20"/>
        <v>2516408.2994227214</v>
      </c>
      <c r="R51" s="254">
        <f t="shared" si="20"/>
        <v>2516408.2994227214</v>
      </c>
      <c r="S51" s="254">
        <f t="shared" si="20"/>
        <v>-1504894.4670515426</v>
      </c>
      <c r="T51" s="254">
        <f t="shared" si="20"/>
        <v>-2343697.2335257451</v>
      </c>
      <c r="U51" s="254">
        <f t="shared" si="20"/>
        <v>-3182500.0000000047</v>
      </c>
    </row>
    <row r="52" spans="1:21">
      <c r="A52" s="476"/>
      <c r="B52" s="327" t="s">
        <v>342</v>
      </c>
      <c r="C52" s="301"/>
      <c r="D52" s="301"/>
      <c r="E52" s="580" t="s">
        <v>190</v>
      </c>
      <c r="F52" s="580"/>
      <c r="G52" s="328">
        <f>IRR(H52:U52)</f>
        <v>0.24492532510423382</v>
      </c>
      <c r="H52" s="254">
        <f>1000000*(H32-H42)</f>
        <v>-505644.71999999229</v>
      </c>
      <c r="I52" s="254">
        <f>1000000*(I32-I42)</f>
        <v>-2107607.2365637659</v>
      </c>
      <c r="J52" s="254">
        <f t="shared" si="20"/>
        <v>-1493126.0571806461</v>
      </c>
      <c r="K52" s="254">
        <f t="shared" si="20"/>
        <v>-1013371.1034102504</v>
      </c>
      <c r="L52" s="254">
        <f t="shared" si="20"/>
        <v>2516408.2994227782</v>
      </c>
      <c r="M52" s="254">
        <f t="shared" si="20"/>
        <v>2516408.2994227926</v>
      </c>
      <c r="N52" s="254">
        <f t="shared" si="20"/>
        <v>2516408.2994227782</v>
      </c>
      <c r="O52" s="254">
        <f t="shared" si="20"/>
        <v>2516408.2994227498</v>
      </c>
      <c r="P52" s="254">
        <f t="shared" si="20"/>
        <v>2516408.2994227498</v>
      </c>
      <c r="Q52" s="254">
        <f t="shared" si="20"/>
        <v>2516408.2994228066</v>
      </c>
      <c r="R52" s="254">
        <f t="shared" si="20"/>
        <v>2516408.2994228066</v>
      </c>
      <c r="S52" s="254">
        <f t="shared" si="20"/>
        <v>-1504894.4670514856</v>
      </c>
      <c r="T52" s="254">
        <f t="shared" si="20"/>
        <v>-2343697.2335257167</v>
      </c>
      <c r="U52" s="254">
        <f t="shared" si="20"/>
        <v>-3182500.0000000047</v>
      </c>
    </row>
    <row r="53" spans="1:21" ht="12.75" customHeight="1">
      <c r="A53" s="476"/>
      <c r="B53" s="239"/>
      <c r="E53" s="553"/>
      <c r="F53" s="553"/>
    </row>
    <row r="54" spans="1:21">
      <c r="A54" s="476"/>
      <c r="E54" s="547"/>
      <c r="F54" s="547"/>
    </row>
    <row r="55" spans="1:21" ht="15.75">
      <c r="A55" s="476"/>
      <c r="B55" s="281" t="s">
        <v>343</v>
      </c>
      <c r="C55" s="282"/>
      <c r="D55" s="282"/>
      <c r="E55" s="546"/>
      <c r="F55" s="546"/>
      <c r="G55" s="282"/>
      <c r="H55" s="282"/>
      <c r="I55" s="282"/>
      <c r="J55" s="282"/>
      <c r="K55" s="282"/>
      <c r="L55" s="282"/>
      <c r="M55" s="282"/>
      <c r="N55" s="282"/>
      <c r="O55" s="282"/>
      <c r="P55" s="282"/>
      <c r="Q55" s="282"/>
      <c r="R55" s="282"/>
      <c r="S55" s="282"/>
      <c r="T55" s="282"/>
      <c r="U55" s="282"/>
    </row>
    <row r="56" spans="1:21" ht="15.75">
      <c r="A56" s="476"/>
      <c r="B56" s="242" t="s">
        <v>7</v>
      </c>
      <c r="E56" s="559"/>
      <c r="F56" s="559"/>
    </row>
    <row r="57" spans="1:21">
      <c r="A57" s="476"/>
      <c r="B57" s="243"/>
      <c r="C57" s="243"/>
      <c r="D57" s="243"/>
      <c r="E57" s="558">
        <v>2008</v>
      </c>
      <c r="F57" s="558"/>
      <c r="G57" s="244">
        <v>2009</v>
      </c>
      <c r="H57" s="244">
        <v>2010</v>
      </c>
      <c r="I57" s="244">
        <v>2011</v>
      </c>
      <c r="J57" s="244">
        <v>2012</v>
      </c>
      <c r="K57" s="244">
        <v>2013</v>
      </c>
      <c r="L57" s="69">
        <v>2014</v>
      </c>
      <c r="M57" s="69">
        <v>2015</v>
      </c>
      <c r="N57" s="69">
        <v>2016</v>
      </c>
      <c r="O57" s="69">
        <v>2017</v>
      </c>
      <c r="P57" s="69">
        <v>2018</v>
      </c>
      <c r="Q57" s="69">
        <v>2019</v>
      </c>
      <c r="R57" s="69">
        <v>2020</v>
      </c>
      <c r="S57" s="69">
        <v>2021</v>
      </c>
      <c r="T57" s="69">
        <v>2022</v>
      </c>
      <c r="U57" s="69">
        <v>2023</v>
      </c>
    </row>
    <row r="58" spans="1:21">
      <c r="A58" s="476"/>
      <c r="B58" s="321" t="s">
        <v>9</v>
      </c>
      <c r="C58" s="255"/>
      <c r="E58" s="559"/>
      <c r="F58" s="559"/>
      <c r="G58" s="264"/>
      <c r="H58" s="264"/>
      <c r="I58" s="264"/>
      <c r="J58" s="264"/>
      <c r="K58" s="264"/>
    </row>
    <row r="59" spans="1:21" ht="15">
      <c r="A59" s="476"/>
      <c r="B59" s="255"/>
      <c r="C59" s="255" t="s">
        <v>198</v>
      </c>
      <c r="E59" s="552">
        <f>'Insulation Base'!E14</f>
        <v>18896.366666666669</v>
      </c>
      <c r="F59" s="552"/>
      <c r="G59" s="247">
        <f>'Insulation Base'!F14</f>
        <v>19463.257666666668</v>
      </c>
      <c r="H59" s="247">
        <f>'Insulation Base'!G14</f>
        <v>20047.155396666669</v>
      </c>
      <c r="I59" s="247">
        <f>'Insulation Base'!H14</f>
        <v>20648.570058566671</v>
      </c>
      <c r="J59" s="247">
        <f>'Insulation Base'!I14</f>
        <v>21268.027160323672</v>
      </c>
      <c r="K59" s="247">
        <f>'Insulation Base'!J14</f>
        <v>21906.067975133385</v>
      </c>
      <c r="L59" s="247">
        <f>'Insulation Base'!K14</f>
        <v>22563.250014387388</v>
      </c>
      <c r="M59" s="247">
        <f>'Insulation Base'!L14</f>
        <v>23240.147514819011</v>
      </c>
      <c r="N59" s="247">
        <f>'Insulation Base'!M14</f>
        <v>23937.351940263583</v>
      </c>
      <c r="O59" s="247">
        <f>'Insulation Base'!N14</f>
        <v>24655.472498471492</v>
      </c>
      <c r="P59" s="247">
        <f>'Insulation Base'!O14</f>
        <v>25395.136673425637</v>
      </c>
      <c r="Q59" s="247">
        <f>'Insulation Base'!P14</f>
        <v>26156.990773628408</v>
      </c>
      <c r="R59" s="247">
        <f>'Insulation Base'!Q14</f>
        <v>26941.70049683726</v>
      </c>
      <c r="S59" s="247">
        <f>'Insulation Base'!R14</f>
        <v>27749.95151174238</v>
      </c>
      <c r="T59" s="247">
        <f>'Insulation Base'!S14</f>
        <v>28582.450057094651</v>
      </c>
      <c r="U59" s="247">
        <f>'Insulation Base'!T14</f>
        <v>29439.923558807492</v>
      </c>
    </row>
    <row r="60" spans="1:21" ht="15">
      <c r="A60" s="476"/>
      <c r="B60" s="255"/>
      <c r="C60" s="255" t="s">
        <v>199</v>
      </c>
      <c r="E60" s="552">
        <f>'Insulation Base'!E15</f>
        <v>37792.73333333333</v>
      </c>
      <c r="F60" s="552"/>
      <c r="G60" s="247">
        <f>'Insulation Base'!F15</f>
        <v>38926.515333333329</v>
      </c>
      <c r="H60" s="247">
        <f>'Insulation Base'!G15</f>
        <v>40094.31079333333</v>
      </c>
      <c r="I60" s="247">
        <f>'Insulation Base'!H15</f>
        <v>41297.140117133335</v>
      </c>
      <c r="J60" s="247">
        <f>'Insulation Base'!I15</f>
        <v>42536.054320647338</v>
      </c>
      <c r="K60" s="247">
        <f>'Insulation Base'!J15</f>
        <v>43812.135950266762</v>
      </c>
      <c r="L60" s="247">
        <f>'Insulation Base'!K15</f>
        <v>45126.500028774768</v>
      </c>
      <c r="M60" s="247">
        <f>'Insulation Base'!L15</f>
        <v>46480.295029638015</v>
      </c>
      <c r="N60" s="247">
        <f>'Insulation Base'!M15</f>
        <v>47874.703880527159</v>
      </c>
      <c r="O60" s="247">
        <f>'Insulation Base'!N15</f>
        <v>49310.944996942977</v>
      </c>
      <c r="P60" s="247">
        <f>'Insulation Base'!O15</f>
        <v>50790.273346851267</v>
      </c>
      <c r="Q60" s="247">
        <f>'Insulation Base'!P15</f>
        <v>52313.981547256808</v>
      </c>
      <c r="R60" s="247">
        <f>'Insulation Base'!Q15</f>
        <v>53883.400993674513</v>
      </c>
      <c r="S60" s="247">
        <f>'Insulation Base'!R15</f>
        <v>55499.903023484752</v>
      </c>
      <c r="T60" s="247">
        <f>'Insulation Base'!S15</f>
        <v>57164.900114189295</v>
      </c>
      <c r="U60" s="247">
        <f>'Insulation Base'!T15</f>
        <v>58879.847117614976</v>
      </c>
    </row>
    <row r="61" spans="1:21" ht="15">
      <c r="A61" s="476"/>
      <c r="B61" s="321" t="s">
        <v>344</v>
      </c>
      <c r="C61" s="255"/>
      <c r="E61" s="552"/>
      <c r="F61" s="552"/>
      <c r="G61" s="247"/>
      <c r="H61" s="247"/>
      <c r="I61" s="247"/>
      <c r="J61" s="247"/>
      <c r="K61" s="247"/>
      <c r="L61" s="247"/>
      <c r="M61" s="247"/>
      <c r="N61" s="247"/>
      <c r="O61" s="247"/>
      <c r="P61" s="247"/>
      <c r="Q61" s="247"/>
      <c r="R61" s="247"/>
      <c r="S61" s="247"/>
      <c r="T61" s="247"/>
      <c r="U61" s="247"/>
    </row>
    <row r="62" spans="1:21" ht="15">
      <c r="A62" s="476"/>
      <c r="B62" s="255"/>
      <c r="C62" s="255" t="s">
        <v>198</v>
      </c>
      <c r="E62" s="552">
        <f>'Insulation Base'!E32</f>
        <v>1889.636666666667</v>
      </c>
      <c r="F62" s="552"/>
      <c r="G62" s="247">
        <f>'Insulation Base'!F32</f>
        <v>1946.3257666666668</v>
      </c>
      <c r="H62" s="247">
        <f>'Insulation Base'!G32</f>
        <v>2004.7155396666669</v>
      </c>
      <c r="I62" s="247">
        <f>'Insulation Base'!H32</f>
        <v>2064.857005856667</v>
      </c>
      <c r="J62" s="247">
        <f>'Insulation Base'!I32</f>
        <v>2126.8027160323672</v>
      </c>
      <c r="K62" s="247">
        <f>'Insulation Base'!J32</f>
        <v>2190.6067975133387</v>
      </c>
      <c r="L62" s="247">
        <f>'Insulation Base'!K32</f>
        <v>2256.325001438739</v>
      </c>
      <c r="M62" s="247">
        <f>'Insulation Base'!L32</f>
        <v>2324.0147514819014</v>
      </c>
      <c r="N62" s="247">
        <f>'Insulation Base'!M32</f>
        <v>2393.7351940263584</v>
      </c>
      <c r="O62" s="247">
        <f>'Insulation Base'!N32</f>
        <v>2465.5472498471495</v>
      </c>
      <c r="P62" s="247">
        <f>'Insulation Base'!O32</f>
        <v>2539.5136673425641</v>
      </c>
      <c r="Q62" s="247">
        <f>'Insulation Base'!P32</f>
        <v>2615.6990773628409</v>
      </c>
      <c r="R62" s="247">
        <f>'Insulation Base'!Q32</f>
        <v>2694.1700496837261</v>
      </c>
      <c r="S62" s="247">
        <f>'Insulation Base'!R32</f>
        <v>2774.9951511742383</v>
      </c>
      <c r="T62" s="247">
        <f>'Insulation Base'!S32</f>
        <v>2858.2450057094652</v>
      </c>
      <c r="U62" s="247">
        <f>'Insulation Base'!T32</f>
        <v>2943.9923558807495</v>
      </c>
    </row>
    <row r="63" spans="1:21" ht="15">
      <c r="A63" s="476"/>
      <c r="B63" s="255"/>
      <c r="C63" s="255" t="s">
        <v>199</v>
      </c>
      <c r="E63" s="552">
        <f>'Insulation Base'!E33</f>
        <v>3779.2733333333331</v>
      </c>
      <c r="F63" s="552"/>
      <c r="G63" s="247">
        <f>'Insulation Base'!F33</f>
        <v>3892.6515333333332</v>
      </c>
      <c r="H63" s="247">
        <f>'Insulation Base'!G33</f>
        <v>4009.4310793333334</v>
      </c>
      <c r="I63" s="247">
        <f>'Insulation Base'!H33</f>
        <v>4129.714011713334</v>
      </c>
      <c r="J63" s="247">
        <f>'Insulation Base'!I33</f>
        <v>4253.6054320647336</v>
      </c>
      <c r="K63" s="247">
        <f>'Insulation Base'!J33</f>
        <v>4381.2135950266766</v>
      </c>
      <c r="L63" s="247">
        <f>'Insulation Base'!K33</f>
        <v>4512.6500028774772</v>
      </c>
      <c r="M63" s="247">
        <f>'Insulation Base'!L33</f>
        <v>4648.0295029638019</v>
      </c>
      <c r="N63" s="247">
        <f>'Insulation Base'!M33</f>
        <v>4787.4703880527159</v>
      </c>
      <c r="O63" s="247">
        <f>'Insulation Base'!N33</f>
        <v>4931.0944996942981</v>
      </c>
      <c r="P63" s="247">
        <f>'Insulation Base'!O33</f>
        <v>5079.0273346851272</v>
      </c>
      <c r="Q63" s="247">
        <f>'Insulation Base'!P33</f>
        <v>5231.3981547256808</v>
      </c>
      <c r="R63" s="247">
        <f>'Insulation Base'!Q33</f>
        <v>5388.3400993674513</v>
      </c>
      <c r="S63" s="247">
        <f>'Insulation Base'!R33</f>
        <v>5549.9903023484758</v>
      </c>
      <c r="T63" s="247">
        <f>'Insulation Base'!S33</f>
        <v>5716.4900114189295</v>
      </c>
      <c r="U63" s="247">
        <f>'Insulation Base'!T33</f>
        <v>5887.9847117614981</v>
      </c>
    </row>
    <row r="64" spans="1:21" ht="15">
      <c r="A64" s="476"/>
      <c r="B64" s="255"/>
      <c r="C64" s="255"/>
      <c r="E64" s="552"/>
      <c r="F64" s="552"/>
      <c r="G64" s="264"/>
      <c r="H64" s="264"/>
      <c r="I64" s="264"/>
      <c r="J64" s="264"/>
      <c r="K64" s="264"/>
    </row>
    <row r="65" spans="1:21" ht="15">
      <c r="A65" s="476"/>
      <c r="B65" s="284" t="s">
        <v>345</v>
      </c>
      <c r="E65" s="552"/>
      <c r="F65" s="552"/>
    </row>
    <row r="66" spans="1:21" ht="15">
      <c r="A66" s="476"/>
      <c r="C66" s="69" t="s">
        <v>325</v>
      </c>
      <c r="E66" s="552"/>
      <c r="F66" s="552"/>
    </row>
    <row r="67" spans="1:21" ht="15">
      <c r="A67" s="476"/>
      <c r="D67" s="255" t="s">
        <v>198</v>
      </c>
      <c r="E67" s="552">
        <f>'Insulation Base'!E40</f>
        <v>633028.28333333344</v>
      </c>
      <c r="F67" s="552"/>
      <c r="G67" s="247">
        <f>'Insulation Base'!F40</f>
        <v>652019.13183333341</v>
      </c>
      <c r="H67" s="247">
        <f>'Insulation Base'!G40</f>
        <v>671579.70578833343</v>
      </c>
      <c r="I67" s="247">
        <f>'Insulation Base'!H40</f>
        <v>691727.09696198348</v>
      </c>
      <c r="J67" s="247">
        <f>'Insulation Base'!I40</f>
        <v>712478.90987084305</v>
      </c>
      <c r="K67" s="247">
        <f>'Insulation Base'!J40</f>
        <v>733853.27716696844</v>
      </c>
      <c r="L67" s="247">
        <f>'Insulation Base'!K40</f>
        <v>755868.87548197759</v>
      </c>
      <c r="M67" s="247">
        <f>'Insulation Base'!L40</f>
        <v>778544.94174643699</v>
      </c>
      <c r="N67" s="247">
        <f>'Insulation Base'!M40</f>
        <v>801901.28999883006</v>
      </c>
      <c r="O67" s="247">
        <f>'Insulation Base'!N40</f>
        <v>825958.32869879506</v>
      </c>
      <c r="P67" s="247">
        <f>'Insulation Base'!O40</f>
        <v>850737.07855975896</v>
      </c>
      <c r="Q67" s="247">
        <f>'Insulation Base'!P40</f>
        <v>876259.19091655174</v>
      </c>
      <c r="R67" s="247">
        <f>'Insulation Base'!Q40</f>
        <v>902546.96664404823</v>
      </c>
      <c r="S67" s="247">
        <f>'Insulation Base'!R40</f>
        <v>929623.37564336986</v>
      </c>
      <c r="T67" s="247">
        <f>'Insulation Base'!S40</f>
        <v>957512.07691267086</v>
      </c>
      <c r="U67" s="247">
        <f>'Insulation Base'!T40</f>
        <v>986237.43922005105</v>
      </c>
    </row>
    <row r="68" spans="1:21" ht="15">
      <c r="A68" s="476"/>
      <c r="D68" s="255" t="s">
        <v>199</v>
      </c>
      <c r="E68" s="552">
        <f>'Insulation Base'!E41</f>
        <v>1266056.5666666667</v>
      </c>
      <c r="F68" s="552"/>
      <c r="G68" s="247">
        <f>'Insulation Base'!F41</f>
        <v>1304038.2636666666</v>
      </c>
      <c r="H68" s="247">
        <f>'Insulation Base'!G41</f>
        <v>1343159.4115766666</v>
      </c>
      <c r="I68" s="247">
        <f>'Insulation Base'!H41</f>
        <v>1383454.193923967</v>
      </c>
      <c r="J68" s="247">
        <f>'Insulation Base'!I41</f>
        <v>1424957.8197416856</v>
      </c>
      <c r="K68" s="247">
        <f>'Insulation Base'!J41</f>
        <v>1467706.5543339367</v>
      </c>
      <c r="L68" s="247">
        <f>'Insulation Base'!K41</f>
        <v>1511737.750963955</v>
      </c>
      <c r="M68" s="247">
        <f>'Insulation Base'!L41</f>
        <v>1557089.8834928735</v>
      </c>
      <c r="N68" s="247">
        <f>'Insulation Base'!M41</f>
        <v>1603802.5799976599</v>
      </c>
      <c r="O68" s="247">
        <f>'Insulation Base'!N41</f>
        <v>1651916.6573975899</v>
      </c>
      <c r="P68" s="247">
        <f>'Insulation Base'!O41</f>
        <v>1701474.1571195177</v>
      </c>
      <c r="Q68" s="247">
        <f>'Insulation Base'!P41</f>
        <v>1752518.381833103</v>
      </c>
      <c r="R68" s="247">
        <f>'Insulation Base'!Q41</f>
        <v>1805093.9332880962</v>
      </c>
      <c r="S68" s="247">
        <f>'Insulation Base'!R41</f>
        <v>1859246.7512867395</v>
      </c>
      <c r="T68" s="247">
        <f>'Insulation Base'!S41</f>
        <v>1915024.1538253415</v>
      </c>
      <c r="U68" s="247">
        <f>'Insulation Base'!T41</f>
        <v>1972474.8784401019</v>
      </c>
    </row>
    <row r="69" spans="1:21" ht="15">
      <c r="A69" s="476"/>
      <c r="C69" s="69" t="s">
        <v>346</v>
      </c>
      <c r="D69" s="255"/>
      <c r="E69" s="552"/>
      <c r="F69" s="552"/>
      <c r="G69" s="247"/>
      <c r="H69" s="247"/>
      <c r="I69" s="247"/>
      <c r="J69" s="247"/>
      <c r="K69" s="247"/>
      <c r="L69" s="247"/>
      <c r="M69" s="247"/>
      <c r="N69" s="247"/>
      <c r="O69" s="247"/>
      <c r="P69" s="247"/>
      <c r="Q69" s="247"/>
      <c r="R69" s="247"/>
      <c r="S69" s="247"/>
      <c r="T69" s="247"/>
      <c r="U69" s="247"/>
    </row>
    <row r="70" spans="1:21" ht="15">
      <c r="A70" s="476"/>
      <c r="D70" s="255" t="s">
        <v>198</v>
      </c>
      <c r="E70" s="552">
        <f>'Insulation Base'!E106</f>
        <v>3944483.5868251836</v>
      </c>
      <c r="F70" s="552"/>
      <c r="G70" s="247">
        <f>'Insulation Base'!F106</f>
        <v>4062818.0944299391</v>
      </c>
      <c r="H70" s="247">
        <f>'Insulation Base'!G106</f>
        <v>4184702.6372628375</v>
      </c>
      <c r="I70" s="247">
        <f>'Insulation Base'!H106</f>
        <v>4310243.7163807228</v>
      </c>
      <c r="J70" s="247">
        <f>'Insulation Base'!I106</f>
        <v>4439551.0278721452</v>
      </c>
      <c r="K70" s="247">
        <f>'Insulation Base'!J106</f>
        <v>4572737.5587083101</v>
      </c>
      <c r="L70" s="247">
        <f>'Insulation Base'!K106</f>
        <v>4709919.6854695594</v>
      </c>
      <c r="M70" s="247">
        <f>'Insulation Base'!L106</f>
        <v>4851217.2760336464</v>
      </c>
      <c r="N70" s="247">
        <f>'Insulation Base'!M106</f>
        <v>4996753.7943146564</v>
      </c>
      <c r="O70" s="247">
        <f>'Insulation Base'!N106</f>
        <v>5146656.4081440959</v>
      </c>
      <c r="P70" s="247">
        <f>'Insulation Base'!O106</f>
        <v>5301056.1003884189</v>
      </c>
      <c r="Q70" s="247">
        <f>'Insulation Base'!P106</f>
        <v>5460087.7834000718</v>
      </c>
      <c r="R70" s="247">
        <f>'Insulation Base'!Q106</f>
        <v>5623890.4169020746</v>
      </c>
      <c r="S70" s="247">
        <f>'Insulation Base'!R106</f>
        <v>5792607.1294091372</v>
      </c>
      <c r="T70" s="247">
        <f>'Insulation Base'!S106</f>
        <v>5966385.3432914112</v>
      </c>
      <c r="U70" s="247">
        <f>'Insulation Base'!T106</f>
        <v>6145376.9035901539</v>
      </c>
    </row>
    <row r="71" spans="1:21" ht="15">
      <c r="A71" s="476"/>
      <c r="D71" s="255" t="s">
        <v>199</v>
      </c>
      <c r="E71" s="552">
        <f>'Insulation Base'!E107</f>
        <v>7888967.1736503663</v>
      </c>
      <c r="F71" s="552"/>
      <c r="G71" s="247">
        <f>'Insulation Base'!F107</f>
        <v>8125636.1888598772</v>
      </c>
      <c r="H71" s="247">
        <f>'Insulation Base'!G107</f>
        <v>8369405.2745256731</v>
      </c>
      <c r="I71" s="247">
        <f>'Insulation Base'!H107</f>
        <v>8620487.4327614438</v>
      </c>
      <c r="J71" s="247">
        <f>'Insulation Base'!I107</f>
        <v>8879102.0557442885</v>
      </c>
      <c r="K71" s="247">
        <f>'Insulation Base'!J107</f>
        <v>9145475.1174166184</v>
      </c>
      <c r="L71" s="247">
        <f>'Insulation Base'!K107</f>
        <v>9419839.3709391169</v>
      </c>
      <c r="M71" s="247">
        <f>'Insulation Base'!L107</f>
        <v>9702434.552067291</v>
      </c>
      <c r="N71" s="247">
        <f>'Insulation Base'!M107</f>
        <v>9993507.588629311</v>
      </c>
      <c r="O71" s="247">
        <f>'Insulation Base'!N107</f>
        <v>10293312.816288192</v>
      </c>
      <c r="P71" s="247">
        <f>'Insulation Base'!O107</f>
        <v>10602112.200776838</v>
      </c>
      <c r="Q71" s="247">
        <f>'Insulation Base'!P107</f>
        <v>10920175.566800144</v>
      </c>
      <c r="R71" s="247">
        <f>'Insulation Base'!Q107</f>
        <v>11247780.833804147</v>
      </c>
      <c r="S71" s="247">
        <f>'Insulation Base'!R107</f>
        <v>11585214.258818273</v>
      </c>
      <c r="T71" s="247">
        <f>'Insulation Base'!S107</f>
        <v>11932770.68658282</v>
      </c>
      <c r="U71" s="247">
        <f>'Insulation Base'!T107</f>
        <v>12290753.807180306</v>
      </c>
    </row>
    <row r="72" spans="1:21" ht="15">
      <c r="A72" s="476"/>
      <c r="E72" s="552"/>
      <c r="F72" s="552"/>
    </row>
    <row r="73" spans="1:21" ht="15">
      <c r="A73" s="476"/>
      <c r="B73" s="324" t="s">
        <v>347</v>
      </c>
      <c r="C73" s="287"/>
      <c r="D73" s="287"/>
      <c r="E73" s="578">
        <f>'Insulation Base'!E153*1000000</f>
        <v>156179080.35300002</v>
      </c>
      <c r="F73" s="578"/>
      <c r="G73" s="329">
        <f>'Insulation Base'!F153*1000000</f>
        <v>164477221.41662768</v>
      </c>
      <c r="H73" s="329">
        <f>'Insulation Base'!G153*1000000</f>
        <v>173244324.32313427</v>
      </c>
      <c r="I73" s="329">
        <f>'Insulation Base'!H153*1000000</f>
        <v>182507857.00031403</v>
      </c>
      <c r="J73" s="329">
        <f>'Insulation Base'!I153*1000000</f>
        <v>192296927.41731113</v>
      </c>
      <c r="K73" s="329">
        <f>'Insulation Base'!J153*1000000</f>
        <v>202642382.48047367</v>
      </c>
      <c r="L73" s="329">
        <f>'Insulation Base'!K153*1000000</f>
        <v>213576912.92248625</v>
      </c>
      <c r="M73" s="329">
        <f>'Insulation Base'!L153*1000000</f>
        <v>225135164.548886</v>
      </c>
      <c r="N73" s="329">
        <f>'Insulation Base'!M153*1000000</f>
        <v>237353856.22821602</v>
      </c>
      <c r="O73" s="329">
        <f>'Insulation Base'!N153*1000000</f>
        <v>250271905.03556636</v>
      </c>
      <c r="P73" s="329">
        <f>'Insulation Base'!O153*1000000</f>
        <v>263930558.98417589</v>
      </c>
      <c r="Q73" s="329">
        <f>'Insulation Base'!P153*1000000</f>
        <v>278373537.80621409</v>
      </c>
      <c r="R73" s="329">
        <f>'Insulation Base'!Q153*1000000</f>
        <v>293647182.27191138</v>
      </c>
      <c r="S73" s="329">
        <f>'Insulation Base'!R153*1000000</f>
        <v>309800612.56596869</v>
      </c>
      <c r="T73" s="329">
        <f>'Insulation Base'!S153*1000000</f>
        <v>326885896.27174509</v>
      </c>
      <c r="U73" s="329">
        <f>'Insulation Base'!T153*1000000</f>
        <v>344958226.5472185</v>
      </c>
    </row>
    <row r="74" spans="1:21">
      <c r="A74" s="476"/>
      <c r="E74" s="553"/>
      <c r="F74" s="553"/>
    </row>
    <row r="75" spans="1:21" ht="15">
      <c r="A75" s="476"/>
      <c r="B75" s="330" t="s">
        <v>348</v>
      </c>
      <c r="C75" s="330"/>
      <c r="D75" s="331"/>
      <c r="E75" s="551">
        <f t="shared" ref="E75:L75" si="21">SUM(E67:E73)/1000000</f>
        <v>169.91161596347555</v>
      </c>
      <c r="F75" s="551"/>
      <c r="G75" s="332">
        <f t="shared" si="21"/>
        <v>178.62173309541751</v>
      </c>
      <c r="H75" s="332">
        <f t="shared" si="21"/>
        <v>187.81317135228778</v>
      </c>
      <c r="I75" s="332">
        <f t="shared" si="21"/>
        <v>197.51376944034212</v>
      </c>
      <c r="J75" s="332">
        <f t="shared" si="21"/>
        <v>207.75301723054011</v>
      </c>
      <c r="K75" s="332">
        <f t="shared" si="21"/>
        <v>218.56215498809951</v>
      </c>
      <c r="L75" s="333">
        <f t="shared" si="21"/>
        <v>229.97427860534083</v>
      </c>
      <c r="M75" s="333">
        <f t="shared" ref="M75:U75" si="22">SUM(M67:M73)/1000000</f>
        <v>242.02445120222626</v>
      </c>
      <c r="N75" s="333">
        <f t="shared" si="22"/>
        <v>254.74982148115646</v>
      </c>
      <c r="O75" s="333">
        <f t="shared" si="22"/>
        <v>268.189749246095</v>
      </c>
      <c r="P75" s="333">
        <f t="shared" si="22"/>
        <v>282.38593852102042</v>
      </c>
      <c r="Q75" s="333">
        <f t="shared" si="22"/>
        <v>297.38257872916392</v>
      </c>
      <c r="R75" s="333">
        <f t="shared" si="22"/>
        <v>313.22649442254971</v>
      </c>
      <c r="S75" s="333">
        <f t="shared" si="22"/>
        <v>329.9673040811262</v>
      </c>
      <c r="T75" s="333">
        <f t="shared" si="22"/>
        <v>347.65758853235735</v>
      </c>
      <c r="U75" s="333">
        <f t="shared" si="22"/>
        <v>366.35306957564916</v>
      </c>
    </row>
    <row r="76" spans="1:21">
      <c r="A76" s="476"/>
      <c r="D76" s="103"/>
      <c r="E76" s="579"/>
      <c r="F76" s="579"/>
    </row>
    <row r="77" spans="1:21" ht="15.75">
      <c r="A77" s="476"/>
      <c r="B77" s="242" t="s">
        <v>169</v>
      </c>
      <c r="E77" s="553"/>
      <c r="F77" s="553"/>
      <c r="H77" s="334" t="s">
        <v>349</v>
      </c>
      <c r="I77" s="334" t="s">
        <v>350</v>
      </c>
      <c r="J77" s="334" t="s">
        <v>350</v>
      </c>
      <c r="K77" s="334" t="s">
        <v>350</v>
      </c>
    </row>
    <row r="78" spans="1:21">
      <c r="A78" s="476"/>
      <c r="B78" s="243"/>
      <c r="C78" s="243"/>
      <c r="D78" s="243"/>
      <c r="E78" s="547">
        <v>2008</v>
      </c>
      <c r="F78" s="547"/>
      <c r="G78" s="244">
        <v>2009</v>
      </c>
      <c r="H78" s="244">
        <v>2010</v>
      </c>
      <c r="I78" s="244">
        <v>2011</v>
      </c>
      <c r="J78" s="244">
        <v>2012</v>
      </c>
      <c r="K78" s="244">
        <v>2013</v>
      </c>
      <c r="L78" s="69">
        <v>2014</v>
      </c>
      <c r="M78" s="69">
        <v>2015</v>
      </c>
      <c r="N78" s="69">
        <v>2016</v>
      </c>
      <c r="O78" s="69">
        <v>2017</v>
      </c>
      <c r="P78" s="69">
        <v>2018</v>
      </c>
      <c r="Q78" s="69">
        <v>2019</v>
      </c>
      <c r="R78" s="69">
        <v>2020</v>
      </c>
      <c r="S78" s="69">
        <v>2021</v>
      </c>
      <c r="T78" s="69">
        <v>2022</v>
      </c>
      <c r="U78" s="69">
        <v>2023</v>
      </c>
    </row>
    <row r="79" spans="1:21">
      <c r="A79" s="476"/>
      <c r="B79" s="321" t="s">
        <v>9</v>
      </c>
      <c r="C79" s="255"/>
      <c r="E79" s="559"/>
      <c r="F79" s="559"/>
      <c r="G79" s="264"/>
      <c r="H79" s="264"/>
      <c r="I79" s="264"/>
      <c r="J79" s="264"/>
      <c r="K79" s="264"/>
    </row>
    <row r="80" spans="1:21" ht="15">
      <c r="A80" s="476"/>
      <c r="B80" s="255"/>
      <c r="C80" s="255" t="s">
        <v>198</v>
      </c>
      <c r="E80" s="552">
        <f>E59</f>
        <v>18896.366666666669</v>
      </c>
      <c r="F80" s="552"/>
      <c r="G80" s="247">
        <f>G59</f>
        <v>19463.257666666668</v>
      </c>
      <c r="H80" s="247">
        <f>H59-H81</f>
        <v>20047.155396666669</v>
      </c>
      <c r="I80" s="247">
        <f>I59-I81</f>
        <v>13523.570058566671</v>
      </c>
      <c r="J80" s="247">
        <f>J59-J81</f>
        <v>7018.0271603236724</v>
      </c>
      <c r="K80" s="247">
        <f>K59-K81</f>
        <v>531.06797513338461</v>
      </c>
      <c r="L80" s="247">
        <f>K80+'Insulation Base'!$B$14*(K80+K81)</f>
        <v>1188.2500143873863</v>
      </c>
      <c r="M80" s="247">
        <f>L80+'Insulation Base'!$B$14*(L80+L81)</f>
        <v>1865.1475148190079</v>
      </c>
      <c r="N80" s="247">
        <f>M80+'Insulation Base'!$B$14*(M80+M81)</f>
        <v>2562.3519402635784</v>
      </c>
      <c r="O80" s="247">
        <f>N80+'Insulation Base'!$B$14*(N80+N81)</f>
        <v>3280.4724984714858</v>
      </c>
      <c r="P80" s="247">
        <f>O80+'Insulation Base'!$B$14*(O80+O81)</f>
        <v>4020.1366734256303</v>
      </c>
      <c r="Q80" s="247">
        <f>P80+'Insulation Base'!$B$14*(P80+P81)</f>
        <v>4781.9907736283994</v>
      </c>
      <c r="R80" s="247">
        <f>Q80+'Insulation Base'!$B$14*(Q80+Q81)+Q81-R81</f>
        <v>5566.7004968372494</v>
      </c>
      <c r="S80" s="247">
        <f>R80+'Insulation Base'!$B$14*(R80+R81)+R81-S81</f>
        <v>13499.951511742365</v>
      </c>
      <c r="T80" s="247">
        <f>S80+'Insulation Base'!$B$14*(S80+S81)+S81-T81</f>
        <v>21457.450057094637</v>
      </c>
      <c r="U80" s="247">
        <f>T80+'Insulation Base'!$B$14*(T80+T81)+T81-U81</f>
        <v>29439.923558807477</v>
      </c>
    </row>
    <row r="81" spans="1:21" ht="15">
      <c r="A81" s="476"/>
      <c r="B81" s="255"/>
      <c r="C81" s="255"/>
      <c r="D81" s="69" t="s">
        <v>351</v>
      </c>
      <c r="E81" s="552">
        <v>0</v>
      </c>
      <c r="F81" s="552"/>
      <c r="G81" s="247">
        <v>0</v>
      </c>
      <c r="H81" s="247">
        <f>G81+H86</f>
        <v>0</v>
      </c>
      <c r="I81" s="247">
        <f>H81+I86</f>
        <v>7125</v>
      </c>
      <c r="J81" s="247">
        <f>I81+J86</f>
        <v>14250</v>
      </c>
      <c r="K81" s="247">
        <f>J81+K86</f>
        <v>21375</v>
      </c>
      <c r="L81" s="247">
        <f>K81</f>
        <v>21375</v>
      </c>
      <c r="M81" s="247">
        <f>L81-B86</f>
        <v>21375</v>
      </c>
      <c r="N81" s="247">
        <f>M81-C86</f>
        <v>21375</v>
      </c>
      <c r="O81" s="247">
        <f>N81</f>
        <v>21375</v>
      </c>
      <c r="P81" s="247">
        <f>O81-E86</f>
        <v>21375</v>
      </c>
      <c r="Q81" s="247">
        <f>P81-G86</f>
        <v>21375</v>
      </c>
      <c r="R81" s="247">
        <f>Q81-H86</f>
        <v>21375</v>
      </c>
      <c r="S81" s="247">
        <f>R81-I86</f>
        <v>14250</v>
      </c>
      <c r="T81" s="247">
        <f>S81-J86</f>
        <v>7125</v>
      </c>
      <c r="U81" s="247">
        <f>T81-K86</f>
        <v>0</v>
      </c>
    </row>
    <row r="82" spans="1:21" ht="15">
      <c r="A82" s="476"/>
      <c r="B82" s="255"/>
      <c r="C82" s="255" t="s">
        <v>199</v>
      </c>
      <c r="E82" s="552">
        <f>E60</f>
        <v>37792.73333333333</v>
      </c>
      <c r="F82" s="552"/>
      <c r="G82" s="247">
        <f>G60</f>
        <v>38926.515333333329</v>
      </c>
      <c r="H82" s="247">
        <f>H60-H83</f>
        <v>40094.31079333333</v>
      </c>
      <c r="I82" s="247">
        <f>I60-I83</f>
        <v>38922.140117133335</v>
      </c>
      <c r="J82" s="247">
        <f>J60-J83</f>
        <v>37786.054320647338</v>
      </c>
      <c r="K82" s="247">
        <f>K60-K83</f>
        <v>36687.135950266762</v>
      </c>
      <c r="L82" s="247">
        <f>K82+'Insulation Base'!$B$15*(K82+K83)</f>
        <v>38001.500028774768</v>
      </c>
      <c r="M82" s="247">
        <f>L82+'Insulation Base'!$B$15*(L82+L83)</f>
        <v>39355.295029638008</v>
      </c>
      <c r="N82" s="247">
        <f>M82+'Insulation Base'!$B$15*(M82+M83)</f>
        <v>40749.703880527151</v>
      </c>
      <c r="O82" s="247">
        <f>N82+'Insulation Base'!$B$15*(N82+N83)</f>
        <v>42185.944996942962</v>
      </c>
      <c r="P82" s="247">
        <f>O82+'Insulation Base'!$B$15*(O82+O83)</f>
        <v>43665.273346851252</v>
      </c>
      <c r="Q82" s="247">
        <f>P82+'Insulation Base'!$B$15*(P82+P83)</f>
        <v>45188.981547256793</v>
      </c>
      <c r="R82" s="247">
        <f>Q82+'Insulation Base'!$B$15*(Q82+Q83)+Q83-R83</f>
        <v>46758.400993674499</v>
      </c>
      <c r="S82" s="247">
        <f>R82+'Insulation Base'!$B$15*(R82+R83)+R83-S83</f>
        <v>50749.903023484731</v>
      </c>
      <c r="T82" s="247">
        <f>S82+'Insulation Base'!$B$15*(S82+S83)+S83-T83</f>
        <v>54789.900114189273</v>
      </c>
      <c r="U82" s="247">
        <f>T82+'Insulation Base'!$B$15*(T82+T83)+T83-U83</f>
        <v>58879.847117614954</v>
      </c>
    </row>
    <row r="83" spans="1:21" ht="15">
      <c r="A83" s="476"/>
      <c r="B83" s="255"/>
      <c r="C83" s="255"/>
      <c r="D83" s="69" t="s">
        <v>351</v>
      </c>
      <c r="E83" s="552">
        <v>0</v>
      </c>
      <c r="F83" s="552"/>
      <c r="G83" s="247">
        <v>0</v>
      </c>
      <c r="H83" s="247">
        <f>G83+H88</f>
        <v>0</v>
      </c>
      <c r="I83" s="247">
        <f>H83+I88</f>
        <v>2375</v>
      </c>
      <c r="J83" s="247">
        <f>I83+J88</f>
        <v>4750</v>
      </c>
      <c r="K83" s="247">
        <f>J83+K88</f>
        <v>7125</v>
      </c>
      <c r="L83" s="247">
        <f>K83</f>
        <v>7125</v>
      </c>
      <c r="M83" s="247">
        <f>L83-B88</f>
        <v>7125</v>
      </c>
      <c r="N83" s="247">
        <f>M83-C88</f>
        <v>7125</v>
      </c>
      <c r="O83" s="247">
        <f>N83</f>
        <v>7125</v>
      </c>
      <c r="P83" s="247">
        <f>O83-E88</f>
        <v>7125</v>
      </c>
      <c r="Q83" s="247">
        <f>P83-G88</f>
        <v>7125</v>
      </c>
      <c r="R83" s="247">
        <f>Q83-H88</f>
        <v>7125</v>
      </c>
      <c r="S83" s="247">
        <f>R83-I88</f>
        <v>4750</v>
      </c>
      <c r="T83" s="247">
        <f>S83-J88</f>
        <v>2375</v>
      </c>
      <c r="U83" s="247">
        <f>T83-K88</f>
        <v>0</v>
      </c>
    </row>
    <row r="84" spans="1:21" ht="15">
      <c r="A84" s="476"/>
      <c r="B84" s="321" t="s">
        <v>344</v>
      </c>
      <c r="C84" s="255"/>
      <c r="E84" s="552"/>
      <c r="F84" s="552"/>
      <c r="G84" s="247"/>
      <c r="H84" s="247"/>
      <c r="I84" s="247"/>
      <c r="J84" s="247"/>
      <c r="K84" s="247"/>
      <c r="L84" s="247"/>
      <c r="M84" s="247"/>
      <c r="N84" s="247"/>
      <c r="O84" s="247"/>
      <c r="P84" s="247"/>
      <c r="Q84" s="247"/>
      <c r="R84" s="247"/>
      <c r="S84" s="247"/>
      <c r="T84" s="247"/>
      <c r="U84" s="247"/>
    </row>
    <row r="85" spans="1:21" ht="15">
      <c r="A85" s="476"/>
      <c r="B85" s="255"/>
      <c r="C85" s="255" t="s">
        <v>198</v>
      </c>
      <c r="E85" s="552">
        <f>E62</f>
        <v>1889.636666666667</v>
      </c>
      <c r="F85" s="552"/>
      <c r="G85" s="247">
        <f>G62</f>
        <v>1946.3257666666668</v>
      </c>
      <c r="H85" s="247">
        <f>IF(H62-H86&lt;0,0,H62-H86)</f>
        <v>2004.7155396666669</v>
      </c>
      <c r="I85" s="247">
        <f>IF(I62-I86&lt;0,0,I62-I86)</f>
        <v>0</v>
      </c>
      <c r="J85" s="247">
        <f>IF(J62-J86&lt;0,0,J62-J86)</f>
        <v>0</v>
      </c>
      <c r="K85" s="247">
        <f>IF(K62-K86&lt;0,0,K62-K86)</f>
        <v>0</v>
      </c>
      <c r="L85" s="247">
        <f>'Insulation Base'!$B32*L80</f>
        <v>118.82500143873864</v>
      </c>
      <c r="M85" s="247">
        <f>'Insulation Base'!$B32*M80</f>
        <v>186.51475148190082</v>
      </c>
      <c r="N85" s="247">
        <f>'Insulation Base'!$B32*N80</f>
        <v>256.23519402635787</v>
      </c>
      <c r="O85" s="247">
        <f>'Insulation Base'!$B32*O80</f>
        <v>328.04724984714858</v>
      </c>
      <c r="P85" s="247">
        <f>'Insulation Base'!$B32*P80</f>
        <v>402.01366734256305</v>
      </c>
      <c r="Q85" s="247">
        <f>'Insulation Base'!$B32*Q80</f>
        <v>478.19907736283994</v>
      </c>
      <c r="R85" s="247">
        <f>'Insulation Base'!$B32*R80+Q81-R81</f>
        <v>556.67004968372567</v>
      </c>
      <c r="S85" s="247">
        <f>'Insulation Base'!$B32*S80+R81-S81</f>
        <v>8474.9951511742365</v>
      </c>
      <c r="T85" s="247">
        <f>'Insulation Base'!$B32*T80+S81-T81</f>
        <v>9270.7450057094647</v>
      </c>
      <c r="U85" s="247">
        <f>'Insulation Base'!$B32*U80+T81-U81</f>
        <v>10068.992355880748</v>
      </c>
    </row>
    <row r="86" spans="1:21" ht="15">
      <c r="A86" s="476"/>
      <c r="B86" s="255"/>
      <c r="C86" s="255"/>
      <c r="D86" s="69" t="s">
        <v>351</v>
      </c>
      <c r="E86" s="552">
        <v>0</v>
      </c>
      <c r="F86" s="552"/>
      <c r="G86" s="247">
        <v>0</v>
      </c>
      <c r="H86" s="247">
        <v>0</v>
      </c>
      <c r="I86" s="247">
        <f>$E$15*$E$16</f>
        <v>7125</v>
      </c>
      <c r="J86" s="247">
        <f>$E$15*$E$16</f>
        <v>7125</v>
      </c>
      <c r="K86" s="247">
        <f>$E$15*$E$16</f>
        <v>7125</v>
      </c>
      <c r="L86" s="247"/>
      <c r="M86" s="247"/>
      <c r="N86" s="247"/>
      <c r="O86" s="247"/>
      <c r="P86" s="247"/>
      <c r="Q86" s="247"/>
      <c r="R86" s="247"/>
      <c r="S86" s="247"/>
      <c r="T86" s="247"/>
      <c r="U86" s="247"/>
    </row>
    <row r="87" spans="1:21" ht="15">
      <c r="A87" s="476"/>
      <c r="B87" s="255"/>
      <c r="C87" s="255" t="s">
        <v>199</v>
      </c>
      <c r="E87" s="552">
        <f>E63</f>
        <v>3779.2733333333331</v>
      </c>
      <c r="F87" s="552"/>
      <c r="G87" s="247">
        <f>G63</f>
        <v>3892.6515333333332</v>
      </c>
      <c r="H87" s="247">
        <f>H63-H88</f>
        <v>4009.4310793333334</v>
      </c>
      <c r="I87" s="247">
        <f>I63-I88</f>
        <v>1754.714011713334</v>
      </c>
      <c r="J87" s="247">
        <f>J63-J88</f>
        <v>1878.6054320647336</v>
      </c>
      <c r="K87" s="247">
        <f>K63-K88</f>
        <v>2006.2135950266766</v>
      </c>
      <c r="L87" s="247">
        <f>'Insulation Base'!$B33*L82</f>
        <v>3800.1500028774772</v>
      </c>
      <c r="M87" s="247">
        <f>'Insulation Base'!$B33*M82</f>
        <v>3935.529502963801</v>
      </c>
      <c r="N87" s="247">
        <f>'Insulation Base'!$B33*N82</f>
        <v>4074.9703880527154</v>
      </c>
      <c r="O87" s="247">
        <f>'Insulation Base'!$B33*O82</f>
        <v>4218.5944996942962</v>
      </c>
      <c r="P87" s="247">
        <f>'Insulation Base'!$B33*P82</f>
        <v>4366.5273346851254</v>
      </c>
      <c r="Q87" s="247">
        <f>'Insulation Base'!$B33*Q82</f>
        <v>4518.8981547256799</v>
      </c>
      <c r="R87" s="247">
        <f>'Insulation Base'!$B33*R82+Q83-R83</f>
        <v>4675.8400993674513</v>
      </c>
      <c r="S87" s="247">
        <f>'Insulation Base'!$B33*S82+R83-S83</f>
        <v>7449.9903023484731</v>
      </c>
      <c r="T87" s="247">
        <f>'Insulation Base'!$B33*T82+S83-T83</f>
        <v>7853.9900114189277</v>
      </c>
      <c r="U87" s="247">
        <f>'Insulation Base'!$B33*U82+T83-U83</f>
        <v>8262.9847117614954</v>
      </c>
    </row>
    <row r="88" spans="1:21" ht="15">
      <c r="A88" s="476"/>
      <c r="C88" s="255"/>
      <c r="D88" s="255" t="s">
        <v>351</v>
      </c>
      <c r="E88" s="552">
        <v>0</v>
      </c>
      <c r="F88" s="552"/>
      <c r="G88" s="247">
        <v>0</v>
      </c>
      <c r="H88" s="247">
        <v>0</v>
      </c>
      <c r="I88" s="247">
        <f>$E$15*(1-$E$16)</f>
        <v>2375</v>
      </c>
      <c r="J88" s="247">
        <f>$E$15*(1-$E$16)</f>
        <v>2375</v>
      </c>
      <c r="K88" s="247">
        <f>$E$15*(1-$E$16)</f>
        <v>2375</v>
      </c>
    </row>
    <row r="89" spans="1:21">
      <c r="A89" s="476"/>
      <c r="E89" s="553"/>
      <c r="F89" s="553"/>
      <c r="H89" s="313"/>
    </row>
    <row r="90" spans="1:21" ht="15">
      <c r="A90" s="476"/>
      <c r="B90" s="284" t="s">
        <v>333</v>
      </c>
      <c r="E90" s="552"/>
      <c r="F90" s="552"/>
      <c r="G90" s="247"/>
      <c r="H90" s="247"/>
      <c r="I90" s="247"/>
      <c r="J90" s="247"/>
      <c r="K90" s="247"/>
    </row>
    <row r="91" spans="1:21" ht="15">
      <c r="A91" s="476"/>
      <c r="C91" s="69" t="s">
        <v>352</v>
      </c>
      <c r="E91" s="552"/>
      <c r="F91" s="552"/>
      <c r="G91" s="247">
        <f>$E10*(G86+G88)</f>
        <v>0</v>
      </c>
      <c r="H91" s="247">
        <f>$E10*(H86+H88)</f>
        <v>0</v>
      </c>
      <c r="I91" s="247">
        <f>$E10*(I86+I88)</f>
        <v>2327499.9999999995</v>
      </c>
      <c r="J91" s="247">
        <f>$E10*(J86+J88)</f>
        <v>2327499.9999999995</v>
      </c>
      <c r="K91" s="247">
        <f>$E10*(K86+K88)</f>
        <v>2327499.9999999995</v>
      </c>
    </row>
    <row r="92" spans="1:21" ht="15">
      <c r="A92" s="476"/>
      <c r="B92" s="245"/>
      <c r="C92" s="69" t="s">
        <v>353</v>
      </c>
      <c r="E92" s="552"/>
      <c r="F92" s="552"/>
      <c r="G92" s="247">
        <f>'Insulation MCC Costs'!D39</f>
        <v>0</v>
      </c>
      <c r="H92" s="247">
        <f>'Insulation MCC Costs'!E39</f>
        <v>0</v>
      </c>
      <c r="I92" s="247">
        <f>'Insulation MCC Costs'!F39</f>
        <v>232749.99999999997</v>
      </c>
      <c r="J92" s="247">
        <f>'Insulation MCC Costs'!G39</f>
        <v>232749.99999999997</v>
      </c>
      <c r="K92" s="247">
        <f>'Insulation MCC Costs'!H39</f>
        <v>232749.99999999997</v>
      </c>
    </row>
    <row r="93" spans="1:21" ht="15">
      <c r="A93" s="476"/>
      <c r="C93" s="69" t="s">
        <v>354</v>
      </c>
      <c r="E93" s="552"/>
      <c r="F93" s="552"/>
      <c r="G93" s="247">
        <f>'Insulation MCC Costs'!D40</f>
        <v>0</v>
      </c>
      <c r="H93" s="247">
        <f>'Insulation MCC Costs'!E40</f>
        <v>125684.99999999996</v>
      </c>
      <c r="I93" s="247">
        <f>'Insulation MCC Costs'!F40</f>
        <v>251369.99999999991</v>
      </c>
      <c r="J93" s="247">
        <f>'Insulation MCC Costs'!G40</f>
        <v>251369.99999999991</v>
      </c>
      <c r="K93" s="247">
        <f>'Insulation MCC Costs'!H40</f>
        <v>209474.99999999994</v>
      </c>
    </row>
    <row r="94" spans="1:21" ht="15">
      <c r="A94" s="476"/>
      <c r="C94" s="69" t="s">
        <v>355</v>
      </c>
      <c r="E94" s="552"/>
      <c r="F94" s="552"/>
      <c r="G94" s="247">
        <f>'Insulation MCC Costs'!D41</f>
        <v>0</v>
      </c>
      <c r="H94" s="247">
        <f>'Insulation MCC Costs'!E41</f>
        <v>209474.99999999997</v>
      </c>
      <c r="I94" s="247">
        <f>'Insulation MCC Costs'!F41</f>
        <v>174562.49999999997</v>
      </c>
      <c r="J94" s="247">
        <f>'Insulation MCC Costs'!G41</f>
        <v>104737.49999999999</v>
      </c>
      <c r="K94" s="247">
        <f>'Insulation MCC Costs'!H41</f>
        <v>209474.99999999991</v>
      </c>
    </row>
    <row r="95" spans="1:21" ht="15">
      <c r="A95" s="476"/>
      <c r="C95" s="69" t="s">
        <v>356</v>
      </c>
      <c r="E95" s="552"/>
      <c r="F95" s="552"/>
      <c r="G95" s="247">
        <f>'Insulation MCC Costs'!D42</f>
        <v>0</v>
      </c>
      <c r="H95" s="247">
        <f>'Insulation MCC Costs'!E42</f>
        <v>170484.71999999997</v>
      </c>
      <c r="I95" s="247">
        <f>'Insulation MCC Costs'!F42</f>
        <v>131829.59999999998</v>
      </c>
      <c r="J95" s="247">
        <f>'Insulation MCC Costs'!G42</f>
        <v>128477.99999999999</v>
      </c>
      <c r="K95" s="247">
        <f>'Insulation MCC Costs'!H42</f>
        <v>127807.67999999998</v>
      </c>
      <c r="L95" s="254"/>
    </row>
    <row r="96" spans="1:21" ht="15">
      <c r="A96" s="476"/>
      <c r="E96" s="552"/>
      <c r="F96" s="552"/>
    </row>
    <row r="97" spans="1:21" ht="15">
      <c r="A97" s="476"/>
      <c r="B97" s="284" t="s">
        <v>345</v>
      </c>
      <c r="E97" s="552"/>
      <c r="F97" s="552"/>
    </row>
    <row r="98" spans="1:21" ht="15">
      <c r="A98" s="476"/>
      <c r="B98" s="302" t="s">
        <v>357</v>
      </c>
      <c r="E98" s="552"/>
      <c r="F98" s="552"/>
    </row>
    <row r="99" spans="1:21" ht="15">
      <c r="A99" s="476"/>
      <c r="C99" s="255" t="s">
        <v>198</v>
      </c>
      <c r="E99" s="552">
        <f>E67</f>
        <v>633028.28333333344</v>
      </c>
      <c r="F99" s="552"/>
      <c r="G99" s="254">
        <f>G67</f>
        <v>652019.13183333341</v>
      </c>
      <c r="H99" s="247">
        <f t="shared" ref="H99:U99" si="23">H85*$E$7</f>
        <v>671579.70578833343</v>
      </c>
      <c r="I99" s="247">
        <f t="shared" si="23"/>
        <v>0</v>
      </c>
      <c r="J99" s="247">
        <f t="shared" si="23"/>
        <v>0</v>
      </c>
      <c r="K99" s="247">
        <f t="shared" si="23"/>
        <v>0</v>
      </c>
      <c r="L99" s="247">
        <f t="shared" si="23"/>
        <v>39806.37548197744</v>
      </c>
      <c r="M99" s="247">
        <f t="shared" si="23"/>
        <v>62482.441746436773</v>
      </c>
      <c r="N99" s="247">
        <f t="shared" si="23"/>
        <v>85838.789998829889</v>
      </c>
      <c r="O99" s="247">
        <f t="shared" si="23"/>
        <v>109895.82869879478</v>
      </c>
      <c r="P99" s="247">
        <f t="shared" si="23"/>
        <v>134674.57855975864</v>
      </c>
      <c r="Q99" s="247">
        <f t="shared" si="23"/>
        <v>160196.69091655139</v>
      </c>
      <c r="R99" s="247">
        <f t="shared" si="23"/>
        <v>186484.46664404811</v>
      </c>
      <c r="S99" s="247">
        <f t="shared" si="23"/>
        <v>2839123.3756433693</v>
      </c>
      <c r="T99" s="247">
        <f t="shared" si="23"/>
        <v>3105699.5769126709</v>
      </c>
      <c r="U99" s="247">
        <f t="shared" si="23"/>
        <v>3373112.4392200503</v>
      </c>
    </row>
    <row r="100" spans="1:21" ht="15">
      <c r="A100" s="476"/>
      <c r="C100" s="255"/>
      <c r="D100" s="69" t="s">
        <v>351</v>
      </c>
      <c r="E100" s="552"/>
      <c r="F100" s="552"/>
      <c r="G100" s="254"/>
      <c r="H100" s="247">
        <f t="shared" ref="H100:U100" si="24">H86*$E$11</f>
        <v>0</v>
      </c>
      <c r="I100" s="247">
        <f t="shared" si="24"/>
        <v>748125.00000000012</v>
      </c>
      <c r="J100" s="247">
        <f t="shared" si="24"/>
        <v>748125.00000000012</v>
      </c>
      <c r="K100" s="247">
        <f t="shared" si="24"/>
        <v>748125.00000000012</v>
      </c>
      <c r="L100" s="247">
        <f t="shared" si="24"/>
        <v>0</v>
      </c>
      <c r="M100" s="247">
        <f t="shared" si="24"/>
        <v>0</v>
      </c>
      <c r="N100" s="247">
        <f t="shared" si="24"/>
        <v>0</v>
      </c>
      <c r="O100" s="247">
        <f t="shared" si="24"/>
        <v>0</v>
      </c>
      <c r="P100" s="247">
        <f t="shared" si="24"/>
        <v>0</v>
      </c>
      <c r="Q100" s="247">
        <f t="shared" si="24"/>
        <v>0</v>
      </c>
      <c r="R100" s="247">
        <f t="shared" si="24"/>
        <v>0</v>
      </c>
      <c r="S100" s="247">
        <f t="shared" si="24"/>
        <v>0</v>
      </c>
      <c r="T100" s="247">
        <f t="shared" si="24"/>
        <v>0</v>
      </c>
      <c r="U100" s="247">
        <f t="shared" si="24"/>
        <v>0</v>
      </c>
    </row>
    <row r="101" spans="1:21" ht="15">
      <c r="A101" s="476"/>
      <c r="C101" s="255" t="s">
        <v>199</v>
      </c>
      <c r="E101" s="552">
        <f>E68</f>
        <v>1266056.5666666667</v>
      </c>
      <c r="F101" s="552"/>
      <c r="G101" s="254">
        <f>G68</f>
        <v>1304038.2636666666</v>
      </c>
      <c r="H101" s="247">
        <f t="shared" ref="H101:U101" si="25">H87*$E$7</f>
        <v>1343159.4115766666</v>
      </c>
      <c r="I101" s="247">
        <f t="shared" si="25"/>
        <v>587829.19392396684</v>
      </c>
      <c r="J101" s="247">
        <f t="shared" si="25"/>
        <v>629332.81974168576</v>
      </c>
      <c r="K101" s="247">
        <f t="shared" si="25"/>
        <v>672081.55433393666</v>
      </c>
      <c r="L101" s="247">
        <f t="shared" si="25"/>
        <v>1273050.250963955</v>
      </c>
      <c r="M101" s="247">
        <f t="shared" si="25"/>
        <v>1318402.3834928733</v>
      </c>
      <c r="N101" s="247">
        <f t="shared" si="25"/>
        <v>1365115.0799976597</v>
      </c>
      <c r="O101" s="247">
        <f t="shared" si="25"/>
        <v>1413229.1573975892</v>
      </c>
      <c r="P101" s="247">
        <f t="shared" si="25"/>
        <v>1462786.657119517</v>
      </c>
      <c r="Q101" s="247">
        <f t="shared" si="25"/>
        <v>1513830.8818331028</v>
      </c>
      <c r="R101" s="247">
        <f t="shared" si="25"/>
        <v>1566406.4332880962</v>
      </c>
      <c r="S101" s="247">
        <f t="shared" si="25"/>
        <v>2495746.7512867386</v>
      </c>
      <c r="T101" s="247">
        <f t="shared" si="25"/>
        <v>2631086.6538253408</v>
      </c>
      <c r="U101" s="247">
        <f t="shared" si="25"/>
        <v>2768099.8784401012</v>
      </c>
    </row>
    <row r="102" spans="1:21" ht="15">
      <c r="A102" s="476"/>
      <c r="C102" s="255"/>
      <c r="D102" s="69" t="s">
        <v>351</v>
      </c>
      <c r="E102" s="552"/>
      <c r="F102" s="552"/>
      <c r="G102" s="254"/>
      <c r="H102" s="247">
        <f t="shared" ref="H102:U102" si="26">H88*$E$11</f>
        <v>0</v>
      </c>
      <c r="I102" s="247">
        <f t="shared" si="26"/>
        <v>249375.00000000003</v>
      </c>
      <c r="J102" s="247">
        <f t="shared" si="26"/>
        <v>249375.00000000003</v>
      </c>
      <c r="K102" s="247">
        <f t="shared" si="26"/>
        <v>249375.00000000003</v>
      </c>
      <c r="L102" s="247">
        <f t="shared" si="26"/>
        <v>0</v>
      </c>
      <c r="M102" s="247">
        <f t="shared" si="26"/>
        <v>0</v>
      </c>
      <c r="N102" s="247">
        <f t="shared" si="26"/>
        <v>0</v>
      </c>
      <c r="O102" s="247">
        <f t="shared" si="26"/>
        <v>0</v>
      </c>
      <c r="P102" s="247">
        <f t="shared" si="26"/>
        <v>0</v>
      </c>
      <c r="Q102" s="247">
        <f t="shared" si="26"/>
        <v>0</v>
      </c>
      <c r="R102" s="247">
        <f t="shared" si="26"/>
        <v>0</v>
      </c>
      <c r="S102" s="247">
        <f t="shared" si="26"/>
        <v>0</v>
      </c>
      <c r="T102" s="247">
        <f t="shared" si="26"/>
        <v>0</v>
      </c>
      <c r="U102" s="247">
        <f t="shared" si="26"/>
        <v>0</v>
      </c>
    </row>
    <row r="103" spans="1:21" ht="15">
      <c r="A103" s="476"/>
      <c r="B103" s="302" t="s">
        <v>358</v>
      </c>
      <c r="C103" s="255"/>
      <c r="E103" s="552"/>
      <c r="F103" s="552"/>
      <c r="H103" s="247"/>
    </row>
    <row r="104" spans="1:21" ht="15">
      <c r="A104" s="476"/>
      <c r="C104" s="255" t="s">
        <v>198</v>
      </c>
      <c r="E104" s="552">
        <f>E70</f>
        <v>3944483.5868251836</v>
      </c>
      <c r="F104" s="552"/>
      <c r="G104" s="254">
        <f>G70</f>
        <v>4062818.0944299391</v>
      </c>
      <c r="H104" s="247">
        <f t="shared" ref="H104:U104" si="27">H70*H80/(H80+H81)</f>
        <v>4184702.6372628375</v>
      </c>
      <c r="I104" s="247">
        <f t="shared" si="27"/>
        <v>2822950.0978828403</v>
      </c>
      <c r="J104" s="247">
        <f t="shared" si="27"/>
        <v>1464963.7908763806</v>
      </c>
      <c r="K104" s="247">
        <f t="shared" si="27"/>
        <v>110856.70321466317</v>
      </c>
      <c r="L104" s="247">
        <f t="shared" si="27"/>
        <v>248038.82997591243</v>
      </c>
      <c r="M104" s="247">
        <f t="shared" si="27"/>
        <v>389336.42053999932</v>
      </c>
      <c r="N104" s="247">
        <f t="shared" si="27"/>
        <v>534872.93882100878</v>
      </c>
      <c r="O104" s="247">
        <f t="shared" si="27"/>
        <v>684775.55265044852</v>
      </c>
      <c r="P104" s="247">
        <f t="shared" si="27"/>
        <v>839175.24489477137</v>
      </c>
      <c r="Q104" s="247">
        <f t="shared" si="27"/>
        <v>998206.92790642392</v>
      </c>
      <c r="R104" s="247">
        <f t="shared" si="27"/>
        <v>1162009.5614084259</v>
      </c>
      <c r="S104" s="247">
        <f t="shared" si="27"/>
        <v>2818019.8924133708</v>
      </c>
      <c r="T104" s="247">
        <f t="shared" si="27"/>
        <v>4479091.7247935282</v>
      </c>
      <c r="U104" s="247">
        <f t="shared" si="27"/>
        <v>6145376.9035901539</v>
      </c>
    </row>
    <row r="105" spans="1:21" ht="15">
      <c r="A105" s="476"/>
      <c r="C105" s="255"/>
      <c r="D105" s="69" t="s">
        <v>351</v>
      </c>
      <c r="E105" s="552"/>
      <c r="F105" s="552"/>
      <c r="G105" s="254"/>
      <c r="H105" s="247">
        <f t="shared" ref="H105:U105" si="28">(1-$E$18)*H70*H81/(H80+H81)</f>
        <v>0</v>
      </c>
      <c r="I105" s="247">
        <f t="shared" si="28"/>
        <v>1041105.5329485174</v>
      </c>
      <c r="J105" s="247">
        <f t="shared" si="28"/>
        <v>2082211.0658970349</v>
      </c>
      <c r="K105" s="247">
        <f t="shared" si="28"/>
        <v>3123316.5988455527</v>
      </c>
      <c r="L105" s="247">
        <f t="shared" si="28"/>
        <v>3123316.5988455522</v>
      </c>
      <c r="M105" s="247">
        <f t="shared" si="28"/>
        <v>3123316.5988455527</v>
      </c>
      <c r="N105" s="247">
        <f t="shared" si="28"/>
        <v>3123316.5988455531</v>
      </c>
      <c r="O105" s="247">
        <f t="shared" si="28"/>
        <v>3123316.5988455531</v>
      </c>
      <c r="P105" s="247">
        <f t="shared" si="28"/>
        <v>3123316.5988455536</v>
      </c>
      <c r="Q105" s="247">
        <f t="shared" si="28"/>
        <v>3123316.5988455531</v>
      </c>
      <c r="R105" s="247">
        <f t="shared" si="28"/>
        <v>3123316.5988455536</v>
      </c>
      <c r="S105" s="247">
        <f t="shared" si="28"/>
        <v>2082211.0658970361</v>
      </c>
      <c r="T105" s="247">
        <f t="shared" si="28"/>
        <v>1041105.5329485181</v>
      </c>
      <c r="U105" s="247">
        <f t="shared" si="28"/>
        <v>0</v>
      </c>
    </row>
    <row r="106" spans="1:21" ht="15">
      <c r="A106" s="476"/>
      <c r="C106" s="255" t="s">
        <v>199</v>
      </c>
      <c r="E106" s="552">
        <f>E71</f>
        <v>7888967.1736503663</v>
      </c>
      <c r="F106" s="552"/>
      <c r="G106" s="254">
        <f>G71</f>
        <v>8125636.1888598772</v>
      </c>
      <c r="H106" s="247">
        <f t="shared" ref="H106:U106" si="29">H71*H82/(H82+H83)</f>
        <v>8369405.2745256731</v>
      </c>
      <c r="I106" s="247">
        <f t="shared" si="29"/>
        <v>8124722.8932621488</v>
      </c>
      <c r="J106" s="247">
        <f t="shared" si="29"/>
        <v>7887572.9767456995</v>
      </c>
      <c r="K106" s="247">
        <f t="shared" si="29"/>
        <v>7658181.4989187364</v>
      </c>
      <c r="L106" s="247">
        <f t="shared" si="29"/>
        <v>7932545.7524412349</v>
      </c>
      <c r="M106" s="247">
        <f t="shared" si="29"/>
        <v>8215140.933569409</v>
      </c>
      <c r="N106" s="247">
        <f t="shared" si="29"/>
        <v>8506213.9701314289</v>
      </c>
      <c r="O106" s="247">
        <f t="shared" si="29"/>
        <v>8806019.1977903098</v>
      </c>
      <c r="P106" s="247">
        <f t="shared" si="29"/>
        <v>9114818.5822789557</v>
      </c>
      <c r="Q106" s="247">
        <f t="shared" si="29"/>
        <v>9432881.9483022597</v>
      </c>
      <c r="R106" s="247">
        <f t="shared" si="29"/>
        <v>9760487.2153062653</v>
      </c>
      <c r="S106" s="247">
        <f t="shared" si="29"/>
        <v>10593685.179819683</v>
      </c>
      <c r="T106" s="247">
        <f t="shared" si="29"/>
        <v>11437006.147083525</v>
      </c>
      <c r="U106" s="247">
        <f t="shared" si="29"/>
        <v>12290753.807180306</v>
      </c>
    </row>
    <row r="107" spans="1:21" ht="15">
      <c r="A107" s="476"/>
      <c r="D107" s="69" t="s">
        <v>351</v>
      </c>
      <c r="E107" s="552"/>
      <c r="F107" s="552"/>
      <c r="H107" s="247">
        <f t="shared" ref="H107:U107" si="30">(1-$E$19)*H71*H83/(H82+H83)</f>
        <v>0</v>
      </c>
      <c r="I107" s="247">
        <f t="shared" si="30"/>
        <v>421399.85857439996</v>
      </c>
      <c r="J107" s="247">
        <f t="shared" si="30"/>
        <v>842799.7171487998</v>
      </c>
      <c r="K107" s="247">
        <f t="shared" si="30"/>
        <v>1264199.5757231999</v>
      </c>
      <c r="L107" s="247">
        <f t="shared" si="30"/>
        <v>1264199.5757231999</v>
      </c>
      <c r="M107" s="247">
        <f t="shared" si="30"/>
        <v>1264199.5757231999</v>
      </c>
      <c r="N107" s="247">
        <f t="shared" si="30"/>
        <v>1264199.5757232001</v>
      </c>
      <c r="O107" s="247">
        <f t="shared" si="30"/>
        <v>1264199.5757232001</v>
      </c>
      <c r="P107" s="247">
        <f t="shared" si="30"/>
        <v>1264199.5757232003</v>
      </c>
      <c r="Q107" s="247">
        <f t="shared" si="30"/>
        <v>1264199.5757232003</v>
      </c>
      <c r="R107" s="247">
        <f t="shared" si="30"/>
        <v>1264199.5757232001</v>
      </c>
      <c r="S107" s="247">
        <f t="shared" si="30"/>
        <v>842799.71714880015</v>
      </c>
      <c r="T107" s="247">
        <f t="shared" si="30"/>
        <v>421399.85857440007</v>
      </c>
      <c r="U107" s="247">
        <f t="shared" si="30"/>
        <v>0</v>
      </c>
    </row>
    <row r="108" spans="1:21" ht="15">
      <c r="A108" s="476"/>
      <c r="E108" s="552"/>
      <c r="F108" s="552"/>
    </row>
    <row r="109" spans="1:21" ht="15">
      <c r="A109" s="476"/>
      <c r="B109" s="324" t="s">
        <v>347</v>
      </c>
      <c r="C109" s="335"/>
      <c r="D109" s="287"/>
      <c r="E109" s="578">
        <f t="shared" ref="E109:U109" si="31">E134*1000000</f>
        <v>156179080.35300002</v>
      </c>
      <c r="F109" s="578"/>
      <c r="G109" s="329">
        <f t="shared" si="31"/>
        <v>164477221.41662768</v>
      </c>
      <c r="H109" s="329">
        <f t="shared" si="31"/>
        <v>173244324.32313427</v>
      </c>
      <c r="I109" s="329">
        <f t="shared" si="31"/>
        <v>182507857.00031403</v>
      </c>
      <c r="J109" s="329">
        <f>J134*1000000</f>
        <v>192296927.41731113</v>
      </c>
      <c r="K109" s="329">
        <f t="shared" si="31"/>
        <v>202642382.48047367</v>
      </c>
      <c r="L109" s="329">
        <f t="shared" si="31"/>
        <v>213576912.92248625</v>
      </c>
      <c r="M109" s="329">
        <f t="shared" si="31"/>
        <v>225135164.548886</v>
      </c>
      <c r="N109" s="329">
        <f t="shared" si="31"/>
        <v>237353856.22821602</v>
      </c>
      <c r="O109" s="329">
        <f t="shared" si="31"/>
        <v>250271905.03556636</v>
      </c>
      <c r="P109" s="329">
        <f t="shared" si="31"/>
        <v>263930558.98417589</v>
      </c>
      <c r="Q109" s="329">
        <f t="shared" si="31"/>
        <v>278373537.80621409</v>
      </c>
      <c r="R109" s="329">
        <f t="shared" si="31"/>
        <v>293647182.27191138</v>
      </c>
      <c r="S109" s="329">
        <f>S134*1000000</f>
        <v>309800612.56596869</v>
      </c>
      <c r="T109" s="329">
        <f t="shared" si="31"/>
        <v>326885896.27174509</v>
      </c>
      <c r="U109" s="329">
        <f t="shared" si="31"/>
        <v>344958226.5472185</v>
      </c>
    </row>
    <row r="110" spans="1:21" ht="15">
      <c r="A110" s="476"/>
      <c r="B110" s="317"/>
      <c r="C110" s="255"/>
      <c r="E110" s="552"/>
      <c r="F110" s="552"/>
      <c r="G110" s="254"/>
    </row>
    <row r="111" spans="1:21" ht="15">
      <c r="A111" s="476"/>
      <c r="B111" s="330" t="s">
        <v>348</v>
      </c>
      <c r="C111" s="330"/>
      <c r="D111" s="331"/>
      <c r="E111" s="551">
        <f t="shared" ref="E111:U111" si="32">SUM(E91:E109)/1000000</f>
        <v>169.91161596347555</v>
      </c>
      <c r="F111" s="551"/>
      <c r="G111" s="332">
        <f t="shared" si="32"/>
        <v>178.62173309541751</v>
      </c>
      <c r="H111" s="332">
        <f t="shared" si="32"/>
        <v>188.3188160722878</v>
      </c>
      <c r="I111" s="332">
        <f t="shared" si="32"/>
        <v>199.6213766769059</v>
      </c>
      <c r="J111" s="332">
        <f t="shared" si="32"/>
        <v>209.24614328772074</v>
      </c>
      <c r="K111" s="332">
        <f t="shared" si="32"/>
        <v>219.57552609150977</v>
      </c>
      <c r="L111" s="333">
        <f t="shared" si="32"/>
        <v>227.45787030591808</v>
      </c>
      <c r="M111" s="333">
        <f t="shared" si="32"/>
        <v>239.50804290280348</v>
      </c>
      <c r="N111" s="333">
        <f t="shared" si="32"/>
        <v>252.23341318173371</v>
      </c>
      <c r="O111" s="333">
        <f t="shared" si="32"/>
        <v>265.67334094667228</v>
      </c>
      <c r="P111" s="333">
        <f t="shared" si="32"/>
        <v>279.8695302215977</v>
      </c>
      <c r="Q111" s="333">
        <f t="shared" si="32"/>
        <v>294.8661704297412</v>
      </c>
      <c r="R111" s="333">
        <f t="shared" si="32"/>
        <v>310.71008612312698</v>
      </c>
      <c r="S111" s="333">
        <f t="shared" si="32"/>
        <v>331.47219854817774</v>
      </c>
      <c r="T111" s="333">
        <f t="shared" si="32"/>
        <v>350.0012857658831</v>
      </c>
      <c r="U111" s="333">
        <f t="shared" si="32"/>
        <v>369.53556957564916</v>
      </c>
    </row>
    <row r="112" spans="1:21" ht="15">
      <c r="A112" s="476"/>
      <c r="D112" s="103"/>
      <c r="E112" s="552"/>
      <c r="F112" s="552"/>
    </row>
    <row r="113" spans="1:21" ht="15" customHeight="1">
      <c r="A113" s="476"/>
      <c r="B113" s="550" t="s">
        <v>359</v>
      </c>
      <c r="C113" s="550"/>
      <c r="D113" s="550"/>
      <c r="E113" s="550"/>
      <c r="F113" s="550"/>
      <c r="G113" s="334"/>
      <c r="H113" s="334" t="s">
        <v>360</v>
      </c>
      <c r="I113" s="334" t="s">
        <v>350</v>
      </c>
      <c r="J113" s="334" t="s">
        <v>350</v>
      </c>
      <c r="K113" s="334" t="s">
        <v>350</v>
      </c>
    </row>
    <row r="114" spans="1:21" ht="15">
      <c r="A114" s="476"/>
      <c r="B114" s="243"/>
      <c r="C114" s="243"/>
      <c r="D114" s="243"/>
      <c r="E114" s="577">
        <v>2008</v>
      </c>
      <c r="F114" s="577"/>
      <c r="G114" s="244">
        <v>2009</v>
      </c>
      <c r="H114" s="244">
        <v>2010</v>
      </c>
      <c r="I114" s="244">
        <v>2011</v>
      </c>
      <c r="J114" s="244">
        <v>2012</v>
      </c>
      <c r="K114" s="244">
        <v>2013</v>
      </c>
      <c r="L114" s="69">
        <v>2014</v>
      </c>
      <c r="M114" s="69">
        <v>2015</v>
      </c>
      <c r="N114" s="69">
        <v>2016</v>
      </c>
      <c r="O114" s="69">
        <v>2017</v>
      </c>
      <c r="P114" s="69">
        <v>2018</v>
      </c>
      <c r="Q114" s="69">
        <v>2019</v>
      </c>
      <c r="R114" s="69">
        <v>2020</v>
      </c>
      <c r="S114" s="69">
        <v>2021</v>
      </c>
      <c r="T114" s="69">
        <v>2022</v>
      </c>
      <c r="U114" s="69">
        <v>2023</v>
      </c>
    </row>
    <row r="115" spans="1:21">
      <c r="A115" s="476"/>
      <c r="B115" s="324" t="s">
        <v>361</v>
      </c>
      <c r="C115" s="287"/>
      <c r="D115" s="287"/>
      <c r="E115" s="548">
        <f t="shared" ref="E115:U115" si="33">E75-E111</f>
        <v>0</v>
      </c>
      <c r="F115" s="548"/>
      <c r="G115" s="336">
        <f t="shared" si="33"/>
        <v>0</v>
      </c>
      <c r="H115" s="336">
        <f t="shared" si="33"/>
        <v>-0.5056447200000207</v>
      </c>
      <c r="I115" s="336">
        <f t="shared" si="33"/>
        <v>-2.1076072365637799</v>
      </c>
      <c r="J115" s="336">
        <f t="shared" si="33"/>
        <v>-1.493126057180632</v>
      </c>
      <c r="K115" s="336">
        <f t="shared" si="33"/>
        <v>-1.0133711034102646</v>
      </c>
      <c r="L115" s="336">
        <f t="shared" si="33"/>
        <v>2.5164082994227499</v>
      </c>
      <c r="M115" s="336">
        <f t="shared" si="33"/>
        <v>2.5164082994227783</v>
      </c>
      <c r="N115" s="336">
        <f t="shared" si="33"/>
        <v>2.5164082994227499</v>
      </c>
      <c r="O115" s="336">
        <f t="shared" si="33"/>
        <v>2.5164082994227215</v>
      </c>
      <c r="P115" s="336">
        <f t="shared" si="33"/>
        <v>2.5164082994227215</v>
      </c>
      <c r="Q115" s="336">
        <f t="shared" si="33"/>
        <v>2.5164082994227215</v>
      </c>
      <c r="R115" s="336">
        <f t="shared" si="33"/>
        <v>2.5164082994227215</v>
      </c>
      <c r="S115" s="336">
        <f t="shared" si="33"/>
        <v>-1.5048944670515425</v>
      </c>
      <c r="T115" s="336">
        <f t="shared" si="33"/>
        <v>-2.3436972335257451</v>
      </c>
      <c r="U115" s="336">
        <f t="shared" si="33"/>
        <v>-3.1825000000000045</v>
      </c>
    </row>
    <row r="116" spans="1:21">
      <c r="A116" s="476"/>
      <c r="D116" s="337" t="s">
        <v>190</v>
      </c>
      <c r="E116" s="549">
        <f>IRR(E115:U115)</f>
        <v>0.24492532510409371</v>
      </c>
      <c r="F116" s="549"/>
    </row>
    <row r="117" spans="1:21" ht="15">
      <c r="A117" s="476"/>
      <c r="D117" s="323"/>
      <c r="E117" s="552"/>
      <c r="F117" s="552"/>
    </row>
    <row r="118" spans="1:21">
      <c r="A118" s="476"/>
      <c r="C118" s="284"/>
      <c r="E118" s="547"/>
      <c r="F118" s="547"/>
    </row>
    <row r="119" spans="1:21" ht="15.75">
      <c r="A119" s="476"/>
      <c r="B119" s="281" t="s">
        <v>362</v>
      </c>
      <c r="C119" s="282"/>
      <c r="D119" s="282"/>
      <c r="E119" s="546"/>
      <c r="F119" s="546"/>
      <c r="G119" s="282"/>
      <c r="H119" s="282"/>
      <c r="I119" s="282"/>
      <c r="J119" s="282"/>
      <c r="K119" s="282"/>
      <c r="L119" s="282"/>
      <c r="M119" s="282"/>
      <c r="N119" s="282"/>
      <c r="O119" s="282"/>
      <c r="P119" s="282"/>
      <c r="Q119" s="282"/>
      <c r="R119" s="282"/>
      <c r="S119" s="282"/>
      <c r="T119" s="282"/>
      <c r="U119" s="282"/>
    </row>
    <row r="120" spans="1:21">
      <c r="A120" s="476">
        <v>11</v>
      </c>
      <c r="C120" s="284" t="s">
        <v>363</v>
      </c>
      <c r="D120" s="284"/>
      <c r="E120" s="574">
        <f t="shared" ref="E120:U120" si="34">1-(E80+E81*(1-$E$20)+E82+E83*(1-$E$21))/SUM(E80:E83)</f>
        <v>0</v>
      </c>
      <c r="F120" s="574"/>
      <c r="G120" s="338">
        <f t="shared" si="34"/>
        <v>0</v>
      </c>
      <c r="H120" s="338">
        <f t="shared" si="34"/>
        <v>0</v>
      </c>
      <c r="I120" s="338">
        <f t="shared" si="34"/>
        <v>0</v>
      </c>
      <c r="J120" s="338">
        <f t="shared" si="34"/>
        <v>0</v>
      </c>
      <c r="K120" s="338">
        <f t="shared" si="34"/>
        <v>0</v>
      </c>
      <c r="L120" s="338">
        <f t="shared" si="34"/>
        <v>0</v>
      </c>
      <c r="M120" s="338">
        <f t="shared" si="34"/>
        <v>0</v>
      </c>
      <c r="N120" s="338">
        <f t="shared" si="34"/>
        <v>0</v>
      </c>
      <c r="O120" s="338">
        <f t="shared" si="34"/>
        <v>0</v>
      </c>
      <c r="P120" s="338">
        <f t="shared" si="34"/>
        <v>0</v>
      </c>
      <c r="Q120" s="338">
        <f t="shared" si="34"/>
        <v>0</v>
      </c>
      <c r="R120" s="338">
        <f t="shared" si="34"/>
        <v>0</v>
      </c>
      <c r="S120" s="338">
        <f t="shared" si="34"/>
        <v>0</v>
      </c>
      <c r="T120" s="338">
        <f t="shared" si="34"/>
        <v>0</v>
      </c>
      <c r="U120" s="338">
        <f t="shared" si="34"/>
        <v>0</v>
      </c>
    </row>
    <row r="121" spans="1:21">
      <c r="A121" s="476"/>
      <c r="C121" s="284"/>
      <c r="D121" s="284"/>
      <c r="E121" s="575"/>
      <c r="F121" s="575"/>
      <c r="G121" s="338"/>
      <c r="H121" s="338"/>
      <c r="I121" s="338"/>
      <c r="J121" s="338"/>
      <c r="K121" s="338"/>
      <c r="L121" s="338"/>
      <c r="M121" s="338"/>
      <c r="N121" s="338"/>
      <c r="O121" s="338"/>
      <c r="P121" s="338"/>
      <c r="Q121" s="338"/>
      <c r="R121" s="338"/>
      <c r="S121" s="338"/>
      <c r="T121" s="338"/>
      <c r="U121" s="338"/>
    </row>
    <row r="122" spans="1:21" ht="15.75">
      <c r="A122" s="476"/>
      <c r="B122" s="287"/>
      <c r="C122" s="288" t="s">
        <v>364</v>
      </c>
      <c r="D122" s="287"/>
      <c r="E122" s="576"/>
      <c r="F122" s="576"/>
      <c r="G122" s="287"/>
      <c r="H122" s="287"/>
      <c r="I122" s="287"/>
      <c r="J122" s="287"/>
      <c r="K122" s="287"/>
      <c r="L122" s="287"/>
      <c r="M122" s="287"/>
      <c r="N122" s="287"/>
      <c r="O122" s="287"/>
      <c r="P122" s="287"/>
      <c r="Q122" s="287"/>
      <c r="R122" s="287"/>
      <c r="S122" s="287"/>
      <c r="T122" s="287"/>
      <c r="U122" s="287"/>
    </row>
    <row r="123" spans="1:21">
      <c r="A123" s="476"/>
      <c r="B123" s="339" t="s">
        <v>365</v>
      </c>
      <c r="C123" s="243"/>
      <c r="D123" s="243"/>
      <c r="E123" s="558">
        <v>2008</v>
      </c>
      <c r="F123" s="558"/>
      <c r="G123" s="244">
        <v>2009</v>
      </c>
      <c r="H123" s="244">
        <v>2010</v>
      </c>
      <c r="I123" s="244">
        <v>2011</v>
      </c>
      <c r="J123" s="244">
        <v>2012</v>
      </c>
      <c r="K123" s="244">
        <v>2013</v>
      </c>
      <c r="L123" s="69">
        <v>2014</v>
      </c>
      <c r="M123" s="69">
        <v>2015</v>
      </c>
      <c r="N123" s="69">
        <v>2016</v>
      </c>
      <c r="O123" s="69">
        <v>2017</v>
      </c>
      <c r="P123" s="69">
        <v>2018</v>
      </c>
      <c r="Q123" s="69">
        <v>2019</v>
      </c>
      <c r="R123" s="69">
        <v>2020</v>
      </c>
      <c r="S123" s="69">
        <v>2021</v>
      </c>
      <c r="T123" s="69">
        <v>2022</v>
      </c>
      <c r="U123" s="69">
        <v>2023</v>
      </c>
    </row>
    <row r="124" spans="1:21" ht="15">
      <c r="A124" s="476"/>
      <c r="C124" s="284" t="str">
        <f>'Insulation Base'!C143</f>
        <v>Health damage attributable to PM emissions (number of cases)</v>
      </c>
      <c r="E124" s="275"/>
      <c r="F124" s="275"/>
      <c r="G124" s="275"/>
      <c r="H124" s="275"/>
      <c r="J124" s="275"/>
      <c r="K124" s="275"/>
      <c r="L124" s="275"/>
      <c r="M124" s="275"/>
      <c r="N124" s="275"/>
      <c r="O124" s="275"/>
      <c r="P124" s="275"/>
      <c r="Q124" s="275"/>
      <c r="R124" s="275"/>
      <c r="S124" s="275"/>
      <c r="T124" s="275"/>
      <c r="U124" s="275"/>
    </row>
    <row r="125" spans="1:21" ht="15">
      <c r="A125" s="476"/>
      <c r="D125" s="69" t="str">
        <f>'Insulation Base'!D144</f>
        <v>Mortality (all causes)</v>
      </c>
      <c r="E125" s="552">
        <f>'Insulation Base'!E144-'Insulation Base'!$G128*E$120*100</f>
        <v>645.70699999999999</v>
      </c>
      <c r="F125" s="552"/>
      <c r="G125" s="247">
        <f>'Insulation Base'!F144-'Insulation Base'!$G128*G$120*100</f>
        <v>679.17438830000003</v>
      </c>
      <c r="H125" s="247">
        <f>'Insulation Base'!G144-'Insulation Base'!$G128*H$120*100</f>
        <v>714.50425550747002</v>
      </c>
      <c r="I125" s="247">
        <f>'Insulation Base'!H144-'Insulation Base'!$G128*I$120*100</f>
        <v>751.80475603667503</v>
      </c>
      <c r="J125" s="247">
        <f>'Insulation Base'!I144-'Insulation Base'!$G128*J$120*100</f>
        <v>791.19047278917253</v>
      </c>
      <c r="K125" s="247">
        <f>'Insulation Base'!J144-'Insulation Base'!$G128*K$120*100</f>
        <v>832.78280390519319</v>
      </c>
      <c r="L125" s="247">
        <f>'Insulation Base'!K144-'Insulation Base'!$G128*L$120*100</f>
        <v>876.71037292587414</v>
      </c>
      <c r="M125" s="247">
        <f>'Insulation Base'!L144-'Insulation Base'!$G128*M$120*100</f>
        <v>923.10946378780034</v>
      </c>
      <c r="N125" s="247">
        <f>'Insulation Base'!M144-'Insulation Base'!$G128*N$120*100</f>
        <v>972.12448215773998</v>
      </c>
      <c r="O125" s="247">
        <f>'Insulation Base'!N144-'Insulation Base'!$G128*O$120*100</f>
        <v>1023.9084447071668</v>
      </c>
      <c r="P125" s="247">
        <f>'Insulation Base'!O144-'Insulation Base'!$G128*P$120*100</f>
        <v>1078.6234980234344</v>
      </c>
      <c r="Q125" s="247">
        <f>'Insulation Base'!P144-'Insulation Base'!$G128*Q$120*100</f>
        <v>1136.4414689576706</v>
      </c>
      <c r="R125" s="247">
        <f>'Insulation Base'!Q144-'Insulation Base'!$G128*R$120*100</f>
        <v>1197.5444483189403</v>
      </c>
      <c r="S125" s="247">
        <f>'Insulation Base'!R144-'Insulation Base'!$G128*S$120*100</f>
        <v>1262.1254099403636</v>
      </c>
      <c r="T125" s="247">
        <f>'Insulation Base'!S144-'Insulation Base'!$G128*T$120*100</f>
        <v>1330.3888672660958</v>
      </c>
      <c r="U125" s="247">
        <f>'Insulation Base'!T144-'Insulation Base'!$G128*U$120*100</f>
        <v>1402.5515697387757</v>
      </c>
    </row>
    <row r="126" spans="1:21" ht="15">
      <c r="A126" s="476"/>
      <c r="D126" s="69" t="str">
        <f>'Insulation Base'!D145</f>
        <v>Chronic bronchitis</v>
      </c>
      <c r="E126" s="552">
        <f>'Insulation Base'!E145-'Insulation Base'!$G129*E$120*100</f>
        <v>401.39100000000002</v>
      </c>
      <c r="F126" s="552"/>
      <c r="G126" s="247">
        <f>'Insulation Base'!F145-'Insulation Base'!$G129*G$120*100</f>
        <v>425.12490889999998</v>
      </c>
      <c r="H126" s="247">
        <f>'Insulation Base'!G145-'Insulation Base'!$G129*H$120*100</f>
        <v>450.28288876201003</v>
      </c>
      <c r="I126" s="247">
        <f>'Insulation Base'!H145-'Insulation Base'!$G129*I$120*100</f>
        <v>476.95102578491651</v>
      </c>
      <c r="J126" s="247">
        <f>'Insulation Base'!I145-'Insulation Base'!$G129*J$120*100</f>
        <v>505.22062962543691</v>
      </c>
      <c r="K126" s="247">
        <f>'Insulation Base'!J145-'Insulation Base'!$G129*K$120*100</f>
        <v>535.18855093095158</v>
      </c>
      <c r="L126" s="247">
        <f>'Insulation Base'!K145-'Insulation Base'!$G129*L$120*100</f>
        <v>566.9575181928119</v>
      </c>
      <c r="M126" s="247">
        <f>'Insulation Base'!L145-'Insulation Base'!$G129*M$120*100</f>
        <v>600.63649509622462</v>
      </c>
      <c r="N126" s="247">
        <f>'Insulation Base'!M145-'Insulation Base'!$G129*N$120*100</f>
        <v>636.34105961441901</v>
      </c>
      <c r="O126" s="247">
        <f>'Insulation Base'!N145-'Insulation Base'!$G129*O$120*100</f>
        <v>674.19380617077661</v>
      </c>
      <c r="P126" s="247">
        <f>'Insulation Base'!O145-'Insulation Base'!$G129*P$120*100</f>
        <v>714.32477227319157</v>
      </c>
      <c r="Q126" s="247">
        <f>'Insulation Base'!P145-'Insulation Base'!$G129*Q$120*100</f>
        <v>756.87189111044199</v>
      </c>
      <c r="R126" s="247">
        <f>'Insulation Base'!Q145-'Insulation Base'!$G129*R$120*100</f>
        <v>801.9814716910555</v>
      </c>
      <c r="S126" s="247">
        <f>'Insulation Base'!R145-'Insulation Base'!$G129*S$120*100</f>
        <v>849.80870820138807</v>
      </c>
      <c r="T126" s="247">
        <f>'Insulation Base'!S145-'Insulation Base'!$G129*T$120*100</f>
        <v>900.51822036173019</v>
      </c>
      <c r="U126" s="247">
        <f>'Insulation Base'!T145-'Insulation Base'!$G129*U$120*100</f>
        <v>954.28462666756343</v>
      </c>
    </row>
    <row r="127" spans="1:21" ht="15">
      <c r="A127" s="476"/>
      <c r="D127" s="69" t="str">
        <f>'Insulation Base'!D146</f>
        <v>Admissions (RD)</v>
      </c>
      <c r="E127" s="552">
        <f>'Insulation Base'!E146-'Insulation Base'!$G130*E$120*100</f>
        <v>782.28499999999997</v>
      </c>
      <c r="F127" s="552"/>
      <c r="G127" s="247">
        <f>'Insulation Base'!F146-'Insulation Base'!$G130*G$120*100</f>
        <v>832.5253614999998</v>
      </c>
      <c r="H127" s="247">
        <f>'Insulation Base'!G146-'Insulation Base'!$G130*H$120*100</f>
        <v>885.90333716534997</v>
      </c>
      <c r="I127" s="247">
        <f>'Insulation Base'!H146-'Insulation Base'!$G130*I$120*100</f>
        <v>942.61234698322005</v>
      </c>
      <c r="J127" s="247">
        <f>'Insulation Base'!I146-'Insulation Base'!$G130*J$120*100</f>
        <v>1002.857660396533</v>
      </c>
      <c r="K127" s="247">
        <f>'Insulation Base'!J146-'Insulation Base'!$G130*K$120*100</f>
        <v>1066.8571200411782</v>
      </c>
      <c r="L127" s="247">
        <f>'Insulation Base'!K146-'Insulation Base'!$G130*L$120*100</f>
        <v>1134.8419096219768</v>
      </c>
      <c r="M127" s="247">
        <f>'Insulation Base'!L146-'Insulation Base'!$G130*M$120*100</f>
        <v>1207.057368617355</v>
      </c>
      <c r="N127" s="247">
        <f>'Insulation Base'!M146-'Insulation Base'!$G130*N$120*100</f>
        <v>1283.7638566665337</v>
      </c>
      <c r="O127" s="247">
        <f>'Insulation Base'!N146-'Insulation Base'!$G130*O$120*100</f>
        <v>1365.2376706669186</v>
      </c>
      <c r="P127" s="247">
        <f>'Insulation Base'!O146-'Insulation Base'!$G130*P$120*100</f>
        <v>1451.7720177938088</v>
      </c>
      <c r="Q127" s="247">
        <f>'Insulation Base'!P146-'Insulation Base'!$G130*Q$120*100</f>
        <v>1543.6780478502249</v>
      </c>
      <c r="R127" s="247">
        <f>'Insulation Base'!Q146-'Insulation Base'!$G130*R$120*100</f>
        <v>1641.2859485622603</v>
      </c>
      <c r="S127" s="247">
        <f>'Insulation Base'!R146-'Insulation Base'!$G130*S$120*100</f>
        <v>1744.9461076555974</v>
      </c>
      <c r="T127" s="247">
        <f>'Insulation Base'!S146-'Insulation Base'!$G130*T$120*100</f>
        <v>1855.0303457824955</v>
      </c>
      <c r="U127" s="247">
        <f>'Insulation Base'!T146-'Insulation Base'!$G130*U$120*100</f>
        <v>1971.9332246164415</v>
      </c>
    </row>
    <row r="128" spans="1:21" ht="15">
      <c r="A128" s="476"/>
      <c r="D128" s="69" t="str">
        <f>'Insulation Base'!D147</f>
        <v>Admissions (CVD)</v>
      </c>
      <c r="E128" s="552">
        <f>'Insulation Base'!E147-'Insulation Base'!$G131*E$120*100</f>
        <v>476.99300000000005</v>
      </c>
      <c r="F128" s="552"/>
      <c r="G128" s="247">
        <f>'Insulation Base'!F147-'Insulation Base'!$G131*G$120*100</f>
        <v>507.80296769999995</v>
      </c>
      <c r="H128" s="247">
        <f>'Insulation Base'!G147-'Insulation Base'!$G131*H$120*100</f>
        <v>540.54209525293004</v>
      </c>
      <c r="I128" s="247">
        <f>'Insulation Base'!H147-'Insulation Base'!$G131*I$120*100</f>
        <v>575.32945347843361</v>
      </c>
      <c r="J128" s="247">
        <f>'Insulation Base'!I147-'Insulation Base'!$G131*J$120*100</f>
        <v>612.29141215860807</v>
      </c>
      <c r="K128" s="247">
        <f>'Insulation Base'!J147-'Insulation Base'!$G131*K$120*100</f>
        <v>651.56208597130558</v>
      </c>
      <c r="L128" s="247">
        <f>'Insulation Base'!K147-'Insulation Base'!$G131*L$120*100</f>
        <v>693.28380762356346</v>
      </c>
      <c r="M128" s="247">
        <f>'Insulation Base'!L147-'Insulation Base'!$G131*M$120*100</f>
        <v>737.60762984294183</v>
      </c>
      <c r="N128" s="247">
        <f>'Insulation Base'!M147-'Insulation Base'!$G131*N$120*100</f>
        <v>784.69385798553367</v>
      </c>
      <c r="O128" s="247">
        <f>'Insulation Base'!N147-'Insulation Base'!$G131*O$120*100</f>
        <v>834.71261512656395</v>
      </c>
      <c r="P128" s="247">
        <f>'Insulation Base'!O147-'Insulation Base'!$G131*P$120*100</f>
        <v>887.84444161317435</v>
      </c>
      <c r="Q128" s="247">
        <f>'Insulation Base'!P147-'Insulation Base'!$G131*Q$120*100</f>
        <v>944.28093117958122</v>
      </c>
      <c r="R128" s="247">
        <f>'Insulation Base'!Q147-'Insulation Base'!$G131*R$120*100</f>
        <v>1004.2254058527476</v>
      </c>
      <c r="S128" s="247">
        <f>'Insulation Base'!R147-'Insulation Base'!$G131*S$120*100</f>
        <v>1067.8936320124396</v>
      </c>
      <c r="T128" s="247">
        <f>'Insulation Base'!S147-'Insulation Base'!$G131*T$120*100</f>
        <v>1135.5145801135545</v>
      </c>
      <c r="U128" s="247">
        <f>'Insulation Base'!T147-'Insulation Base'!$G131*U$120*100</f>
        <v>1207.331230731374</v>
      </c>
    </row>
    <row r="129" spans="1:21">
      <c r="A129" s="476"/>
      <c r="C129" s="284" t="str">
        <f>'Insulation Base'!C148</f>
        <v>Health damage attributable to PM emissions (USD millions)</v>
      </c>
    </row>
    <row r="130" spans="1:21" ht="15">
      <c r="A130" s="476"/>
      <c r="D130" s="69" t="str">
        <f>'Insulation Base'!D149</f>
        <v>Mortality (all causes)</v>
      </c>
      <c r="E130" s="571">
        <f>E125*'Insulation Base'!$K128/1000000</f>
        <v>129.22727903099999</v>
      </c>
      <c r="F130" s="571"/>
      <c r="G130" s="340">
        <f>G125*'Insulation Base'!$K128/1000000</f>
        <v>135.92520785364388</v>
      </c>
      <c r="H130" s="340">
        <f>H125*'Insulation Base'!$K128/1000000</f>
        <v>142.99588016747651</v>
      </c>
      <c r="I130" s="340">
        <f>I125*'Insulation Base'!$K128/1000000</f>
        <v>150.46094123988789</v>
      </c>
      <c r="J130" s="340">
        <f>J125*'Insulation Base'!$K128/1000000</f>
        <v>158.34332289071548</v>
      </c>
      <c r="K130" s="340">
        <f>K125*'Insulation Base'!$K128/1000000</f>
        <v>166.66732089395802</v>
      </c>
      <c r="L130" s="340">
        <f>L125*'Insulation Base'!$K128/1000000</f>
        <v>175.45867706477398</v>
      </c>
      <c r="M130" s="340">
        <f>M125*'Insulation Base'!$K128/1000000</f>
        <v>184.74466631624387</v>
      </c>
      <c r="N130" s="340">
        <f>N125*'Insulation Base'!$K128/1000000</f>
        <v>194.55418898767499</v>
      </c>
      <c r="O130" s="340">
        <f>O125*'Insulation Base'!$K128/1000000</f>
        <v>204.91786876457942</v>
      </c>
      <c r="P130" s="340">
        <f>P125*'Insulation Base'!$K128/1000000</f>
        <v>215.86815652992399</v>
      </c>
      <c r="Q130" s="340">
        <f>Q125*'Insulation Base'!$K128/1000000</f>
        <v>227.4394405069055</v>
      </c>
      <c r="R130" s="340">
        <f>R125*'Insulation Base'!$K128/1000000</f>
        <v>239.66816307541447</v>
      </c>
      <c r="S130" s="340">
        <f>S125*'Insulation Base'!$K128/1000000</f>
        <v>252.59294466759479</v>
      </c>
      <c r="T130" s="340">
        <f>T125*'Insulation Base'!$K128/1000000</f>
        <v>266.25471517256557</v>
      </c>
      <c r="U130" s="340">
        <f>U125*'Insulation Base'!$K128/1000000</f>
        <v>280.69685330653044</v>
      </c>
    </row>
    <row r="131" spans="1:21" ht="15">
      <c r="A131" s="476"/>
      <c r="D131" s="69" t="str">
        <f>'Insulation Base'!D150</f>
        <v>Chronic bronchitis</v>
      </c>
      <c r="E131" s="571">
        <f>E126*'Insulation Base'!$K129/1000000</f>
        <v>25.705882422000002</v>
      </c>
      <c r="F131" s="571"/>
      <c r="G131" s="340">
        <f>G126*'Insulation Base'!$K129/1000000</f>
        <v>27.225849415773798</v>
      </c>
      <c r="H131" s="340">
        <f>H126*'Insulation Base'!$K129/1000000</f>
        <v>28.837016762096646</v>
      </c>
      <c r="I131" s="340">
        <f>I126*'Insulation Base'!$K129/1000000</f>
        <v>30.544897593317625</v>
      </c>
      <c r="J131" s="340">
        <f>J126*'Insulation Base'!$K129/1000000</f>
        <v>32.355339562472231</v>
      </c>
      <c r="K131" s="340">
        <f>K126*'Insulation Base'!$K129/1000000</f>
        <v>34.274545178719997</v>
      </c>
      <c r="L131" s="340">
        <f>L126*'Insulation Base'!$K129/1000000</f>
        <v>36.309093380104059</v>
      </c>
      <c r="M131" s="340">
        <f>M126*'Insulation Base'!$K129/1000000</f>
        <v>38.465962418952422</v>
      </c>
      <c r="N131" s="340">
        <f>N126*'Insulation Base'!$K129/1000000</f>
        <v>40.752554139826628</v>
      </c>
      <c r="O131" s="340">
        <f>O126*'Insulation Base'!$K129/1000000</f>
        <v>43.176719734788875</v>
      </c>
      <c r="P131" s="340">
        <f>P126*'Insulation Base'!$K129/1000000</f>
        <v>45.746787065919733</v>
      </c>
      <c r="Q131" s="340">
        <f>Q126*'Insulation Base'!$K129/1000000</f>
        <v>48.471589650494927</v>
      </c>
      <c r="R131" s="340">
        <f>R126*'Insulation Base'!$K129/1000000</f>
        <v>51.360497410038576</v>
      </c>
      <c r="S131" s="340">
        <f>S126*'Insulation Base'!$K129/1000000</f>
        <v>54.4234492906333</v>
      </c>
      <c r="T131" s="340">
        <f>T126*'Insulation Base'!$K129/1000000</f>
        <v>57.670987868405923</v>
      </c>
      <c r="U131" s="340">
        <f>U126*'Insulation Base'!$K129/1000000</f>
        <v>61.114296061044094</v>
      </c>
    </row>
    <row r="132" spans="1:21" ht="15">
      <c r="A132" s="476"/>
      <c r="D132" s="69" t="str">
        <f>'Insulation Base'!D151</f>
        <v>Admissions (RD)</v>
      </c>
      <c r="E132" s="571">
        <f>E127*'Insulation Base'!$K130/1000000</f>
        <v>0.62582800000000005</v>
      </c>
      <c r="F132" s="571"/>
      <c r="G132" s="340">
        <f>G127*'Insulation Base'!$K130/1000000</f>
        <v>0.66602028919999989</v>
      </c>
      <c r="H132" s="340">
        <f>H127*'Insulation Base'!$K130/1000000</f>
        <v>0.70872266973227993</v>
      </c>
      <c r="I132" s="340">
        <f>I127*'Insulation Base'!$K130/1000000</f>
        <v>0.75408987758657609</v>
      </c>
      <c r="J132" s="340">
        <f>J127*'Insulation Base'!$K130/1000000</f>
        <v>0.80228612831722645</v>
      </c>
      <c r="K132" s="340">
        <f>K127*'Insulation Base'!$K130/1000000</f>
        <v>0.85348569603294255</v>
      </c>
      <c r="L132" s="340">
        <f>L127*'Insulation Base'!$K130/1000000</f>
        <v>0.90787352769758145</v>
      </c>
      <c r="M132" s="340">
        <f>M127*'Insulation Base'!$K130/1000000</f>
        <v>0.96564589489388397</v>
      </c>
      <c r="N132" s="340">
        <f>N127*'Insulation Base'!$K130/1000000</f>
        <v>1.027011085333227</v>
      </c>
      <c r="O132" s="340">
        <f>O127*'Insulation Base'!$K130/1000000</f>
        <v>1.0921901365335349</v>
      </c>
      <c r="P132" s="340">
        <f>P127*'Insulation Base'!$K130/1000000</f>
        <v>1.161417614235047</v>
      </c>
      <c r="Q132" s="340">
        <f>Q127*'Insulation Base'!$K130/1000000</f>
        <v>1.2349424382801799</v>
      </c>
      <c r="R132" s="340">
        <f>R127*'Insulation Base'!$K130/1000000</f>
        <v>1.3130287588498082</v>
      </c>
      <c r="S132" s="340">
        <f>S127*'Insulation Base'!$K130/1000000</f>
        <v>1.395956886124478</v>
      </c>
      <c r="T132" s="340">
        <f>T127*'Insulation Base'!$K130/1000000</f>
        <v>1.4840242766259966</v>
      </c>
      <c r="U132" s="340">
        <f>U127*'Insulation Base'!$K130/1000000</f>
        <v>1.5775465796931534</v>
      </c>
    </row>
    <row r="133" spans="1:21" ht="15">
      <c r="A133" s="476"/>
      <c r="D133" s="69" t="str">
        <f>'Insulation Base'!D152</f>
        <v>Admissions (CVD)</v>
      </c>
      <c r="E133" s="571">
        <f>E128*'Insulation Base'!$K131/1000000</f>
        <v>0.6200909</v>
      </c>
      <c r="F133" s="571"/>
      <c r="G133" s="340">
        <f>G128*'Insulation Base'!$K131/1000000</f>
        <v>0.66014385800999997</v>
      </c>
      <c r="H133" s="340">
        <f>H128*'Insulation Base'!$K131/1000000</f>
        <v>0.70270472382880911</v>
      </c>
      <c r="I133" s="340">
        <f>I128*'Insulation Base'!$K131/1000000</f>
        <v>0.74792828952196366</v>
      </c>
      <c r="J133" s="340">
        <f>J128*'Insulation Base'!$K131/1000000</f>
        <v>0.79597883580619055</v>
      </c>
      <c r="K133" s="340">
        <f>K128*'Insulation Base'!$K131/1000000</f>
        <v>0.84703071176269717</v>
      </c>
      <c r="L133" s="340">
        <f>L128*'Insulation Base'!$K131/1000000</f>
        <v>0.90126894991063244</v>
      </c>
      <c r="M133" s="340">
        <f>M128*'Insulation Base'!$K131/1000000</f>
        <v>0.95888991879582441</v>
      </c>
      <c r="N133" s="340">
        <f>N128*'Insulation Base'!$K131/1000000</f>
        <v>1.0201020153811937</v>
      </c>
      <c r="O133" s="340">
        <f>O128*'Insulation Base'!$K131/1000000</f>
        <v>1.0851263996645331</v>
      </c>
      <c r="P133" s="340">
        <f>P128*'Insulation Base'!$K131/1000000</f>
        <v>1.1541977740971268</v>
      </c>
      <c r="Q133" s="340">
        <f>Q128*'Insulation Base'!$K131/1000000</f>
        <v>1.2275652105334556</v>
      </c>
      <c r="R133" s="340">
        <f>R128*'Insulation Base'!$K131/1000000</f>
        <v>1.3054930276085719</v>
      </c>
      <c r="S133" s="340">
        <f>S128*'Insulation Base'!$K131/1000000</f>
        <v>1.3882617216161715</v>
      </c>
      <c r="T133" s="340">
        <f>T128*'Insulation Base'!$K131/1000000</f>
        <v>1.4761689541476208</v>
      </c>
      <c r="U133" s="340">
        <f>U128*'Insulation Base'!$K131/1000000</f>
        <v>1.5695305999507863</v>
      </c>
    </row>
    <row r="134" spans="1:21">
      <c r="A134" s="476"/>
      <c r="B134" s="331"/>
      <c r="C134" s="331"/>
      <c r="D134" s="330" t="str">
        <f>'Insulation Base'!D153</f>
        <v>Total</v>
      </c>
      <c r="E134" s="573">
        <f t="shared" ref="E134:L134" si="35">SUM(E130:E133)</f>
        <v>156.17908035300002</v>
      </c>
      <c r="F134" s="573"/>
      <c r="G134" s="341">
        <f t="shared" si="35"/>
        <v>164.47722141662769</v>
      </c>
      <c r="H134" s="341">
        <f t="shared" si="35"/>
        <v>173.24432432313426</v>
      </c>
      <c r="I134" s="341">
        <f t="shared" si="35"/>
        <v>182.50785700031403</v>
      </c>
      <c r="J134" s="341">
        <f t="shared" si="35"/>
        <v>192.29692741731114</v>
      </c>
      <c r="K134" s="341">
        <f t="shared" si="35"/>
        <v>202.64238248047366</v>
      </c>
      <c r="L134" s="342">
        <f t="shared" si="35"/>
        <v>213.57691292248626</v>
      </c>
      <c r="M134" s="342">
        <f t="shared" ref="M134:U134" si="36">SUM(M130:M133)</f>
        <v>225.135164548886</v>
      </c>
      <c r="N134" s="342">
        <f t="shared" si="36"/>
        <v>237.35385622821602</v>
      </c>
      <c r="O134" s="342">
        <f t="shared" si="36"/>
        <v>250.27190503556636</v>
      </c>
      <c r="P134" s="342">
        <f t="shared" si="36"/>
        <v>263.93055898417589</v>
      </c>
      <c r="Q134" s="342">
        <f t="shared" si="36"/>
        <v>278.37353780621407</v>
      </c>
      <c r="R134" s="342">
        <f t="shared" si="36"/>
        <v>293.64718227191139</v>
      </c>
      <c r="S134" s="342">
        <f t="shared" si="36"/>
        <v>309.80061256596872</v>
      </c>
      <c r="T134" s="342">
        <f t="shared" si="36"/>
        <v>326.88589627174508</v>
      </c>
      <c r="U134" s="342">
        <f t="shared" si="36"/>
        <v>344.95822654721849</v>
      </c>
    </row>
    <row r="135" spans="1:21">
      <c r="A135" s="476"/>
      <c r="E135" s="559"/>
      <c r="F135" s="559"/>
    </row>
    <row r="136" spans="1:21" ht="15.75">
      <c r="A136" s="476"/>
      <c r="B136" s="300"/>
      <c r="C136" s="300" t="s">
        <v>366</v>
      </c>
      <c r="D136" s="301"/>
      <c r="E136" s="572"/>
      <c r="F136" s="572"/>
      <c r="G136" s="301"/>
      <c r="H136" s="301"/>
      <c r="I136" s="301"/>
      <c r="J136" s="301"/>
      <c r="K136" s="301"/>
      <c r="L136" s="301"/>
      <c r="M136" s="301"/>
      <c r="N136" s="301"/>
      <c r="O136" s="301"/>
      <c r="P136" s="301"/>
      <c r="Q136" s="301"/>
      <c r="R136" s="301"/>
      <c r="S136" s="301"/>
      <c r="T136" s="301"/>
      <c r="U136" s="301"/>
    </row>
    <row r="137" spans="1:21">
      <c r="A137" s="476"/>
      <c r="B137" s="339" t="s">
        <v>7</v>
      </c>
      <c r="C137" s="243"/>
      <c r="D137" s="243"/>
      <c r="E137" s="547">
        <v>2008</v>
      </c>
      <c r="F137" s="547"/>
      <c r="G137" s="244">
        <v>2009</v>
      </c>
      <c r="H137" s="244">
        <v>2010</v>
      </c>
      <c r="I137" s="244">
        <v>2011</v>
      </c>
      <c r="J137" s="244">
        <v>2012</v>
      </c>
      <c r="K137" s="244">
        <v>2013</v>
      </c>
      <c r="L137" s="69">
        <v>2014</v>
      </c>
      <c r="M137" s="69">
        <v>2015</v>
      </c>
      <c r="N137" s="69">
        <v>2016</v>
      </c>
      <c r="O137" s="69">
        <v>2017</v>
      </c>
      <c r="P137" s="69">
        <v>2018</v>
      </c>
      <c r="Q137" s="69">
        <v>2019</v>
      </c>
      <c r="R137" s="69">
        <v>2020</v>
      </c>
      <c r="S137" s="69">
        <v>2021</v>
      </c>
      <c r="T137" s="69">
        <v>2022</v>
      </c>
      <c r="U137" s="69">
        <v>2023</v>
      </c>
    </row>
    <row r="138" spans="1:21">
      <c r="A138" s="476"/>
      <c r="B138" s="284"/>
      <c r="C138" s="343" t="s">
        <v>288</v>
      </c>
      <c r="E138" s="559"/>
      <c r="F138" s="559"/>
      <c r="G138" s="264"/>
      <c r="H138" s="264"/>
      <c r="I138" s="264"/>
      <c r="J138" s="264"/>
      <c r="K138" s="264"/>
    </row>
    <row r="139" spans="1:21" ht="15">
      <c r="A139" s="476"/>
      <c r="B139" s="284"/>
      <c r="C139" s="264"/>
      <c r="D139" s="69" t="s">
        <v>289</v>
      </c>
      <c r="E139" s="566">
        <f>'Insulation Base'!E178</f>
        <v>41212.406178527825</v>
      </c>
      <c r="F139" s="566"/>
      <c r="G139" s="310">
        <f>'Insulation Base'!F178</f>
        <v>43866.788506968318</v>
      </c>
      <c r="H139" s="310">
        <f>'Insulation Base'!G178</f>
        <v>46687.159122975885</v>
      </c>
      <c r="I139" s="310">
        <f>'Insulation Base'!H178</f>
        <v>49683.75680537631</v>
      </c>
      <c r="J139" s="310">
        <f>'Insulation Base'!I178</f>
        <v>52867.44777738925</v>
      </c>
      <c r="K139" s="310">
        <f>'Insulation Base'!J178</f>
        <v>56249.764035074753</v>
      </c>
      <c r="L139" s="310">
        <f>'Insulation Base'!K178</f>
        <v>59842.944013494583</v>
      </c>
      <c r="M139" s="310">
        <f>'Insulation Base'!L178</f>
        <v>63659.975733060688</v>
      </c>
      <c r="N139" s="310">
        <f>'Insulation Base'!M178</f>
        <v>67714.642577222708</v>
      </c>
      <c r="O139" s="310">
        <f>'Insulation Base'!N178</f>
        <v>72021.57186185474</v>
      </c>
      <c r="P139" s="310">
        <f>'Insulation Base'!O178</f>
        <v>76596.28636647122</v>
      </c>
      <c r="Q139" s="310">
        <f>'Insulation Base'!P178</f>
        <v>81455.259007765737</v>
      </c>
      <c r="R139" s="310">
        <f>'Insulation Base'!Q178</f>
        <v>86615.970846962417</v>
      </c>
      <c r="S139" s="310">
        <f>'Insulation Base'!R178</f>
        <v>92096.972634134872</v>
      </c>
      <c r="T139" s="310">
        <f>'Insulation Base'!S178</f>
        <v>97917.950105023905</v>
      </c>
      <c r="U139" s="310">
        <f>'Insulation Base'!T178</f>
        <v>104099.79325901419</v>
      </c>
    </row>
    <row r="140" spans="1:21" ht="15">
      <c r="A140" s="476"/>
      <c r="B140" s="284"/>
      <c r="D140" s="69" t="s">
        <v>290</v>
      </c>
      <c r="E140" s="566">
        <f>'Insulation Base'!E179</f>
        <v>22339.46173519584</v>
      </c>
      <c r="F140" s="566"/>
      <c r="G140" s="310">
        <f>'Insulation Base'!F179</f>
        <v>23558.741329491775</v>
      </c>
      <c r="H140" s="310">
        <f>'Insulation Base'!G179</f>
        <v>24848.039242319002</v>
      </c>
      <c r="I140" s="310">
        <f>'Insulation Base'!H179</f>
        <v>26211.492515013255</v>
      </c>
      <c r="J140" s="310">
        <f>'Insulation Base'!I179</f>
        <v>27653.486322499688</v>
      </c>
      <c r="K140" s="310">
        <f>'Insulation Base'!J179</f>
        <v>29178.668970261711</v>
      </c>
      <c r="L140" s="310">
        <f>'Insulation Base'!K179</f>
        <v>30791.967801194103</v>
      </c>
      <c r="M140" s="310">
        <f>'Insulation Base'!L179</f>
        <v>32498.606067649573</v>
      </c>
      <c r="N140" s="310">
        <f>'Insulation Base'!M179</f>
        <v>34304.120827353072</v>
      </c>
      <c r="O140" s="310">
        <f>'Insulation Base'!N179</f>
        <v>36214.381925428017</v>
      </c>
      <c r="P140" s="310">
        <f>'Insulation Base'!O179</f>
        <v>38235.612128566398</v>
      </c>
      <c r="Q140" s="310">
        <f>'Insulation Base'!P179</f>
        <v>40374.408481392296</v>
      </c>
      <c r="R140" s="310">
        <f>'Insulation Base'!Q179</f>
        <v>42637.764959331187</v>
      </c>
      <c r="S140" s="310">
        <f>'Insulation Base'!R179</f>
        <v>45033.096496819227</v>
      </c>
      <c r="T140" s="310">
        <f>'Insulation Base'!S179</f>
        <v>47568.264474484218</v>
      </c>
      <c r="U140" s="310">
        <f>'Insulation Base'!T179</f>
        <v>50251.603754019277</v>
      </c>
    </row>
    <row r="141" spans="1:21" ht="15">
      <c r="A141" s="476"/>
      <c r="B141" s="284"/>
      <c r="C141" s="284" t="s">
        <v>291</v>
      </c>
      <c r="E141" s="566"/>
      <c r="F141" s="566"/>
      <c r="G141" s="310"/>
      <c r="H141" s="310"/>
      <c r="I141" s="310"/>
      <c r="J141" s="310"/>
      <c r="K141" s="310"/>
      <c r="L141" s="310"/>
      <c r="M141" s="310"/>
      <c r="N141" s="310"/>
      <c r="O141" s="310"/>
      <c r="P141" s="310"/>
      <c r="Q141" s="310"/>
      <c r="R141" s="310"/>
      <c r="S141" s="310"/>
      <c r="T141" s="310"/>
      <c r="U141" s="310"/>
    </row>
    <row r="142" spans="1:21" ht="15">
      <c r="A142" s="476"/>
      <c r="B142" s="284"/>
      <c r="D142" s="69" t="s">
        <v>292</v>
      </c>
      <c r="E142" s="565">
        <f>'Insulation Base'!E181</f>
        <v>3.2011525441140884</v>
      </c>
      <c r="F142" s="565"/>
      <c r="G142" s="312">
        <f>'Insulation Base'!F181</f>
        <v>3.4073303321066244</v>
      </c>
      <c r="H142" s="312">
        <f>'Insulation Base'!G181</f>
        <v>3.6264011753295846</v>
      </c>
      <c r="I142" s="312">
        <f>'Insulation Base'!H181</f>
        <v>3.8591603656847537</v>
      </c>
      <c r="J142" s="312">
        <f>'Insulation Base'!I181</f>
        <v>4.1064519314958803</v>
      </c>
      <c r="K142" s="312">
        <f>'Insulation Base'!J181</f>
        <v>4.3691716146511324</v>
      </c>
      <c r="L142" s="312">
        <f>'Insulation Base'!K181</f>
        <v>4.6482700293263548</v>
      </c>
      <c r="M142" s="312">
        <f>'Insulation Base'!L181</f>
        <v>4.9447560133555868</v>
      </c>
      <c r="N142" s="312">
        <f>'Insulation Base'!M181</f>
        <v>5.259700183989497</v>
      </c>
      <c r="O142" s="312">
        <f>'Insulation Base'!N181</f>
        <v>5.5942387104976277</v>
      </c>
      <c r="P142" s="312">
        <f>'Insulation Base'!O181</f>
        <v>5.949577316829199</v>
      </c>
      <c r="Q142" s="312">
        <f>'Insulation Base'!P181</f>
        <v>6.3269955283522297</v>
      </c>
      <c r="R142" s="312">
        <f>'Insulation Base'!Q181</f>
        <v>6.7278511775448591</v>
      </c>
      <c r="S142" s="312">
        <f>'Insulation Base'!R181</f>
        <v>7.1535851844187999</v>
      </c>
      <c r="T142" s="312">
        <f>'Insulation Base'!S181</f>
        <v>7.6057266284162077</v>
      </c>
      <c r="U142" s="312">
        <f>'Insulation Base'!T181</f>
        <v>8.0858981295410448</v>
      </c>
    </row>
    <row r="143" spans="1:21" ht="15">
      <c r="A143" s="476"/>
      <c r="B143" s="339"/>
      <c r="C143" s="243"/>
      <c r="D143" s="243" t="s">
        <v>293</v>
      </c>
      <c r="E143" s="569">
        <f>'Insulation Base'!E182</f>
        <v>49.22269061974869</v>
      </c>
      <c r="F143" s="569"/>
      <c r="G143" s="311">
        <f>'Insulation Base'!F182</f>
        <v>51.733865347757579</v>
      </c>
      <c r="H143" s="311">
        <f>'Insulation Base'!G182</f>
        <v>55.244410842115293</v>
      </c>
      <c r="I143" s="311">
        <f>'Insulation Base'!H182</f>
        <v>59.950159262057923</v>
      </c>
      <c r="J143" s="311">
        <f>'Insulation Base'!I182</f>
        <v>68.34938007114765</v>
      </c>
      <c r="K143" s="311">
        <f>'Insulation Base'!J182</f>
        <v>79.140119675530897</v>
      </c>
      <c r="L143" s="312">
        <f>'Insulation Base'!K182</f>
        <v>85.959464767682547</v>
      </c>
      <c r="M143" s="312">
        <f>'Insulation Base'!L182</f>
        <v>93.724063500058605</v>
      </c>
      <c r="N143" s="312">
        <f>'Insulation Base'!M182</f>
        <v>102.2027982499408</v>
      </c>
      <c r="O143" s="312">
        <f>'Insulation Base'!N182</f>
        <v>111.46221984126801</v>
      </c>
      <c r="P143" s="312">
        <f>'Insulation Base'!O182</f>
        <v>121.57513913742005</v>
      </c>
      <c r="Q143" s="312">
        <f>'Insulation Base'!P182</f>
        <v>132.62121972098046</v>
      </c>
      <c r="R143" s="312">
        <f>'Insulation Base'!Q182</f>
        <v>144.68762693716144</v>
      </c>
      <c r="S143" s="312">
        <f>'Insulation Base'!R182</f>
        <v>157.86973867734088</v>
      </c>
      <c r="T143" s="312">
        <f>'Insulation Base'!S182</f>
        <v>172.27192379306578</v>
      </c>
      <c r="U143" s="312">
        <f>'Insulation Base'!T182</f>
        <v>188.00839459397187</v>
      </c>
    </row>
    <row r="144" spans="1:21" ht="15">
      <c r="A144" s="476"/>
      <c r="B144" s="284"/>
      <c r="C144" s="255"/>
      <c r="D144" s="255"/>
      <c r="E144" s="570"/>
      <c r="F144" s="570"/>
      <c r="G144" s="312"/>
      <c r="H144" s="312"/>
      <c r="I144" s="312"/>
      <c r="J144" s="312"/>
      <c r="K144" s="312"/>
      <c r="L144" s="312"/>
      <c r="M144" s="312"/>
      <c r="N144" s="312"/>
      <c r="O144" s="312"/>
      <c r="P144" s="312"/>
      <c r="Q144" s="312"/>
      <c r="R144" s="312"/>
      <c r="S144" s="312"/>
      <c r="T144" s="312"/>
      <c r="U144" s="312"/>
    </row>
    <row r="145" spans="1:21" ht="15">
      <c r="A145" s="476"/>
      <c r="B145" s="284" t="s">
        <v>333</v>
      </c>
      <c r="D145" s="255"/>
      <c r="E145" s="565"/>
      <c r="F145" s="565"/>
      <c r="G145" s="312"/>
      <c r="H145" s="312"/>
      <c r="I145" s="312"/>
      <c r="J145" s="312"/>
      <c r="K145" s="312"/>
      <c r="L145" s="312"/>
      <c r="M145" s="312"/>
      <c r="N145" s="312"/>
      <c r="O145" s="312"/>
      <c r="P145" s="312"/>
      <c r="Q145" s="312"/>
      <c r="R145" s="312"/>
      <c r="S145" s="312"/>
      <c r="T145" s="312"/>
      <c r="U145" s="312"/>
    </row>
    <row r="146" spans="1:21">
      <c r="A146" s="476"/>
      <c r="B146" s="284" t="s">
        <v>324</v>
      </c>
      <c r="D146" s="255"/>
      <c r="E146" s="553"/>
      <c r="F146" s="553"/>
    </row>
    <row r="147" spans="1:21" ht="15">
      <c r="A147" s="476"/>
      <c r="B147" s="284"/>
      <c r="C147" s="69" t="s">
        <v>325</v>
      </c>
      <c r="D147" s="255"/>
      <c r="E147" s="566">
        <f t="shared" ref="E147:U147" si="37">SUM(E67:E68)</f>
        <v>1899084.85</v>
      </c>
      <c r="F147" s="566"/>
      <c r="G147" s="310">
        <f t="shared" si="37"/>
        <v>1956057.3955000001</v>
      </c>
      <c r="H147" s="310">
        <f t="shared" si="37"/>
        <v>2014739.1173650001</v>
      </c>
      <c r="I147" s="310">
        <f t="shared" si="37"/>
        <v>2075181.2908859504</v>
      </c>
      <c r="J147" s="310">
        <f t="shared" si="37"/>
        <v>2137436.7296125288</v>
      </c>
      <c r="K147" s="310">
        <f t="shared" si="37"/>
        <v>2201559.8315009051</v>
      </c>
      <c r="L147" s="310">
        <f t="shared" si="37"/>
        <v>2267606.6264459323</v>
      </c>
      <c r="M147" s="310">
        <f t="shared" si="37"/>
        <v>2335634.8252393105</v>
      </c>
      <c r="N147" s="310">
        <f t="shared" si="37"/>
        <v>2405703.86999649</v>
      </c>
      <c r="O147" s="310">
        <f t="shared" si="37"/>
        <v>2477874.9860963849</v>
      </c>
      <c r="P147" s="310">
        <f t="shared" si="37"/>
        <v>2552211.2356792768</v>
      </c>
      <c r="Q147" s="310">
        <f t="shared" si="37"/>
        <v>2628777.5727496548</v>
      </c>
      <c r="R147" s="310">
        <f t="shared" si="37"/>
        <v>2707640.8999321442</v>
      </c>
      <c r="S147" s="310">
        <f t="shared" si="37"/>
        <v>2788870.1269301092</v>
      </c>
      <c r="T147" s="310">
        <f t="shared" si="37"/>
        <v>2872536.2307380121</v>
      </c>
      <c r="U147" s="310">
        <f t="shared" si="37"/>
        <v>2958712.3176601529</v>
      </c>
    </row>
    <row r="148" spans="1:21" ht="15">
      <c r="A148" s="476"/>
      <c r="B148" s="284"/>
      <c r="C148" s="69" t="s">
        <v>326</v>
      </c>
      <c r="D148" s="255"/>
      <c r="E148" s="566">
        <f t="shared" ref="E148:U148" si="38">SUM(E70:E71)</f>
        <v>11833450.76047555</v>
      </c>
      <c r="F148" s="566"/>
      <c r="G148" s="310">
        <f t="shared" si="38"/>
        <v>12188454.283289816</v>
      </c>
      <c r="H148" s="310">
        <f t="shared" si="38"/>
        <v>12554107.91178851</v>
      </c>
      <c r="I148" s="310">
        <f t="shared" si="38"/>
        <v>12930731.149142167</v>
      </c>
      <c r="J148" s="310">
        <f t="shared" si="38"/>
        <v>13318653.083616434</v>
      </c>
      <c r="K148" s="310">
        <f t="shared" si="38"/>
        <v>13718212.676124929</v>
      </c>
      <c r="L148" s="310">
        <f t="shared" si="38"/>
        <v>14129759.056408677</v>
      </c>
      <c r="M148" s="310">
        <f t="shared" si="38"/>
        <v>14553651.828100938</v>
      </c>
      <c r="N148" s="310">
        <f t="shared" si="38"/>
        <v>14990261.382943967</v>
      </c>
      <c r="O148" s="310">
        <f t="shared" si="38"/>
        <v>15439969.224432288</v>
      </c>
      <c r="P148" s="310">
        <f t="shared" si="38"/>
        <v>15903168.301165257</v>
      </c>
      <c r="Q148" s="310">
        <f t="shared" si="38"/>
        <v>16380263.350200215</v>
      </c>
      <c r="R148" s="310">
        <f t="shared" si="38"/>
        <v>16871671.250706222</v>
      </c>
      <c r="S148" s="310">
        <f t="shared" si="38"/>
        <v>17377821.388227411</v>
      </c>
      <c r="T148" s="310">
        <f t="shared" si="38"/>
        <v>17899156.029874232</v>
      </c>
      <c r="U148" s="310">
        <f t="shared" si="38"/>
        <v>18436130.710770458</v>
      </c>
    </row>
    <row r="149" spans="1:21" ht="15">
      <c r="A149" s="476"/>
      <c r="B149" s="327" t="s">
        <v>347</v>
      </c>
      <c r="C149" s="344"/>
      <c r="D149" s="344"/>
      <c r="E149" s="562">
        <f t="shared" ref="E149:U149" si="39">SUM(E142:E143)*1000000</f>
        <v>52423843.16386278</v>
      </c>
      <c r="F149" s="562"/>
      <c r="G149" s="345">
        <f t="shared" si="39"/>
        <v>55141195.679864205</v>
      </c>
      <c r="H149" s="345">
        <f t="shared" si="39"/>
        <v>58870812.017444879</v>
      </c>
      <c r="I149" s="345">
        <f t="shared" si="39"/>
        <v>63809319.62774267</v>
      </c>
      <c r="J149" s="345">
        <f t="shared" si="39"/>
        <v>72455832.002643526</v>
      </c>
      <c r="K149" s="345">
        <f t="shared" si="39"/>
        <v>83509291.290182039</v>
      </c>
      <c r="L149" s="345">
        <f t="shared" si="39"/>
        <v>90607734.797008902</v>
      </c>
      <c r="M149" s="345">
        <f t="shared" si="39"/>
        <v>98668819.513414189</v>
      </c>
      <c r="N149" s="345">
        <f t="shared" si="39"/>
        <v>107462498.43393029</v>
      </c>
      <c r="O149" s="345">
        <f t="shared" si="39"/>
        <v>117056458.55176565</v>
      </c>
      <c r="P149" s="345">
        <f t="shared" si="39"/>
        <v>127524716.45424925</v>
      </c>
      <c r="Q149" s="345">
        <f t="shared" si="39"/>
        <v>138948215.2493327</v>
      </c>
      <c r="R149" s="345">
        <f t="shared" si="39"/>
        <v>151415478.11470631</v>
      </c>
      <c r="S149" s="345">
        <f t="shared" si="39"/>
        <v>165023323.86175969</v>
      </c>
      <c r="T149" s="345">
        <f t="shared" si="39"/>
        <v>179877650.421482</v>
      </c>
      <c r="U149" s="345">
        <f t="shared" si="39"/>
        <v>196094292.72351292</v>
      </c>
    </row>
    <row r="150" spans="1:21" ht="15">
      <c r="A150" s="476"/>
      <c r="B150" s="346" t="s">
        <v>348</v>
      </c>
      <c r="C150" s="344"/>
      <c r="D150" s="344"/>
      <c r="E150" s="563">
        <f t="shared" ref="E150:U150" si="40">SUM(E145:E149)/1000000</f>
        <v>66.156378774338322</v>
      </c>
      <c r="F150" s="563"/>
      <c r="G150" s="347">
        <f t="shared" si="40"/>
        <v>69.285707358654022</v>
      </c>
      <c r="H150" s="347">
        <f t="shared" si="40"/>
        <v>73.439659046598393</v>
      </c>
      <c r="I150" s="347">
        <f t="shared" si="40"/>
        <v>78.815232067770779</v>
      </c>
      <c r="J150" s="347">
        <f t="shared" si="40"/>
        <v>87.911921815872489</v>
      </c>
      <c r="K150" s="347">
        <f t="shared" si="40"/>
        <v>99.429063797807871</v>
      </c>
      <c r="L150" s="347">
        <f t="shared" si="40"/>
        <v>107.00510047986351</v>
      </c>
      <c r="M150" s="347">
        <f t="shared" si="40"/>
        <v>115.55810616675444</v>
      </c>
      <c r="N150" s="347">
        <f t="shared" si="40"/>
        <v>124.85846368687075</v>
      </c>
      <c r="O150" s="347">
        <f t="shared" si="40"/>
        <v>134.97430276229431</v>
      </c>
      <c r="P150" s="347">
        <f t="shared" si="40"/>
        <v>145.98009599109378</v>
      </c>
      <c r="Q150" s="347">
        <f t="shared" si="40"/>
        <v>157.95725617228257</v>
      </c>
      <c r="R150" s="347">
        <f t="shared" si="40"/>
        <v>170.99479026534468</v>
      </c>
      <c r="S150" s="347">
        <f t="shared" si="40"/>
        <v>185.19001537691722</v>
      </c>
      <c r="T150" s="347">
        <f t="shared" si="40"/>
        <v>200.64934268209424</v>
      </c>
      <c r="U150" s="347">
        <f t="shared" si="40"/>
        <v>217.48913575194354</v>
      </c>
    </row>
    <row r="151" spans="1:21" ht="15">
      <c r="A151" s="476"/>
      <c r="B151" s="284"/>
      <c r="C151" s="255"/>
      <c r="D151" s="255"/>
      <c r="E151" s="565"/>
      <c r="F151" s="565"/>
      <c r="G151" s="312"/>
      <c r="H151" s="312"/>
      <c r="I151" s="312"/>
      <c r="J151" s="312"/>
      <c r="K151" s="312"/>
      <c r="L151" s="312"/>
      <c r="M151" s="312"/>
      <c r="N151" s="312"/>
      <c r="O151" s="312"/>
      <c r="P151" s="312"/>
      <c r="Q151" s="312"/>
      <c r="R151" s="312"/>
      <c r="S151" s="312"/>
      <c r="T151" s="312"/>
      <c r="U151" s="312"/>
    </row>
    <row r="152" spans="1:21">
      <c r="A152" s="476"/>
      <c r="B152" s="339" t="s">
        <v>169</v>
      </c>
      <c r="C152" s="243"/>
      <c r="D152" s="243"/>
      <c r="E152" s="558">
        <v>2008</v>
      </c>
      <c r="F152" s="558"/>
      <c r="G152" s="244">
        <v>2009</v>
      </c>
      <c r="H152" s="244">
        <v>2010</v>
      </c>
      <c r="I152" s="244">
        <v>2011</v>
      </c>
      <c r="J152" s="244">
        <v>2012</v>
      </c>
      <c r="K152" s="244">
        <v>2013</v>
      </c>
      <c r="L152" s="69">
        <v>2014</v>
      </c>
      <c r="M152" s="69">
        <v>2015</v>
      </c>
      <c r="N152" s="69">
        <v>2016</v>
      </c>
      <c r="O152" s="69">
        <v>2017</v>
      </c>
      <c r="P152" s="69">
        <v>2018</v>
      </c>
      <c r="Q152" s="69">
        <v>2019</v>
      </c>
      <c r="R152" s="69">
        <v>2020</v>
      </c>
      <c r="S152" s="69">
        <v>2021</v>
      </c>
      <c r="T152" s="69">
        <v>2022</v>
      </c>
      <c r="U152" s="69">
        <v>2023</v>
      </c>
    </row>
    <row r="153" spans="1:21">
      <c r="A153" s="476"/>
      <c r="C153" s="343" t="s">
        <v>288</v>
      </c>
      <c r="E153" s="559"/>
      <c r="F153" s="559"/>
    </row>
    <row r="154" spans="1:21">
      <c r="A154" s="476"/>
      <c r="C154" s="264"/>
      <c r="D154" s="69" t="s">
        <v>289</v>
      </c>
      <c r="E154" s="567">
        <f>E139*(1-'Insulation Base'!$S$166*E$120*100)</f>
        <v>41212.406178527825</v>
      </c>
      <c r="F154" s="567"/>
      <c r="G154" s="348">
        <f>G139*(1-'Insulation Base'!$S$166*G$120*100)</f>
        <v>43866.788506968318</v>
      </c>
      <c r="H154" s="348">
        <f>H139*(1-'Insulation Base'!$S$166*H$120*100)</f>
        <v>46687.159122975885</v>
      </c>
      <c r="I154" s="348">
        <f>I139*(1-'Insulation Base'!$S$166*I$120*100)</f>
        <v>49683.75680537631</v>
      </c>
      <c r="J154" s="348">
        <f>J139*(1-'Insulation Base'!$S$166*J$120*100)</f>
        <v>52867.44777738925</v>
      </c>
      <c r="K154" s="348">
        <f>K139*(1-'Insulation Base'!$S$166*K$120*100)</f>
        <v>56249.764035074753</v>
      </c>
      <c r="L154" s="348">
        <f>L139*(1-'Insulation Base'!$S$166*L$120*100)</f>
        <v>59842.944013494583</v>
      </c>
      <c r="M154" s="348">
        <f>M139*(1-'Insulation Base'!$S$166*M$120*100)</f>
        <v>63659.975733060688</v>
      </c>
      <c r="N154" s="348">
        <f>N139*(1-'Insulation Base'!$S$166*N$120*100)</f>
        <v>67714.642577222708</v>
      </c>
      <c r="O154" s="348">
        <f>O139*(1-'Insulation Base'!$S$166*O$120*100)</f>
        <v>72021.57186185474</v>
      </c>
      <c r="P154" s="348">
        <f>P139*(1-'Insulation Base'!$S$166*P$120*100)</f>
        <v>76596.28636647122</v>
      </c>
      <c r="Q154" s="348">
        <f>Q139*(1-'Insulation Base'!$S$166*Q$120*100)</f>
        <v>81455.259007765737</v>
      </c>
      <c r="R154" s="348">
        <f>R139*(1-'Insulation Base'!$S$166*R$120*100)</f>
        <v>86615.970846962417</v>
      </c>
      <c r="S154" s="348">
        <f>S139*(1-'Insulation Base'!$S$166*S$120*100)</f>
        <v>92096.972634134872</v>
      </c>
      <c r="T154" s="348">
        <f>T139*(1-'Insulation Base'!$S$166*T$120*100)</f>
        <v>97917.950105023905</v>
      </c>
      <c r="U154" s="348">
        <f>U139*(1-'Insulation Base'!$S$166*U$120*100)</f>
        <v>104099.79325901419</v>
      </c>
    </row>
    <row r="155" spans="1:21">
      <c r="A155" s="476"/>
      <c r="D155" s="69" t="s">
        <v>290</v>
      </c>
      <c r="E155" s="567">
        <f>E140*(1-'Insulation Base'!$S$163*E$120*100)</f>
        <v>22339.46173519584</v>
      </c>
      <c r="F155" s="567"/>
      <c r="G155" s="348">
        <f>G140*(1-'Insulation Base'!$S$163*G$120*100)</f>
        <v>23558.741329491775</v>
      </c>
      <c r="H155" s="348">
        <f>H140*(1-'Insulation Base'!$S$163*H$120*100)</f>
        <v>24848.039242319002</v>
      </c>
      <c r="I155" s="348">
        <f>I140*(1-'Insulation Base'!$S$163*I$120*100)</f>
        <v>26211.492515013255</v>
      </c>
      <c r="J155" s="348">
        <f>J140*(1-'Insulation Base'!$S$163*J$120*100)</f>
        <v>27653.486322499688</v>
      </c>
      <c r="K155" s="348">
        <f>K140*(1-'Insulation Base'!$S$163*K$120*100)</f>
        <v>29178.668970261711</v>
      </c>
      <c r="L155" s="348">
        <f>L140*(1-'Insulation Base'!$S$163*L$120*100)</f>
        <v>30791.967801194103</v>
      </c>
      <c r="M155" s="348">
        <f>M140*(1-'Insulation Base'!$S$163*M$120*100)</f>
        <v>32498.606067649573</v>
      </c>
      <c r="N155" s="348">
        <f>N140*(1-'Insulation Base'!$S$163*N$120*100)</f>
        <v>34304.120827353072</v>
      </c>
      <c r="O155" s="348">
        <f>O140*(1-'Insulation Base'!$S$163*O$120*100)</f>
        <v>36214.381925428017</v>
      </c>
      <c r="P155" s="348">
        <f>P140*(1-'Insulation Base'!$S$163*P$120*100)</f>
        <v>38235.612128566398</v>
      </c>
      <c r="Q155" s="348">
        <f>Q140*(1-'Insulation Base'!$S$163*Q$120*100)</f>
        <v>40374.408481392296</v>
      </c>
      <c r="R155" s="348">
        <f>R140*(1-'Insulation Base'!$S$163*R$120*100)</f>
        <v>42637.764959331187</v>
      </c>
      <c r="S155" s="348">
        <f>S140*(1-'Insulation Base'!$S$163*S$120*100)</f>
        <v>45033.096496819227</v>
      </c>
      <c r="T155" s="348">
        <f>T140*(1-'Insulation Base'!$S$163*T$120*100)</f>
        <v>47568.264474484218</v>
      </c>
      <c r="U155" s="348">
        <f>U140*(1-'Insulation Base'!$S$163*U$120*100)</f>
        <v>50251.603754019277</v>
      </c>
    </row>
    <row r="156" spans="1:21">
      <c r="A156" s="476"/>
      <c r="C156" s="284" t="s">
        <v>291</v>
      </c>
      <c r="E156" s="567"/>
      <c r="F156" s="567"/>
      <c r="G156" s="348"/>
      <c r="H156" s="348"/>
      <c r="I156" s="348"/>
      <c r="J156" s="348"/>
      <c r="K156" s="348"/>
      <c r="L156" s="348"/>
      <c r="M156" s="348"/>
      <c r="N156" s="348"/>
      <c r="O156" s="348"/>
      <c r="P156" s="348"/>
      <c r="Q156" s="348"/>
      <c r="R156" s="348"/>
      <c r="S156" s="348"/>
      <c r="T156" s="348"/>
      <c r="U156" s="348"/>
    </row>
    <row r="157" spans="1:21">
      <c r="A157" s="476"/>
      <c r="D157" s="69" t="s">
        <v>292</v>
      </c>
      <c r="E157" s="568">
        <f>E142*(1-'Insulation Base'!$S$166*E$120*100)</f>
        <v>3.2011525441140884</v>
      </c>
      <c r="F157" s="568"/>
      <c r="G157" s="349">
        <f>G142*(1-'Insulation Base'!$S$166*G$120*100)</f>
        <v>3.4073303321066244</v>
      </c>
      <c r="H157" s="349">
        <f>H142*(1-'Insulation Base'!$S$166*H$120*100)</f>
        <v>3.6264011753295846</v>
      </c>
      <c r="I157" s="349">
        <f>I142*(1-'Insulation Base'!$S$166*I$120*100)</f>
        <v>3.8591603656847537</v>
      </c>
      <c r="J157" s="349">
        <f>J142*(1-'Insulation Base'!$S$166*J$120*100)</f>
        <v>4.1064519314958803</v>
      </c>
      <c r="K157" s="349">
        <f>K142*(1-'Insulation Base'!$S$166*K$120*100)</f>
        <v>4.3691716146511324</v>
      </c>
      <c r="L157" s="349">
        <f>L142*(1-'Insulation Base'!$S$166*L$120*100)</f>
        <v>4.6482700293263548</v>
      </c>
      <c r="M157" s="349">
        <f>M142*(1-'Insulation Base'!$S$166*M$120*100)</f>
        <v>4.9447560133555868</v>
      </c>
      <c r="N157" s="349">
        <f>N142*(1-'Insulation Base'!$S$166*N$120*100)</f>
        <v>5.259700183989497</v>
      </c>
      <c r="O157" s="349">
        <f>O142*(1-'Insulation Base'!$S$166*O$120*100)</f>
        <v>5.5942387104976277</v>
      </c>
      <c r="P157" s="349">
        <f>P142*(1-'Insulation Base'!$S$166*P$120*100)</f>
        <v>5.949577316829199</v>
      </c>
      <c r="Q157" s="349">
        <f>Q142*(1-'Insulation Base'!$S$166*Q$120*100)</f>
        <v>6.3269955283522297</v>
      </c>
      <c r="R157" s="349">
        <f>R142*(1-'Insulation Base'!$S$166*R$120*100)</f>
        <v>6.7278511775448591</v>
      </c>
      <c r="S157" s="349">
        <f>S142*(1-'Insulation Base'!$S$166*S$120*100)</f>
        <v>7.1535851844187999</v>
      </c>
      <c r="T157" s="349">
        <f>T142*(1-'Insulation Base'!$S$166*T$120*100)</f>
        <v>7.6057266284162077</v>
      </c>
      <c r="U157" s="349">
        <f>U142*(1-'Insulation Base'!$S$166*U$120*100)</f>
        <v>8.0858981295410448</v>
      </c>
    </row>
    <row r="158" spans="1:21">
      <c r="A158" s="476"/>
      <c r="B158" s="243"/>
      <c r="C158" s="243"/>
      <c r="D158" s="243" t="s">
        <v>293</v>
      </c>
      <c r="E158" s="564">
        <f>E143*(1-'Insulation Base'!$S$163*E$120*100)</f>
        <v>49.22269061974869</v>
      </c>
      <c r="F158" s="564"/>
      <c r="G158" s="350">
        <f>G143*(1-'Insulation Base'!$S$163*G$120*100)</f>
        <v>51.733865347757579</v>
      </c>
      <c r="H158" s="350">
        <f>H143*(1-'Insulation Base'!$S$163*H$120*100)</f>
        <v>55.244410842115293</v>
      </c>
      <c r="I158" s="350">
        <f>I143*(1-'Insulation Base'!$S$163*I$120*100)</f>
        <v>59.950159262057923</v>
      </c>
      <c r="J158" s="350">
        <f>J143*(1-'Insulation Base'!$S$163*J$120*100)</f>
        <v>68.34938007114765</v>
      </c>
      <c r="K158" s="350">
        <f>K143*(1-'Insulation Base'!$S$163*K$120*100)</f>
        <v>79.140119675530897</v>
      </c>
      <c r="L158" s="351">
        <f>L143*(1-'Insulation Base'!$S$163*L$120*100)</f>
        <v>85.959464767682547</v>
      </c>
      <c r="M158" s="351">
        <f>M143*(1-'Insulation Base'!$S$163*M$120*100)</f>
        <v>93.724063500058605</v>
      </c>
      <c r="N158" s="351">
        <f>N143*(1-'Insulation Base'!$S$163*N$120*100)</f>
        <v>102.2027982499408</v>
      </c>
      <c r="O158" s="351">
        <f>O143*(1-'Insulation Base'!$S$163*O$120*100)</f>
        <v>111.46221984126801</v>
      </c>
      <c r="P158" s="351">
        <f>P143*(1-'Insulation Base'!$S$163*P$120*100)</f>
        <v>121.57513913742005</v>
      </c>
      <c r="Q158" s="351">
        <f>Q143*(1-'Insulation Base'!$S$163*Q$120*100)</f>
        <v>132.62121972098046</v>
      </c>
      <c r="R158" s="351">
        <f>R143*(1-'Insulation Base'!$S$163*R$120*100)</f>
        <v>144.68762693716144</v>
      </c>
      <c r="S158" s="351">
        <f>S143*(1-'Insulation Base'!$S$163*S$120*100)</f>
        <v>157.86973867734088</v>
      </c>
      <c r="T158" s="351">
        <f>T143*(1-'Insulation Base'!$S$163*T$120*100)</f>
        <v>172.27192379306578</v>
      </c>
      <c r="U158" s="351">
        <f>U143*(1-'Insulation Base'!$S$163*U$120*100)</f>
        <v>188.00839459397187</v>
      </c>
    </row>
    <row r="159" spans="1:21">
      <c r="A159" s="476"/>
      <c r="C159" s="284"/>
      <c r="E159" s="559"/>
      <c r="F159" s="559"/>
    </row>
    <row r="160" spans="1:21" ht="15">
      <c r="A160" s="476"/>
      <c r="B160" s="284" t="s">
        <v>333</v>
      </c>
      <c r="D160" s="255"/>
      <c r="E160" s="565">
        <f>SUM(E91:E95)</f>
        <v>0</v>
      </c>
      <c r="F160" s="565"/>
      <c r="G160" s="312">
        <f t="shared" ref="G160:U160" si="41">SUM(G91:G95)</f>
        <v>0</v>
      </c>
      <c r="H160" s="312">
        <f t="shared" si="41"/>
        <v>505644.71999999991</v>
      </c>
      <c r="I160" s="312">
        <f t="shared" si="41"/>
        <v>3118012.0999999996</v>
      </c>
      <c r="J160" s="312">
        <f t="shared" si="41"/>
        <v>3044835.4999999995</v>
      </c>
      <c r="K160" s="312">
        <f t="shared" si="41"/>
        <v>3107007.6799999997</v>
      </c>
      <c r="L160" s="312">
        <f t="shared" si="41"/>
        <v>0</v>
      </c>
      <c r="M160" s="312">
        <f t="shared" si="41"/>
        <v>0</v>
      </c>
      <c r="N160" s="312">
        <f t="shared" si="41"/>
        <v>0</v>
      </c>
      <c r="O160" s="312">
        <f t="shared" si="41"/>
        <v>0</v>
      </c>
      <c r="P160" s="312">
        <f t="shared" si="41"/>
        <v>0</v>
      </c>
      <c r="Q160" s="312">
        <f t="shared" si="41"/>
        <v>0</v>
      </c>
      <c r="R160" s="312">
        <f t="shared" si="41"/>
        <v>0</v>
      </c>
      <c r="S160" s="312">
        <f t="shared" si="41"/>
        <v>0</v>
      </c>
      <c r="T160" s="312">
        <f t="shared" si="41"/>
        <v>0</v>
      </c>
      <c r="U160" s="312">
        <f t="shared" si="41"/>
        <v>0</v>
      </c>
    </row>
    <row r="161" spans="1:21">
      <c r="A161" s="476"/>
      <c r="B161" s="284" t="s">
        <v>324</v>
      </c>
      <c r="D161" s="255"/>
      <c r="E161" s="553"/>
      <c r="F161" s="553"/>
    </row>
    <row r="162" spans="1:21" ht="15">
      <c r="A162" s="476"/>
      <c r="B162" s="284"/>
      <c r="C162" s="69" t="s">
        <v>325</v>
      </c>
      <c r="D162" s="255"/>
      <c r="E162" s="566">
        <f>SUM(E99:E102)</f>
        <v>1899084.85</v>
      </c>
      <c r="F162" s="566"/>
      <c r="G162" s="310">
        <f t="shared" ref="G162:U162" si="42">SUM(G99:G102)</f>
        <v>1956057.3955000001</v>
      </c>
      <c r="H162" s="310">
        <f t="shared" si="42"/>
        <v>2014739.1173650001</v>
      </c>
      <c r="I162" s="310">
        <f t="shared" si="42"/>
        <v>1585329.193923967</v>
      </c>
      <c r="J162" s="310">
        <f t="shared" si="42"/>
        <v>1626832.8197416859</v>
      </c>
      <c r="K162" s="310">
        <f t="shared" si="42"/>
        <v>1669581.5543339369</v>
      </c>
      <c r="L162" s="310">
        <f t="shared" si="42"/>
        <v>1312856.6264459323</v>
      </c>
      <c r="M162" s="310">
        <f t="shared" si="42"/>
        <v>1380884.82523931</v>
      </c>
      <c r="N162" s="310">
        <f t="shared" si="42"/>
        <v>1450953.8699964895</v>
      </c>
      <c r="O162" s="310">
        <f t="shared" si="42"/>
        <v>1523124.986096384</v>
      </c>
      <c r="P162" s="310">
        <f t="shared" si="42"/>
        <v>1597461.2356792756</v>
      </c>
      <c r="Q162" s="310">
        <f t="shared" si="42"/>
        <v>1674027.5727496543</v>
      </c>
      <c r="R162" s="310">
        <f t="shared" si="42"/>
        <v>1752890.8999321442</v>
      </c>
      <c r="S162" s="310">
        <f t="shared" si="42"/>
        <v>5334870.1269301083</v>
      </c>
      <c r="T162" s="310">
        <f t="shared" si="42"/>
        <v>5736786.2307380121</v>
      </c>
      <c r="U162" s="310">
        <f t="shared" si="42"/>
        <v>6141212.317660151</v>
      </c>
    </row>
    <row r="163" spans="1:21" ht="15">
      <c r="A163" s="476"/>
      <c r="B163" s="284"/>
      <c r="C163" s="69" t="s">
        <v>326</v>
      </c>
      <c r="D163" s="255"/>
      <c r="E163" s="566">
        <f>SUM(E104:E107)</f>
        <v>11833450.76047555</v>
      </c>
      <c r="F163" s="566"/>
      <c r="G163" s="310">
        <f t="shared" ref="G163:U163" si="43">SUM(G104:G107)</f>
        <v>12188454.283289816</v>
      </c>
      <c r="H163" s="310">
        <f t="shared" si="43"/>
        <v>12554107.91178851</v>
      </c>
      <c r="I163" s="310">
        <f t="shared" si="43"/>
        <v>12410178.382667907</v>
      </c>
      <c r="J163" s="310">
        <f t="shared" si="43"/>
        <v>12277547.550667915</v>
      </c>
      <c r="K163" s="310">
        <f t="shared" si="43"/>
        <v>12156554.37670215</v>
      </c>
      <c r="L163" s="310">
        <f t="shared" si="43"/>
        <v>12568100.756985899</v>
      </c>
      <c r="M163" s="310">
        <f t="shared" si="43"/>
        <v>12991993.52867816</v>
      </c>
      <c r="N163" s="310">
        <f t="shared" si="43"/>
        <v>13428603.083521191</v>
      </c>
      <c r="O163" s="310">
        <f t="shared" si="43"/>
        <v>13878310.925009511</v>
      </c>
      <c r="P163" s="310">
        <f t="shared" si="43"/>
        <v>14341510.001742482</v>
      </c>
      <c r="Q163" s="310">
        <f t="shared" si="43"/>
        <v>14818605.050777437</v>
      </c>
      <c r="R163" s="310">
        <f t="shared" si="43"/>
        <v>15310012.951283444</v>
      </c>
      <c r="S163" s="310">
        <f t="shared" si="43"/>
        <v>16336715.855278889</v>
      </c>
      <c r="T163" s="310">
        <f t="shared" si="43"/>
        <v>17378603.263399974</v>
      </c>
      <c r="U163" s="310">
        <f t="shared" si="43"/>
        <v>18436130.710770458</v>
      </c>
    </row>
    <row r="164" spans="1:21" ht="15">
      <c r="A164" s="476"/>
      <c r="B164" s="327" t="s">
        <v>347</v>
      </c>
      <c r="C164" s="344"/>
      <c r="D164" s="344"/>
      <c r="E164" s="562">
        <f>SUM(E157:E158)*1000000</f>
        <v>52423843.16386278</v>
      </c>
      <c r="F164" s="562"/>
      <c r="G164" s="345">
        <f t="shared" ref="G164:L164" si="44">SUM(G157:G158)*1000000</f>
        <v>55141195.679864205</v>
      </c>
      <c r="H164" s="345">
        <f t="shared" si="44"/>
        <v>58870812.017444879</v>
      </c>
      <c r="I164" s="345">
        <f t="shared" si="44"/>
        <v>63809319.62774267</v>
      </c>
      <c r="J164" s="345">
        <f t="shared" si="44"/>
        <v>72455832.002643526</v>
      </c>
      <c r="K164" s="345">
        <f t="shared" si="44"/>
        <v>83509291.290182039</v>
      </c>
      <c r="L164" s="345">
        <f t="shared" si="44"/>
        <v>90607734.797008902</v>
      </c>
      <c r="M164" s="345">
        <f t="shared" ref="M164:U164" si="45">SUM(M157:M158)*1000000</f>
        <v>98668819.513414189</v>
      </c>
      <c r="N164" s="345">
        <f t="shared" si="45"/>
        <v>107462498.43393029</v>
      </c>
      <c r="O164" s="345">
        <f t="shared" si="45"/>
        <v>117056458.55176565</v>
      </c>
      <c r="P164" s="345">
        <f t="shared" si="45"/>
        <v>127524716.45424925</v>
      </c>
      <c r="Q164" s="345">
        <f t="shared" si="45"/>
        <v>138948215.2493327</v>
      </c>
      <c r="R164" s="345">
        <f t="shared" si="45"/>
        <v>151415478.11470631</v>
      </c>
      <c r="S164" s="345">
        <f t="shared" si="45"/>
        <v>165023323.86175969</v>
      </c>
      <c r="T164" s="345">
        <f t="shared" si="45"/>
        <v>179877650.421482</v>
      </c>
      <c r="U164" s="345">
        <f t="shared" si="45"/>
        <v>196094292.72351292</v>
      </c>
    </row>
    <row r="165" spans="1:21" ht="15">
      <c r="A165" s="476"/>
      <c r="B165" s="346" t="s">
        <v>348</v>
      </c>
      <c r="C165" s="344"/>
      <c r="D165" s="344"/>
      <c r="E165" s="563">
        <f>SUM(E160:E164)/1000000</f>
        <v>66.156378774338322</v>
      </c>
      <c r="F165" s="563"/>
      <c r="G165" s="347">
        <f t="shared" ref="G165:U165" si="46">SUM(G160:G164)/1000000</f>
        <v>69.285707358654022</v>
      </c>
      <c r="H165" s="347">
        <f t="shared" si="46"/>
        <v>73.945303766598386</v>
      </c>
      <c r="I165" s="347">
        <f t="shared" si="46"/>
        <v>80.922839304334545</v>
      </c>
      <c r="J165" s="347">
        <f t="shared" si="46"/>
        <v>89.405047873053135</v>
      </c>
      <c r="K165" s="347">
        <f t="shared" si="46"/>
        <v>100.44243490121812</v>
      </c>
      <c r="L165" s="347">
        <f t="shared" si="46"/>
        <v>104.48869218044074</v>
      </c>
      <c r="M165" s="347">
        <f t="shared" si="46"/>
        <v>113.04169786733165</v>
      </c>
      <c r="N165" s="347">
        <f t="shared" si="46"/>
        <v>122.34205538744797</v>
      </c>
      <c r="O165" s="347">
        <f t="shared" si="46"/>
        <v>132.45789446287156</v>
      </c>
      <c r="P165" s="347">
        <f t="shared" si="46"/>
        <v>143.46368769167103</v>
      </c>
      <c r="Q165" s="347">
        <f t="shared" si="46"/>
        <v>155.44084787285976</v>
      </c>
      <c r="R165" s="347">
        <f t="shared" si="46"/>
        <v>168.47838196592187</v>
      </c>
      <c r="S165" s="347">
        <f t="shared" si="46"/>
        <v>186.6949098439687</v>
      </c>
      <c r="T165" s="347">
        <f t="shared" si="46"/>
        <v>202.99303991561996</v>
      </c>
      <c r="U165" s="347">
        <f t="shared" si="46"/>
        <v>220.67163575194354</v>
      </c>
    </row>
    <row r="166" spans="1:21">
      <c r="A166" s="476"/>
      <c r="E166" s="553"/>
      <c r="F166" s="553"/>
    </row>
    <row r="167" spans="1:21">
      <c r="A167" s="476"/>
      <c r="E167" s="553"/>
      <c r="F167" s="553"/>
    </row>
    <row r="168" spans="1:21">
      <c r="A168" s="476"/>
      <c r="B168" s="284" t="s">
        <v>359</v>
      </c>
      <c r="E168" s="553"/>
      <c r="F168" s="553"/>
      <c r="H168" s="334" t="s">
        <v>360</v>
      </c>
      <c r="I168" s="334" t="s">
        <v>350</v>
      </c>
      <c r="J168" s="334" t="s">
        <v>350</v>
      </c>
      <c r="K168" s="334" t="s">
        <v>350</v>
      </c>
    </row>
    <row r="169" spans="1:21">
      <c r="A169" s="476"/>
      <c r="B169" s="243"/>
      <c r="C169" s="243"/>
      <c r="D169" s="243"/>
      <c r="E169" s="558">
        <v>2008</v>
      </c>
      <c r="F169" s="558"/>
      <c r="G169" s="244">
        <v>2009</v>
      </c>
      <c r="H169" s="244">
        <v>2010</v>
      </c>
      <c r="I169" s="244">
        <v>2011</v>
      </c>
      <c r="J169" s="244">
        <v>2012</v>
      </c>
      <c r="K169" s="244">
        <v>2013</v>
      </c>
      <c r="L169" s="69">
        <v>2014</v>
      </c>
      <c r="M169" s="69">
        <v>2015</v>
      </c>
      <c r="N169" s="69">
        <v>2016</v>
      </c>
      <c r="O169" s="69">
        <v>2017</v>
      </c>
      <c r="P169" s="69">
        <v>2018</v>
      </c>
      <c r="Q169" s="69">
        <v>2019</v>
      </c>
      <c r="R169" s="69">
        <v>2020</v>
      </c>
      <c r="S169" s="69">
        <v>2021</v>
      </c>
      <c r="T169" s="69">
        <v>2022</v>
      </c>
      <c r="U169" s="69">
        <v>2023</v>
      </c>
    </row>
    <row r="170" spans="1:21">
      <c r="A170" s="476"/>
      <c r="B170" s="327" t="s">
        <v>361</v>
      </c>
      <c r="C170" s="301"/>
      <c r="D170" s="301"/>
      <c r="E170" s="560">
        <f>E150-E165</f>
        <v>0</v>
      </c>
      <c r="F170" s="560"/>
      <c r="G170" s="352">
        <f t="shared" ref="G170:U170" si="47">G150-G165</f>
        <v>0</v>
      </c>
      <c r="H170" s="352">
        <f t="shared" si="47"/>
        <v>-0.50564471999999228</v>
      </c>
      <c r="I170" s="352">
        <f t="shared" si="47"/>
        <v>-2.1076072365637657</v>
      </c>
      <c r="J170" s="352">
        <f t="shared" si="47"/>
        <v>-1.4931260571806462</v>
      </c>
      <c r="K170" s="352">
        <f t="shared" si="47"/>
        <v>-1.0133711034102504</v>
      </c>
      <c r="L170" s="352">
        <f t="shared" si="47"/>
        <v>2.5164082994227783</v>
      </c>
      <c r="M170" s="352">
        <f>M150-M165</f>
        <v>2.5164082994227925</v>
      </c>
      <c r="N170" s="352">
        <f t="shared" si="47"/>
        <v>2.5164082994227783</v>
      </c>
      <c r="O170" s="352">
        <f t="shared" si="47"/>
        <v>2.5164082994227499</v>
      </c>
      <c r="P170" s="352">
        <f t="shared" si="47"/>
        <v>2.5164082994227499</v>
      </c>
      <c r="Q170" s="352">
        <f>Q150-Q165</f>
        <v>2.5164082994228067</v>
      </c>
      <c r="R170" s="352">
        <f t="shared" si="47"/>
        <v>2.5164082994228067</v>
      </c>
      <c r="S170" s="352">
        <f t="shared" si="47"/>
        <v>-1.5048944670514857</v>
      </c>
      <c r="T170" s="352">
        <f t="shared" si="47"/>
        <v>-2.3436972335257167</v>
      </c>
      <c r="U170" s="352">
        <f t="shared" si="47"/>
        <v>-3.1825000000000045</v>
      </c>
    </row>
    <row r="171" spans="1:21">
      <c r="A171" s="476"/>
      <c r="D171" s="353" t="s">
        <v>190</v>
      </c>
      <c r="E171" s="561">
        <f>IRR(E170:U170)</f>
        <v>0.24492532510410259</v>
      </c>
      <c r="F171" s="561"/>
    </row>
    <row r="172" spans="1:21">
      <c r="A172" s="476"/>
      <c r="E172" s="553"/>
      <c r="F172" s="553"/>
    </row>
    <row r="173" spans="1:21">
      <c r="A173" s="476"/>
      <c r="E173" s="553"/>
      <c r="F173" s="553"/>
    </row>
    <row r="174" spans="1:21">
      <c r="A174" s="476"/>
      <c r="E174" s="553"/>
      <c r="F174" s="553"/>
    </row>
    <row r="175" spans="1:21">
      <c r="A175" s="476"/>
      <c r="B175" s="354" t="s">
        <v>367</v>
      </c>
      <c r="C175" s="243"/>
      <c r="D175" s="243"/>
      <c r="E175" s="558">
        <v>2008</v>
      </c>
      <c r="F175" s="558"/>
      <c r="G175" s="244">
        <v>2009</v>
      </c>
      <c r="H175" s="244">
        <v>2010</v>
      </c>
      <c r="I175" s="244">
        <v>2011</v>
      </c>
      <c r="J175" s="244">
        <v>2012</v>
      </c>
      <c r="K175" s="244">
        <v>2013</v>
      </c>
      <c r="L175" s="69">
        <v>2014</v>
      </c>
      <c r="M175" s="69">
        <v>2015</v>
      </c>
      <c r="N175" s="69">
        <v>2016</v>
      </c>
      <c r="O175" s="69">
        <v>2017</v>
      </c>
      <c r="P175" s="69">
        <v>2018</v>
      </c>
      <c r="Q175" s="69">
        <v>2019</v>
      </c>
      <c r="R175" s="69">
        <v>2020</v>
      </c>
      <c r="S175" s="69">
        <v>2021</v>
      </c>
      <c r="T175" s="69">
        <v>2022</v>
      </c>
      <c r="U175" s="69">
        <v>2023</v>
      </c>
    </row>
    <row r="176" spans="1:21" ht="15">
      <c r="A176" s="476"/>
      <c r="C176" s="287" t="s">
        <v>368</v>
      </c>
      <c r="D176" s="287"/>
      <c r="E176" s="559"/>
      <c r="F176" s="559"/>
      <c r="G176" s="355"/>
      <c r="H176" s="275">
        <v>0</v>
      </c>
      <c r="I176" s="275">
        <f>I$49/($I$81+$I$83)</f>
        <v>0</v>
      </c>
      <c r="J176" s="275">
        <f>J$49/($I$81+$I$83)/2</f>
        <v>0</v>
      </c>
      <c r="K176" s="275">
        <f>K$49/($I$81+$I$83)/3</f>
        <v>0</v>
      </c>
      <c r="L176" s="275">
        <f t="shared" ref="L176:R176" si="48">L$49/($I$81+$I$83)/3</f>
        <v>0</v>
      </c>
      <c r="M176" s="275">
        <f t="shared" si="48"/>
        <v>0</v>
      </c>
      <c r="N176" s="275">
        <f t="shared" si="48"/>
        <v>0</v>
      </c>
      <c r="O176" s="275">
        <f t="shared" si="48"/>
        <v>0</v>
      </c>
      <c r="P176" s="275">
        <f t="shared" si="48"/>
        <v>0</v>
      </c>
      <c r="Q176" s="275">
        <f t="shared" si="48"/>
        <v>0</v>
      </c>
      <c r="R176" s="275">
        <f t="shared" si="48"/>
        <v>0</v>
      </c>
      <c r="S176" s="279"/>
    </row>
    <row r="177" spans="1:21" ht="15">
      <c r="A177" s="476"/>
      <c r="C177" s="344" t="s">
        <v>369</v>
      </c>
      <c r="D177" s="301"/>
      <c r="E177" s="553"/>
      <c r="F177" s="553"/>
      <c r="G177" s="355"/>
      <c r="H177" s="275">
        <v>0</v>
      </c>
      <c r="I177" s="275">
        <f>I$50/($I$81+$I$83)</f>
        <v>0</v>
      </c>
      <c r="J177" s="275">
        <f>J$50/($I$81+$I$83)/2</f>
        <v>0</v>
      </c>
      <c r="K177" s="275">
        <f>K$50/($I$81+$I$83)/3</f>
        <v>0</v>
      </c>
      <c r="L177" s="275">
        <f t="shared" ref="L177:R177" si="49">L$50/($I$81+$I$83)/3</f>
        <v>0</v>
      </c>
      <c r="M177" s="275">
        <f t="shared" si="49"/>
        <v>0</v>
      </c>
      <c r="N177" s="275">
        <f t="shared" si="49"/>
        <v>0</v>
      </c>
      <c r="O177" s="275">
        <f t="shared" si="49"/>
        <v>0</v>
      </c>
      <c r="P177" s="275">
        <f t="shared" si="49"/>
        <v>0</v>
      </c>
      <c r="Q177" s="275">
        <f t="shared" si="49"/>
        <v>0</v>
      </c>
      <c r="R177" s="275">
        <f t="shared" si="49"/>
        <v>0</v>
      </c>
    </row>
    <row r="178" spans="1:21" ht="15">
      <c r="A178" s="476"/>
      <c r="E178" s="553"/>
      <c r="F178" s="553"/>
      <c r="G178" s="355"/>
      <c r="H178" s="275"/>
      <c r="I178" s="275"/>
      <c r="J178" s="275"/>
      <c r="K178" s="275"/>
      <c r="L178" s="275"/>
      <c r="M178" s="275"/>
      <c r="N178" s="275"/>
      <c r="O178" s="275"/>
      <c r="P178" s="275"/>
      <c r="Q178" s="275"/>
      <c r="R178" s="275"/>
    </row>
    <row r="179" spans="1:21" ht="15">
      <c r="A179" s="476">
        <v>12</v>
      </c>
      <c r="B179" s="354" t="s">
        <v>367</v>
      </c>
      <c r="C179" s="271"/>
      <c r="D179" s="243"/>
      <c r="E179" s="554" t="s">
        <v>370</v>
      </c>
      <c r="F179" s="554"/>
      <c r="G179" s="356">
        <v>0.1</v>
      </c>
      <c r="H179" s="357">
        <v>0.2</v>
      </c>
      <c r="I179" s="356">
        <v>0.3</v>
      </c>
      <c r="J179" s="357">
        <v>0.4</v>
      </c>
      <c r="K179" s="356">
        <v>0.5</v>
      </c>
      <c r="L179" s="275"/>
      <c r="M179" s="275"/>
      <c r="N179" s="275"/>
      <c r="O179" s="275"/>
      <c r="P179" s="275"/>
      <c r="Q179" s="275"/>
      <c r="R179" s="275"/>
    </row>
    <row r="180" spans="1:21" ht="15">
      <c r="A180" s="476"/>
      <c r="C180" s="287" t="s">
        <v>368</v>
      </c>
      <c r="D180" s="287"/>
      <c r="E180" s="556" t="s">
        <v>371</v>
      </c>
      <c r="F180" s="556"/>
      <c r="G180" s="358">
        <f>NPV(G179,$H176:$R176)</f>
        <v>0</v>
      </c>
      <c r="H180" s="355">
        <f>NPV(H179,$H176:$R176)</f>
        <v>0</v>
      </c>
      <c r="I180" s="355">
        <f>NPV(I179,$H176:$R176)</f>
        <v>0</v>
      </c>
      <c r="J180" s="355">
        <f>NPV(J179,$H176:$R176)</f>
        <v>0</v>
      </c>
      <c r="K180" s="355">
        <f>NPV(K179,$H176:$R176)</f>
        <v>0</v>
      </c>
      <c r="L180" s="275"/>
      <c r="M180" s="275"/>
      <c r="N180" s="275"/>
      <c r="O180" s="275"/>
      <c r="P180" s="275"/>
      <c r="Q180" s="275"/>
      <c r="R180" s="275"/>
    </row>
    <row r="181" spans="1:21" ht="15">
      <c r="A181" s="476"/>
      <c r="B181" s="243"/>
      <c r="C181" s="359" t="s">
        <v>369</v>
      </c>
      <c r="D181" s="359"/>
      <c r="E181" s="557" t="s">
        <v>371</v>
      </c>
      <c r="F181" s="557"/>
      <c r="G181" s="360">
        <f>NPV(G179,$H177:$R177)</f>
        <v>0</v>
      </c>
      <c r="H181" s="361">
        <f>NPV(H179,$H177:$R177)</f>
        <v>0</v>
      </c>
      <c r="I181" s="361">
        <f>NPV(I179,$H177:$R177)</f>
        <v>0</v>
      </c>
      <c r="J181" s="361">
        <f>NPV(J179,$H177:$R177)</f>
        <v>0</v>
      </c>
      <c r="K181" s="361">
        <f>NPV(K179,$H177:$R177)</f>
        <v>0</v>
      </c>
      <c r="L181" s="275"/>
      <c r="M181" s="275"/>
      <c r="N181" s="275"/>
      <c r="O181" s="275"/>
      <c r="P181" s="275"/>
      <c r="Q181" s="275"/>
      <c r="R181" s="275"/>
    </row>
    <row r="182" spans="1:21" ht="15">
      <c r="A182" s="476"/>
      <c r="G182" s="355"/>
      <c r="H182" s="275"/>
      <c r="I182" s="275"/>
      <c r="J182" s="275"/>
      <c r="K182" s="275"/>
      <c r="L182" s="275"/>
      <c r="M182" s="275"/>
      <c r="N182" s="275"/>
      <c r="O182" s="275"/>
      <c r="P182" s="275"/>
      <c r="Q182" s="275"/>
      <c r="R182" s="275"/>
    </row>
    <row r="183" spans="1:21" ht="15">
      <c r="A183" s="476"/>
      <c r="E183" s="553"/>
      <c r="F183" s="553"/>
      <c r="G183" s="355"/>
      <c r="H183" s="275"/>
      <c r="I183" s="275"/>
      <c r="J183" s="275"/>
      <c r="K183" s="275"/>
      <c r="L183" s="275"/>
      <c r="M183" s="275"/>
      <c r="N183" s="275"/>
      <c r="O183" s="275"/>
      <c r="P183" s="275"/>
      <c r="Q183" s="275"/>
      <c r="R183" s="275"/>
    </row>
    <row r="184" spans="1:21">
      <c r="A184" s="476"/>
      <c r="B184" s="354" t="s">
        <v>373</v>
      </c>
      <c r="C184" s="243"/>
      <c r="D184" s="243"/>
      <c r="E184" s="558">
        <v>2008</v>
      </c>
      <c r="F184" s="558"/>
      <c r="G184" s="244">
        <v>2009</v>
      </c>
      <c r="H184" s="244">
        <v>2010</v>
      </c>
      <c r="I184" s="244">
        <v>2011</v>
      </c>
      <c r="J184" s="244">
        <v>2012</v>
      </c>
      <c r="K184" s="244">
        <v>2013</v>
      </c>
      <c r="L184" s="69">
        <v>2014</v>
      </c>
      <c r="M184" s="69">
        <v>2015</v>
      </c>
      <c r="N184" s="69">
        <v>2016</v>
      </c>
      <c r="O184" s="69">
        <v>2017</v>
      </c>
      <c r="P184" s="69">
        <v>2018</v>
      </c>
      <c r="Q184" s="69">
        <v>2019</v>
      </c>
      <c r="R184" s="69">
        <v>2020</v>
      </c>
      <c r="S184" s="69">
        <v>2021</v>
      </c>
      <c r="T184" s="69">
        <v>2022</v>
      </c>
      <c r="U184" s="69">
        <v>2023</v>
      </c>
    </row>
    <row r="185" spans="1:21">
      <c r="A185" s="476"/>
      <c r="C185" s="69" t="s">
        <v>337</v>
      </c>
      <c r="E185" s="559"/>
      <c r="F185" s="559"/>
      <c r="I185" s="355">
        <f>I$47/($I$81+$I$83)</f>
        <v>51.563378627577208</v>
      </c>
      <c r="J185" s="355"/>
      <c r="K185" s="355"/>
      <c r="L185" s="355"/>
      <c r="M185" s="355"/>
      <c r="N185" s="355"/>
      <c r="O185" s="355"/>
      <c r="P185" s="355"/>
      <c r="Q185" s="355"/>
      <c r="R185" s="355"/>
      <c r="S185" s="355">
        <f>S$47/($I$81+$I$83)</f>
        <v>-267.99999999999989</v>
      </c>
    </row>
    <row r="186" spans="1:21">
      <c r="A186" s="476"/>
      <c r="C186" s="69" t="s">
        <v>338</v>
      </c>
      <c r="E186" s="553"/>
      <c r="F186" s="553"/>
      <c r="I186" s="355">
        <f>I$48/($I$81+$I$83)</f>
        <v>54.795028049922109</v>
      </c>
      <c r="J186" s="355">
        <f>J$48/($I$81+$I$83)/2</f>
        <v>54.79502804992201</v>
      </c>
      <c r="K186" s="355">
        <f>K$48/($I$81+$I$83)/3</f>
        <v>54.795028049922045</v>
      </c>
      <c r="L186" s="355">
        <f t="shared" ref="L186:R186" si="50">L$48/($I$81+$I$83)/3</f>
        <v>54.795028049922045</v>
      </c>
      <c r="M186" s="355">
        <f t="shared" si="50"/>
        <v>54.795028049922045</v>
      </c>
      <c r="N186" s="355">
        <f t="shared" si="50"/>
        <v>54.795028049921974</v>
      </c>
      <c r="O186" s="355">
        <f t="shared" si="50"/>
        <v>54.795028049921974</v>
      </c>
      <c r="P186" s="355">
        <f>P$48/($I$81+$I$83)/3</f>
        <v>54.79502804992191</v>
      </c>
      <c r="Q186" s="355">
        <f t="shared" si="50"/>
        <v>54.795028049922045</v>
      </c>
      <c r="R186" s="355">
        <f t="shared" si="50"/>
        <v>54.795028049922045</v>
      </c>
      <c r="S186" s="355"/>
    </row>
    <row r="187" spans="1:21">
      <c r="A187" s="476"/>
      <c r="C187" s="69" t="s">
        <v>374</v>
      </c>
      <c r="E187" s="553"/>
      <c r="F187" s="553"/>
      <c r="I187" s="355">
        <f>SUM(I185:I186)</f>
        <v>106.35840667749932</v>
      </c>
      <c r="J187" s="355">
        <f t="shared" ref="J187:S187" si="51">SUM(J185:J186)</f>
        <v>54.79502804992201</v>
      </c>
      <c r="K187" s="355">
        <f t="shared" si="51"/>
        <v>54.795028049922045</v>
      </c>
      <c r="L187" s="355">
        <f t="shared" si="51"/>
        <v>54.795028049922045</v>
      </c>
      <c r="M187" s="355">
        <f t="shared" si="51"/>
        <v>54.795028049922045</v>
      </c>
      <c r="N187" s="355">
        <f t="shared" si="51"/>
        <v>54.795028049921974</v>
      </c>
      <c r="O187" s="355">
        <f t="shared" si="51"/>
        <v>54.795028049921974</v>
      </c>
      <c r="P187" s="355">
        <f t="shared" si="51"/>
        <v>54.79502804992191</v>
      </c>
      <c r="Q187" s="355">
        <f t="shared" si="51"/>
        <v>54.795028049922045</v>
      </c>
      <c r="R187" s="355">
        <f t="shared" si="51"/>
        <v>54.795028049922045</v>
      </c>
      <c r="S187" s="355">
        <f t="shared" si="51"/>
        <v>-267.99999999999989</v>
      </c>
    </row>
    <row r="188" spans="1:21">
      <c r="A188" s="476"/>
      <c r="E188" s="553"/>
      <c r="F188" s="553"/>
      <c r="I188" s="355"/>
      <c r="J188" s="355"/>
      <c r="K188" s="355"/>
      <c r="L188" s="355"/>
      <c r="M188" s="355"/>
      <c r="N188" s="355"/>
      <c r="O188" s="355"/>
      <c r="P188" s="355"/>
      <c r="Q188" s="355"/>
      <c r="R188" s="355"/>
      <c r="S188" s="355"/>
    </row>
    <row r="189" spans="1:21" ht="15">
      <c r="A189" s="476">
        <v>13</v>
      </c>
      <c r="B189" s="354" t="s">
        <v>373</v>
      </c>
      <c r="C189" s="271"/>
      <c r="D189" s="243"/>
      <c r="E189" s="554" t="s">
        <v>370</v>
      </c>
      <c r="F189" s="554"/>
      <c r="G189" s="356">
        <v>0.1</v>
      </c>
      <c r="H189" s="357">
        <v>0.2</v>
      </c>
      <c r="I189" s="356">
        <v>0.3</v>
      </c>
      <c r="J189" s="357">
        <v>0.4</v>
      </c>
      <c r="K189" s="356">
        <v>0.5</v>
      </c>
    </row>
    <row r="190" spans="1:21">
      <c r="A190" s="476"/>
      <c r="B190" s="362"/>
      <c r="C190" s="362" t="s">
        <v>375</v>
      </c>
      <c r="D190" s="362"/>
      <c r="E190" s="555" t="s">
        <v>371</v>
      </c>
      <c r="F190" s="555"/>
      <c r="G190" s="363">
        <f>NPV(G189,$I187:$S187)</f>
        <v>289.63516060304596</v>
      </c>
      <c r="H190" s="363">
        <f>NPV(H189,$I187:$S187)</f>
        <v>236.62652753718515</v>
      </c>
      <c r="I190" s="364">
        <f>NPV(I189,$I187:$S187)</f>
        <v>194.11111229903022</v>
      </c>
      <c r="J190" s="363">
        <f>NPV(J189,$I187:$S187)</f>
        <v>162.46467909901497</v>
      </c>
      <c r="K190" s="364">
        <f>NPV(K189,$I187:$S187)</f>
        <v>138.96682927026691</v>
      </c>
      <c r="L190" s="355"/>
      <c r="M190" s="355"/>
      <c r="N190" s="355"/>
      <c r="O190" s="355"/>
      <c r="P190" s="355"/>
      <c r="Q190" s="355"/>
      <c r="R190" s="355"/>
    </row>
    <row r="194" spans="4:15">
      <c r="D194" s="477" t="s">
        <v>529</v>
      </c>
      <c r="E194" s="69" t="s">
        <v>530</v>
      </c>
    </row>
    <row r="195" spans="4:15">
      <c r="D195" s="476">
        <v>1</v>
      </c>
      <c r="E195" s="317" t="s">
        <v>531</v>
      </c>
    </row>
    <row r="196" spans="4:15">
      <c r="D196" s="476">
        <v>2</v>
      </c>
      <c r="E196" s="317" t="s">
        <v>532</v>
      </c>
    </row>
    <row r="197" spans="4:15">
      <c r="D197" s="476">
        <v>3</v>
      </c>
      <c r="E197" s="69" t="s">
        <v>306</v>
      </c>
    </row>
    <row r="198" spans="4:15">
      <c r="D198" s="476">
        <v>4</v>
      </c>
      <c r="E198" s="69" t="s">
        <v>310</v>
      </c>
      <c r="G198" s="313"/>
    </row>
    <row r="199" spans="4:15" ht="12.75" customHeight="1">
      <c r="D199" s="476">
        <v>5</v>
      </c>
      <c r="E199" s="479" t="s">
        <v>533</v>
      </c>
      <c r="F199" s="478"/>
      <c r="G199" s="478"/>
      <c r="H199" s="478"/>
      <c r="I199" s="478"/>
      <c r="J199" s="478"/>
      <c r="K199" s="478"/>
    </row>
    <row r="200" spans="4:15">
      <c r="D200" s="476">
        <v>6</v>
      </c>
      <c r="E200" s="583" t="s">
        <v>522</v>
      </c>
      <c r="F200" s="583"/>
      <c r="G200" s="583"/>
      <c r="H200" s="583"/>
      <c r="I200" s="583"/>
      <c r="J200" s="478"/>
      <c r="K200" s="478"/>
    </row>
    <row r="201" spans="4:15" ht="12.75" customHeight="1">
      <c r="D201" s="476">
        <v>7</v>
      </c>
      <c r="E201" s="482" t="s">
        <v>316</v>
      </c>
      <c r="F201" s="482"/>
      <c r="G201" s="482"/>
      <c r="H201" s="482"/>
      <c r="I201" s="482"/>
      <c r="J201" s="478"/>
      <c r="K201" s="478"/>
    </row>
    <row r="202" spans="4:15" ht="12.75" customHeight="1">
      <c r="D202" s="476">
        <v>8</v>
      </c>
      <c r="E202" s="483" t="s">
        <v>318</v>
      </c>
      <c r="F202" s="483"/>
      <c r="G202" s="483"/>
      <c r="H202" s="483"/>
      <c r="I202" s="483"/>
      <c r="J202" s="478"/>
      <c r="K202" s="478"/>
    </row>
    <row r="203" spans="4:15" ht="12.75" customHeight="1">
      <c r="D203" s="476">
        <v>9</v>
      </c>
      <c r="E203" s="482" t="s">
        <v>320</v>
      </c>
      <c r="F203" s="482"/>
      <c r="G203" s="482"/>
      <c r="H203" s="482"/>
      <c r="I203" s="482"/>
      <c r="J203" s="478"/>
      <c r="K203" s="478"/>
    </row>
    <row r="204" spans="4:15" ht="12.75" customHeight="1">
      <c r="D204" s="476">
        <v>10</v>
      </c>
      <c r="E204" s="482" t="s">
        <v>322</v>
      </c>
      <c r="F204" s="482"/>
      <c r="G204" s="482"/>
      <c r="H204" s="482"/>
      <c r="I204" s="482"/>
    </row>
    <row r="205" spans="4:15">
      <c r="D205" s="592">
        <v>11</v>
      </c>
      <c r="E205" s="591" t="s">
        <v>539</v>
      </c>
      <c r="F205" s="591"/>
      <c r="G205" s="591"/>
      <c r="H205" s="591"/>
      <c r="I205" s="591"/>
      <c r="J205" s="591"/>
      <c r="K205" s="591"/>
      <c r="L205" s="591"/>
      <c r="M205" s="591"/>
      <c r="N205" s="591"/>
      <c r="O205" s="591"/>
    </row>
    <row r="206" spans="4:15">
      <c r="D206" s="592"/>
      <c r="E206" s="591"/>
      <c r="F206" s="591"/>
      <c r="G206" s="591"/>
      <c r="H206" s="591"/>
      <c r="I206" s="591"/>
      <c r="J206" s="591"/>
      <c r="K206" s="591"/>
      <c r="L206" s="591"/>
      <c r="M206" s="591"/>
      <c r="N206" s="591"/>
      <c r="O206" s="591"/>
    </row>
    <row r="207" spans="4:15">
      <c r="D207" s="592"/>
      <c r="E207" s="591"/>
      <c r="F207" s="591"/>
      <c r="G207" s="591"/>
      <c r="H207" s="591"/>
      <c r="I207" s="591"/>
      <c r="J207" s="591"/>
      <c r="K207" s="591"/>
      <c r="L207" s="591"/>
      <c r="M207" s="591"/>
      <c r="N207" s="591"/>
      <c r="O207" s="591"/>
    </row>
    <row r="208" spans="4:15">
      <c r="D208" s="592"/>
      <c r="E208" s="591"/>
      <c r="F208" s="591"/>
      <c r="G208" s="591"/>
      <c r="H208" s="591"/>
      <c r="I208" s="591"/>
      <c r="J208" s="591"/>
      <c r="K208" s="591"/>
      <c r="L208" s="591"/>
      <c r="M208" s="591"/>
      <c r="N208" s="591"/>
      <c r="O208" s="591"/>
    </row>
    <row r="209" spans="4:5">
      <c r="D209" s="476">
        <v>12</v>
      </c>
      <c r="E209" s="69" t="s">
        <v>372</v>
      </c>
    </row>
    <row r="210" spans="4:5">
      <c r="D210" s="476">
        <v>13</v>
      </c>
      <c r="E210" s="69" t="s">
        <v>376</v>
      </c>
    </row>
  </sheetData>
  <scenarios current="4" sqref="T31 D112 D167 E176 E177 G186 I186">
    <scenario name="Ger_base" locked="1" count="7" user="KBFitzgerald" comment="Created by KBFitzgerald on 10/22/2009_x000a_Modified by KBFitzgerald on 10/22/2009_x000a_Modified by KBFitzgerald on 10/27/2009_x000a_Modified by KBFitzgerald on 10/29/2009">
      <inputCells r="E8" val="350" numFmtId="167"/>
      <inputCells r="E15" val="9500" numFmtId="167"/>
      <inputCells r="E18" val="0.3" numFmtId="9"/>
      <inputCells r="E19" val="0.15" numFmtId="9"/>
      <inputCells r="E20" val="0" numFmtId="9"/>
      <inputCells r="E21" val="0" numFmtId="9"/>
      <inputCells r="E9" val="0.7" numFmtId="9"/>
    </scenario>
    <scenario name="Ger_best" locked="1" count="7" user="KBFitzgerald" comment="Created by KBFitzgerald on 10/22/2009_x000a_Modified by KBFitzgerald on 10/27/2009_x000a_Modified by KBFitzgerald on 10/29/2009">
      <inputCells r="E8" val="350" numFmtId="167"/>
      <inputCells r="E15" val="14000" numFmtId="167"/>
      <inputCells r="E18" val="0.45" numFmtId="9"/>
      <inputCells r="E19" val="0.23" numFmtId="9"/>
      <inputCells r="E20" val="0" numFmtId="9"/>
      <inputCells r="E21" val="0" numFmtId="9"/>
      <inputCells r="E9" val="0.7" numFmtId="9"/>
    </scenario>
    <scenario name="Ger_worst" locked="1" count="7" user="KBFitzgerald" comment="Created by KBFitzgerald on 10/22/2009_x000a_Modified by KBFitzgerald on 10/27/2009_x000a_Modified by KBFitzgerald on 10/29/2009">
      <inputCells r="E8" val="450" numFmtId="167"/>
      <inputCells r="E15" val="5000" numFmtId="167"/>
      <inputCells r="E18" val="0.2" numFmtId="9"/>
      <inputCells r="E19" val="0.1" numFmtId="9"/>
      <inputCells r="E20" val="0" numFmtId="9"/>
      <inputCells r="E21" val="0" numFmtId="9"/>
      <inputCells r="E9" val="0.7" numFmtId="9"/>
    </scenario>
    <scenario name="Ger_x" locked="1" count="7" user="KBFitzgerald" comment="Created by KBFitzgerald on 10/22/2009_x000a_Modified by KBFitzgerald on 10/27/2009_x000a_Modified by KBFitzgerald on 10/29/2009">
      <inputCells r="E8" val="450" numFmtId="167"/>
      <inputCells r="E15" val="14000" numFmtId="167"/>
      <inputCells r="E18" val="0.3" numFmtId="9"/>
      <inputCells r="E19" val="0.15" numFmtId="9"/>
      <inputCells r="E20" val="0" numFmtId="9"/>
      <inputCells r="E21" val="0" numFmtId="9"/>
      <inputCells r="E9" val="0.7" numFmtId="9"/>
    </scenario>
    <scenario name="Ger_y" locked="1" count="7" user="KBFitzgerald" comment="Created by KBFitzgerald on 10/29/2009">
      <inputCells r="E8" val="350" numFmtId="167"/>
      <inputCells r="E15" val="9500" numFmtId="167"/>
      <inputCells r="E18" val="0.3" numFmtId="9"/>
      <inputCells r="E19" val="0.15" numFmtId="9"/>
      <inputCells r="E20" val="0" numFmtId="9"/>
      <inputCells r="E21" val="0" numFmtId="9"/>
      <inputCells r="E9" val="0.35" numFmtId="9"/>
    </scenario>
  </scenarios>
  <mergeCells count="188">
    <mergeCell ref="E200:I200"/>
    <mergeCell ref="K7:N14"/>
    <mergeCell ref="E205:O208"/>
    <mergeCell ref="D205:D208"/>
    <mergeCell ref="C13:D13"/>
    <mergeCell ref="C15:D15"/>
    <mergeCell ref="C16:D16"/>
    <mergeCell ref="C17:D17"/>
    <mergeCell ref="C18:D18"/>
    <mergeCell ref="C19:D19"/>
    <mergeCell ref="C7:D7"/>
    <mergeCell ref="C8:D8"/>
    <mergeCell ref="C9:D9"/>
    <mergeCell ref="C10:D10"/>
    <mergeCell ref="C11:D11"/>
    <mergeCell ref="C12:D12"/>
    <mergeCell ref="C20:D20"/>
    <mergeCell ref="E25:F25"/>
    <mergeCell ref="E27:F27"/>
    <mergeCell ref="E28:F28"/>
    <mergeCell ref="E29:F29"/>
    <mergeCell ref="E30:F30"/>
    <mergeCell ref="E26:F26"/>
    <mergeCell ref="E24:F24"/>
    <mergeCell ref="E23:F23"/>
    <mergeCell ref="C21:D21"/>
    <mergeCell ref="E44:F44"/>
    <mergeCell ref="E45:F45"/>
    <mergeCell ref="E31:F31"/>
    <mergeCell ref="E32:F32"/>
    <mergeCell ref="E34:F34"/>
    <mergeCell ref="E35:F35"/>
    <mergeCell ref="E37:F37"/>
    <mergeCell ref="E38:F38"/>
    <mergeCell ref="E36:F36"/>
    <mergeCell ref="E33:F33"/>
    <mergeCell ref="E57:F57"/>
    <mergeCell ref="E59:F59"/>
    <mergeCell ref="E60:F60"/>
    <mergeCell ref="E61:F61"/>
    <mergeCell ref="E53:F53"/>
    <mergeCell ref="E52:F52"/>
    <mergeCell ref="E51:F51"/>
    <mergeCell ref="G18:K18"/>
    <mergeCell ref="G17:K17"/>
    <mergeCell ref="G19:K19"/>
    <mergeCell ref="G20:K20"/>
    <mergeCell ref="G21:K21"/>
    <mergeCell ref="E46:F46"/>
    <mergeCell ref="E47:F47"/>
    <mergeCell ref="E48:F48"/>
    <mergeCell ref="E49:F49"/>
    <mergeCell ref="E50:F50"/>
    <mergeCell ref="E43:F43"/>
    <mergeCell ref="E39:F39"/>
    <mergeCell ref="E40:F40"/>
    <mergeCell ref="E41:F41"/>
    <mergeCell ref="E42:F42"/>
    <mergeCell ref="E58:F58"/>
    <mergeCell ref="E56:F56"/>
    <mergeCell ref="E68:F68"/>
    <mergeCell ref="E70:F70"/>
    <mergeCell ref="E71:F71"/>
    <mergeCell ref="E69:F69"/>
    <mergeCell ref="E72:F72"/>
    <mergeCell ref="E74:F74"/>
    <mergeCell ref="E75:F75"/>
    <mergeCell ref="E73:F73"/>
    <mergeCell ref="E62:F62"/>
    <mergeCell ref="E63:F63"/>
    <mergeCell ref="E64:F64"/>
    <mergeCell ref="E65:F65"/>
    <mergeCell ref="E66:F66"/>
    <mergeCell ref="E67:F67"/>
    <mergeCell ref="E85:F85"/>
    <mergeCell ref="E87:F87"/>
    <mergeCell ref="E81:F81"/>
    <mergeCell ref="E83:F83"/>
    <mergeCell ref="E84:F84"/>
    <mergeCell ref="E86:F86"/>
    <mergeCell ref="E76:F76"/>
    <mergeCell ref="E77:F77"/>
    <mergeCell ref="E78:F78"/>
    <mergeCell ref="E79:F79"/>
    <mergeCell ref="E80:F80"/>
    <mergeCell ref="E82:F82"/>
    <mergeCell ref="E117:F117"/>
    <mergeCell ref="E120:F120"/>
    <mergeCell ref="E118:F118"/>
    <mergeCell ref="E121:F121"/>
    <mergeCell ref="E123:F123"/>
    <mergeCell ref="E122:F122"/>
    <mergeCell ref="E119:F119"/>
    <mergeCell ref="E106:F106"/>
    <mergeCell ref="E107:F107"/>
    <mergeCell ref="E108:F108"/>
    <mergeCell ref="E110:F110"/>
    <mergeCell ref="E112:F112"/>
    <mergeCell ref="E114:F114"/>
    <mergeCell ref="E109:F109"/>
    <mergeCell ref="E132:F132"/>
    <mergeCell ref="E133:F133"/>
    <mergeCell ref="E135:F135"/>
    <mergeCell ref="E137:F137"/>
    <mergeCell ref="E138:F138"/>
    <mergeCell ref="E139:F139"/>
    <mergeCell ref="E136:F136"/>
    <mergeCell ref="E134:F134"/>
    <mergeCell ref="E125:F125"/>
    <mergeCell ref="E126:F126"/>
    <mergeCell ref="E127:F127"/>
    <mergeCell ref="E128:F128"/>
    <mergeCell ref="E130:F130"/>
    <mergeCell ref="E131:F131"/>
    <mergeCell ref="E146:F146"/>
    <mergeCell ref="E147:F147"/>
    <mergeCell ref="E148:F148"/>
    <mergeCell ref="E149:F149"/>
    <mergeCell ref="E150:F150"/>
    <mergeCell ref="E151:F151"/>
    <mergeCell ref="E140:F140"/>
    <mergeCell ref="E141:F141"/>
    <mergeCell ref="E142:F142"/>
    <mergeCell ref="E143:F143"/>
    <mergeCell ref="E144:F144"/>
    <mergeCell ref="E145:F145"/>
    <mergeCell ref="E158:F158"/>
    <mergeCell ref="E159:F159"/>
    <mergeCell ref="E160:F160"/>
    <mergeCell ref="E161:F161"/>
    <mergeCell ref="E162:F162"/>
    <mergeCell ref="E163:F163"/>
    <mergeCell ref="E152:F152"/>
    <mergeCell ref="E153:F153"/>
    <mergeCell ref="E154:F154"/>
    <mergeCell ref="E155:F155"/>
    <mergeCell ref="E156:F156"/>
    <mergeCell ref="E157:F157"/>
    <mergeCell ref="E170:F170"/>
    <mergeCell ref="E171:F171"/>
    <mergeCell ref="E175:F175"/>
    <mergeCell ref="E176:F176"/>
    <mergeCell ref="E177:F177"/>
    <mergeCell ref="E178:F178"/>
    <mergeCell ref="E173:F173"/>
    <mergeCell ref="E172:F172"/>
    <mergeCell ref="E164:F164"/>
    <mergeCell ref="E165:F165"/>
    <mergeCell ref="E166:F166"/>
    <mergeCell ref="E167:F167"/>
    <mergeCell ref="E168:F168"/>
    <mergeCell ref="E169:F169"/>
    <mergeCell ref="E186:F186"/>
    <mergeCell ref="E187:F187"/>
    <mergeCell ref="E188:F188"/>
    <mergeCell ref="E189:F189"/>
    <mergeCell ref="E190:F190"/>
    <mergeCell ref="E174:F174"/>
    <mergeCell ref="E179:F179"/>
    <mergeCell ref="E180:F180"/>
    <mergeCell ref="E181:F181"/>
    <mergeCell ref="E183:F183"/>
    <mergeCell ref="E184:F184"/>
    <mergeCell ref="E185:F185"/>
    <mergeCell ref="E55:F55"/>
    <mergeCell ref="E54:F54"/>
    <mergeCell ref="E115:F115"/>
    <mergeCell ref="E116:F116"/>
    <mergeCell ref="B113:F113"/>
    <mergeCell ref="E111:F111"/>
    <mergeCell ref="E101:F101"/>
    <mergeCell ref="E104:F104"/>
    <mergeCell ref="E103:F103"/>
    <mergeCell ref="E102:F102"/>
    <mergeCell ref="E100:F100"/>
    <mergeCell ref="E105:F105"/>
    <mergeCell ref="E94:F94"/>
    <mergeCell ref="E95:F95"/>
    <mergeCell ref="E96:F96"/>
    <mergeCell ref="E97:F97"/>
    <mergeCell ref="E98:F98"/>
    <mergeCell ref="E99:F99"/>
    <mergeCell ref="E88:F88"/>
    <mergeCell ref="E89:F89"/>
    <mergeCell ref="E90:F90"/>
    <mergeCell ref="E91:F91"/>
    <mergeCell ref="E92:F92"/>
    <mergeCell ref="E93:F93"/>
  </mergeCells>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T205"/>
  <sheetViews>
    <sheetView showGridLines="0" zoomScale="85" workbookViewId="0">
      <selection activeCell="B2" sqref="B2"/>
    </sheetView>
  </sheetViews>
  <sheetFormatPr defaultRowHeight="12.75"/>
  <cols>
    <col min="1" max="1" width="5.85546875" style="69" customWidth="1"/>
    <col min="2" max="3" width="4.7109375" style="69" customWidth="1"/>
    <col min="4" max="4" width="19.5703125" style="69" customWidth="1"/>
    <col min="5" max="20" width="12.7109375" style="69" customWidth="1"/>
    <col min="21" max="16384" width="9.140625" style="69"/>
  </cols>
  <sheetData>
    <row r="1" spans="1:20" customFormat="1" ht="19.5" customHeight="1">
      <c r="B1" s="447" t="s">
        <v>501</v>
      </c>
      <c r="C1" s="447"/>
    </row>
    <row r="2" spans="1:20" customFormat="1" ht="18">
      <c r="B2" s="450" t="s">
        <v>553</v>
      </c>
      <c r="C2" s="464"/>
    </row>
    <row r="3" spans="1:20" customFormat="1" ht="15.75">
      <c r="B3" s="464"/>
      <c r="C3" s="464"/>
    </row>
    <row r="4" spans="1:20" customFormat="1" ht="15.75">
      <c r="B4" s="464"/>
      <c r="C4" s="602" t="s">
        <v>526</v>
      </c>
      <c r="D4" s="603"/>
    </row>
    <row r="5" spans="1:20" customFormat="1" ht="15.75">
      <c r="B5" s="464"/>
      <c r="C5" s="598" t="s">
        <v>21</v>
      </c>
      <c r="D5" s="599"/>
    </row>
    <row r="6" spans="1:20" customFormat="1" ht="15.75">
      <c r="B6" s="464"/>
      <c r="C6" s="600" t="s">
        <v>206</v>
      </c>
      <c r="D6" s="601"/>
    </row>
    <row r="7" spans="1:20" customFormat="1" ht="15.75">
      <c r="B7" s="464"/>
      <c r="C7" s="464"/>
    </row>
    <row r="8" spans="1:20" ht="18">
      <c r="A8" s="476" t="s">
        <v>529</v>
      </c>
      <c r="B8" s="239" t="s">
        <v>195</v>
      </c>
    </row>
    <row r="9" spans="1:20" ht="12.75" customHeight="1">
      <c r="A9" s="476"/>
      <c r="B9" s="240" t="s">
        <v>196</v>
      </c>
      <c r="C9" s="240"/>
      <c r="D9" s="240"/>
      <c r="E9" s="241">
        <v>1450</v>
      </c>
    </row>
    <row r="10" spans="1:20">
      <c r="A10" s="476"/>
    </row>
    <row r="11" spans="1:20" ht="15.75">
      <c r="A11" s="477" t="s">
        <v>540</v>
      </c>
      <c r="B11" s="242" t="s">
        <v>197</v>
      </c>
    </row>
    <row r="12" spans="1:20">
      <c r="A12" s="476"/>
      <c r="B12" s="243"/>
      <c r="C12" s="243"/>
      <c r="D12" s="243"/>
      <c r="E12" s="243">
        <v>2008</v>
      </c>
      <c r="F12" s="244">
        <v>2009</v>
      </c>
      <c r="G12" s="244">
        <v>2010</v>
      </c>
      <c r="H12" s="244">
        <v>2011</v>
      </c>
      <c r="I12" s="244">
        <v>2012</v>
      </c>
      <c r="J12" s="244">
        <v>2013</v>
      </c>
      <c r="K12" s="69">
        <v>2014</v>
      </c>
      <c r="L12" s="69">
        <v>2015</v>
      </c>
      <c r="M12" s="69">
        <v>2016</v>
      </c>
      <c r="N12" s="69">
        <v>2017</v>
      </c>
      <c r="O12" s="69">
        <v>2018</v>
      </c>
      <c r="P12" s="69">
        <v>2019</v>
      </c>
      <c r="Q12" s="69">
        <v>2020</v>
      </c>
      <c r="R12" s="69">
        <v>2021</v>
      </c>
      <c r="S12" s="69">
        <v>2022</v>
      </c>
      <c r="T12" s="69">
        <v>2023</v>
      </c>
    </row>
    <row r="13" spans="1:20" ht="15">
      <c r="A13" s="476">
        <v>3</v>
      </c>
      <c r="B13" s="245"/>
      <c r="C13" s="69" t="s">
        <v>9</v>
      </c>
      <c r="E13" s="246">
        <f>1.3*43607</f>
        <v>56689.1</v>
      </c>
      <c r="F13" s="247">
        <f t="shared" ref="F13:T13" si="0">SUM(F14:F15)</f>
        <v>58389.773000000001</v>
      </c>
      <c r="G13" s="247">
        <f t="shared" si="0"/>
        <v>60141.466189999999</v>
      </c>
      <c r="H13" s="247">
        <f t="shared" si="0"/>
        <v>61945.710175700005</v>
      </c>
      <c r="I13" s="247">
        <f t="shared" si="0"/>
        <v>63804.081480971014</v>
      </c>
      <c r="J13" s="247">
        <f t="shared" si="0"/>
        <v>65718.203925400143</v>
      </c>
      <c r="K13" s="247">
        <f t="shared" si="0"/>
        <v>67689.750043162159</v>
      </c>
      <c r="L13" s="247">
        <f t="shared" si="0"/>
        <v>69720.442544457022</v>
      </c>
      <c r="M13" s="247">
        <f t="shared" si="0"/>
        <v>71812.055820790745</v>
      </c>
      <c r="N13" s="247">
        <f t="shared" si="0"/>
        <v>73966.417495414469</v>
      </c>
      <c r="O13" s="247">
        <f t="shared" si="0"/>
        <v>76185.410020276904</v>
      </c>
      <c r="P13" s="247">
        <f t="shared" si="0"/>
        <v>78470.972320885223</v>
      </c>
      <c r="Q13" s="247">
        <f t="shared" si="0"/>
        <v>80825.101490511777</v>
      </c>
      <c r="R13" s="247">
        <f t="shared" si="0"/>
        <v>83249.854535227132</v>
      </c>
      <c r="S13" s="247">
        <f t="shared" si="0"/>
        <v>85747.35017128395</v>
      </c>
      <c r="T13" s="247">
        <f t="shared" si="0"/>
        <v>88319.770676422471</v>
      </c>
    </row>
    <row r="14" spans="1:20" ht="15">
      <c r="A14" s="476"/>
      <c r="B14" s="248">
        <v>0.03</v>
      </c>
      <c r="C14" s="249">
        <f>1-C15</f>
        <v>0.33333333333333337</v>
      </c>
      <c r="D14" s="69" t="s">
        <v>198</v>
      </c>
      <c r="E14" s="246">
        <f>$C14*E13</f>
        <v>18896.366666666669</v>
      </c>
      <c r="F14" s="247">
        <f t="shared" ref="F14:T15" si="1">E14*(1+$B14)</f>
        <v>19463.257666666668</v>
      </c>
      <c r="G14" s="247">
        <f t="shared" si="1"/>
        <v>20047.155396666669</v>
      </c>
      <c r="H14" s="247">
        <f t="shared" si="1"/>
        <v>20648.570058566671</v>
      </c>
      <c r="I14" s="247">
        <f t="shared" si="1"/>
        <v>21268.027160323672</v>
      </c>
      <c r="J14" s="247">
        <f t="shared" si="1"/>
        <v>21906.067975133385</v>
      </c>
      <c r="K14" s="247">
        <f t="shared" si="1"/>
        <v>22563.250014387388</v>
      </c>
      <c r="L14" s="247">
        <f t="shared" si="1"/>
        <v>23240.147514819011</v>
      </c>
      <c r="M14" s="247">
        <f t="shared" si="1"/>
        <v>23937.351940263583</v>
      </c>
      <c r="N14" s="247">
        <f t="shared" si="1"/>
        <v>24655.472498471492</v>
      </c>
      <c r="O14" s="247">
        <f t="shared" si="1"/>
        <v>25395.136673425637</v>
      </c>
      <c r="P14" s="247">
        <f t="shared" si="1"/>
        <v>26156.990773628408</v>
      </c>
      <c r="Q14" s="247">
        <f t="shared" si="1"/>
        <v>26941.70049683726</v>
      </c>
      <c r="R14" s="247">
        <f t="shared" si="1"/>
        <v>27749.95151174238</v>
      </c>
      <c r="S14" s="247">
        <f t="shared" si="1"/>
        <v>28582.450057094651</v>
      </c>
      <c r="T14" s="247">
        <f t="shared" si="1"/>
        <v>29439.923558807492</v>
      </c>
    </row>
    <row r="15" spans="1:20" ht="15">
      <c r="A15" s="476"/>
      <c r="B15" s="248">
        <v>0.03</v>
      </c>
      <c r="C15" s="250">
        <f>2/3</f>
        <v>0.66666666666666663</v>
      </c>
      <c r="D15" s="69" t="s">
        <v>199</v>
      </c>
      <c r="E15" s="246">
        <f>$C15*E13</f>
        <v>37792.73333333333</v>
      </c>
      <c r="F15" s="247">
        <f t="shared" si="1"/>
        <v>38926.515333333329</v>
      </c>
      <c r="G15" s="247">
        <f t="shared" si="1"/>
        <v>40094.31079333333</v>
      </c>
      <c r="H15" s="247">
        <f t="shared" si="1"/>
        <v>41297.140117133335</v>
      </c>
      <c r="I15" s="247">
        <f t="shared" si="1"/>
        <v>42536.054320647338</v>
      </c>
      <c r="J15" s="247">
        <f t="shared" si="1"/>
        <v>43812.135950266762</v>
      </c>
      <c r="K15" s="247">
        <f t="shared" si="1"/>
        <v>45126.500028774768</v>
      </c>
      <c r="L15" s="247">
        <f t="shared" si="1"/>
        <v>46480.295029638015</v>
      </c>
      <c r="M15" s="247">
        <f t="shared" si="1"/>
        <v>47874.703880527159</v>
      </c>
      <c r="N15" s="247">
        <f t="shared" si="1"/>
        <v>49310.944996942977</v>
      </c>
      <c r="O15" s="247">
        <f t="shared" si="1"/>
        <v>50790.273346851267</v>
      </c>
      <c r="P15" s="247">
        <f t="shared" si="1"/>
        <v>52313.981547256808</v>
      </c>
      <c r="Q15" s="247">
        <f t="shared" si="1"/>
        <v>53883.400993674513</v>
      </c>
      <c r="R15" s="247">
        <f t="shared" si="1"/>
        <v>55499.903023484752</v>
      </c>
      <c r="S15" s="247">
        <f t="shared" si="1"/>
        <v>57164.900114189295</v>
      </c>
      <c r="T15" s="247">
        <f t="shared" si="1"/>
        <v>58879.847117614976</v>
      </c>
    </row>
    <row r="16" spans="1:20" ht="15">
      <c r="A16" s="476"/>
      <c r="C16" s="69" t="s">
        <v>200</v>
      </c>
      <c r="E16" s="251"/>
      <c r="F16" s="252">
        <f>F13/E13-1</f>
        <v>3.0000000000000027E-2</v>
      </c>
      <c r="G16" s="252">
        <f t="shared" ref="G16:T16" si="2">G13/F13-1</f>
        <v>3.0000000000000027E-2</v>
      </c>
      <c r="H16" s="252">
        <f t="shared" si="2"/>
        <v>3.0000000000000027E-2</v>
      </c>
      <c r="I16" s="252">
        <f t="shared" si="2"/>
        <v>3.0000000000000027E-2</v>
      </c>
      <c r="J16" s="252">
        <f t="shared" si="2"/>
        <v>3.0000000000000027E-2</v>
      </c>
      <c r="K16" s="252">
        <f t="shared" si="2"/>
        <v>3.0000000000000249E-2</v>
      </c>
      <c r="L16" s="252">
        <f t="shared" si="2"/>
        <v>3.0000000000000027E-2</v>
      </c>
      <c r="M16" s="252">
        <f t="shared" si="2"/>
        <v>3.0000000000000249E-2</v>
      </c>
      <c r="N16" s="252">
        <f t="shared" si="2"/>
        <v>3.0000000000000027E-2</v>
      </c>
      <c r="O16" s="252">
        <f t="shared" si="2"/>
        <v>3.0000000000000027E-2</v>
      </c>
      <c r="P16" s="252">
        <f t="shared" si="2"/>
        <v>3.0000000000000249E-2</v>
      </c>
      <c r="Q16" s="252">
        <f t="shared" si="2"/>
        <v>3.0000000000000027E-2</v>
      </c>
      <c r="R16" s="252">
        <f t="shared" si="2"/>
        <v>3.0000000000000027E-2</v>
      </c>
      <c r="S16" s="252">
        <f t="shared" si="2"/>
        <v>3.0000000000000027E-2</v>
      </c>
      <c r="T16" s="252">
        <f t="shared" si="2"/>
        <v>3.0000000000000027E-2</v>
      </c>
    </row>
    <row r="17" spans="1:20" ht="15">
      <c r="A17" s="476"/>
      <c r="E17" s="247"/>
    </row>
    <row r="18" spans="1:20">
      <c r="A18" s="476">
        <v>4</v>
      </c>
      <c r="C18" s="69" t="s">
        <v>201</v>
      </c>
      <c r="E18" s="253">
        <f t="shared" ref="E18:T18" si="3">SUM(E19:E21)</f>
        <v>74534.2</v>
      </c>
      <c r="F18" s="254">
        <f t="shared" si="3"/>
        <v>77153.544000000009</v>
      </c>
      <c r="G18" s="254">
        <f t="shared" si="3"/>
        <v>79883.358880000014</v>
      </c>
      <c r="H18" s="254">
        <f t="shared" si="3"/>
        <v>82729.292271600003</v>
      </c>
      <c r="I18" s="254">
        <f t="shared" si="3"/>
        <v>85697.326604032016</v>
      </c>
      <c r="J18" s="254">
        <f t="shared" si="3"/>
        <v>88793.800764363259</v>
      </c>
      <c r="K18" s="254">
        <f t="shared" si="3"/>
        <v>92025.433221454092</v>
      </c>
      <c r="L18" s="254">
        <f t="shared" si="3"/>
        <v>95399.346714575673</v>
      </c>
      <c r="M18" s="254">
        <f t="shared" si="3"/>
        <v>98923.094614609712</v>
      </c>
      <c r="N18" s="254">
        <f t="shared" si="3"/>
        <v>102604.68907325921</v>
      </c>
      <c r="O18" s="254">
        <f t="shared" si="3"/>
        <v>106452.63108372991</v>
      </c>
      <c r="P18" s="254">
        <f t="shared" si="3"/>
        <v>110475.9425849337</v>
      </c>
      <c r="Q18" s="254">
        <f t="shared" si="3"/>
        <v>114684.20075045669</v>
      </c>
      <c r="R18" s="254">
        <f t="shared" si="3"/>
        <v>119087.57461336777</v>
      </c>
      <c r="S18" s="254">
        <f t="shared" si="3"/>
        <v>123696.86418846344</v>
      </c>
      <c r="T18" s="254">
        <f t="shared" si="3"/>
        <v>128523.54226479944</v>
      </c>
    </row>
    <row r="19" spans="1:20" ht="15">
      <c r="A19" s="476"/>
      <c r="B19" s="248">
        <v>0.02</v>
      </c>
      <c r="D19" s="69" t="s">
        <v>202</v>
      </c>
      <c r="E19" s="246">
        <f>1.3*(7672+110)</f>
        <v>10116.6</v>
      </c>
      <c r="F19" s="247">
        <f>E19*(1+$B19)</f>
        <v>10318.932000000001</v>
      </c>
      <c r="G19" s="247">
        <f t="shared" ref="G19:T21" si="4">F19*(1+$B19)</f>
        <v>10525.310640000002</v>
      </c>
      <c r="H19" s="247">
        <f t="shared" si="4"/>
        <v>10735.816852800002</v>
      </c>
      <c r="I19" s="247">
        <f t="shared" si="4"/>
        <v>10950.533189856003</v>
      </c>
      <c r="J19" s="247">
        <f t="shared" si="4"/>
        <v>11169.543853653124</v>
      </c>
      <c r="K19" s="247">
        <f t="shared" si="4"/>
        <v>11392.934730726187</v>
      </c>
      <c r="L19" s="247">
        <f t="shared" si="4"/>
        <v>11620.793425340711</v>
      </c>
      <c r="M19" s="247">
        <f t="shared" si="4"/>
        <v>11853.209293847525</v>
      </c>
      <c r="N19" s="247">
        <f t="shared" si="4"/>
        <v>12090.273479724476</v>
      </c>
      <c r="O19" s="247">
        <f t="shared" si="4"/>
        <v>12332.078949318966</v>
      </c>
      <c r="P19" s="247">
        <f t="shared" si="4"/>
        <v>12578.720528305346</v>
      </c>
      <c r="Q19" s="247">
        <f t="shared" si="4"/>
        <v>12830.294938871453</v>
      </c>
      <c r="R19" s="247">
        <f t="shared" si="4"/>
        <v>13086.900837648882</v>
      </c>
      <c r="S19" s="247">
        <f t="shared" si="4"/>
        <v>13348.638854401859</v>
      </c>
      <c r="T19" s="247">
        <f t="shared" si="4"/>
        <v>13615.611631489897</v>
      </c>
    </row>
    <row r="20" spans="1:20" ht="15">
      <c r="A20" s="476"/>
      <c r="B20" s="248">
        <v>0.03</v>
      </c>
      <c r="D20" s="69" t="s">
        <v>203</v>
      </c>
      <c r="E20" s="246">
        <f>1.3*(39670+565)</f>
        <v>52305.5</v>
      </c>
      <c r="F20" s="247">
        <f>E20*(1+$B20)</f>
        <v>53874.665000000001</v>
      </c>
      <c r="G20" s="247">
        <f t="shared" si="4"/>
        <v>55490.904950000004</v>
      </c>
      <c r="H20" s="247">
        <f t="shared" si="4"/>
        <v>57155.632098500006</v>
      </c>
      <c r="I20" s="247">
        <f t="shared" si="4"/>
        <v>58870.301061455008</v>
      </c>
      <c r="J20" s="247">
        <f t="shared" si="4"/>
        <v>60636.410093298662</v>
      </c>
      <c r="K20" s="247">
        <f t="shared" si="4"/>
        <v>62455.502396097625</v>
      </c>
      <c r="L20" s="247">
        <f t="shared" si="4"/>
        <v>64329.167467980558</v>
      </c>
      <c r="M20" s="247">
        <f t="shared" si="4"/>
        <v>66259.042492019973</v>
      </c>
      <c r="N20" s="247">
        <f t="shared" si="4"/>
        <v>68246.813766780571</v>
      </c>
      <c r="O20" s="247">
        <f t="shared" si="4"/>
        <v>70294.218179783988</v>
      </c>
      <c r="P20" s="247">
        <f t="shared" si="4"/>
        <v>72403.044725177504</v>
      </c>
      <c r="Q20" s="247">
        <f t="shared" si="4"/>
        <v>74575.136066932828</v>
      </c>
      <c r="R20" s="247">
        <f t="shared" si="4"/>
        <v>76812.390148940816</v>
      </c>
      <c r="S20" s="247">
        <f t="shared" si="4"/>
        <v>79116.761853409043</v>
      </c>
      <c r="T20" s="247">
        <f t="shared" si="4"/>
        <v>81490.264709011317</v>
      </c>
    </row>
    <row r="21" spans="1:20" ht="15">
      <c r="A21" s="477" t="s">
        <v>543</v>
      </c>
      <c r="B21" s="248">
        <v>7.0000000000000007E-2</v>
      </c>
      <c r="D21" s="69" t="s">
        <v>216</v>
      </c>
      <c r="E21" s="246">
        <f>1.3*(9186+131)</f>
        <v>12112.1</v>
      </c>
      <c r="F21" s="247">
        <f>E21*(1+$B21)</f>
        <v>12959.947000000002</v>
      </c>
      <c r="G21" s="247">
        <f t="shared" si="4"/>
        <v>13867.143290000004</v>
      </c>
      <c r="H21" s="247">
        <f t="shared" si="4"/>
        <v>14837.843320300004</v>
      </c>
      <c r="I21" s="247">
        <f t="shared" si="4"/>
        <v>15876.492352721005</v>
      </c>
      <c r="J21" s="247">
        <f t="shared" si="4"/>
        <v>16987.846817411475</v>
      </c>
      <c r="K21" s="247">
        <f t="shared" si="4"/>
        <v>18176.996094630278</v>
      </c>
      <c r="L21" s="247">
        <f t="shared" si="4"/>
        <v>19449.3858212544</v>
      </c>
      <c r="M21" s="247">
        <f t="shared" si="4"/>
        <v>20810.84282874221</v>
      </c>
      <c r="N21" s="247">
        <f t="shared" si="4"/>
        <v>22267.601826754166</v>
      </c>
      <c r="O21" s="247">
        <f t="shared" si="4"/>
        <v>23826.33395462696</v>
      </c>
      <c r="P21" s="247">
        <f t="shared" si="4"/>
        <v>25494.17733145085</v>
      </c>
      <c r="Q21" s="247">
        <f t="shared" si="4"/>
        <v>27278.769744652411</v>
      </c>
      <c r="R21" s="247">
        <f t="shared" si="4"/>
        <v>29188.28362677808</v>
      </c>
      <c r="S21" s="247">
        <f t="shared" si="4"/>
        <v>31231.463480652546</v>
      </c>
      <c r="T21" s="247">
        <f t="shared" si="4"/>
        <v>33417.665924298228</v>
      </c>
    </row>
    <row r="22" spans="1:20" ht="15">
      <c r="A22" s="476"/>
      <c r="C22" s="69" t="s">
        <v>204</v>
      </c>
      <c r="F22" s="252">
        <f>F18/E18-1</f>
        <v>3.5142847176195868E-2</v>
      </c>
      <c r="G22" s="252">
        <f t="shared" ref="G22:Q22" si="5">G18/F18-1</f>
        <v>3.5381587655908708E-2</v>
      </c>
      <c r="H22" s="252">
        <f t="shared" si="5"/>
        <v>3.5626110763258279E-2</v>
      </c>
      <c r="I22" s="252">
        <f t="shared" si="5"/>
        <v>3.5876462265481024E-2</v>
      </c>
      <c r="J22" s="252">
        <f t="shared" si="5"/>
        <v>3.6132680948597562E-2</v>
      </c>
      <c r="K22" s="252">
        <f>K18/J18-1</f>
        <v>3.6394798164646414E-2</v>
      </c>
      <c r="L22" s="252">
        <f t="shared" si="5"/>
        <v>3.6662837381079783E-2</v>
      </c>
      <c r="M22" s="252">
        <f t="shared" si="5"/>
        <v>3.6936813734969265E-2</v>
      </c>
      <c r="N22" s="252">
        <f t="shared" si="5"/>
        <v>3.7216733594844342E-2</v>
      </c>
      <c r="O22" s="252">
        <f>O18/N18-1</f>
        <v>3.7502594133132394E-2</v>
      </c>
      <c r="P22" s="252">
        <f t="shared" si="5"/>
        <v>3.7794382912332836E-2</v>
      </c>
      <c r="Q22" s="252">
        <f t="shared" si="5"/>
        <v>3.809207748816168E-2</v>
      </c>
      <c r="R22" s="252">
        <f>R18/Q18-1</f>
        <v>3.8395645033028281E-2</v>
      </c>
      <c r="S22" s="252">
        <f>S18/R18-1</f>
        <v>3.870504198326552E-2</v>
      </c>
      <c r="T22" s="252">
        <f>T18/S18-1</f>
        <v>3.9020213713599983E-2</v>
      </c>
    </row>
    <row r="23" spans="1:20" ht="15">
      <c r="A23" s="476"/>
      <c r="F23" s="252"/>
      <c r="G23" s="252"/>
      <c r="H23" s="252"/>
      <c r="I23" s="252"/>
      <c r="J23" s="252"/>
      <c r="K23" s="252"/>
      <c r="L23" s="252"/>
      <c r="M23" s="252"/>
      <c r="N23" s="252"/>
      <c r="O23" s="252"/>
      <c r="P23" s="252"/>
      <c r="Q23" s="252"/>
      <c r="R23" s="252"/>
      <c r="S23" s="252"/>
      <c r="T23" s="252"/>
    </row>
    <row r="24" spans="1:20">
      <c r="A24" s="476"/>
      <c r="C24" s="255" t="s">
        <v>131</v>
      </c>
      <c r="D24" s="255"/>
      <c r="E24" s="256">
        <f>E13+E18</f>
        <v>131223.29999999999</v>
      </c>
      <c r="F24" s="257">
        <f>F13+F18</f>
        <v>135543.31700000001</v>
      </c>
      <c r="G24" s="257">
        <f t="shared" ref="G24:Q24" si="6">G13+G18</f>
        <v>140024.82507000002</v>
      </c>
      <c r="H24" s="257">
        <f t="shared" si="6"/>
        <v>144675.00244730001</v>
      </c>
      <c r="I24" s="257">
        <f t="shared" si="6"/>
        <v>149501.40808500303</v>
      </c>
      <c r="J24" s="257">
        <f t="shared" si="6"/>
        <v>154512.00468976342</v>
      </c>
      <c r="K24" s="258">
        <f t="shared" si="6"/>
        <v>159715.18326461624</v>
      </c>
      <c r="L24" s="258">
        <f t="shared" si="6"/>
        <v>165119.7892590327</v>
      </c>
      <c r="M24" s="258">
        <f t="shared" si="6"/>
        <v>170735.15043540046</v>
      </c>
      <c r="N24" s="258">
        <f t="shared" si="6"/>
        <v>176571.10656867368</v>
      </c>
      <c r="O24" s="258">
        <f t="shared" si="6"/>
        <v>182638.04110400681</v>
      </c>
      <c r="P24" s="258">
        <f t="shared" si="6"/>
        <v>188946.91490581894</v>
      </c>
      <c r="Q24" s="258">
        <f t="shared" si="6"/>
        <v>195509.30224096845</v>
      </c>
      <c r="R24" s="258">
        <f>R13+R18</f>
        <v>202337.42914859491</v>
      </c>
      <c r="S24" s="258">
        <f>S13+S18</f>
        <v>209444.21435974739</v>
      </c>
      <c r="T24" s="258">
        <f>T13+T18</f>
        <v>216843.31294122193</v>
      </c>
    </row>
    <row r="25" spans="1:20" ht="15">
      <c r="A25" s="476"/>
      <c r="B25" s="243"/>
      <c r="C25" s="243"/>
      <c r="D25" s="243" t="s">
        <v>205</v>
      </c>
      <c r="E25" s="259"/>
      <c r="F25" s="260">
        <f>F24/E24-1</f>
        <v>3.2921112332947144E-2</v>
      </c>
      <c r="G25" s="260">
        <f t="shared" ref="G25:Q25" si="7">G24/F24-1</f>
        <v>3.3063290534641521E-2</v>
      </c>
      <c r="H25" s="260">
        <f t="shared" si="7"/>
        <v>3.3209663893351227E-2</v>
      </c>
      <c r="I25" s="260">
        <f t="shared" si="7"/>
        <v>3.3360328709592491E-2</v>
      </c>
      <c r="J25" s="260">
        <f t="shared" si="7"/>
        <v>3.3515380683983187E-2</v>
      </c>
      <c r="K25" s="252">
        <f t="shared" si="7"/>
        <v>3.3674914679283408E-2</v>
      </c>
      <c r="L25" s="252">
        <f t="shared" si="7"/>
        <v>3.3839024468087731E-2</v>
      </c>
      <c r="M25" s="252">
        <f t="shared" si="7"/>
        <v>3.4007802466115233E-2</v>
      </c>
      <c r="N25" s="252">
        <f t="shared" si="7"/>
        <v>3.4181339451136106E-2</v>
      </c>
      <c r="O25" s="252">
        <f t="shared" si="7"/>
        <v>3.4359724267648106E-2</v>
      </c>
      <c r="P25" s="252">
        <f t="shared" si="7"/>
        <v>3.4543043517529792E-2</v>
      </c>
      <c r="Q25" s="252">
        <f t="shared" si="7"/>
        <v>3.4731381237002701E-2</v>
      </c>
      <c r="R25" s="252">
        <f>R24/Q24-1</f>
        <v>3.4924818560350124E-2</v>
      </c>
      <c r="S25" s="252">
        <f>S24/R24-1</f>
        <v>3.5123433370962243E-2</v>
      </c>
      <c r="T25" s="252">
        <f>T24/S24-1</f>
        <v>3.5327299940430157E-2</v>
      </c>
    </row>
    <row r="26" spans="1:20" ht="15">
      <c r="B26" s="103"/>
      <c r="C26" s="255"/>
      <c r="D26" s="255"/>
      <c r="E26" s="257"/>
      <c r="F26" s="280"/>
      <c r="G26" s="280"/>
      <c r="H26" s="280"/>
      <c r="I26" s="280"/>
      <c r="J26" s="280"/>
      <c r="K26" s="252"/>
      <c r="L26" s="252"/>
      <c r="M26" s="252"/>
      <c r="N26" s="252"/>
      <c r="O26" s="252"/>
      <c r="P26" s="252"/>
      <c r="Q26" s="252"/>
      <c r="R26" s="252"/>
      <c r="S26" s="252"/>
      <c r="T26" s="252"/>
    </row>
    <row r="27" spans="1:20">
      <c r="B27" s="103"/>
    </row>
    <row r="28" spans="1:20" ht="15.75">
      <c r="A28" s="476"/>
      <c r="B28" s="263" t="s">
        <v>211</v>
      </c>
    </row>
    <row r="29" spans="1:20">
      <c r="A29" s="476"/>
      <c r="B29" s="243"/>
      <c r="C29" s="243"/>
      <c r="D29" s="243"/>
      <c r="E29" s="243">
        <v>2008</v>
      </c>
      <c r="F29" s="244">
        <v>2009</v>
      </c>
      <c r="G29" s="244">
        <v>2010</v>
      </c>
      <c r="H29" s="244">
        <v>2011</v>
      </c>
      <c r="I29" s="244">
        <v>2012</v>
      </c>
      <c r="J29" s="244">
        <v>2013</v>
      </c>
      <c r="K29" s="69">
        <v>2014</v>
      </c>
      <c r="L29" s="69">
        <v>2015</v>
      </c>
      <c r="M29" s="69">
        <v>2016</v>
      </c>
      <c r="N29" s="69">
        <v>2017</v>
      </c>
      <c r="O29" s="69">
        <v>2018</v>
      </c>
      <c r="P29" s="69">
        <v>2019</v>
      </c>
      <c r="Q29" s="69">
        <v>2020</v>
      </c>
      <c r="R29" s="69">
        <v>2021</v>
      </c>
      <c r="S29" s="69">
        <v>2022</v>
      </c>
      <c r="T29" s="69">
        <v>2023</v>
      </c>
    </row>
    <row r="30" spans="1:20">
      <c r="A30" s="476"/>
      <c r="C30" s="255" t="s">
        <v>167</v>
      </c>
      <c r="D30" s="255"/>
      <c r="E30" s="255"/>
      <c r="F30" s="264"/>
      <c r="G30" s="264"/>
      <c r="H30" s="264"/>
      <c r="I30" s="264"/>
      <c r="J30" s="264"/>
    </row>
    <row r="31" spans="1:20" ht="15">
      <c r="A31" s="476"/>
      <c r="B31" s="265"/>
      <c r="C31" s="69" t="s">
        <v>212</v>
      </c>
      <c r="E31" s="254">
        <f t="shared" ref="E31:T31" si="8">SUM(E32:E33)</f>
        <v>5668.91</v>
      </c>
      <c r="F31" s="254">
        <f t="shared" si="8"/>
        <v>5838.9773000000005</v>
      </c>
      <c r="G31" s="254">
        <f t="shared" si="8"/>
        <v>6014.1466190000001</v>
      </c>
      <c r="H31" s="254">
        <f t="shared" si="8"/>
        <v>6194.5710175700005</v>
      </c>
      <c r="I31" s="254">
        <f t="shared" si="8"/>
        <v>6380.4081480971008</v>
      </c>
      <c r="J31" s="254">
        <f t="shared" si="8"/>
        <v>6571.8203925400157</v>
      </c>
      <c r="K31" s="254">
        <f t="shared" si="8"/>
        <v>6768.9750043162167</v>
      </c>
      <c r="L31" s="254">
        <f t="shared" si="8"/>
        <v>6972.0442544457037</v>
      </c>
      <c r="M31" s="254">
        <f t="shared" si="8"/>
        <v>7181.2055820790738</v>
      </c>
      <c r="N31" s="254">
        <f t="shared" si="8"/>
        <v>7396.641749541448</v>
      </c>
      <c r="O31" s="254">
        <f t="shared" si="8"/>
        <v>7618.5410020276913</v>
      </c>
      <c r="P31" s="254">
        <f t="shared" si="8"/>
        <v>7847.0972320885212</v>
      </c>
      <c r="Q31" s="254">
        <f t="shared" si="8"/>
        <v>8082.510149051177</v>
      </c>
      <c r="R31" s="254">
        <f t="shared" si="8"/>
        <v>8324.9854535227132</v>
      </c>
      <c r="S31" s="254">
        <f t="shared" si="8"/>
        <v>8574.7350171283942</v>
      </c>
      <c r="T31" s="254">
        <f t="shared" si="8"/>
        <v>8831.9770676422486</v>
      </c>
    </row>
    <row r="32" spans="1:20" ht="15">
      <c r="A32" s="476"/>
      <c r="B32" s="266">
        <v>0.1</v>
      </c>
      <c r="D32" s="69" t="s">
        <v>198</v>
      </c>
      <c r="E32" s="254">
        <f t="shared" ref="E32:T32" si="9">E14*$B32</f>
        <v>1889.636666666667</v>
      </c>
      <c r="F32" s="254">
        <f t="shared" si="9"/>
        <v>1946.3257666666668</v>
      </c>
      <c r="G32" s="254">
        <f t="shared" si="9"/>
        <v>2004.7155396666669</v>
      </c>
      <c r="H32" s="254">
        <f t="shared" si="9"/>
        <v>2064.857005856667</v>
      </c>
      <c r="I32" s="254">
        <f t="shared" si="9"/>
        <v>2126.8027160323672</v>
      </c>
      <c r="J32" s="254">
        <f t="shared" si="9"/>
        <v>2190.6067975133387</v>
      </c>
      <c r="K32" s="254">
        <f t="shared" si="9"/>
        <v>2256.325001438739</v>
      </c>
      <c r="L32" s="254">
        <f t="shared" si="9"/>
        <v>2324.0147514819014</v>
      </c>
      <c r="M32" s="254">
        <f t="shared" si="9"/>
        <v>2393.7351940263584</v>
      </c>
      <c r="N32" s="254">
        <f t="shared" si="9"/>
        <v>2465.5472498471495</v>
      </c>
      <c r="O32" s="254">
        <f t="shared" si="9"/>
        <v>2539.5136673425641</v>
      </c>
      <c r="P32" s="254">
        <f t="shared" si="9"/>
        <v>2615.6990773628409</v>
      </c>
      <c r="Q32" s="254">
        <f t="shared" si="9"/>
        <v>2694.1700496837261</v>
      </c>
      <c r="R32" s="254">
        <f t="shared" si="9"/>
        <v>2774.9951511742383</v>
      </c>
      <c r="S32" s="254">
        <f t="shared" si="9"/>
        <v>2858.2450057094652</v>
      </c>
      <c r="T32" s="254">
        <f t="shared" si="9"/>
        <v>2943.9923558807495</v>
      </c>
    </row>
    <row r="33" spans="1:20" ht="15">
      <c r="A33" s="476"/>
      <c r="B33" s="266">
        <v>0.1</v>
      </c>
      <c r="D33" s="69" t="s">
        <v>199</v>
      </c>
      <c r="E33" s="254">
        <f t="shared" ref="E33:T33" si="10">E15*$B33</f>
        <v>3779.2733333333331</v>
      </c>
      <c r="F33" s="254">
        <f t="shared" si="10"/>
        <v>3892.6515333333332</v>
      </c>
      <c r="G33" s="254">
        <f t="shared" si="10"/>
        <v>4009.4310793333334</v>
      </c>
      <c r="H33" s="254">
        <f t="shared" si="10"/>
        <v>4129.714011713334</v>
      </c>
      <c r="I33" s="254">
        <f t="shared" si="10"/>
        <v>4253.6054320647336</v>
      </c>
      <c r="J33" s="254">
        <f t="shared" si="10"/>
        <v>4381.2135950266766</v>
      </c>
      <c r="K33" s="254">
        <f t="shared" si="10"/>
        <v>4512.6500028774772</v>
      </c>
      <c r="L33" s="254">
        <f t="shared" si="10"/>
        <v>4648.0295029638019</v>
      </c>
      <c r="M33" s="254">
        <f t="shared" si="10"/>
        <v>4787.4703880527159</v>
      </c>
      <c r="N33" s="254">
        <f t="shared" si="10"/>
        <v>4931.0944996942981</v>
      </c>
      <c r="O33" s="254">
        <f t="shared" si="10"/>
        <v>5079.0273346851272</v>
      </c>
      <c r="P33" s="254">
        <f t="shared" si="10"/>
        <v>5231.3981547256808</v>
      </c>
      <c r="Q33" s="254">
        <f t="shared" si="10"/>
        <v>5388.3400993674513</v>
      </c>
      <c r="R33" s="254">
        <f t="shared" si="10"/>
        <v>5549.9903023484758</v>
      </c>
      <c r="S33" s="254">
        <f t="shared" si="10"/>
        <v>5716.4900114189295</v>
      </c>
      <c r="T33" s="254">
        <f t="shared" si="10"/>
        <v>5887.9847117614981</v>
      </c>
    </row>
    <row r="34" spans="1:20" ht="15">
      <c r="A34" s="476"/>
      <c r="B34" s="265"/>
      <c r="C34" s="69" t="s">
        <v>213</v>
      </c>
      <c r="E34" s="267"/>
      <c r="F34" s="254"/>
      <c r="G34" s="254"/>
      <c r="H34" s="254"/>
      <c r="I34" s="254"/>
      <c r="J34" s="254"/>
      <c r="K34" s="254"/>
      <c r="L34" s="254"/>
      <c r="M34" s="254"/>
      <c r="N34" s="254"/>
      <c r="O34" s="254"/>
      <c r="P34" s="254"/>
      <c r="Q34" s="254"/>
      <c r="R34" s="254"/>
      <c r="S34" s="254"/>
      <c r="T34" s="254"/>
    </row>
    <row r="35" spans="1:20">
      <c r="A35" s="476"/>
      <c r="B35" s="248">
        <v>0.1</v>
      </c>
      <c r="C35" s="249">
        <f>(88627+606)/(88627+606+2015+101+1110+101)</f>
        <v>0.96405574762316337</v>
      </c>
      <c r="D35" s="69" t="s">
        <v>214</v>
      </c>
      <c r="E35" s="254">
        <f t="shared" ref="E35:T35" si="11">$C35*(E13+E19+E20)*$B35</f>
        <v>11482.983696629213</v>
      </c>
      <c r="F35" s="254">
        <f t="shared" si="11"/>
        <v>11817.720241151685</v>
      </c>
      <c r="G35" s="254">
        <f t="shared" si="11"/>
        <v>12162.303822682305</v>
      </c>
      <c r="H35" s="254">
        <f t="shared" si="11"/>
        <v>12517.025951144764</v>
      </c>
      <c r="I35" s="254">
        <f t="shared" si="11"/>
        <v>12882.186803736739</v>
      </c>
      <c r="J35" s="254">
        <f t="shared" si="11"/>
        <v>13258.09548338762</v>
      </c>
      <c r="K35" s="254">
        <f t="shared" si="11"/>
        <v>13645.070284938804</v>
      </c>
      <c r="L35" s="254">
        <f t="shared" si="11"/>
        <v>14043.438969277518</v>
      </c>
      <c r="M35" s="254">
        <f t="shared" si="11"/>
        <v>14453.539045662206</v>
      </c>
      <c r="N35" s="254">
        <f t="shared" si="11"/>
        <v>14875.718062484557</v>
      </c>
      <c r="O35" s="254">
        <f t="shared" si="11"/>
        <v>15310.333906720629</v>
      </c>
      <c r="P35" s="254">
        <f t="shared" si="11"/>
        <v>15757.755112331015</v>
      </c>
      <c r="Q35" s="254">
        <f t="shared" si="11"/>
        <v>16218.361177877887</v>
      </c>
      <c r="R35" s="254">
        <f t="shared" si="11"/>
        <v>16692.542893634705</v>
      </c>
      <c r="S35" s="254">
        <f t="shared" si="11"/>
        <v>17180.702678472637</v>
      </c>
      <c r="T35" s="254">
        <f t="shared" si="11"/>
        <v>17683.254926816284</v>
      </c>
    </row>
    <row r="36" spans="1:20">
      <c r="A36" s="476"/>
      <c r="B36" s="248">
        <v>0.1</v>
      </c>
      <c r="C36" s="249">
        <f>1-C35</f>
        <v>3.5944252376836627E-2</v>
      </c>
      <c r="D36" s="69" t="s">
        <v>215</v>
      </c>
      <c r="E36" s="254">
        <f t="shared" ref="E36:T36" si="12">$C36*(E13+E19+E20)*$B36</f>
        <v>428.13630337078632</v>
      </c>
      <c r="F36" s="254">
        <f t="shared" si="12"/>
        <v>440.61675884831442</v>
      </c>
      <c r="G36" s="254">
        <f t="shared" si="12"/>
        <v>453.4643553176964</v>
      </c>
      <c r="H36" s="254">
        <f t="shared" si="12"/>
        <v>466.6899615552386</v>
      </c>
      <c r="I36" s="254">
        <f t="shared" si="12"/>
        <v>480.30476949146725</v>
      </c>
      <c r="J36" s="254">
        <f t="shared" si="12"/>
        <v>494.32030384757422</v>
      </c>
      <c r="K36" s="254">
        <f t="shared" si="12"/>
        <v>508.74843205979153</v>
      </c>
      <c r="L36" s="254">
        <f t="shared" si="12"/>
        <v>523.60137450031129</v>
      </c>
      <c r="M36" s="254">
        <f t="shared" si="12"/>
        <v>538.89171500362124</v>
      </c>
      <c r="N36" s="254">
        <f t="shared" si="12"/>
        <v>554.63241170739627</v>
      </c>
      <c r="O36" s="254">
        <f t="shared" si="12"/>
        <v>570.836808217358</v>
      </c>
      <c r="P36" s="254">
        <f t="shared" si="12"/>
        <v>587.51864510579333</v>
      </c>
      <c r="Q36" s="254">
        <f t="shared" si="12"/>
        <v>604.69207175372003</v>
      </c>
      <c r="R36" s="254">
        <f t="shared" si="12"/>
        <v>622.37165854697969</v>
      </c>
      <c r="S36" s="254">
        <f t="shared" si="12"/>
        <v>640.57240943684997</v>
      </c>
      <c r="T36" s="254">
        <f t="shared" si="12"/>
        <v>659.30977487608561</v>
      </c>
    </row>
    <row r="37" spans="1:20">
      <c r="A37" s="476"/>
      <c r="B37" s="248">
        <v>0.1</v>
      </c>
      <c r="D37" s="69" t="s">
        <v>216</v>
      </c>
      <c r="E37" s="254">
        <f t="shared" ref="E37:T37" si="13">E21*$B37</f>
        <v>1211.21</v>
      </c>
      <c r="F37" s="254">
        <f t="shared" si="13"/>
        <v>1295.9947000000002</v>
      </c>
      <c r="G37" s="254">
        <f t="shared" si="13"/>
        <v>1386.7143290000004</v>
      </c>
      <c r="H37" s="254">
        <f t="shared" si="13"/>
        <v>1483.7843320300005</v>
      </c>
      <c r="I37" s="254">
        <f t="shared" si="13"/>
        <v>1587.6492352721007</v>
      </c>
      <c r="J37" s="254">
        <f t="shared" si="13"/>
        <v>1698.7846817411476</v>
      </c>
      <c r="K37" s="254">
        <f t="shared" si="13"/>
        <v>1817.6996094630279</v>
      </c>
      <c r="L37" s="254">
        <f t="shared" si="13"/>
        <v>1944.93858212544</v>
      </c>
      <c r="M37" s="254">
        <f t="shared" si="13"/>
        <v>2081.0842828742211</v>
      </c>
      <c r="N37" s="254">
        <f t="shared" si="13"/>
        <v>2226.7601826754167</v>
      </c>
      <c r="O37" s="254">
        <f t="shared" si="13"/>
        <v>2382.6333954626962</v>
      </c>
      <c r="P37" s="254">
        <f t="shared" si="13"/>
        <v>2549.4177331450851</v>
      </c>
      <c r="Q37" s="254">
        <f t="shared" si="13"/>
        <v>2727.8769744652413</v>
      </c>
      <c r="R37" s="254">
        <f t="shared" si="13"/>
        <v>2918.8283626778084</v>
      </c>
      <c r="S37" s="254">
        <f t="shared" si="13"/>
        <v>3123.1463480652546</v>
      </c>
      <c r="T37" s="254">
        <f t="shared" si="13"/>
        <v>3341.766592429823</v>
      </c>
    </row>
    <row r="38" spans="1:20">
      <c r="A38" s="476"/>
      <c r="B38" s="103"/>
      <c r="C38" s="69" t="s">
        <v>217</v>
      </c>
      <c r="E38" s="254"/>
      <c r="F38" s="103"/>
    </row>
    <row r="39" spans="1:20">
      <c r="A39" s="476"/>
      <c r="B39" s="103"/>
      <c r="C39" s="69" t="s">
        <v>212</v>
      </c>
      <c r="E39" s="254">
        <f>SUM(E40:E41)</f>
        <v>1899084.85</v>
      </c>
      <c r="F39" s="254">
        <f t="shared" ref="F39:T39" si="14">SUM(F40:F41)</f>
        <v>1956057.3955000001</v>
      </c>
      <c r="G39" s="254">
        <f t="shared" si="14"/>
        <v>2014739.1173650001</v>
      </c>
      <c r="H39" s="254">
        <f t="shared" si="14"/>
        <v>2075181.2908859504</v>
      </c>
      <c r="I39" s="254">
        <f t="shared" si="14"/>
        <v>2137436.7296125288</v>
      </c>
      <c r="J39" s="254">
        <f t="shared" si="14"/>
        <v>2201559.8315009051</v>
      </c>
      <c r="K39" s="254">
        <f t="shared" si="14"/>
        <v>2267606.6264459323</v>
      </c>
      <c r="L39" s="254">
        <f t="shared" si="14"/>
        <v>2335634.8252393105</v>
      </c>
      <c r="M39" s="254">
        <f t="shared" si="14"/>
        <v>2405703.86999649</v>
      </c>
      <c r="N39" s="254">
        <f t="shared" si="14"/>
        <v>2477874.9860963849</v>
      </c>
      <c r="O39" s="254">
        <f t="shared" si="14"/>
        <v>2552211.2356792768</v>
      </c>
      <c r="P39" s="254">
        <f t="shared" si="14"/>
        <v>2628777.5727496548</v>
      </c>
      <c r="Q39" s="254">
        <f t="shared" si="14"/>
        <v>2707640.8999321442</v>
      </c>
      <c r="R39" s="254">
        <f t="shared" si="14"/>
        <v>2788870.1269301092</v>
      </c>
      <c r="S39" s="254">
        <f t="shared" si="14"/>
        <v>2872536.2307380121</v>
      </c>
      <c r="T39" s="254">
        <f t="shared" si="14"/>
        <v>2958712.3176601529</v>
      </c>
    </row>
    <row r="40" spans="1:20">
      <c r="A40" s="476"/>
      <c r="B40" s="261">
        <v>335</v>
      </c>
      <c r="D40" s="69" t="s">
        <v>198</v>
      </c>
      <c r="E40" s="254">
        <f t="shared" ref="E40:T41" si="15">E32*$B40</f>
        <v>633028.28333333344</v>
      </c>
      <c r="F40" s="254">
        <f t="shared" si="15"/>
        <v>652019.13183333341</v>
      </c>
      <c r="G40" s="254">
        <f t="shared" si="15"/>
        <v>671579.70578833343</v>
      </c>
      <c r="H40" s="254">
        <f t="shared" si="15"/>
        <v>691727.09696198348</v>
      </c>
      <c r="I40" s="254">
        <f t="shared" si="15"/>
        <v>712478.90987084305</v>
      </c>
      <c r="J40" s="254">
        <f t="shared" si="15"/>
        <v>733853.27716696844</v>
      </c>
      <c r="K40" s="254">
        <f t="shared" si="15"/>
        <v>755868.87548197759</v>
      </c>
      <c r="L40" s="254">
        <f t="shared" si="15"/>
        <v>778544.94174643699</v>
      </c>
      <c r="M40" s="254">
        <f t="shared" si="15"/>
        <v>801901.28999883006</v>
      </c>
      <c r="N40" s="254">
        <f t="shared" si="15"/>
        <v>825958.32869879506</v>
      </c>
      <c r="O40" s="254">
        <f t="shared" si="15"/>
        <v>850737.07855975896</v>
      </c>
      <c r="P40" s="254">
        <f t="shared" si="15"/>
        <v>876259.19091655174</v>
      </c>
      <c r="Q40" s="254">
        <f t="shared" si="15"/>
        <v>902546.96664404823</v>
      </c>
      <c r="R40" s="254">
        <f t="shared" si="15"/>
        <v>929623.37564336986</v>
      </c>
      <c r="S40" s="254">
        <f t="shared" si="15"/>
        <v>957512.07691267086</v>
      </c>
      <c r="T40" s="254">
        <f t="shared" si="15"/>
        <v>986237.43922005105</v>
      </c>
    </row>
    <row r="41" spans="1:20">
      <c r="A41" s="476"/>
      <c r="B41" s="261">
        <v>335</v>
      </c>
      <c r="D41" s="69" t="s">
        <v>199</v>
      </c>
      <c r="E41" s="254">
        <f t="shared" si="15"/>
        <v>1266056.5666666667</v>
      </c>
      <c r="F41" s="254">
        <f t="shared" si="15"/>
        <v>1304038.2636666666</v>
      </c>
      <c r="G41" s="254">
        <f t="shared" si="15"/>
        <v>1343159.4115766666</v>
      </c>
      <c r="H41" s="254">
        <f t="shared" si="15"/>
        <v>1383454.193923967</v>
      </c>
      <c r="I41" s="254">
        <f t="shared" si="15"/>
        <v>1424957.8197416856</v>
      </c>
      <c r="J41" s="254">
        <f t="shared" si="15"/>
        <v>1467706.5543339367</v>
      </c>
      <c r="K41" s="254">
        <f t="shared" si="15"/>
        <v>1511737.750963955</v>
      </c>
      <c r="L41" s="254">
        <f t="shared" si="15"/>
        <v>1557089.8834928735</v>
      </c>
      <c r="M41" s="254">
        <f t="shared" si="15"/>
        <v>1603802.5799976599</v>
      </c>
      <c r="N41" s="254">
        <f t="shared" si="15"/>
        <v>1651916.6573975899</v>
      </c>
      <c r="O41" s="254">
        <f t="shared" si="15"/>
        <v>1701474.1571195177</v>
      </c>
      <c r="P41" s="254">
        <f t="shared" si="15"/>
        <v>1752518.381833103</v>
      </c>
      <c r="Q41" s="254">
        <f t="shared" si="15"/>
        <v>1805093.9332880962</v>
      </c>
      <c r="R41" s="254">
        <f t="shared" si="15"/>
        <v>1859246.7512867395</v>
      </c>
      <c r="S41" s="254">
        <f t="shared" si="15"/>
        <v>1915024.1538253415</v>
      </c>
      <c r="T41" s="254">
        <f t="shared" si="15"/>
        <v>1972474.8784401019</v>
      </c>
    </row>
    <row r="42" spans="1:20" ht="15">
      <c r="A42" s="476"/>
      <c r="B42" s="265"/>
      <c r="C42" s="69" t="s">
        <v>213</v>
      </c>
      <c r="E42" s="254"/>
      <c r="F42" s="254"/>
      <c r="G42" s="254"/>
      <c r="H42" s="254"/>
      <c r="I42" s="254"/>
      <c r="J42" s="254"/>
      <c r="K42" s="254"/>
      <c r="L42" s="254"/>
      <c r="M42" s="254"/>
      <c r="N42" s="254"/>
      <c r="O42" s="254"/>
      <c r="P42" s="254"/>
      <c r="Q42" s="254"/>
      <c r="R42" s="254"/>
      <c r="S42" s="254"/>
      <c r="T42" s="254"/>
    </row>
    <row r="43" spans="1:20">
      <c r="A43" s="476"/>
      <c r="B43" s="268">
        <f>35000*$G$62/$E$9</f>
        <v>29.560173250159199</v>
      </c>
      <c r="D43" s="69" t="s">
        <v>214</v>
      </c>
      <c r="E43" s="254">
        <f t="shared" ref="E43:T45" si="16">E35*$B43</f>
        <v>339438.98750111304</v>
      </c>
      <c r="F43" s="254">
        <f t="shared" si="16"/>
        <v>349333.85775035695</v>
      </c>
      <c r="G43" s="254">
        <f t="shared" si="16"/>
        <v>359519.80811956245</v>
      </c>
      <c r="H43" s="254">
        <f t="shared" si="16"/>
        <v>370005.45569257793</v>
      </c>
      <c r="I43" s="254">
        <f t="shared" si="16"/>
        <v>380799.67375937256</v>
      </c>
      <c r="J43" s="254">
        <f t="shared" si="16"/>
        <v>391911.59945609124</v>
      </c>
      <c r="K43" s="254">
        <f t="shared" si="16"/>
        <v>403350.64163339016</v>
      </c>
      <c r="L43" s="254">
        <f t="shared" si="16"/>
        <v>415126.48895988055</v>
      </c>
      <c r="M43" s="254">
        <f t="shared" si="16"/>
        <v>427249.11826771544</v>
      </c>
      <c r="N43" s="254">
        <f t="shared" si="16"/>
        <v>439728.80314756604</v>
      </c>
      <c r="O43" s="254">
        <f t="shared" si="16"/>
        <v>452576.1228004485</v>
      </c>
      <c r="P43" s="254">
        <f t="shared" si="16"/>
        <v>465801.97115408664</v>
      </c>
      <c r="Q43" s="254">
        <f t="shared" si="16"/>
        <v>479417.56625172636</v>
      </c>
      <c r="R43" s="254">
        <f t="shared" si="16"/>
        <v>493434.45992155565</v>
      </c>
      <c r="S43" s="254">
        <f t="shared" si="16"/>
        <v>507864.54773512535</v>
      </c>
      <c r="T43" s="254">
        <f t="shared" si="16"/>
        <v>522720.0792634206</v>
      </c>
    </row>
    <row r="44" spans="1:20">
      <c r="A44" s="476"/>
      <c r="B44" s="268">
        <f>100000*$G$62/$E$9</f>
        <v>84.457637857597703</v>
      </c>
      <c r="D44" s="69" t="s">
        <v>215</v>
      </c>
      <c r="E44" s="254">
        <f t="shared" si="16"/>
        <v>36159.380863780461</v>
      </c>
      <c r="F44" s="254">
        <f t="shared" si="16"/>
        <v>37213.450652799394</v>
      </c>
      <c r="G44" s="254">
        <f t="shared" si="16"/>
        <v>38298.528302751009</v>
      </c>
      <c r="H44" s="254">
        <f t="shared" si="16"/>
        <v>39415.531764808533</v>
      </c>
      <c r="I44" s="254">
        <f t="shared" si="16"/>
        <v>40565.406282987286</v>
      </c>
      <c r="J44" s="254">
        <f t="shared" si="16"/>
        <v>41749.125208016085</v>
      </c>
      <c r="K44" s="254">
        <f t="shared" si="16"/>
        <v>42967.690835526519</v>
      </c>
      <c r="L44" s="254">
        <f t="shared" si="16"/>
        <v>44222.135269287683</v>
      </c>
      <c r="M44" s="254">
        <f t="shared" si="16"/>
        <v>45513.521310235592</v>
      </c>
      <c r="N44" s="254">
        <f t="shared" si="16"/>
        <v>46842.943372069305</v>
      </c>
      <c r="O44" s="254">
        <f t="shared" si="16"/>
        <v>48211.528424208576</v>
      </c>
      <c r="P44" s="254">
        <f t="shared" si="16"/>
        <v>49620.436962931562</v>
      </c>
      <c r="Q44" s="254">
        <f t="shared" si="16"/>
        <v>51070.86401153617</v>
      </c>
      <c r="R44" s="254">
        <f t="shared" si="16"/>
        <v>52564.040150393266</v>
      </c>
      <c r="S44" s="254">
        <f t="shared" si="16"/>
        <v>54101.232577786279</v>
      </c>
      <c r="T44" s="254">
        <f t="shared" si="16"/>
        <v>55683.746202458708</v>
      </c>
    </row>
    <row r="45" spans="1:20">
      <c r="A45" s="476"/>
      <c r="B45" s="468">
        <f>142000*$G$62/$E$9</f>
        <v>119.92984575778874</v>
      </c>
      <c r="C45" s="243"/>
      <c r="D45" s="243" t="s">
        <v>216</v>
      </c>
      <c r="E45" s="269">
        <f t="shared" si="16"/>
        <v>145260.22848029129</v>
      </c>
      <c r="F45" s="269">
        <f t="shared" si="16"/>
        <v>155428.44447391172</v>
      </c>
      <c r="G45" s="269">
        <f t="shared" si="16"/>
        <v>166308.43558708555</v>
      </c>
      <c r="H45" s="269">
        <f t="shared" si="16"/>
        <v>177950.02607818157</v>
      </c>
      <c r="I45" s="269">
        <f t="shared" si="16"/>
        <v>190406.52790365429</v>
      </c>
      <c r="J45" s="269">
        <f t="shared" si="16"/>
        <v>203734.98485691007</v>
      </c>
      <c r="K45" s="254">
        <f t="shared" si="16"/>
        <v>217996.43379689375</v>
      </c>
      <c r="L45" s="254">
        <f t="shared" si="16"/>
        <v>233256.18416267636</v>
      </c>
      <c r="M45" s="254">
        <f t="shared" si="16"/>
        <v>249584.11705406374</v>
      </c>
      <c r="N45" s="254">
        <f t="shared" si="16"/>
        <v>267055.00524784822</v>
      </c>
      <c r="O45" s="254">
        <f t="shared" si="16"/>
        <v>285748.85561519762</v>
      </c>
      <c r="P45" s="254">
        <f t="shared" si="16"/>
        <v>305751.27550826146</v>
      </c>
      <c r="Q45" s="254">
        <f t="shared" si="16"/>
        <v>327153.86479383981</v>
      </c>
      <c r="R45" s="254">
        <f t="shared" si="16"/>
        <v>350054.63532940863</v>
      </c>
      <c r="S45" s="254">
        <f t="shared" si="16"/>
        <v>374558.4598024672</v>
      </c>
      <c r="T45" s="254">
        <f t="shared" si="16"/>
        <v>400777.55198863993</v>
      </c>
    </row>
    <row r="46" spans="1:20">
      <c r="B46" s="466" t="s">
        <v>521</v>
      </c>
      <c r="C46" s="255"/>
      <c r="D46" s="255"/>
      <c r="E46" s="270"/>
      <c r="F46" s="270"/>
      <c r="G46" s="270"/>
      <c r="H46" s="270"/>
      <c r="I46" s="270"/>
      <c r="J46" s="270"/>
      <c r="K46" s="254"/>
      <c r="L46" s="254"/>
      <c r="M46" s="254"/>
      <c r="N46" s="254"/>
      <c r="O46" s="254"/>
      <c r="P46" s="254"/>
      <c r="Q46" s="254"/>
      <c r="R46" s="254"/>
      <c r="S46" s="254"/>
      <c r="T46" s="254"/>
    </row>
    <row r="47" spans="1:20" ht="24.75" customHeight="1">
      <c r="B47" s="595" t="s">
        <v>218</v>
      </c>
      <c r="C47" s="595"/>
      <c r="D47" s="595"/>
      <c r="E47" s="595"/>
      <c r="F47" s="595"/>
      <c r="G47" s="595"/>
      <c r="H47" s="595"/>
      <c r="I47" s="595"/>
      <c r="J47" s="595"/>
      <c r="K47" s="595"/>
      <c r="L47" s="595"/>
      <c r="M47" s="595"/>
      <c r="N47" s="595"/>
      <c r="O47" s="254"/>
      <c r="P47" s="254"/>
      <c r="Q47" s="254"/>
      <c r="R47" s="254"/>
      <c r="S47" s="254"/>
      <c r="T47" s="254"/>
    </row>
    <row r="48" spans="1:20">
      <c r="C48" s="595" t="s">
        <v>219</v>
      </c>
      <c r="D48" s="595"/>
      <c r="E48" s="595"/>
      <c r="F48" s="595"/>
      <c r="G48" s="595"/>
      <c r="H48" s="595"/>
      <c r="I48" s="595"/>
      <c r="J48" s="595"/>
      <c r="K48" s="595"/>
      <c r="L48" s="595"/>
      <c r="M48" s="595"/>
      <c r="N48" s="595"/>
      <c r="O48" s="254"/>
      <c r="P48" s="254"/>
      <c r="Q48" s="254"/>
      <c r="R48" s="254"/>
      <c r="S48" s="254"/>
      <c r="T48" s="254"/>
    </row>
    <row r="49" spans="1:20">
      <c r="C49" s="595" t="s">
        <v>220</v>
      </c>
      <c r="D49" s="595"/>
      <c r="E49" s="595"/>
      <c r="F49" s="595"/>
      <c r="G49" s="595"/>
      <c r="H49" s="595"/>
      <c r="I49" s="595"/>
      <c r="J49" s="595"/>
      <c r="K49" s="595"/>
      <c r="L49" s="595"/>
      <c r="M49" s="595"/>
      <c r="N49" s="595"/>
      <c r="O49" s="254"/>
      <c r="P49" s="254"/>
      <c r="Q49" s="254"/>
      <c r="R49" s="254"/>
      <c r="S49" s="254"/>
      <c r="T49" s="254"/>
    </row>
    <row r="50" spans="1:20">
      <c r="C50" s="596" t="s">
        <v>221</v>
      </c>
      <c r="D50" s="596"/>
      <c r="E50" s="596"/>
      <c r="F50" s="596"/>
      <c r="G50" s="596"/>
      <c r="H50" s="596"/>
      <c r="I50" s="596"/>
      <c r="J50" s="596"/>
      <c r="K50" s="596"/>
      <c r="L50" s="596"/>
      <c r="M50" s="596"/>
      <c r="N50" s="596"/>
      <c r="O50" s="254"/>
      <c r="P50" s="254"/>
      <c r="Q50" s="254"/>
      <c r="R50" s="254"/>
      <c r="S50" s="254"/>
      <c r="T50" s="254"/>
    </row>
    <row r="51" spans="1:20" ht="25.5" customHeight="1">
      <c r="B51" s="595" t="s">
        <v>222</v>
      </c>
      <c r="C51" s="595"/>
      <c r="D51" s="595"/>
      <c r="E51" s="595"/>
      <c r="F51" s="595"/>
      <c r="G51" s="595"/>
      <c r="H51" s="595"/>
      <c r="I51" s="595"/>
      <c r="J51" s="595"/>
      <c r="K51" s="595"/>
      <c r="L51" s="595"/>
      <c r="M51" s="595"/>
      <c r="N51" s="595"/>
      <c r="O51" s="254"/>
      <c r="P51" s="254"/>
      <c r="Q51" s="254"/>
      <c r="R51" s="254"/>
      <c r="S51" s="254"/>
      <c r="T51" s="254"/>
    </row>
    <row r="52" spans="1:20">
      <c r="C52" s="595" t="s">
        <v>223</v>
      </c>
      <c r="D52" s="595"/>
      <c r="E52" s="595"/>
      <c r="F52" s="595"/>
      <c r="G52" s="595"/>
      <c r="H52" s="595"/>
      <c r="I52" s="595"/>
      <c r="J52" s="595"/>
      <c r="K52" s="595"/>
      <c r="L52" s="595"/>
      <c r="M52" s="595"/>
      <c r="N52" s="595"/>
    </row>
    <row r="53" spans="1:20">
      <c r="C53" s="595" t="s">
        <v>224</v>
      </c>
      <c r="D53" s="595"/>
      <c r="E53" s="595"/>
      <c r="F53" s="595"/>
      <c r="G53" s="595"/>
      <c r="H53" s="595"/>
      <c r="I53" s="595"/>
      <c r="J53" s="595"/>
      <c r="K53" s="595"/>
      <c r="L53" s="595"/>
      <c r="M53" s="595"/>
      <c r="N53" s="595"/>
    </row>
    <row r="54" spans="1:20">
      <c r="C54" s="595" t="s">
        <v>225</v>
      </c>
      <c r="D54" s="595"/>
      <c r="E54" s="595"/>
      <c r="F54" s="595"/>
      <c r="G54" s="595"/>
      <c r="H54" s="595"/>
      <c r="I54" s="595"/>
      <c r="J54" s="595"/>
      <c r="K54" s="595"/>
      <c r="L54" s="595"/>
      <c r="M54" s="595"/>
      <c r="N54" s="595"/>
    </row>
    <row r="55" spans="1:20" ht="27" customHeight="1">
      <c r="C55" s="103"/>
      <c r="D55" s="596" t="s">
        <v>527</v>
      </c>
      <c r="E55" s="596"/>
      <c r="F55" s="596"/>
      <c r="G55" s="596"/>
      <c r="H55" s="596"/>
      <c r="I55" s="596"/>
      <c r="J55" s="596"/>
      <c r="K55" s="596"/>
      <c r="L55" s="596"/>
      <c r="M55" s="596"/>
      <c r="N55" s="596"/>
      <c r="O55" s="467"/>
    </row>
    <row r="56" spans="1:20" ht="27" customHeight="1">
      <c r="C56" s="595" t="s">
        <v>226</v>
      </c>
      <c r="D56" s="595"/>
      <c r="E56" s="595"/>
      <c r="F56" s="595"/>
      <c r="G56" s="595"/>
      <c r="H56" s="595"/>
      <c r="I56" s="595"/>
      <c r="J56" s="595"/>
      <c r="K56" s="595"/>
      <c r="L56" s="595"/>
      <c r="M56" s="595"/>
      <c r="N56" s="595"/>
    </row>
    <row r="57" spans="1:20" ht="15.75" customHeight="1">
      <c r="C57" s="595" t="s">
        <v>227</v>
      </c>
      <c r="D57" s="595"/>
      <c r="E57" s="595"/>
      <c r="F57" s="595"/>
      <c r="G57" s="595"/>
      <c r="H57" s="595"/>
      <c r="I57" s="595"/>
      <c r="J57" s="595"/>
      <c r="K57" s="595"/>
      <c r="L57" s="595"/>
      <c r="M57" s="595"/>
      <c r="N57" s="595"/>
    </row>
    <row r="58" spans="1:20" ht="25.5" customHeight="1">
      <c r="B58" s="103"/>
      <c r="C58" s="595" t="s">
        <v>228</v>
      </c>
      <c r="D58" s="595"/>
      <c r="E58" s="595"/>
      <c r="F58" s="595"/>
      <c r="G58" s="595"/>
      <c r="H58" s="595"/>
      <c r="I58" s="595"/>
      <c r="J58" s="595"/>
      <c r="K58" s="595"/>
      <c r="L58" s="595"/>
      <c r="M58" s="595"/>
      <c r="N58" s="595"/>
    </row>
    <row r="59" spans="1:20" ht="27" customHeight="1">
      <c r="B59" s="103"/>
      <c r="C59" s="103"/>
      <c r="D59" s="596" t="s">
        <v>229</v>
      </c>
      <c r="E59" s="596"/>
      <c r="F59" s="596"/>
      <c r="G59" s="596"/>
      <c r="H59" s="596"/>
      <c r="I59" s="596"/>
      <c r="J59" s="596"/>
      <c r="K59" s="596"/>
      <c r="L59" s="596"/>
      <c r="M59" s="596"/>
      <c r="N59" s="596"/>
    </row>
    <row r="60" spans="1:20">
      <c r="B60" s="103"/>
      <c r="C60" s="271"/>
      <c r="D60" s="243"/>
      <c r="E60" s="243">
        <v>2005</v>
      </c>
      <c r="F60" s="243">
        <v>2006</v>
      </c>
      <c r="G60" s="243">
        <v>2007</v>
      </c>
      <c r="H60" s="243">
        <v>2008</v>
      </c>
      <c r="I60" s="243">
        <v>2009</v>
      </c>
    </row>
    <row r="61" spans="1:20" ht="12.75" customHeight="1">
      <c r="A61" s="69">
        <v>7</v>
      </c>
      <c r="B61" s="103"/>
      <c r="C61" s="69" t="s">
        <v>230</v>
      </c>
      <c r="E61" s="272">
        <v>100</v>
      </c>
      <c r="F61" s="272">
        <v>123.11662324113334</v>
      </c>
      <c r="G61" s="272">
        <v>138.29494815377404</v>
      </c>
      <c r="H61" s="272">
        <v>169.32109167351879</v>
      </c>
      <c r="I61" s="272">
        <v>169.36093740624713</v>
      </c>
      <c r="J61" s="597"/>
      <c r="K61" s="597"/>
      <c r="L61" s="597"/>
      <c r="M61" s="597"/>
      <c r="N61" s="597"/>
      <c r="O61" s="597"/>
    </row>
    <row r="62" spans="1:20">
      <c r="B62" s="103"/>
      <c r="C62" s="271" t="s">
        <v>97</v>
      </c>
      <c r="D62" s="243"/>
      <c r="E62" s="273">
        <f>$I61/E61</f>
        <v>1.6936093740624714</v>
      </c>
      <c r="F62" s="273">
        <f>$I61/F61</f>
        <v>1.3756138931339983</v>
      </c>
      <c r="G62" s="273">
        <f>$I61/G61</f>
        <v>1.2246357489351667</v>
      </c>
      <c r="H62" s="273">
        <f>$I61/H61</f>
        <v>1.0002353264577644</v>
      </c>
      <c r="I62" s="273">
        <f>$I61/I61</f>
        <v>1</v>
      </c>
      <c r="J62" s="467"/>
      <c r="K62" s="467"/>
      <c r="L62" s="467"/>
    </row>
    <row r="63" spans="1:20">
      <c r="B63" s="103"/>
    </row>
    <row r="64" spans="1:20" ht="15.75">
      <c r="A64" s="477" t="s">
        <v>545</v>
      </c>
      <c r="B64" s="263" t="s">
        <v>231</v>
      </c>
    </row>
    <row r="65" spans="1:20">
      <c r="A65" s="476"/>
      <c r="B65" s="271" t="s">
        <v>28</v>
      </c>
      <c r="C65" s="243"/>
      <c r="D65" s="243"/>
      <c r="E65" s="243"/>
      <c r="F65" s="243"/>
      <c r="G65" s="243"/>
      <c r="H65" s="243"/>
      <c r="I65" s="243"/>
      <c r="J65" s="243"/>
      <c r="K65" s="243"/>
      <c r="L65" s="243"/>
      <c r="M65" s="243"/>
      <c r="N65" s="243"/>
      <c r="O65" s="243"/>
      <c r="P65" s="243"/>
    </row>
    <row r="66" spans="1:20">
      <c r="A66" s="476"/>
      <c r="E66" s="69" t="s">
        <v>29</v>
      </c>
      <c r="F66" s="69" t="s">
        <v>30</v>
      </c>
      <c r="G66" s="69" t="s">
        <v>31</v>
      </c>
      <c r="H66" s="69" t="s">
        <v>32</v>
      </c>
      <c r="I66" s="69" t="s">
        <v>33</v>
      </c>
      <c r="J66" s="69" t="s">
        <v>34</v>
      </c>
      <c r="K66" s="69" t="s">
        <v>35</v>
      </c>
      <c r="L66" s="69" t="s">
        <v>36</v>
      </c>
      <c r="M66" s="69" t="s">
        <v>37</v>
      </c>
      <c r="N66" s="69" t="s">
        <v>38</v>
      </c>
      <c r="O66" s="69" t="s">
        <v>39</v>
      </c>
      <c r="P66" s="69" t="s">
        <v>40</v>
      </c>
    </row>
    <row r="67" spans="1:20" ht="15">
      <c r="A67" s="476"/>
      <c r="D67" s="69" t="s">
        <v>232</v>
      </c>
      <c r="E67" s="274">
        <v>3.49</v>
      </c>
      <c r="F67" s="246">
        <v>162087</v>
      </c>
      <c r="G67" s="275">
        <f>F67*$G$62/$E$9</f>
        <v>136.8948514742444</v>
      </c>
      <c r="H67" s="254">
        <f>F67/E67</f>
        <v>46443.266475644697</v>
      </c>
      <c r="I67" s="275">
        <f>H67*$G$62/$E$9</f>
        <v>39.224885809239076</v>
      </c>
      <c r="J67" s="274">
        <v>4.82</v>
      </c>
      <c r="K67" s="246">
        <v>85070</v>
      </c>
      <c r="L67" s="275">
        <f>K67*$G$62/$E$9</f>
        <v>71.848112525458362</v>
      </c>
      <c r="M67" s="254">
        <f>K67/J67</f>
        <v>17649.377593360994</v>
      </c>
      <c r="N67" s="275">
        <f>M67*$G$62/$E$9</f>
        <v>14.906247411920821</v>
      </c>
      <c r="O67" s="254">
        <f>F67+K67</f>
        <v>247157</v>
      </c>
      <c r="P67" s="275">
        <f>O67*$G$62/$E$9</f>
        <v>208.74296399970274</v>
      </c>
    </row>
    <row r="68" spans="1:20" ht="15">
      <c r="A68" s="476"/>
      <c r="D68" s="69" t="s">
        <v>233</v>
      </c>
      <c r="E68" s="274">
        <v>3.9</v>
      </c>
      <c r="F68" s="246">
        <v>176073</v>
      </c>
      <c r="G68" s="275">
        <f>F68*$G$62/$E$9</f>
        <v>148.70709670500798</v>
      </c>
      <c r="H68" s="254">
        <f>F68/E68</f>
        <v>45146.923076923078</v>
      </c>
      <c r="I68" s="275">
        <f>H68*$G$62/$E$9</f>
        <v>38.130024796155901</v>
      </c>
      <c r="J68" s="274">
        <v>5.53</v>
      </c>
      <c r="K68" s="246">
        <v>103624</v>
      </c>
      <c r="L68" s="275">
        <f>K68*$G$62/$E$9</f>
        <v>87.51838265355704</v>
      </c>
      <c r="M68" s="254">
        <f>K68/J68</f>
        <v>18738.517179023507</v>
      </c>
      <c r="N68" s="275">
        <f>M68*$G$62/$E$9</f>
        <v>15.826108978943406</v>
      </c>
      <c r="O68" s="254">
        <f>F68+K68</f>
        <v>279697</v>
      </c>
      <c r="P68" s="275">
        <f>O68*$G$62/$E$9</f>
        <v>236.22547935856505</v>
      </c>
    </row>
    <row r="69" spans="1:20" ht="15">
      <c r="A69" s="476"/>
      <c r="D69" s="69" t="s">
        <v>234</v>
      </c>
      <c r="E69" s="274">
        <v>4.49</v>
      </c>
      <c r="F69" s="246">
        <v>176870</v>
      </c>
      <c r="G69" s="275">
        <f>F69*$G$62/$E$9</f>
        <v>149.38022407873305</v>
      </c>
      <c r="H69" s="254">
        <f>F69/E69</f>
        <v>39391.98218262806</v>
      </c>
      <c r="I69" s="275">
        <f>H69*$G$62/$E$9</f>
        <v>33.269537656733419</v>
      </c>
      <c r="J69" s="274">
        <v>4.4000000000000004</v>
      </c>
      <c r="K69" s="246">
        <v>80843</v>
      </c>
      <c r="L69" s="275">
        <f>K69*$G$62/$E$9</f>
        <v>68.278088173217711</v>
      </c>
      <c r="M69" s="254">
        <f>K69/J69</f>
        <v>18373.409090909088</v>
      </c>
      <c r="N69" s="275">
        <f>M69*$G$62/$E$9</f>
        <v>15.517747312094931</v>
      </c>
      <c r="O69" s="254">
        <f>F69+K69</f>
        <v>257713</v>
      </c>
      <c r="P69" s="275">
        <f>O69*$G$62/$E$9</f>
        <v>217.65831225195078</v>
      </c>
    </row>
    <row r="70" spans="1:20" ht="15">
      <c r="A70" s="476"/>
      <c r="B70" s="243"/>
      <c r="C70" s="243"/>
      <c r="D70" s="243" t="s">
        <v>235</v>
      </c>
      <c r="E70" s="276">
        <v>6.17</v>
      </c>
      <c r="F70" s="277">
        <v>219385</v>
      </c>
      <c r="G70" s="278">
        <f>F70*$G$62/$E$9</f>
        <v>185.28738881389071</v>
      </c>
      <c r="H70" s="269">
        <f>F70/E70</f>
        <v>35556.726094003243</v>
      </c>
      <c r="I70" s="278">
        <f>H70*$G$62/$E$9</f>
        <v>30.030370958491204</v>
      </c>
      <c r="J70" s="276">
        <v>4.6100000000000003</v>
      </c>
      <c r="K70" s="277">
        <v>86066</v>
      </c>
      <c r="L70" s="278">
        <f>K70*$G$62/$E$9</f>
        <v>72.689310598520038</v>
      </c>
      <c r="M70" s="269">
        <f>K70/J70</f>
        <v>18669.41431670282</v>
      </c>
      <c r="N70" s="278">
        <f>M70*$G$62/$E$9</f>
        <v>15.767746333735365</v>
      </c>
      <c r="O70" s="269">
        <f>F70+K70</f>
        <v>305451</v>
      </c>
      <c r="P70" s="278">
        <f>O70*$G$62/$E$9</f>
        <v>257.97669941241077</v>
      </c>
    </row>
    <row r="71" spans="1:20">
      <c r="B71" s="469"/>
      <c r="F71" s="254"/>
      <c r="I71" s="254"/>
    </row>
    <row r="73" spans="1:20">
      <c r="A73" s="476">
        <v>10</v>
      </c>
      <c r="B73" s="243" t="s">
        <v>238</v>
      </c>
      <c r="C73" s="243"/>
      <c r="D73" s="243"/>
      <c r="E73" s="243"/>
      <c r="F73" s="243"/>
      <c r="G73" s="243"/>
      <c r="H73" s="243"/>
      <c r="I73" s="243"/>
      <c r="J73" s="243"/>
      <c r="K73" s="243"/>
      <c r="L73" s="243"/>
      <c r="M73" s="243"/>
      <c r="N73" s="243"/>
      <c r="O73" s="243"/>
      <c r="P73" s="243"/>
    </row>
    <row r="74" spans="1:20">
      <c r="A74" s="476"/>
      <c r="C74" s="243"/>
      <c r="D74" s="243"/>
      <c r="E74" s="243">
        <v>2008</v>
      </c>
      <c r="F74" s="244">
        <v>2009</v>
      </c>
      <c r="G74" s="244">
        <v>2010</v>
      </c>
      <c r="H74" s="244">
        <v>2011</v>
      </c>
      <c r="I74" s="244">
        <v>2012</v>
      </c>
      <c r="J74" s="244">
        <v>2013</v>
      </c>
      <c r="K74" s="69">
        <v>2014</v>
      </c>
      <c r="L74" s="69">
        <v>2015</v>
      </c>
      <c r="M74" s="69">
        <v>2016</v>
      </c>
      <c r="N74" s="69">
        <v>2017</v>
      </c>
      <c r="O74" s="69">
        <v>2018</v>
      </c>
      <c r="P74" s="69">
        <v>2019</v>
      </c>
      <c r="Q74" s="69">
        <v>2020</v>
      </c>
      <c r="R74" s="69">
        <v>2021</v>
      </c>
      <c r="S74" s="69">
        <v>2022</v>
      </c>
      <c r="T74" s="69">
        <v>2023</v>
      </c>
    </row>
    <row r="75" spans="1:20" ht="15">
      <c r="A75" s="476"/>
      <c r="B75" s="245"/>
      <c r="C75" s="69" t="s">
        <v>9</v>
      </c>
      <c r="E75" s="246">
        <f>SUM(E76:E77)</f>
        <v>197844.959</v>
      </c>
      <c r="F75" s="247">
        <f>SUM(F76:F77)</f>
        <v>203780.30777000001</v>
      </c>
      <c r="G75" s="247">
        <f t="shared" ref="G75:T75" si="17">SUM(G76:G77)</f>
        <v>209893.7170031</v>
      </c>
      <c r="H75" s="247">
        <f t="shared" si="17"/>
        <v>216190.52851319304</v>
      </c>
      <c r="I75" s="247">
        <f t="shared" si="17"/>
        <v>222676.24436858884</v>
      </c>
      <c r="J75" s="247">
        <f t="shared" si="17"/>
        <v>229356.53169964656</v>
      </c>
      <c r="K75" s="247">
        <f t="shared" si="17"/>
        <v>236237.22765063593</v>
      </c>
      <c r="L75" s="247">
        <f t="shared" si="17"/>
        <v>243324.34448015504</v>
      </c>
      <c r="M75" s="247">
        <f t="shared" si="17"/>
        <v>250624.07481455972</v>
      </c>
      <c r="N75" s="247">
        <f t="shared" si="17"/>
        <v>258142.79705899651</v>
      </c>
      <c r="O75" s="247">
        <f t="shared" si="17"/>
        <v>265887.08097076643</v>
      </c>
      <c r="P75" s="247">
        <f t="shared" si="17"/>
        <v>273863.69339988939</v>
      </c>
      <c r="Q75" s="247">
        <f t="shared" si="17"/>
        <v>282079.6042018861</v>
      </c>
      <c r="R75" s="247">
        <f t="shared" si="17"/>
        <v>290541.99232794269</v>
      </c>
      <c r="S75" s="247">
        <f t="shared" si="17"/>
        <v>299258.25209778099</v>
      </c>
      <c r="T75" s="247">
        <f t="shared" si="17"/>
        <v>308235.99966071441</v>
      </c>
    </row>
    <row r="76" spans="1:20" ht="15">
      <c r="A76" s="476"/>
      <c r="D76" s="69" t="s">
        <v>198</v>
      </c>
      <c r="E76" s="246">
        <f t="shared" ref="E76:T76" si="18">E$14*$E$67</f>
        <v>65948.319666666677</v>
      </c>
      <c r="F76" s="247">
        <f t="shared" si="18"/>
        <v>67926.769256666681</v>
      </c>
      <c r="G76" s="247">
        <f t="shared" si="18"/>
        <v>69964.572334366676</v>
      </c>
      <c r="H76" s="247">
        <f t="shared" si="18"/>
        <v>72063.509504397691</v>
      </c>
      <c r="I76" s="247">
        <f t="shared" si="18"/>
        <v>74225.414789529619</v>
      </c>
      <c r="J76" s="247">
        <f t="shared" si="18"/>
        <v>76452.177233215523</v>
      </c>
      <c r="K76" s="247">
        <f t="shared" si="18"/>
        <v>78745.742550211988</v>
      </c>
      <c r="L76" s="247">
        <f t="shared" si="18"/>
        <v>81108.11482671836</v>
      </c>
      <c r="M76" s="247">
        <f t="shared" si="18"/>
        <v>83541.358271519915</v>
      </c>
      <c r="N76" s="247">
        <f t="shared" si="18"/>
        <v>86047.599019665518</v>
      </c>
      <c r="O76" s="247">
        <f t="shared" si="18"/>
        <v>88629.026990255472</v>
      </c>
      <c r="P76" s="247">
        <f t="shared" si="18"/>
        <v>91287.897799963146</v>
      </c>
      <c r="Q76" s="247">
        <f t="shared" si="18"/>
        <v>94026.534733962049</v>
      </c>
      <c r="R76" s="247">
        <f t="shared" si="18"/>
        <v>96847.33077598091</v>
      </c>
      <c r="S76" s="247">
        <f t="shared" si="18"/>
        <v>99752.750699260345</v>
      </c>
      <c r="T76" s="247">
        <f t="shared" si="18"/>
        <v>102745.33322023816</v>
      </c>
    </row>
    <row r="77" spans="1:20" ht="15">
      <c r="A77" s="476"/>
      <c r="D77" s="69" t="s">
        <v>199</v>
      </c>
      <c r="E77" s="246">
        <f t="shared" ref="E77:T77" si="19">E$15*$E$67</f>
        <v>131896.63933333333</v>
      </c>
      <c r="F77" s="247">
        <f t="shared" si="19"/>
        <v>135853.53851333333</v>
      </c>
      <c r="G77" s="247">
        <f t="shared" si="19"/>
        <v>139929.14466873332</v>
      </c>
      <c r="H77" s="247">
        <f t="shared" si="19"/>
        <v>144127.01900879535</v>
      </c>
      <c r="I77" s="247">
        <f t="shared" si="19"/>
        <v>148450.82957905921</v>
      </c>
      <c r="J77" s="247">
        <f t="shared" si="19"/>
        <v>152904.35446643102</v>
      </c>
      <c r="K77" s="247">
        <f t="shared" si="19"/>
        <v>157491.48510042395</v>
      </c>
      <c r="L77" s="247">
        <f t="shared" si="19"/>
        <v>162216.22965343669</v>
      </c>
      <c r="M77" s="247">
        <f t="shared" si="19"/>
        <v>167082.7165430398</v>
      </c>
      <c r="N77" s="247">
        <f t="shared" si="19"/>
        <v>172095.19803933101</v>
      </c>
      <c r="O77" s="247">
        <f t="shared" si="19"/>
        <v>177258.05398051094</v>
      </c>
      <c r="P77" s="247">
        <f t="shared" si="19"/>
        <v>182575.79559992626</v>
      </c>
      <c r="Q77" s="247">
        <f t="shared" si="19"/>
        <v>188053.06946792407</v>
      </c>
      <c r="R77" s="247">
        <f t="shared" si="19"/>
        <v>193694.66155196179</v>
      </c>
      <c r="S77" s="247">
        <f t="shared" si="19"/>
        <v>199505.50139852066</v>
      </c>
      <c r="T77" s="247">
        <f t="shared" si="19"/>
        <v>205490.66644047629</v>
      </c>
    </row>
    <row r="78" spans="1:20" ht="15">
      <c r="A78" s="476"/>
      <c r="E78" s="251"/>
    </row>
    <row r="79" spans="1:20" ht="15">
      <c r="A79" s="476"/>
      <c r="C79" s="69" t="s">
        <v>201</v>
      </c>
      <c r="E79" s="246">
        <f>SUM(E80:E82)</f>
        <v>349038.092</v>
      </c>
      <c r="F79" s="254">
        <f>SUM(F80:F82)</f>
        <v>362103.95364000002</v>
      </c>
      <c r="G79" s="254">
        <f t="shared" ref="G79:T79" si="20">SUM(G80:G82)</f>
        <v>375763.14882080007</v>
      </c>
      <c r="H79" s="254">
        <f t="shared" si="20"/>
        <v>390047.96713443607</v>
      </c>
      <c r="I79" s="254">
        <f t="shared" si="20"/>
        <v>404992.68902266002</v>
      </c>
      <c r="J79" s="254">
        <f t="shared" si="20"/>
        <v>420633.71721158701</v>
      </c>
      <c r="K79" s="254">
        <f t="shared" si="20"/>
        <v>437009.71711217932</v>
      </c>
      <c r="L79" s="254">
        <f t="shared" si="20"/>
        <v>454161.76680720114</v>
      </c>
      <c r="M79" s="254">
        <f t="shared" si="20"/>
        <v>472133.51728851447</v>
      </c>
      <c r="N79" s="254">
        <f t="shared" si="20"/>
        <v>490971.36365484342</v>
      </c>
      <c r="O79" s="254">
        <f t="shared" si="20"/>
        <v>510724.62802962249</v>
      </c>
      <c r="P79" s="254">
        <f t="shared" si="20"/>
        <v>531445.75501148961</v>
      </c>
      <c r="Q79" s="254">
        <f t="shared" si="20"/>
        <v>553190.52052663243</v>
      </c>
      <c r="R79" s="254">
        <f t="shared" si="20"/>
        <v>576018.25501279568</v>
      </c>
      <c r="S79" s="254">
        <f t="shared" si="20"/>
        <v>599992.0819296001</v>
      </c>
      <c r="T79" s="254">
        <f t="shared" si="20"/>
        <v>625179.17265919154</v>
      </c>
    </row>
    <row r="80" spans="1:20" ht="15">
      <c r="A80" s="476"/>
      <c r="B80" s="245"/>
      <c r="D80" s="69" t="s">
        <v>202</v>
      </c>
      <c r="E80" s="246">
        <f t="shared" ref="E80:T80" si="21">E$19*$E$68</f>
        <v>39454.74</v>
      </c>
      <c r="F80" s="247">
        <f t="shared" si="21"/>
        <v>40243.834800000004</v>
      </c>
      <c r="G80" s="247">
        <f t="shared" si="21"/>
        <v>41048.711496000004</v>
      </c>
      <c r="H80" s="247">
        <f t="shared" si="21"/>
        <v>41869.685725920011</v>
      </c>
      <c r="I80" s="247">
        <f t="shared" si="21"/>
        <v>42707.079440438414</v>
      </c>
      <c r="J80" s="247">
        <f t="shared" si="21"/>
        <v>43561.221029247179</v>
      </c>
      <c r="K80" s="247">
        <f t="shared" si="21"/>
        <v>44432.445449832128</v>
      </c>
      <c r="L80" s="247">
        <f t="shared" si="21"/>
        <v>45321.09435882877</v>
      </c>
      <c r="M80" s="247">
        <f t="shared" si="21"/>
        <v>46227.516246005347</v>
      </c>
      <c r="N80" s="247">
        <f t="shared" si="21"/>
        <v>47152.066570925454</v>
      </c>
      <c r="O80" s="247">
        <f t="shared" si="21"/>
        <v>48095.107902343967</v>
      </c>
      <c r="P80" s="247">
        <f t="shared" si="21"/>
        <v>49057.01006039085</v>
      </c>
      <c r="Q80" s="247">
        <f t="shared" si="21"/>
        <v>50038.150261598668</v>
      </c>
      <c r="R80" s="247">
        <f t="shared" si="21"/>
        <v>51038.913266830641</v>
      </c>
      <c r="S80" s="247">
        <f t="shared" si="21"/>
        <v>52059.69153216725</v>
      </c>
      <c r="T80" s="247">
        <f t="shared" si="21"/>
        <v>53100.885362810601</v>
      </c>
    </row>
    <row r="81" spans="1:20" ht="15">
      <c r="A81" s="476"/>
      <c r="B81" s="245"/>
      <c r="D81" s="69" t="s">
        <v>203</v>
      </c>
      <c r="E81" s="246">
        <f t="shared" ref="E81:T81" si="22">E$20*$E$69</f>
        <v>234851.69500000001</v>
      </c>
      <c r="F81" s="247">
        <f t="shared" si="22"/>
        <v>241897.24585000001</v>
      </c>
      <c r="G81" s="247">
        <f t="shared" si="22"/>
        <v>249154.16322550003</v>
      </c>
      <c r="H81" s="247">
        <f t="shared" si="22"/>
        <v>256628.78812226505</v>
      </c>
      <c r="I81" s="247">
        <f t="shared" si="22"/>
        <v>264327.65176593297</v>
      </c>
      <c r="J81" s="247">
        <f t="shared" si="22"/>
        <v>272257.48131891101</v>
      </c>
      <c r="K81" s="247">
        <f t="shared" si="22"/>
        <v>280425.20575847838</v>
      </c>
      <c r="L81" s="247">
        <f t="shared" si="22"/>
        <v>288837.96193123271</v>
      </c>
      <c r="M81" s="247">
        <f t="shared" si="22"/>
        <v>297503.10078916966</v>
      </c>
      <c r="N81" s="247">
        <f t="shared" si="22"/>
        <v>306428.19381284475</v>
      </c>
      <c r="O81" s="247">
        <f t="shared" si="22"/>
        <v>315621.03962723014</v>
      </c>
      <c r="P81" s="247">
        <f t="shared" si="22"/>
        <v>325089.670816047</v>
      </c>
      <c r="Q81" s="247">
        <f t="shared" si="22"/>
        <v>334842.36094052839</v>
      </c>
      <c r="R81" s="247">
        <f t="shared" si="22"/>
        <v>344887.63176874426</v>
      </c>
      <c r="S81" s="247">
        <f t="shared" si="22"/>
        <v>355234.26072180661</v>
      </c>
      <c r="T81" s="247">
        <f t="shared" si="22"/>
        <v>365891.28854346083</v>
      </c>
    </row>
    <row r="82" spans="1:20" ht="15">
      <c r="A82" s="476"/>
      <c r="B82" s="245"/>
      <c r="D82" s="69" t="s">
        <v>216</v>
      </c>
      <c r="E82" s="246">
        <f t="shared" ref="E82:T82" si="23">E$21*$E$70</f>
        <v>74731.657000000007</v>
      </c>
      <c r="F82" s="247">
        <f t="shared" si="23"/>
        <v>79962.872990000018</v>
      </c>
      <c r="G82" s="247">
        <f t="shared" si="23"/>
        <v>85560.274099300019</v>
      </c>
      <c r="H82" s="247">
        <f t="shared" si="23"/>
        <v>91549.493286251018</v>
      </c>
      <c r="I82" s="247">
        <f t="shared" si="23"/>
        <v>97957.957816288603</v>
      </c>
      <c r="J82" s="247">
        <f t="shared" si="23"/>
        <v>104815.01486342881</v>
      </c>
      <c r="K82" s="247">
        <f t="shared" si="23"/>
        <v>112152.06590386882</v>
      </c>
      <c r="L82" s="247">
        <f t="shared" si="23"/>
        <v>120002.71051713965</v>
      </c>
      <c r="M82" s="247">
        <f t="shared" si="23"/>
        <v>128402.90025333944</v>
      </c>
      <c r="N82" s="247">
        <f t="shared" si="23"/>
        <v>137391.1032710732</v>
      </c>
      <c r="O82" s="247">
        <f t="shared" si="23"/>
        <v>147008.48050004835</v>
      </c>
      <c r="P82" s="247">
        <f t="shared" si="23"/>
        <v>157299.07413505175</v>
      </c>
      <c r="Q82" s="247">
        <f t="shared" si="23"/>
        <v>168310.00932450537</v>
      </c>
      <c r="R82" s="247">
        <f t="shared" si="23"/>
        <v>180091.70997722074</v>
      </c>
      <c r="S82" s="247">
        <f t="shared" si="23"/>
        <v>192698.1296756262</v>
      </c>
      <c r="T82" s="247">
        <f t="shared" si="23"/>
        <v>206186.99875292007</v>
      </c>
    </row>
    <row r="83" spans="1:20" ht="15">
      <c r="A83" s="476"/>
      <c r="C83" s="69" t="s">
        <v>204</v>
      </c>
      <c r="E83" s="251"/>
      <c r="F83" s="252">
        <f>F79/E79-1</f>
        <v>3.7433913201657232E-2</v>
      </c>
      <c r="G83" s="252">
        <f t="shared" ref="G83:T83" si="24">G79/F79-1</f>
        <v>3.7721751015123983E-2</v>
      </c>
      <c r="H83" s="252">
        <f t="shared" si="24"/>
        <v>3.8015484909746711E-2</v>
      </c>
      <c r="I83" s="252">
        <f t="shared" si="24"/>
        <v>3.8315087239188195E-2</v>
      </c>
      <c r="J83" s="252">
        <f t="shared" si="24"/>
        <v>3.8620519858450608E-2</v>
      </c>
      <c r="K83" s="252">
        <f t="shared" si="24"/>
        <v>3.8931733787652689E-2</v>
      </c>
      <c r="L83" s="252">
        <f t="shared" si="24"/>
        <v>3.9248668904583894E-2</v>
      </c>
      <c r="M83" s="252">
        <f t="shared" si="24"/>
        <v>3.9571253669493878E-2</v>
      </c>
      <c r="N83" s="252">
        <f t="shared" si="24"/>
        <v>3.9899404885540779E-2</v>
      </c>
      <c r="O83" s="252">
        <f t="shared" si="24"/>
        <v>4.0233027498250973E-2</v>
      </c>
      <c r="P83" s="252">
        <f t="shared" si="24"/>
        <v>4.0572014437230797E-2</v>
      </c>
      <c r="Q83" s="252">
        <f t="shared" si="24"/>
        <v>4.091624650322534E-2</v>
      </c>
      <c r="R83" s="252">
        <f t="shared" si="24"/>
        <v>4.1265592303410203E-2</v>
      </c>
      <c r="S83" s="252">
        <f t="shared" si="24"/>
        <v>4.161990823758166E-2</v>
      </c>
      <c r="T83" s="252">
        <f t="shared" si="24"/>
        <v>4.1979038537623081E-2</v>
      </c>
    </row>
    <row r="84" spans="1:20" ht="15">
      <c r="A84" s="476"/>
      <c r="E84" s="251"/>
      <c r="F84" s="252"/>
      <c r="G84" s="252"/>
      <c r="H84" s="252"/>
      <c r="I84" s="252"/>
      <c r="J84" s="252"/>
      <c r="K84" s="252"/>
      <c r="L84" s="252"/>
      <c r="M84" s="252"/>
      <c r="N84" s="252"/>
      <c r="O84" s="252"/>
      <c r="P84" s="252"/>
      <c r="Q84" s="252"/>
      <c r="R84" s="252"/>
      <c r="S84" s="252"/>
      <c r="T84" s="252"/>
    </row>
    <row r="85" spans="1:20" ht="15">
      <c r="A85" s="476"/>
      <c r="C85" s="255" t="s">
        <v>239</v>
      </c>
      <c r="D85" s="255"/>
      <c r="E85" s="246">
        <f>E75+E79</f>
        <v>546883.05099999998</v>
      </c>
      <c r="F85" s="257">
        <f>F75+F79</f>
        <v>565884.26141000004</v>
      </c>
      <c r="G85" s="257">
        <f t="shared" ref="G85:T85" si="25">G75+G79</f>
        <v>585656.86582390009</v>
      </c>
      <c r="H85" s="257">
        <f t="shared" si="25"/>
        <v>606238.49564762914</v>
      </c>
      <c r="I85" s="257">
        <f t="shared" si="25"/>
        <v>627668.93339124881</v>
      </c>
      <c r="J85" s="257">
        <f t="shared" si="25"/>
        <v>649990.24891123362</v>
      </c>
      <c r="K85" s="257">
        <f t="shared" si="25"/>
        <v>673246.94476281526</v>
      </c>
      <c r="L85" s="257">
        <f t="shared" si="25"/>
        <v>697486.11128735612</v>
      </c>
      <c r="M85" s="257">
        <f t="shared" si="25"/>
        <v>722757.59210307419</v>
      </c>
      <c r="N85" s="257">
        <f t="shared" si="25"/>
        <v>749114.16071383993</v>
      </c>
      <c r="O85" s="257">
        <f t="shared" si="25"/>
        <v>776611.70900038886</v>
      </c>
      <c r="P85" s="257">
        <f t="shared" si="25"/>
        <v>805309.44841137901</v>
      </c>
      <c r="Q85" s="257">
        <f t="shared" si="25"/>
        <v>835270.12472851854</v>
      </c>
      <c r="R85" s="257">
        <f t="shared" si="25"/>
        <v>866560.24734073831</v>
      </c>
      <c r="S85" s="257">
        <f t="shared" si="25"/>
        <v>899250.33402738115</v>
      </c>
      <c r="T85" s="257">
        <f t="shared" si="25"/>
        <v>933415.17231990595</v>
      </c>
    </row>
    <row r="86" spans="1:20" ht="15">
      <c r="A86" s="476"/>
      <c r="B86" s="505"/>
      <c r="C86" s="243"/>
      <c r="D86" s="243" t="s">
        <v>205</v>
      </c>
      <c r="E86" s="259"/>
      <c r="F86" s="260">
        <f>F85/E85-1</f>
        <v>3.474455896055928E-2</v>
      </c>
      <c r="G86" s="260">
        <f t="shared" ref="G86:T86" si="26">G85/F85-1</f>
        <v>3.4941074990552101E-2</v>
      </c>
      <c r="H86" s="260">
        <f t="shared" si="26"/>
        <v>3.5142813180845778E-2</v>
      </c>
      <c r="I86" s="260">
        <f t="shared" si="26"/>
        <v>3.5349846467150003E-2</v>
      </c>
      <c r="J86" s="260">
        <f t="shared" si="26"/>
        <v>3.5562243616845013E-2</v>
      </c>
      <c r="K86" s="280">
        <f t="shared" si="26"/>
        <v>3.5780068840321588E-2</v>
      </c>
      <c r="L86" s="280">
        <f t="shared" si="26"/>
        <v>3.6003381393851397E-2</v>
      </c>
      <c r="M86" s="280">
        <f t="shared" si="26"/>
        <v>3.6232235175370331E-2</v>
      </c>
      <c r="N86" s="280">
        <f t="shared" si="26"/>
        <v>3.646667831474959E-2</v>
      </c>
      <c r="O86" s="280">
        <f t="shared" si="26"/>
        <v>3.6706752760281791E-2</v>
      </c>
      <c r="P86" s="280">
        <f t="shared" si="26"/>
        <v>3.6952493863282365E-2</v>
      </c>
      <c r="Q86" s="280">
        <f t="shared" si="26"/>
        <v>3.7203929962876359E-2</v>
      </c>
      <c r="R86" s="280">
        <f t="shared" si="26"/>
        <v>3.746108197319975E-2</v>
      </c>
      <c r="S86" s="280">
        <f t="shared" si="26"/>
        <v>3.7723962975408476E-2</v>
      </c>
      <c r="T86" s="280">
        <f t="shared" si="26"/>
        <v>3.7992577817029138E-2</v>
      </c>
    </row>
    <row r="88" spans="1:20">
      <c r="A88" s="476"/>
      <c r="B88" s="243" t="s">
        <v>240</v>
      </c>
      <c r="C88" s="243"/>
      <c r="D88" s="243"/>
      <c r="E88" s="243"/>
      <c r="F88" s="243"/>
      <c r="G88" s="243"/>
      <c r="H88" s="243"/>
      <c r="I88" s="243"/>
      <c r="J88" s="243"/>
      <c r="K88" s="243"/>
      <c r="L88" s="243"/>
      <c r="M88" s="243"/>
      <c r="N88" s="243"/>
      <c r="O88" s="243"/>
      <c r="P88" s="243"/>
    </row>
    <row r="89" spans="1:20">
      <c r="A89" s="476"/>
      <c r="C89" s="243"/>
      <c r="D89" s="243"/>
      <c r="E89" s="243">
        <v>2008</v>
      </c>
      <c r="F89" s="244">
        <v>2009</v>
      </c>
      <c r="G89" s="244">
        <v>2010</v>
      </c>
      <c r="H89" s="244">
        <v>2011</v>
      </c>
      <c r="I89" s="244">
        <v>2012</v>
      </c>
      <c r="J89" s="244">
        <v>2013</v>
      </c>
      <c r="K89" s="69">
        <v>2014</v>
      </c>
      <c r="L89" s="69">
        <v>2015</v>
      </c>
      <c r="M89" s="69">
        <v>2016</v>
      </c>
      <c r="N89" s="69">
        <v>2017</v>
      </c>
      <c r="O89" s="69">
        <v>2018</v>
      </c>
      <c r="P89" s="69">
        <v>2019</v>
      </c>
      <c r="Q89" s="69">
        <v>2020</v>
      </c>
      <c r="R89" s="69">
        <v>2021</v>
      </c>
      <c r="S89" s="69">
        <v>2022</v>
      </c>
      <c r="T89" s="69">
        <v>2023</v>
      </c>
    </row>
    <row r="90" spans="1:20" ht="15">
      <c r="A90" s="476"/>
      <c r="B90" s="245"/>
      <c r="C90" s="69" t="s">
        <v>9</v>
      </c>
      <c r="E90" s="246">
        <f>SUM(E91:E92)</f>
        <v>273241.462</v>
      </c>
      <c r="F90" s="247">
        <f>SUM(F91:F92)</f>
        <v>281438.70585999999</v>
      </c>
      <c r="G90" s="247">
        <f t="shared" ref="G90:T90" si="27">SUM(G91:G92)</f>
        <v>289881.86703580001</v>
      </c>
      <c r="H90" s="247">
        <f t="shared" si="27"/>
        <v>298578.32304687402</v>
      </c>
      <c r="I90" s="247">
        <f t="shared" si="27"/>
        <v>307535.67273828026</v>
      </c>
      <c r="J90" s="247">
        <f t="shared" si="27"/>
        <v>316761.74292042875</v>
      </c>
      <c r="K90" s="247">
        <f t="shared" si="27"/>
        <v>326264.5952080416</v>
      </c>
      <c r="L90" s="247">
        <f t="shared" si="27"/>
        <v>336052.53306428285</v>
      </c>
      <c r="M90" s="247">
        <f t="shared" si="27"/>
        <v>346134.10905621137</v>
      </c>
      <c r="N90" s="247">
        <f t="shared" si="27"/>
        <v>356518.13232789777</v>
      </c>
      <c r="O90" s="247">
        <f t="shared" si="27"/>
        <v>367213.67629773472</v>
      </c>
      <c r="P90" s="247">
        <f t="shared" si="27"/>
        <v>378230.08658666676</v>
      </c>
      <c r="Q90" s="247">
        <f t="shared" si="27"/>
        <v>389576.98918426677</v>
      </c>
      <c r="R90" s="247">
        <f t="shared" si="27"/>
        <v>401264.2988597948</v>
      </c>
      <c r="S90" s="247">
        <f t="shared" si="27"/>
        <v>413302.22782558866</v>
      </c>
      <c r="T90" s="247">
        <f t="shared" si="27"/>
        <v>425701.29466035636</v>
      </c>
    </row>
    <row r="91" spans="1:20" ht="15">
      <c r="A91" s="476"/>
      <c r="D91" s="69" t="s">
        <v>198</v>
      </c>
      <c r="E91" s="246">
        <f t="shared" ref="E91:T91" si="28">E$14*$J$67</f>
        <v>91080.487333333353</v>
      </c>
      <c r="F91" s="247">
        <f t="shared" si="28"/>
        <v>93812.901953333349</v>
      </c>
      <c r="G91" s="247">
        <f t="shared" si="28"/>
        <v>96627.289011933346</v>
      </c>
      <c r="H91" s="247">
        <f t="shared" si="28"/>
        <v>99526.10768229136</v>
      </c>
      <c r="I91" s="247">
        <f t="shared" si="28"/>
        <v>102511.89091276011</v>
      </c>
      <c r="J91" s="247">
        <f t="shared" si="28"/>
        <v>105587.24764014292</v>
      </c>
      <c r="K91" s="247">
        <f t="shared" si="28"/>
        <v>108754.86506934722</v>
      </c>
      <c r="L91" s="247">
        <f t="shared" si="28"/>
        <v>112017.51102142764</v>
      </c>
      <c r="M91" s="247">
        <f t="shared" si="28"/>
        <v>115378.03635207047</v>
      </c>
      <c r="N91" s="247">
        <f t="shared" si="28"/>
        <v>118839.3774426326</v>
      </c>
      <c r="O91" s="247">
        <f t="shared" si="28"/>
        <v>122404.55876591158</v>
      </c>
      <c r="P91" s="247">
        <f t="shared" si="28"/>
        <v>126076.69552888893</v>
      </c>
      <c r="Q91" s="247">
        <f t="shared" si="28"/>
        <v>129858.9963947556</v>
      </c>
      <c r="R91" s="247">
        <f t="shared" si="28"/>
        <v>133754.76628659829</v>
      </c>
      <c r="S91" s="247">
        <f t="shared" si="28"/>
        <v>137767.40927519623</v>
      </c>
      <c r="T91" s="247">
        <f t="shared" si="28"/>
        <v>141900.43155345213</v>
      </c>
    </row>
    <row r="92" spans="1:20" ht="15">
      <c r="A92" s="476"/>
      <c r="D92" s="69" t="s">
        <v>199</v>
      </c>
      <c r="E92" s="246">
        <f t="shared" ref="E92:T92" si="29">E$15*$J$67</f>
        <v>182160.97466666665</v>
      </c>
      <c r="F92" s="247">
        <f t="shared" si="29"/>
        <v>187625.80390666667</v>
      </c>
      <c r="G92" s="247">
        <f t="shared" si="29"/>
        <v>193254.57802386666</v>
      </c>
      <c r="H92" s="247">
        <f t="shared" si="29"/>
        <v>199052.21536458269</v>
      </c>
      <c r="I92" s="247">
        <f t="shared" si="29"/>
        <v>205023.78182552019</v>
      </c>
      <c r="J92" s="247">
        <f t="shared" si="29"/>
        <v>211174.4952802858</v>
      </c>
      <c r="K92" s="247">
        <f t="shared" si="29"/>
        <v>217509.7301386944</v>
      </c>
      <c r="L92" s="247">
        <f t="shared" si="29"/>
        <v>224035.02204285524</v>
      </c>
      <c r="M92" s="247">
        <f t="shared" si="29"/>
        <v>230756.07270414091</v>
      </c>
      <c r="N92" s="247">
        <f t="shared" si="29"/>
        <v>237678.75488526517</v>
      </c>
      <c r="O92" s="247">
        <f t="shared" si="29"/>
        <v>244809.11753182311</v>
      </c>
      <c r="P92" s="247">
        <f t="shared" si="29"/>
        <v>252153.39105777783</v>
      </c>
      <c r="Q92" s="247">
        <f t="shared" si="29"/>
        <v>259717.99278951116</v>
      </c>
      <c r="R92" s="247">
        <f t="shared" si="29"/>
        <v>267509.53257319651</v>
      </c>
      <c r="S92" s="247">
        <f t="shared" si="29"/>
        <v>275534.8185503924</v>
      </c>
      <c r="T92" s="247">
        <f t="shared" si="29"/>
        <v>283800.8631069042</v>
      </c>
    </row>
    <row r="93" spans="1:20" ht="15">
      <c r="A93" s="476"/>
      <c r="E93" s="251"/>
    </row>
    <row r="94" spans="1:20" ht="15">
      <c r="A94" s="476"/>
      <c r="C94" s="69" t="s">
        <v>201</v>
      </c>
      <c r="E94" s="246">
        <f>SUM(E95:E97)</f>
        <v>341925.77900000004</v>
      </c>
      <c r="F94" s="254">
        <f>SUM(F95:F97)</f>
        <v>353857.57563000004</v>
      </c>
      <c r="G94" s="254">
        <f t="shared" ref="G94:T94" si="30">SUM(G95:G97)</f>
        <v>366292.48018610006</v>
      </c>
      <c r="H94" s="254">
        <f t="shared" si="30"/>
        <v>379256.30613596708</v>
      </c>
      <c r="I94" s="254">
        <f t="shared" si="30"/>
        <v>392776.40295634954</v>
      </c>
      <c r="J94" s="254">
        <f t="shared" si="30"/>
        <v>406881.75574948284</v>
      </c>
      <c r="K94" s="254">
        <f t="shared" si="30"/>
        <v>421603.09159999102</v>
      </c>
      <c r="L94" s="254">
        <f t="shared" si="30"/>
        <v>436972.99313723139</v>
      </c>
      <c r="M94" s="254">
        <f t="shared" si="30"/>
        <v>453026.01980036637</v>
      </c>
      <c r="N94" s="254">
        <f t="shared" si="30"/>
        <v>469798.83733804763</v>
      </c>
      <c r="O94" s="254">
        <f t="shared" si="30"/>
        <v>487330.3561116138</v>
      </c>
      <c r="P94" s="254">
        <f t="shared" si="30"/>
        <v>505661.87881029805</v>
      </c>
      <c r="Q94" s="254">
        <f t="shared" si="30"/>
        <v>524837.25822931121</v>
      </c>
      <c r="R94" s="254">
        <f t="shared" si="30"/>
        <v>544903.0658069849</v>
      </c>
      <c r="S94" s="254">
        <f t="shared" si="30"/>
        <v>565908.7716656503</v>
      </c>
      <c r="T94" s="254">
        <f t="shared" si="30"/>
        <v>587906.93695280375</v>
      </c>
    </row>
    <row r="95" spans="1:20" ht="15">
      <c r="A95" s="476"/>
      <c r="B95" s="245"/>
      <c r="D95" s="69" t="s">
        <v>202</v>
      </c>
      <c r="E95" s="246">
        <f t="shared" ref="E95:T95" si="31">E$19*$J$68</f>
        <v>55944.798000000003</v>
      </c>
      <c r="F95" s="247">
        <f t="shared" si="31"/>
        <v>57063.693960000004</v>
      </c>
      <c r="G95" s="247">
        <f t="shared" si="31"/>
        <v>58204.967839200013</v>
      </c>
      <c r="H95" s="247">
        <f t="shared" si="31"/>
        <v>59369.067195984018</v>
      </c>
      <c r="I95" s="247">
        <f t="shared" si="31"/>
        <v>60556.4485399037</v>
      </c>
      <c r="J95" s="247">
        <f t="shared" si="31"/>
        <v>61767.577510701776</v>
      </c>
      <c r="K95" s="247">
        <f t="shared" si="31"/>
        <v>63002.92906091582</v>
      </c>
      <c r="L95" s="247">
        <f t="shared" si="31"/>
        <v>64262.987642134132</v>
      </c>
      <c r="M95" s="247">
        <f t="shared" si="31"/>
        <v>65548.247394976817</v>
      </c>
      <c r="N95" s="247">
        <f t="shared" si="31"/>
        <v>66859.212342876359</v>
      </c>
      <c r="O95" s="247">
        <f t="shared" si="31"/>
        <v>68196.396589733878</v>
      </c>
      <c r="P95" s="247">
        <f t="shared" si="31"/>
        <v>69560.324521528571</v>
      </c>
      <c r="Q95" s="247">
        <f t="shared" si="31"/>
        <v>70951.531011959145</v>
      </c>
      <c r="R95" s="247">
        <f t="shared" si="31"/>
        <v>72370.561632198325</v>
      </c>
      <c r="S95" s="247">
        <f t="shared" si="31"/>
        <v>73817.97286484229</v>
      </c>
      <c r="T95" s="247">
        <f t="shared" si="31"/>
        <v>75294.332322139133</v>
      </c>
    </row>
    <row r="96" spans="1:20" ht="15">
      <c r="A96" s="476"/>
      <c r="B96" s="245"/>
      <c r="D96" s="69" t="s">
        <v>203</v>
      </c>
      <c r="E96" s="246">
        <f t="shared" ref="E96:T96" si="32">E$20*$J$69</f>
        <v>230144.2</v>
      </c>
      <c r="F96" s="247">
        <f t="shared" si="32"/>
        <v>237048.52600000001</v>
      </c>
      <c r="G96" s="247">
        <f t="shared" si="32"/>
        <v>244159.98178000003</v>
      </c>
      <c r="H96" s="247">
        <f t="shared" si="32"/>
        <v>251484.78123340005</v>
      </c>
      <c r="I96" s="247">
        <f t="shared" si="32"/>
        <v>259029.32467040204</v>
      </c>
      <c r="J96" s="247">
        <f t="shared" si="32"/>
        <v>266800.20441051415</v>
      </c>
      <c r="K96" s="247">
        <f t="shared" si="32"/>
        <v>274804.21054282959</v>
      </c>
      <c r="L96" s="247">
        <f t="shared" si="32"/>
        <v>283048.33685911447</v>
      </c>
      <c r="M96" s="247">
        <f t="shared" si="32"/>
        <v>291539.78696488793</v>
      </c>
      <c r="N96" s="247">
        <f t="shared" si="32"/>
        <v>300285.98057383456</v>
      </c>
      <c r="O96" s="247">
        <f t="shared" si="32"/>
        <v>309294.55999104958</v>
      </c>
      <c r="P96" s="247">
        <f t="shared" si="32"/>
        <v>318573.39679078106</v>
      </c>
      <c r="Q96" s="247">
        <f t="shared" si="32"/>
        <v>328130.59869450447</v>
      </c>
      <c r="R96" s="247">
        <f t="shared" si="32"/>
        <v>337974.51665533963</v>
      </c>
      <c r="S96" s="247">
        <f t="shared" si="32"/>
        <v>348113.75215499982</v>
      </c>
      <c r="T96" s="247">
        <f t="shared" si="32"/>
        <v>358557.16471964982</v>
      </c>
    </row>
    <row r="97" spans="1:20" ht="15">
      <c r="A97" s="476"/>
      <c r="B97" s="245"/>
      <c r="D97" s="69" t="s">
        <v>216</v>
      </c>
      <c r="E97" s="246">
        <f t="shared" ref="E97:T97" si="33">E$21*$J$70</f>
        <v>55836.781000000003</v>
      </c>
      <c r="F97" s="247">
        <f t="shared" si="33"/>
        <v>59745.355670000012</v>
      </c>
      <c r="G97" s="247">
        <f t="shared" si="33"/>
        <v>63927.530566900023</v>
      </c>
      <c r="H97" s="247">
        <f t="shared" si="33"/>
        <v>68402.457706583024</v>
      </c>
      <c r="I97" s="247">
        <f t="shared" si="33"/>
        <v>73190.629746043836</v>
      </c>
      <c r="J97" s="247">
        <f t="shared" si="33"/>
        <v>78313.973828266899</v>
      </c>
      <c r="K97" s="247">
        <f t="shared" si="33"/>
        <v>83795.951996245582</v>
      </c>
      <c r="L97" s="247">
        <f t="shared" si="33"/>
        <v>89661.668635982787</v>
      </c>
      <c r="M97" s="247">
        <f t="shared" si="33"/>
        <v>95937.985440501594</v>
      </c>
      <c r="N97" s="247">
        <f t="shared" si="33"/>
        <v>102653.64442133671</v>
      </c>
      <c r="O97" s="247">
        <f t="shared" si="33"/>
        <v>109839.3995308303</v>
      </c>
      <c r="P97" s="247">
        <f t="shared" si="33"/>
        <v>117528.15749798843</v>
      </c>
      <c r="Q97" s="247">
        <f t="shared" si="33"/>
        <v>125755.12852284762</v>
      </c>
      <c r="R97" s="247">
        <f t="shared" si="33"/>
        <v>134557.98751944696</v>
      </c>
      <c r="S97" s="247">
        <f t="shared" si="33"/>
        <v>143977.04664580824</v>
      </c>
      <c r="T97" s="247">
        <f t="shared" si="33"/>
        <v>154055.43991101484</v>
      </c>
    </row>
    <row r="98" spans="1:20" ht="15">
      <c r="A98" s="476"/>
      <c r="C98" s="69" t="s">
        <v>204</v>
      </c>
      <c r="E98" s="251"/>
      <c r="F98" s="252">
        <f>F94/E94-1</f>
        <v>3.4895867357225496E-2</v>
      </c>
      <c r="G98" s="252">
        <f t="shared" ref="G98:T98" si="34">G94/F94-1</f>
        <v>3.5140987257263667E-2</v>
      </c>
      <c r="H98" s="252">
        <f t="shared" si="34"/>
        <v>3.5392006800905484E-2</v>
      </c>
      <c r="I98" s="252">
        <f t="shared" si="34"/>
        <v>3.5648970370806055E-2</v>
      </c>
      <c r="J98" s="252">
        <f t="shared" si="34"/>
        <v>3.5911914990221172E-2</v>
      </c>
      <c r="K98" s="252">
        <f t="shared" si="34"/>
        <v>3.6180869853432496E-2</v>
      </c>
      <c r="L98" s="252">
        <f t="shared" si="34"/>
        <v>3.6455855859385045E-2</v>
      </c>
      <c r="M98" s="252">
        <f t="shared" si="34"/>
        <v>3.6736885151374743E-2</v>
      </c>
      <c r="N98" s="252">
        <f t="shared" si="34"/>
        <v>3.7023960665818922E-2</v>
      </c>
      <c r="O98" s="252">
        <f t="shared" si="34"/>
        <v>3.7317075693295676E-2</v>
      </c>
      <c r="P98" s="252">
        <f t="shared" si="34"/>
        <v>3.7616213455181846E-2</v>
      </c>
      <c r="Q98" s="252">
        <f t="shared" si="34"/>
        <v>3.7921346699356206E-2</v>
      </c>
      <c r="R98" s="252">
        <f t="shared" si="34"/>
        <v>3.8232437318515444E-2</v>
      </c>
      <c r="S98" s="252">
        <f t="shared" si="34"/>
        <v>3.8549435994742698E-2</v>
      </c>
      <c r="T98" s="252">
        <f t="shared" si="34"/>
        <v>3.8872281873995052E-2</v>
      </c>
    </row>
    <row r="99" spans="1:20" ht="15">
      <c r="A99" s="476"/>
      <c r="E99" s="251"/>
      <c r="F99" s="252"/>
      <c r="G99" s="252"/>
      <c r="H99" s="252"/>
      <c r="I99" s="252"/>
      <c r="J99" s="252"/>
      <c r="K99" s="252"/>
      <c r="L99" s="252"/>
      <c r="M99" s="252"/>
      <c r="N99" s="252"/>
      <c r="O99" s="252"/>
      <c r="P99" s="252"/>
      <c r="Q99" s="252"/>
      <c r="R99" s="252"/>
      <c r="S99" s="252"/>
      <c r="T99" s="252"/>
    </row>
    <row r="100" spans="1:20" ht="15">
      <c r="A100" s="476"/>
      <c r="C100" s="255" t="s">
        <v>239</v>
      </c>
      <c r="D100" s="255"/>
      <c r="E100" s="246">
        <f>E90+E94</f>
        <v>615167.24100000004</v>
      </c>
      <c r="F100" s="257">
        <f>F90+F94</f>
        <v>635296.28148999996</v>
      </c>
      <c r="G100" s="257">
        <f t="shared" ref="G100:T100" si="35">G90+G94</f>
        <v>656174.34722190001</v>
      </c>
      <c r="H100" s="257">
        <f t="shared" si="35"/>
        <v>677834.62918284116</v>
      </c>
      <c r="I100" s="257">
        <f t="shared" si="35"/>
        <v>700312.07569462981</v>
      </c>
      <c r="J100" s="257">
        <f t="shared" si="35"/>
        <v>723643.49866991164</v>
      </c>
      <c r="K100" s="257">
        <f t="shared" si="35"/>
        <v>747867.68680803268</v>
      </c>
      <c r="L100" s="257">
        <f t="shared" si="35"/>
        <v>773025.52620151429</v>
      </c>
      <c r="M100" s="257">
        <f t="shared" si="35"/>
        <v>799160.12885657768</v>
      </c>
      <c r="N100" s="257">
        <f t="shared" si="35"/>
        <v>826316.96966594539</v>
      </c>
      <c r="O100" s="257">
        <f t="shared" si="35"/>
        <v>854544.03240934853</v>
      </c>
      <c r="P100" s="257">
        <f t="shared" si="35"/>
        <v>883891.96539696481</v>
      </c>
      <c r="Q100" s="257">
        <f t="shared" si="35"/>
        <v>914414.24741357798</v>
      </c>
      <c r="R100" s="257">
        <f t="shared" si="35"/>
        <v>946167.36466677976</v>
      </c>
      <c r="S100" s="257">
        <f t="shared" si="35"/>
        <v>979210.99949123897</v>
      </c>
      <c r="T100" s="257">
        <f t="shared" si="35"/>
        <v>1013608.2316131601</v>
      </c>
    </row>
    <row r="101" spans="1:20" ht="15">
      <c r="A101" s="476"/>
      <c r="B101" s="505"/>
      <c r="C101" s="243"/>
      <c r="D101" s="243" t="s">
        <v>205</v>
      </c>
      <c r="E101" s="259"/>
      <c r="F101" s="260">
        <f t="shared" ref="F101:T101" si="36">F100/E100-1</f>
        <v>3.2721249033480282E-2</v>
      </c>
      <c r="G101" s="260">
        <f t="shared" si="36"/>
        <v>3.286351005067023E-2</v>
      </c>
      <c r="H101" s="260">
        <f t="shared" si="36"/>
        <v>3.3009949341430422E-2</v>
      </c>
      <c r="I101" s="260">
        <f t="shared" si="36"/>
        <v>3.3160664185726496E-2</v>
      </c>
      <c r="J101" s="260">
        <f t="shared" si="36"/>
        <v>3.3315751341485456E-2</v>
      </c>
      <c r="K101" s="280">
        <f t="shared" si="36"/>
        <v>3.3475306808734118E-2</v>
      </c>
      <c r="L101" s="280">
        <f t="shared" si="36"/>
        <v>3.3639425579219173E-2</v>
      </c>
      <c r="M101" s="280">
        <f t="shared" si="36"/>
        <v>3.380820137141316E-2</v>
      </c>
      <c r="N101" s="280">
        <f t="shared" si="36"/>
        <v>3.3981726350917008E-2</v>
      </c>
      <c r="O101" s="280">
        <f t="shared" si="36"/>
        <v>3.4160090836346413E-2</v>
      </c>
      <c r="P101" s="280">
        <f t="shared" si="36"/>
        <v>3.4343382990893012E-2</v>
      </c>
      <c r="Q101" s="280">
        <f t="shared" si="36"/>
        <v>3.4531688499855662E-2</v>
      </c>
      <c r="R101" s="280">
        <f t="shared" si="36"/>
        <v>3.4725090234557721E-2</v>
      </c>
      <c r="S101" s="280">
        <f t="shared" si="36"/>
        <v>3.4923667903190125E-2</v>
      </c>
      <c r="T101" s="280">
        <f t="shared" si="36"/>
        <v>3.5127497689254605E-2</v>
      </c>
    </row>
    <row r="103" spans="1:20">
      <c r="A103" s="476"/>
      <c r="B103" s="243" t="s">
        <v>42</v>
      </c>
      <c r="C103" s="243"/>
      <c r="D103" s="243"/>
      <c r="E103" s="243"/>
      <c r="F103" s="243"/>
      <c r="G103" s="243"/>
      <c r="H103" s="243"/>
      <c r="I103" s="243"/>
      <c r="J103" s="243"/>
      <c r="K103" s="243"/>
      <c r="L103" s="243"/>
      <c r="M103" s="243"/>
      <c r="N103" s="243"/>
      <c r="O103" s="243"/>
      <c r="P103" s="243"/>
    </row>
    <row r="104" spans="1:20">
      <c r="A104" s="476"/>
      <c r="C104" s="243"/>
      <c r="D104" s="243"/>
      <c r="E104" s="243">
        <v>2008</v>
      </c>
      <c r="F104" s="244">
        <v>2009</v>
      </c>
      <c r="G104" s="244">
        <v>2010</v>
      </c>
      <c r="H104" s="244">
        <v>2011</v>
      </c>
      <c r="I104" s="244">
        <v>2012</v>
      </c>
      <c r="J104" s="244">
        <v>2013</v>
      </c>
      <c r="K104" s="69">
        <v>2014</v>
      </c>
      <c r="L104" s="69">
        <v>2015</v>
      </c>
      <c r="M104" s="69">
        <v>2016</v>
      </c>
      <c r="N104" s="69">
        <v>2017</v>
      </c>
      <c r="O104" s="69">
        <v>2018</v>
      </c>
      <c r="P104" s="69">
        <v>2019</v>
      </c>
      <c r="Q104" s="69">
        <v>2020</v>
      </c>
      <c r="R104" s="69">
        <v>2021</v>
      </c>
      <c r="S104" s="69">
        <v>2022</v>
      </c>
      <c r="T104" s="69">
        <v>2023</v>
      </c>
    </row>
    <row r="105" spans="1:20" ht="15">
      <c r="A105" s="476"/>
      <c r="B105" s="245"/>
      <c r="C105" s="69" t="s">
        <v>9</v>
      </c>
      <c r="E105" s="246">
        <f t="shared" ref="E105:T105" si="37">SUM(E106:E107)</f>
        <v>11833450.76047555</v>
      </c>
      <c r="F105" s="247">
        <f t="shared" si="37"/>
        <v>12188454.283289816</v>
      </c>
      <c r="G105" s="247">
        <f t="shared" si="37"/>
        <v>12554107.91178851</v>
      </c>
      <c r="H105" s="247">
        <f t="shared" si="37"/>
        <v>12930731.149142167</v>
      </c>
      <c r="I105" s="247">
        <f t="shared" si="37"/>
        <v>13318653.083616434</v>
      </c>
      <c r="J105" s="247">
        <f t="shared" si="37"/>
        <v>13718212.676124929</v>
      </c>
      <c r="K105" s="247">
        <f t="shared" si="37"/>
        <v>14129759.056408677</v>
      </c>
      <c r="L105" s="247">
        <f t="shared" si="37"/>
        <v>14553651.828100938</v>
      </c>
      <c r="M105" s="247">
        <f t="shared" si="37"/>
        <v>14990261.382943967</v>
      </c>
      <c r="N105" s="247">
        <f t="shared" si="37"/>
        <v>15439969.224432288</v>
      </c>
      <c r="O105" s="247">
        <f t="shared" si="37"/>
        <v>15903168.301165257</v>
      </c>
      <c r="P105" s="247">
        <f t="shared" si="37"/>
        <v>16380263.350200215</v>
      </c>
      <c r="Q105" s="247">
        <f t="shared" si="37"/>
        <v>16871671.250706222</v>
      </c>
      <c r="R105" s="247">
        <f t="shared" si="37"/>
        <v>17377821.388227411</v>
      </c>
      <c r="S105" s="247">
        <f t="shared" si="37"/>
        <v>17899156.029874232</v>
      </c>
      <c r="T105" s="247">
        <f t="shared" si="37"/>
        <v>18436130.710770458</v>
      </c>
    </row>
    <row r="106" spans="1:20" ht="15">
      <c r="A106" s="476"/>
      <c r="D106" s="69" t="s">
        <v>198</v>
      </c>
      <c r="E106" s="246">
        <f t="shared" ref="E106:T106" si="38">E$14*($G$67+$L$67)</f>
        <v>3944483.5868251836</v>
      </c>
      <c r="F106" s="251">
        <f t="shared" si="38"/>
        <v>4062818.0944299391</v>
      </c>
      <c r="G106" s="251">
        <f t="shared" si="38"/>
        <v>4184702.6372628375</v>
      </c>
      <c r="H106" s="251">
        <f t="shared" si="38"/>
        <v>4310243.7163807228</v>
      </c>
      <c r="I106" s="251">
        <f t="shared" si="38"/>
        <v>4439551.0278721452</v>
      </c>
      <c r="J106" s="251">
        <f t="shared" si="38"/>
        <v>4572737.5587083101</v>
      </c>
      <c r="K106" s="251">
        <f t="shared" si="38"/>
        <v>4709919.6854695594</v>
      </c>
      <c r="L106" s="251">
        <f t="shared" si="38"/>
        <v>4851217.2760336464</v>
      </c>
      <c r="M106" s="251">
        <f t="shared" si="38"/>
        <v>4996753.7943146564</v>
      </c>
      <c r="N106" s="251">
        <f t="shared" si="38"/>
        <v>5146656.4081440959</v>
      </c>
      <c r="O106" s="251">
        <f t="shared" si="38"/>
        <v>5301056.1003884189</v>
      </c>
      <c r="P106" s="251">
        <f t="shared" si="38"/>
        <v>5460087.7834000718</v>
      </c>
      <c r="Q106" s="251">
        <f t="shared" si="38"/>
        <v>5623890.4169020746</v>
      </c>
      <c r="R106" s="251">
        <f t="shared" si="38"/>
        <v>5792607.1294091372</v>
      </c>
      <c r="S106" s="251">
        <f t="shared" si="38"/>
        <v>5966385.3432914112</v>
      </c>
      <c r="T106" s="251">
        <f t="shared" si="38"/>
        <v>6145376.9035901539</v>
      </c>
    </row>
    <row r="107" spans="1:20" ht="15">
      <c r="A107" s="476"/>
      <c r="D107" s="69" t="s">
        <v>199</v>
      </c>
      <c r="E107" s="246">
        <f t="shared" ref="E107:T107" si="39">E$15*($G$67+$L$67)</f>
        <v>7888967.1736503663</v>
      </c>
      <c r="F107" s="251">
        <f t="shared" si="39"/>
        <v>8125636.1888598772</v>
      </c>
      <c r="G107" s="251">
        <f t="shared" si="39"/>
        <v>8369405.2745256731</v>
      </c>
      <c r="H107" s="251">
        <f t="shared" si="39"/>
        <v>8620487.4327614438</v>
      </c>
      <c r="I107" s="251">
        <f t="shared" si="39"/>
        <v>8879102.0557442885</v>
      </c>
      <c r="J107" s="251">
        <f t="shared" si="39"/>
        <v>9145475.1174166184</v>
      </c>
      <c r="K107" s="251">
        <f t="shared" si="39"/>
        <v>9419839.3709391169</v>
      </c>
      <c r="L107" s="251">
        <f t="shared" si="39"/>
        <v>9702434.552067291</v>
      </c>
      <c r="M107" s="251">
        <f t="shared" si="39"/>
        <v>9993507.588629311</v>
      </c>
      <c r="N107" s="251">
        <f t="shared" si="39"/>
        <v>10293312.816288192</v>
      </c>
      <c r="O107" s="251">
        <f t="shared" si="39"/>
        <v>10602112.200776838</v>
      </c>
      <c r="P107" s="251">
        <f t="shared" si="39"/>
        <v>10920175.566800144</v>
      </c>
      <c r="Q107" s="251">
        <f t="shared" si="39"/>
        <v>11247780.833804147</v>
      </c>
      <c r="R107" s="251">
        <f t="shared" si="39"/>
        <v>11585214.258818273</v>
      </c>
      <c r="S107" s="251">
        <f t="shared" si="39"/>
        <v>11932770.68658282</v>
      </c>
      <c r="T107" s="251">
        <f t="shared" si="39"/>
        <v>12290753.807180306</v>
      </c>
    </row>
    <row r="108" spans="1:20" ht="15">
      <c r="A108" s="476"/>
      <c r="E108" s="251"/>
    </row>
    <row r="109" spans="1:20" ht="15">
      <c r="A109" s="476"/>
      <c r="C109" s="69" t="s">
        <v>201</v>
      </c>
      <c r="E109" s="246">
        <f t="shared" ref="E109:T109" si="40">SUM(E110:E112)</f>
        <v>16899165.116926327</v>
      </c>
      <c r="F109" s="254">
        <f t="shared" si="40"/>
        <v>17507227.666827455</v>
      </c>
      <c r="G109" s="254">
        <f t="shared" si="40"/>
        <v>18141803.124315385</v>
      </c>
      <c r="H109" s="254">
        <f t="shared" si="40"/>
        <v>18804289.746780857</v>
      </c>
      <c r="I109" s="254">
        <f t="shared" si="40"/>
        <v>19496170.418207474</v>
      </c>
      <c r="J109" s="254">
        <f t="shared" si="40"/>
        <v>20219018.185049698</v>
      </c>
      <c r="K109" s="254">
        <f t="shared" si="40"/>
        <v>20974502.168173913</v>
      </c>
      <c r="L109" s="254">
        <f t="shared" si="40"/>
        <v>21764393.876847465</v>
      </c>
      <c r="M109" s="254">
        <f t="shared" si="40"/>
        <v>22590573.952569239</v>
      </c>
      <c r="N109" s="254">
        <f t="shared" si="40"/>
        <v>23455039.372470524</v>
      </c>
      <c r="O109" s="254">
        <f t="shared" si="40"/>
        <v>24359911.144085236</v>
      </c>
      <c r="P109" s="254">
        <f t="shared" si="40"/>
        <v>25307442.525503382</v>
      </c>
      <c r="Q109" s="254">
        <f t="shared" si="40"/>
        <v>26300027.807291418</v>
      </c>
      <c r="R109" s="254">
        <f t="shared" si="40"/>
        <v>27340211.695097957</v>
      </c>
      <c r="S109" s="254">
        <f t="shared" si="40"/>
        <v>28430699.334575959</v>
      </c>
      <c r="T109" s="254">
        <f t="shared" si="40"/>
        <v>29574367.023153909</v>
      </c>
    </row>
    <row r="110" spans="1:20" ht="15">
      <c r="A110" s="476"/>
      <c r="B110" s="245"/>
      <c r="D110" s="69" t="s">
        <v>202</v>
      </c>
      <c r="E110" s="246">
        <f t="shared" ref="E110:T110" si="41">E$19*($G$68+$L$68)</f>
        <v>2389798.684478859</v>
      </c>
      <c r="F110" s="251">
        <f t="shared" si="41"/>
        <v>2437594.6581684365</v>
      </c>
      <c r="G110" s="251">
        <f t="shared" si="41"/>
        <v>2486346.5513318051</v>
      </c>
      <c r="H110" s="251">
        <f t="shared" si="41"/>
        <v>2536073.4823584417</v>
      </c>
      <c r="I110" s="251">
        <f t="shared" si="41"/>
        <v>2586794.9520056103</v>
      </c>
      <c r="J110" s="251">
        <f t="shared" si="41"/>
        <v>2638530.8510457226</v>
      </c>
      <c r="K110" s="251">
        <f t="shared" si="41"/>
        <v>2691301.4680666374</v>
      </c>
      <c r="L110" s="251">
        <f t="shared" si="41"/>
        <v>2745127.4974279702</v>
      </c>
      <c r="M110" s="251">
        <f t="shared" si="41"/>
        <v>2800030.0473765298</v>
      </c>
      <c r="N110" s="251">
        <f t="shared" si="41"/>
        <v>2856030.6483240603</v>
      </c>
      <c r="O110" s="251">
        <f t="shared" si="41"/>
        <v>2913151.2612905419</v>
      </c>
      <c r="P110" s="251">
        <f t="shared" si="41"/>
        <v>2971414.2865163526</v>
      </c>
      <c r="Q110" s="251">
        <f t="shared" si="41"/>
        <v>3030842.5722466796</v>
      </c>
      <c r="R110" s="251">
        <f t="shared" si="41"/>
        <v>3091459.4236916131</v>
      </c>
      <c r="S110" s="251">
        <f t="shared" si="41"/>
        <v>3153288.6121654455</v>
      </c>
      <c r="T110" s="251">
        <f t="shared" si="41"/>
        <v>3216354.3844087548</v>
      </c>
    </row>
    <row r="111" spans="1:20" ht="15">
      <c r="A111" s="476"/>
      <c r="B111" s="245"/>
      <c r="D111" s="69" t="s">
        <v>203</v>
      </c>
      <c r="E111" s="246">
        <f t="shared" ref="E111:T111" si="42">E$20*($G$69+$L$69)</f>
        <v>11384726.851494409</v>
      </c>
      <c r="F111" s="251">
        <f t="shared" si="42"/>
        <v>11726268.657039242</v>
      </c>
      <c r="G111" s="251">
        <f t="shared" si="42"/>
        <v>12078056.716750421</v>
      </c>
      <c r="H111" s="251">
        <f t="shared" si="42"/>
        <v>12440398.418252934</v>
      </c>
      <c r="I111" s="251">
        <f t="shared" si="42"/>
        <v>12813610.370800521</v>
      </c>
      <c r="J111" s="251">
        <f t="shared" si="42"/>
        <v>13198018.681924539</v>
      </c>
      <c r="K111" s="251">
        <f t="shared" si="42"/>
        <v>13593959.242382275</v>
      </c>
      <c r="L111" s="251">
        <f t="shared" si="42"/>
        <v>14001778.019653745</v>
      </c>
      <c r="M111" s="251">
        <f t="shared" si="42"/>
        <v>14421831.360243356</v>
      </c>
      <c r="N111" s="251">
        <f t="shared" si="42"/>
        <v>14854486.301050657</v>
      </c>
      <c r="O111" s="251">
        <f t="shared" si="42"/>
        <v>15300120.890082177</v>
      </c>
      <c r="P111" s="251">
        <f t="shared" si="42"/>
        <v>15759124.51678464</v>
      </c>
      <c r="Q111" s="251">
        <f t="shared" si="42"/>
        <v>16231898.252288179</v>
      </c>
      <c r="R111" s="251">
        <f t="shared" si="42"/>
        <v>16718855.199856825</v>
      </c>
      <c r="S111" s="251">
        <f t="shared" si="42"/>
        <v>17220420.855852529</v>
      </c>
      <c r="T111" s="251">
        <f t="shared" si="42"/>
        <v>17737033.481528107</v>
      </c>
    </row>
    <row r="112" spans="1:20" ht="15">
      <c r="A112" s="476"/>
      <c r="B112" s="245"/>
      <c r="D112" s="69" t="s">
        <v>216</v>
      </c>
      <c r="E112" s="246">
        <f t="shared" ref="E112:T112" si="43">E$21*($G$70+$L$70)</f>
        <v>3124639.5809530606</v>
      </c>
      <c r="F112" s="251">
        <f t="shared" si="43"/>
        <v>3343364.3516197754</v>
      </c>
      <c r="G112" s="251">
        <f t="shared" si="43"/>
        <v>3577399.85623316</v>
      </c>
      <c r="H112" s="251">
        <f t="shared" si="43"/>
        <v>3827817.8461694811</v>
      </c>
      <c r="I112" s="251">
        <f t="shared" si="43"/>
        <v>4095765.0954013448</v>
      </c>
      <c r="J112" s="251">
        <f t="shared" si="43"/>
        <v>4382468.6520794388</v>
      </c>
      <c r="K112" s="251">
        <f t="shared" si="43"/>
        <v>4689241.4577249996</v>
      </c>
      <c r="L112" s="251">
        <f t="shared" si="43"/>
        <v>5017488.3597657504</v>
      </c>
      <c r="M112" s="251">
        <f t="shared" si="43"/>
        <v>5368712.5449493537</v>
      </c>
      <c r="N112" s="251">
        <f t="shared" si="43"/>
        <v>5744522.4230958084</v>
      </c>
      <c r="O112" s="251">
        <f t="shared" si="43"/>
        <v>6146638.9927125154</v>
      </c>
      <c r="P112" s="251">
        <f t="shared" si="43"/>
        <v>6576903.7222023923</v>
      </c>
      <c r="Q112" s="251">
        <f t="shared" si="43"/>
        <v>7037286.9827565597</v>
      </c>
      <c r="R112" s="251">
        <f t="shared" si="43"/>
        <v>7529897.0715495199</v>
      </c>
      <c r="S112" s="251">
        <f t="shared" si="43"/>
        <v>8056989.8665579865</v>
      </c>
      <c r="T112" s="251">
        <f t="shared" si="43"/>
        <v>8620979.1572170462</v>
      </c>
    </row>
    <row r="113" spans="1:20" ht="15">
      <c r="A113" s="476"/>
      <c r="C113" s="69" t="s">
        <v>204</v>
      </c>
      <c r="E113" s="251"/>
      <c r="F113" s="252">
        <f>F109/E109-1</f>
        <v>3.5981810089072752E-2</v>
      </c>
      <c r="G113" s="252">
        <f t="shared" ref="G113:T113" si="44">G109/F109-1</f>
        <v>3.6246484569930848E-2</v>
      </c>
      <c r="H113" s="252">
        <f t="shared" si="44"/>
        <v>3.6517132168496724E-2</v>
      </c>
      <c r="I113" s="252">
        <f t="shared" si="44"/>
        <v>3.6793767844651493E-2</v>
      </c>
      <c r="J113" s="252">
        <f t="shared" si="44"/>
        <v>3.7076397637925584E-2</v>
      </c>
      <c r="K113" s="252">
        <f t="shared" si="44"/>
        <v>3.7365018232331071E-2</v>
      </c>
      <c r="L113" s="252">
        <f t="shared" si="44"/>
        <v>3.7659616535362206E-2</v>
      </c>
      <c r="M113" s="252">
        <f t="shared" si="44"/>
        <v>3.7960169274488642E-2</v>
      </c>
      <c r="N113" s="252">
        <f t="shared" si="44"/>
        <v>3.8266642614583457E-2</v>
      </c>
      <c r="O113" s="252">
        <f t="shared" si="44"/>
        <v>3.8578991799807838E-2</v>
      </c>
      <c r="P113" s="252">
        <f t="shared" si="44"/>
        <v>3.8897160823520238E-2</v>
      </c>
      <c r="Q113" s="252">
        <f t="shared" si="44"/>
        <v>3.9221082129802909E-2</v>
      </c>
      <c r="R113" s="252">
        <f t="shared" si="44"/>
        <v>3.9550676350165626E-2</v>
      </c>
      <c r="S113" s="252">
        <f t="shared" si="44"/>
        <v>3.9885852078955342E-2</v>
      </c>
      <c r="T113" s="252">
        <f t="shared" si="44"/>
        <v>4.0226505690877712E-2</v>
      </c>
    </row>
    <row r="114" spans="1:20" ht="15">
      <c r="A114" s="476"/>
      <c r="E114" s="251"/>
      <c r="F114" s="252"/>
      <c r="G114" s="252"/>
      <c r="H114" s="252"/>
      <c r="I114" s="252"/>
      <c r="J114" s="252"/>
      <c r="K114" s="252"/>
      <c r="L114" s="252"/>
      <c r="M114" s="252"/>
      <c r="N114" s="252"/>
      <c r="O114" s="252"/>
      <c r="P114" s="252"/>
      <c r="Q114" s="252"/>
      <c r="R114" s="252"/>
      <c r="S114" s="252"/>
      <c r="T114" s="252"/>
    </row>
    <row r="115" spans="1:20" ht="15">
      <c r="A115" s="476"/>
      <c r="C115" s="255" t="s">
        <v>239</v>
      </c>
      <c r="D115" s="255"/>
      <c r="E115" s="246">
        <f>E105+E109</f>
        <v>28732615.877401877</v>
      </c>
      <c r="F115" s="257">
        <f>F105+F109</f>
        <v>29695681.950117271</v>
      </c>
      <c r="G115" s="257">
        <f t="shared" ref="G115:T115" si="45">G105+G109</f>
        <v>30695911.036103897</v>
      </c>
      <c r="H115" s="257">
        <f t="shared" si="45"/>
        <v>31735020.895923026</v>
      </c>
      <c r="I115" s="257">
        <f t="shared" si="45"/>
        <v>32814823.50182391</v>
      </c>
      <c r="J115" s="257">
        <f t="shared" si="45"/>
        <v>33937230.861174628</v>
      </c>
      <c r="K115" s="257">
        <f t="shared" si="45"/>
        <v>35104261.22458259</v>
      </c>
      <c r="L115" s="257">
        <f t="shared" si="45"/>
        <v>36318045.704948403</v>
      </c>
      <c r="M115" s="257">
        <f t="shared" si="45"/>
        <v>37580835.335513204</v>
      </c>
      <c r="N115" s="257">
        <f t="shared" si="45"/>
        <v>38895008.59690281</v>
      </c>
      <c r="O115" s="257">
        <f t="shared" si="45"/>
        <v>40263079.445250496</v>
      </c>
      <c r="P115" s="257">
        <f t="shared" si="45"/>
        <v>41687705.875703596</v>
      </c>
      <c r="Q115" s="257">
        <f t="shared" si="45"/>
        <v>43171699.057997644</v>
      </c>
      <c r="R115" s="257">
        <f t="shared" si="45"/>
        <v>44718033.083325371</v>
      </c>
      <c r="S115" s="257">
        <f t="shared" si="45"/>
        <v>46329855.364450186</v>
      </c>
      <c r="T115" s="257">
        <f t="shared" si="45"/>
        <v>48010497.733924367</v>
      </c>
    </row>
    <row r="116" spans="1:20" ht="15">
      <c r="A116" s="476"/>
      <c r="B116" s="505"/>
      <c r="C116" s="243"/>
      <c r="D116" s="243" t="s">
        <v>205</v>
      </c>
      <c r="E116" s="259"/>
      <c r="F116" s="260">
        <f t="shared" ref="F116:T116" si="46">F115/E115-1</f>
        <v>3.3518217652881432E-2</v>
      </c>
      <c r="G116" s="260">
        <f t="shared" si="46"/>
        <v>3.3682644084982005E-2</v>
      </c>
      <c r="H116" s="260">
        <f t="shared" si="46"/>
        <v>3.3851735450918907E-2</v>
      </c>
      <c r="I116" s="260">
        <f t="shared" si="46"/>
        <v>3.4025583579798679E-2</v>
      </c>
      <c r="J116" s="260">
        <f t="shared" si="46"/>
        <v>3.4204278419730949E-2</v>
      </c>
      <c r="K116" s="260">
        <f t="shared" si="46"/>
        <v>3.4387907728296252E-2</v>
      </c>
      <c r="L116" s="260">
        <f t="shared" si="46"/>
        <v>3.4576556749065901E-2</v>
      </c>
      <c r="M116" s="260">
        <f t="shared" si="46"/>
        <v>3.4770307874598672E-2</v>
      </c>
      <c r="N116" s="260">
        <f t="shared" si="46"/>
        <v>3.4969240296469195E-2</v>
      </c>
      <c r="O116" s="260">
        <f t="shared" si="46"/>
        <v>3.5173429643016618E-2</v>
      </c>
      <c r="P116" s="260">
        <f t="shared" si="46"/>
        <v>3.5382947605641979E-2</v>
      </c>
      <c r="Q116" s="260">
        <f t="shared" si="46"/>
        <v>3.5597861554644838E-2</v>
      </c>
      <c r="R116" s="260">
        <f t="shared" si="46"/>
        <v>3.5818234145715611E-2</v>
      </c>
      <c r="S116" s="260">
        <f t="shared" si="46"/>
        <v>3.6044122918408084E-2</v>
      </c>
      <c r="T116" s="260">
        <f t="shared" si="46"/>
        <v>3.6275579888034093E-2</v>
      </c>
    </row>
    <row r="117" spans="1:20">
      <c r="C117" s="103"/>
      <c r="D117" s="103"/>
      <c r="E117" s="257"/>
    </row>
    <row r="118" spans="1:20">
      <c r="C118" s="103"/>
      <c r="D118" s="103"/>
      <c r="E118" s="257"/>
    </row>
    <row r="119" spans="1:20" ht="15.75">
      <c r="B119" s="281" t="s">
        <v>241</v>
      </c>
      <c r="C119" s="282"/>
      <c r="D119" s="282"/>
      <c r="E119" s="282"/>
      <c r="F119" s="282"/>
      <c r="G119" s="282"/>
      <c r="H119" s="282"/>
      <c r="I119" s="282"/>
      <c r="J119" s="282"/>
      <c r="K119" s="282"/>
      <c r="L119" s="282"/>
      <c r="M119" s="282"/>
      <c r="N119" s="282"/>
      <c r="O119" s="282"/>
      <c r="P119" s="282"/>
      <c r="Q119" s="282"/>
      <c r="R119" s="282"/>
      <c r="S119" s="282"/>
      <c r="T119" s="282"/>
    </row>
    <row r="120" spans="1:20">
      <c r="B120" s="283">
        <v>0.03</v>
      </c>
      <c r="C120" s="284" t="s">
        <v>242</v>
      </c>
      <c r="D120" s="284"/>
      <c r="E120" s="285">
        <f>1+$B120</f>
        <v>1.03</v>
      </c>
      <c r="F120" s="286">
        <f t="shared" ref="F120:T120" si="47">E120*(1+$B120)</f>
        <v>1.0609</v>
      </c>
      <c r="G120" s="286">
        <f t="shared" si="47"/>
        <v>1.092727</v>
      </c>
      <c r="H120" s="286">
        <f t="shared" si="47"/>
        <v>1.1255088100000001</v>
      </c>
      <c r="I120" s="286">
        <f t="shared" si="47"/>
        <v>1.1592740743000001</v>
      </c>
      <c r="J120" s="286">
        <f t="shared" si="47"/>
        <v>1.1940522965290001</v>
      </c>
      <c r="K120" s="286">
        <f t="shared" si="47"/>
        <v>1.2298738654248702</v>
      </c>
      <c r="L120" s="286">
        <f t="shared" si="47"/>
        <v>1.2667700813876164</v>
      </c>
      <c r="M120" s="286">
        <f t="shared" si="47"/>
        <v>1.3047731838292449</v>
      </c>
      <c r="N120" s="286">
        <f t="shared" si="47"/>
        <v>1.3439163793441222</v>
      </c>
      <c r="O120" s="286">
        <f t="shared" si="47"/>
        <v>1.3842338707244459</v>
      </c>
      <c r="P120" s="286">
        <f t="shared" si="47"/>
        <v>1.4257608868461793</v>
      </c>
      <c r="Q120" s="286">
        <f t="shared" si="47"/>
        <v>1.4685337134515648</v>
      </c>
      <c r="R120" s="286">
        <f t="shared" si="47"/>
        <v>1.5125897248551119</v>
      </c>
      <c r="S120" s="286">
        <f t="shared" si="47"/>
        <v>1.5579674166007653</v>
      </c>
      <c r="T120" s="286">
        <f t="shared" si="47"/>
        <v>1.6047064390987884</v>
      </c>
    </row>
    <row r="121" spans="1:20">
      <c r="B121" s="69" t="s">
        <v>243</v>
      </c>
    </row>
    <row r="122" spans="1:20">
      <c r="C122" s="69" t="s">
        <v>244</v>
      </c>
    </row>
    <row r="123" spans="1:20">
      <c r="C123" s="69" t="s">
        <v>245</v>
      </c>
    </row>
    <row r="125" spans="1:20" ht="15.75">
      <c r="B125" s="287"/>
      <c r="C125" s="288" t="s">
        <v>246</v>
      </c>
      <c r="D125" s="287"/>
      <c r="E125" s="287"/>
      <c r="F125" s="287"/>
      <c r="G125" s="287"/>
      <c r="H125" s="287"/>
      <c r="I125" s="287"/>
      <c r="J125" s="287"/>
      <c r="K125" s="287"/>
      <c r="L125" s="287"/>
      <c r="M125" s="287"/>
      <c r="N125" s="287"/>
      <c r="O125" s="287"/>
      <c r="P125" s="287"/>
      <c r="Q125" s="287"/>
      <c r="R125" s="287"/>
      <c r="S125" s="287"/>
      <c r="T125" s="287"/>
    </row>
    <row r="126" spans="1:20">
      <c r="G126" s="255" t="s">
        <v>247</v>
      </c>
    </row>
    <row r="127" spans="1:20">
      <c r="C127" s="243" t="s">
        <v>248</v>
      </c>
      <c r="D127" s="243"/>
      <c r="E127" s="243"/>
      <c r="F127" s="255"/>
      <c r="G127" s="243" t="s">
        <v>249</v>
      </c>
      <c r="H127" s="255"/>
      <c r="I127" s="243" t="s">
        <v>250</v>
      </c>
      <c r="J127" s="255"/>
      <c r="K127" s="243" t="s">
        <v>251</v>
      </c>
      <c r="M127" s="255"/>
    </row>
    <row r="128" spans="1:20" ht="15">
      <c r="D128" s="69" t="s">
        <v>252</v>
      </c>
      <c r="E128" s="262">
        <v>614</v>
      </c>
      <c r="G128" s="274">
        <f>'Insulation Health'!C21</f>
        <v>2.7666666666666666</v>
      </c>
      <c r="I128" s="274">
        <v>4.3</v>
      </c>
      <c r="K128" s="289">
        <v>200133</v>
      </c>
    </row>
    <row r="129" spans="2:20" ht="15">
      <c r="D129" s="69" t="s">
        <v>80</v>
      </c>
      <c r="E129" s="262">
        <v>379</v>
      </c>
      <c r="G129" s="274">
        <f>'Insulation Health'!D21</f>
        <v>2.3666666666666667</v>
      </c>
      <c r="I129" s="274">
        <v>3.5666666666666669</v>
      </c>
      <c r="K129" s="289">
        <v>64042</v>
      </c>
    </row>
    <row r="130" spans="2:20" ht="15">
      <c r="C130" s="255"/>
      <c r="D130" s="255" t="s">
        <v>253</v>
      </c>
      <c r="E130" s="290">
        <v>735</v>
      </c>
      <c r="F130" s="255"/>
      <c r="G130" s="291">
        <f>'Insulation Health'!E21</f>
        <v>5.5</v>
      </c>
      <c r="I130" s="274">
        <v>8.1666666666666661</v>
      </c>
      <c r="K130" s="289">
        <v>800</v>
      </c>
    </row>
    <row r="131" spans="2:20" ht="15">
      <c r="C131" s="243"/>
      <c r="D131" s="243" t="s">
        <v>254</v>
      </c>
      <c r="E131" s="292">
        <v>448</v>
      </c>
      <c r="F131" s="255"/>
      <c r="G131" s="276">
        <f>'Insulation Health'!F21</f>
        <v>3.4</v>
      </c>
      <c r="H131" s="255"/>
      <c r="I131" s="276">
        <v>5.0333333333333332</v>
      </c>
      <c r="J131" s="255"/>
      <c r="K131" s="277">
        <v>1300</v>
      </c>
      <c r="M131" s="255"/>
    </row>
    <row r="132" spans="2:20">
      <c r="B132" s="293" t="s">
        <v>255</v>
      </c>
      <c r="C132" s="255"/>
      <c r="D132" s="255"/>
      <c r="E132" s="264"/>
      <c r="F132" s="255"/>
      <c r="G132" s="255"/>
      <c r="H132" s="294"/>
    </row>
    <row r="133" spans="2:20">
      <c r="B133" s="293" t="s">
        <v>521</v>
      </c>
      <c r="C133" s="255"/>
      <c r="D133" s="255"/>
      <c r="E133" s="264"/>
      <c r="F133" s="255"/>
      <c r="G133" s="255"/>
      <c r="H133" s="294"/>
    </row>
    <row r="134" spans="2:20">
      <c r="B134" s="69" t="s">
        <v>256</v>
      </c>
      <c r="C134" s="255"/>
      <c r="D134" s="255"/>
      <c r="E134" s="264"/>
      <c r="F134" s="255"/>
      <c r="G134" s="255"/>
      <c r="H134" s="294"/>
    </row>
    <row r="135" spans="2:20">
      <c r="C135" s="255" t="s">
        <v>257</v>
      </c>
      <c r="D135" s="255"/>
      <c r="E135" s="264"/>
      <c r="F135" s="255"/>
      <c r="G135" s="255"/>
      <c r="H135" s="294"/>
    </row>
    <row r="136" spans="2:20">
      <c r="C136" s="255" t="s">
        <v>258</v>
      </c>
      <c r="D136" s="255"/>
      <c r="E136" s="264"/>
      <c r="F136" s="255"/>
      <c r="G136" s="255"/>
      <c r="H136" s="294"/>
    </row>
    <row r="137" spans="2:20">
      <c r="C137" s="69" t="s">
        <v>259</v>
      </c>
      <c r="D137" s="255"/>
      <c r="E137" s="264"/>
      <c r="F137" s="255"/>
      <c r="G137" s="255"/>
      <c r="H137" s="294"/>
    </row>
    <row r="138" spans="2:20">
      <c r="B138" s="69" t="s">
        <v>260</v>
      </c>
      <c r="C138" s="255"/>
      <c r="D138" s="255"/>
      <c r="E138" s="264"/>
      <c r="F138" s="255"/>
      <c r="G138" s="255"/>
      <c r="H138" s="294"/>
    </row>
    <row r="139" spans="2:20">
      <c r="C139" s="69" t="s">
        <v>261</v>
      </c>
      <c r="D139" s="255"/>
      <c r="E139" s="264"/>
      <c r="F139" s="255"/>
      <c r="G139" s="255"/>
      <c r="H139" s="294"/>
    </row>
    <row r="141" spans="2:20">
      <c r="B141" s="243"/>
      <c r="C141" s="243"/>
      <c r="D141" s="243"/>
      <c r="E141" s="243">
        <v>2008</v>
      </c>
      <c r="F141" s="244">
        <v>2009</v>
      </c>
      <c r="G141" s="244">
        <v>2010</v>
      </c>
      <c r="H141" s="244">
        <v>2011</v>
      </c>
      <c r="I141" s="244">
        <v>2012</v>
      </c>
      <c r="J141" s="244">
        <v>2013</v>
      </c>
      <c r="K141" s="69">
        <v>2014</v>
      </c>
      <c r="L141" s="69">
        <v>2015</v>
      </c>
      <c r="M141" s="69">
        <v>2016</v>
      </c>
      <c r="N141" s="69">
        <v>2017</v>
      </c>
      <c r="O141" s="69">
        <v>2018</v>
      </c>
      <c r="P141" s="69">
        <v>2019</v>
      </c>
      <c r="Q141" s="69">
        <v>2020</v>
      </c>
      <c r="R141" s="69">
        <v>2021</v>
      </c>
      <c r="S141" s="69">
        <v>2022</v>
      </c>
      <c r="T141" s="69">
        <v>2023</v>
      </c>
    </row>
    <row r="142" spans="2:20" ht="15">
      <c r="B142" s="248">
        <v>0.03</v>
      </c>
      <c r="C142" s="69" t="s">
        <v>262</v>
      </c>
      <c r="E142" s="295">
        <f>1+$B142</f>
        <v>1.03</v>
      </c>
      <c r="F142" s="296">
        <f>E142*(1+$B142)</f>
        <v>1.0609</v>
      </c>
      <c r="G142" s="296">
        <f t="shared" ref="G142:T142" si="48">F142*(1+$B142)</f>
        <v>1.092727</v>
      </c>
      <c r="H142" s="296">
        <f t="shared" si="48"/>
        <v>1.1255088100000001</v>
      </c>
      <c r="I142" s="296">
        <f t="shared" si="48"/>
        <v>1.1592740743000001</v>
      </c>
      <c r="J142" s="296">
        <f t="shared" si="48"/>
        <v>1.1940522965290001</v>
      </c>
      <c r="K142" s="296">
        <f t="shared" si="48"/>
        <v>1.2298738654248702</v>
      </c>
      <c r="L142" s="296">
        <f t="shared" si="48"/>
        <v>1.2667700813876164</v>
      </c>
      <c r="M142" s="296">
        <f t="shared" si="48"/>
        <v>1.3047731838292449</v>
      </c>
      <c r="N142" s="296">
        <f t="shared" si="48"/>
        <v>1.3439163793441222</v>
      </c>
      <c r="O142" s="296">
        <f t="shared" si="48"/>
        <v>1.3842338707244459</v>
      </c>
      <c r="P142" s="296">
        <f t="shared" si="48"/>
        <v>1.4257608868461793</v>
      </c>
      <c r="Q142" s="296">
        <f t="shared" si="48"/>
        <v>1.4685337134515648</v>
      </c>
      <c r="R142" s="296">
        <f t="shared" si="48"/>
        <v>1.5125897248551119</v>
      </c>
      <c r="S142" s="296">
        <f t="shared" si="48"/>
        <v>1.5579674166007653</v>
      </c>
      <c r="T142" s="296">
        <f t="shared" si="48"/>
        <v>1.6047064390987884</v>
      </c>
    </row>
    <row r="143" spans="2:20">
      <c r="C143" s="69" t="s">
        <v>263</v>
      </c>
    </row>
    <row r="144" spans="2:20">
      <c r="D144" s="69" t="s">
        <v>252</v>
      </c>
      <c r="E144" s="254">
        <f t="shared" ref="E144:T144" si="49">E$142*($E128+100*(E$120-1)*$I128)</f>
        <v>645.70699999999999</v>
      </c>
      <c r="F144" s="254">
        <f t="shared" si="49"/>
        <v>679.17438830000003</v>
      </c>
      <c r="G144" s="254">
        <f t="shared" si="49"/>
        <v>714.50425550747002</v>
      </c>
      <c r="H144" s="254">
        <f t="shared" si="49"/>
        <v>751.80475603667503</v>
      </c>
      <c r="I144" s="254">
        <f t="shared" si="49"/>
        <v>791.19047278917253</v>
      </c>
      <c r="J144" s="254">
        <f t="shared" si="49"/>
        <v>832.78280390519319</v>
      </c>
      <c r="K144" s="254">
        <f t="shared" si="49"/>
        <v>876.71037292587414</v>
      </c>
      <c r="L144" s="254">
        <f t="shared" si="49"/>
        <v>923.10946378780034</v>
      </c>
      <c r="M144" s="254">
        <f t="shared" si="49"/>
        <v>972.12448215773998</v>
      </c>
      <c r="N144" s="254">
        <f t="shared" si="49"/>
        <v>1023.9084447071668</v>
      </c>
      <c r="O144" s="254">
        <f t="shared" si="49"/>
        <v>1078.6234980234344</v>
      </c>
      <c r="P144" s="254">
        <f t="shared" si="49"/>
        <v>1136.4414689576706</v>
      </c>
      <c r="Q144" s="254">
        <f t="shared" si="49"/>
        <v>1197.5444483189403</v>
      </c>
      <c r="R144" s="254">
        <f t="shared" si="49"/>
        <v>1262.1254099403636</v>
      </c>
      <c r="S144" s="254">
        <f t="shared" si="49"/>
        <v>1330.3888672660958</v>
      </c>
      <c r="T144" s="254">
        <f t="shared" si="49"/>
        <v>1402.5515697387757</v>
      </c>
    </row>
    <row r="145" spans="2:20">
      <c r="D145" s="69" t="s">
        <v>80</v>
      </c>
      <c r="E145" s="254">
        <f t="shared" ref="E145:T145" si="50">E$142*($E129+100*(E$120-1)*$I129)</f>
        <v>401.39100000000002</v>
      </c>
      <c r="F145" s="254">
        <f t="shared" si="50"/>
        <v>425.12490889999998</v>
      </c>
      <c r="G145" s="254">
        <f t="shared" si="50"/>
        <v>450.28288876201003</v>
      </c>
      <c r="H145" s="254">
        <f t="shared" si="50"/>
        <v>476.95102578491651</v>
      </c>
      <c r="I145" s="254">
        <f t="shared" si="50"/>
        <v>505.22062962543691</v>
      </c>
      <c r="J145" s="254">
        <f t="shared" si="50"/>
        <v>535.18855093095158</v>
      </c>
      <c r="K145" s="254">
        <f t="shared" si="50"/>
        <v>566.9575181928119</v>
      </c>
      <c r="L145" s="254">
        <f t="shared" si="50"/>
        <v>600.63649509622462</v>
      </c>
      <c r="M145" s="254">
        <f t="shared" si="50"/>
        <v>636.34105961441901</v>
      </c>
      <c r="N145" s="254">
        <f t="shared" si="50"/>
        <v>674.19380617077661</v>
      </c>
      <c r="O145" s="254">
        <f t="shared" si="50"/>
        <v>714.32477227319157</v>
      </c>
      <c r="P145" s="254">
        <f t="shared" si="50"/>
        <v>756.87189111044199</v>
      </c>
      <c r="Q145" s="254">
        <f t="shared" si="50"/>
        <v>801.9814716910555</v>
      </c>
      <c r="R145" s="254">
        <f t="shared" si="50"/>
        <v>849.80870820138807</v>
      </c>
      <c r="S145" s="254">
        <f t="shared" si="50"/>
        <v>900.51822036173019</v>
      </c>
      <c r="T145" s="254">
        <f t="shared" si="50"/>
        <v>954.28462666756343</v>
      </c>
    </row>
    <row r="146" spans="2:20">
      <c r="D146" s="69" t="s">
        <v>253</v>
      </c>
      <c r="E146" s="254">
        <f t="shared" ref="E146:T146" si="51">E$142*($E130+100*(E$120-1)*$I130)</f>
        <v>782.28499999999997</v>
      </c>
      <c r="F146" s="254">
        <f t="shared" si="51"/>
        <v>832.5253614999998</v>
      </c>
      <c r="G146" s="254">
        <f t="shared" si="51"/>
        <v>885.90333716534997</v>
      </c>
      <c r="H146" s="254">
        <f t="shared" si="51"/>
        <v>942.61234698322005</v>
      </c>
      <c r="I146" s="254">
        <f t="shared" si="51"/>
        <v>1002.857660396533</v>
      </c>
      <c r="J146" s="254">
        <f t="shared" si="51"/>
        <v>1066.8571200411782</v>
      </c>
      <c r="K146" s="254">
        <f t="shared" si="51"/>
        <v>1134.8419096219768</v>
      </c>
      <c r="L146" s="254">
        <f t="shared" si="51"/>
        <v>1207.057368617355</v>
      </c>
      <c r="M146" s="254">
        <f t="shared" si="51"/>
        <v>1283.7638566665337</v>
      </c>
      <c r="N146" s="254">
        <f t="shared" si="51"/>
        <v>1365.2376706669186</v>
      </c>
      <c r="O146" s="254">
        <f t="shared" si="51"/>
        <v>1451.7720177938088</v>
      </c>
      <c r="P146" s="254">
        <f t="shared" si="51"/>
        <v>1543.6780478502249</v>
      </c>
      <c r="Q146" s="254">
        <f t="shared" si="51"/>
        <v>1641.2859485622603</v>
      </c>
      <c r="R146" s="254">
        <f t="shared" si="51"/>
        <v>1744.9461076555974</v>
      </c>
      <c r="S146" s="254">
        <f t="shared" si="51"/>
        <v>1855.0303457824955</v>
      </c>
      <c r="T146" s="254">
        <f t="shared" si="51"/>
        <v>1971.9332246164415</v>
      </c>
    </row>
    <row r="147" spans="2:20">
      <c r="C147" s="255"/>
      <c r="D147" s="255" t="s">
        <v>254</v>
      </c>
      <c r="E147" s="254">
        <f t="shared" ref="E147:T147" si="52">E$142*($E131+100*(E$120-1)*$I131)</f>
        <v>476.99300000000005</v>
      </c>
      <c r="F147" s="254">
        <f t="shared" si="52"/>
        <v>507.80296769999995</v>
      </c>
      <c r="G147" s="254">
        <f t="shared" si="52"/>
        <v>540.54209525293004</v>
      </c>
      <c r="H147" s="254">
        <f t="shared" si="52"/>
        <v>575.32945347843361</v>
      </c>
      <c r="I147" s="254">
        <f t="shared" si="52"/>
        <v>612.29141215860807</v>
      </c>
      <c r="J147" s="254">
        <f t="shared" si="52"/>
        <v>651.56208597130558</v>
      </c>
      <c r="K147" s="254">
        <f t="shared" si="52"/>
        <v>693.28380762356346</v>
      </c>
      <c r="L147" s="254">
        <f t="shared" si="52"/>
        <v>737.60762984294183</v>
      </c>
      <c r="M147" s="254">
        <f t="shared" si="52"/>
        <v>784.69385798553367</v>
      </c>
      <c r="N147" s="254">
        <f t="shared" si="52"/>
        <v>834.71261512656395</v>
      </c>
      <c r="O147" s="254">
        <f t="shared" si="52"/>
        <v>887.84444161317435</v>
      </c>
      <c r="P147" s="254">
        <f t="shared" si="52"/>
        <v>944.28093117958122</v>
      </c>
      <c r="Q147" s="254">
        <f t="shared" si="52"/>
        <v>1004.2254058527476</v>
      </c>
      <c r="R147" s="254">
        <f t="shared" si="52"/>
        <v>1067.8936320124396</v>
      </c>
      <c r="S147" s="254">
        <f t="shared" si="52"/>
        <v>1135.5145801135545</v>
      </c>
      <c r="T147" s="254">
        <f t="shared" si="52"/>
        <v>1207.331230731374</v>
      </c>
    </row>
    <row r="148" spans="2:20">
      <c r="C148" s="69" t="s">
        <v>264</v>
      </c>
    </row>
    <row r="149" spans="2:20">
      <c r="D149" s="69" t="s">
        <v>252</v>
      </c>
      <c r="E149" s="297">
        <f t="shared" ref="E149:T149" si="53">E144*$K128/1000000</f>
        <v>129.22727903099999</v>
      </c>
      <c r="F149" s="297">
        <f t="shared" si="53"/>
        <v>135.92520785364388</v>
      </c>
      <c r="G149" s="297">
        <f t="shared" si="53"/>
        <v>142.99588016747651</v>
      </c>
      <c r="H149" s="297">
        <f t="shared" si="53"/>
        <v>150.46094123988789</v>
      </c>
      <c r="I149" s="297">
        <f t="shared" si="53"/>
        <v>158.34332289071548</v>
      </c>
      <c r="J149" s="297">
        <f t="shared" si="53"/>
        <v>166.66732089395802</v>
      </c>
      <c r="K149" s="297">
        <f t="shared" si="53"/>
        <v>175.45867706477398</v>
      </c>
      <c r="L149" s="297">
        <f t="shared" si="53"/>
        <v>184.74466631624387</v>
      </c>
      <c r="M149" s="297">
        <f t="shared" si="53"/>
        <v>194.55418898767499</v>
      </c>
      <c r="N149" s="297">
        <f t="shared" si="53"/>
        <v>204.91786876457942</v>
      </c>
      <c r="O149" s="297">
        <f t="shared" si="53"/>
        <v>215.86815652992399</v>
      </c>
      <c r="P149" s="297">
        <f t="shared" si="53"/>
        <v>227.4394405069055</v>
      </c>
      <c r="Q149" s="297">
        <f t="shared" si="53"/>
        <v>239.66816307541447</v>
      </c>
      <c r="R149" s="297">
        <f t="shared" si="53"/>
        <v>252.59294466759479</v>
      </c>
      <c r="S149" s="297">
        <f t="shared" si="53"/>
        <v>266.25471517256557</v>
      </c>
      <c r="T149" s="297">
        <f t="shared" si="53"/>
        <v>280.69685330653044</v>
      </c>
    </row>
    <row r="150" spans="2:20">
      <c r="D150" s="69" t="s">
        <v>80</v>
      </c>
      <c r="E150" s="297">
        <f t="shared" ref="E150:T150" si="54">E145*$K129/1000000</f>
        <v>25.705882422000002</v>
      </c>
      <c r="F150" s="297">
        <f t="shared" si="54"/>
        <v>27.225849415773798</v>
      </c>
      <c r="G150" s="297">
        <f t="shared" si="54"/>
        <v>28.837016762096646</v>
      </c>
      <c r="H150" s="297">
        <f t="shared" si="54"/>
        <v>30.544897593317625</v>
      </c>
      <c r="I150" s="297">
        <f t="shared" si="54"/>
        <v>32.355339562472231</v>
      </c>
      <c r="J150" s="297">
        <f t="shared" si="54"/>
        <v>34.274545178719997</v>
      </c>
      <c r="K150" s="297">
        <f t="shared" si="54"/>
        <v>36.309093380104059</v>
      </c>
      <c r="L150" s="297">
        <f t="shared" si="54"/>
        <v>38.465962418952422</v>
      </c>
      <c r="M150" s="297">
        <f t="shared" si="54"/>
        <v>40.752554139826628</v>
      </c>
      <c r="N150" s="297">
        <f t="shared" si="54"/>
        <v>43.176719734788875</v>
      </c>
      <c r="O150" s="297">
        <f t="shared" si="54"/>
        <v>45.746787065919733</v>
      </c>
      <c r="P150" s="297">
        <f t="shared" si="54"/>
        <v>48.471589650494927</v>
      </c>
      <c r="Q150" s="297">
        <f t="shared" si="54"/>
        <v>51.360497410038576</v>
      </c>
      <c r="R150" s="297">
        <f t="shared" si="54"/>
        <v>54.4234492906333</v>
      </c>
      <c r="S150" s="297">
        <f t="shared" si="54"/>
        <v>57.670987868405923</v>
      </c>
      <c r="T150" s="297">
        <f t="shared" si="54"/>
        <v>61.114296061044094</v>
      </c>
    </row>
    <row r="151" spans="2:20">
      <c r="D151" s="69" t="s">
        <v>253</v>
      </c>
      <c r="E151" s="297">
        <f t="shared" ref="E151:T151" si="55">E146*$K130/1000000</f>
        <v>0.62582800000000005</v>
      </c>
      <c r="F151" s="297">
        <f t="shared" si="55"/>
        <v>0.66602028919999989</v>
      </c>
      <c r="G151" s="297">
        <f t="shared" si="55"/>
        <v>0.70872266973227993</v>
      </c>
      <c r="H151" s="297">
        <f t="shared" si="55"/>
        <v>0.75408987758657609</v>
      </c>
      <c r="I151" s="297">
        <f t="shared" si="55"/>
        <v>0.80228612831722645</v>
      </c>
      <c r="J151" s="297">
        <f t="shared" si="55"/>
        <v>0.85348569603294255</v>
      </c>
      <c r="K151" s="297">
        <f t="shared" si="55"/>
        <v>0.90787352769758145</v>
      </c>
      <c r="L151" s="297">
        <f t="shared" si="55"/>
        <v>0.96564589489388397</v>
      </c>
      <c r="M151" s="297">
        <f t="shared" si="55"/>
        <v>1.027011085333227</v>
      </c>
      <c r="N151" s="297">
        <f t="shared" si="55"/>
        <v>1.0921901365335349</v>
      </c>
      <c r="O151" s="297">
        <f t="shared" si="55"/>
        <v>1.161417614235047</v>
      </c>
      <c r="P151" s="297">
        <f t="shared" si="55"/>
        <v>1.2349424382801799</v>
      </c>
      <c r="Q151" s="297">
        <f t="shared" si="55"/>
        <v>1.3130287588498082</v>
      </c>
      <c r="R151" s="297">
        <f t="shared" si="55"/>
        <v>1.395956886124478</v>
      </c>
      <c r="S151" s="297">
        <f t="shared" si="55"/>
        <v>1.4840242766259966</v>
      </c>
      <c r="T151" s="297">
        <f t="shared" si="55"/>
        <v>1.5775465796931534</v>
      </c>
    </row>
    <row r="152" spans="2:20">
      <c r="C152" s="255"/>
      <c r="D152" s="255" t="s">
        <v>254</v>
      </c>
      <c r="E152" s="298">
        <f t="shared" ref="E152:T152" si="56">E147*$K131/1000000</f>
        <v>0.6200909</v>
      </c>
      <c r="F152" s="298">
        <f t="shared" si="56"/>
        <v>0.66014385800999997</v>
      </c>
      <c r="G152" s="298">
        <f t="shared" si="56"/>
        <v>0.70270472382880911</v>
      </c>
      <c r="H152" s="298">
        <f t="shared" si="56"/>
        <v>0.74792828952196366</v>
      </c>
      <c r="I152" s="298">
        <f t="shared" si="56"/>
        <v>0.79597883580619055</v>
      </c>
      <c r="J152" s="298">
        <f t="shared" si="56"/>
        <v>0.84703071176269717</v>
      </c>
      <c r="K152" s="298">
        <f t="shared" si="56"/>
        <v>0.90126894991063244</v>
      </c>
      <c r="L152" s="298">
        <f t="shared" si="56"/>
        <v>0.95888991879582441</v>
      </c>
      <c r="M152" s="298">
        <f t="shared" si="56"/>
        <v>1.0201020153811937</v>
      </c>
      <c r="N152" s="298">
        <f t="shared" si="56"/>
        <v>1.0851263996645331</v>
      </c>
      <c r="O152" s="298">
        <f t="shared" si="56"/>
        <v>1.1541977740971268</v>
      </c>
      <c r="P152" s="298">
        <f t="shared" si="56"/>
        <v>1.2275652105334556</v>
      </c>
      <c r="Q152" s="298">
        <f t="shared" si="56"/>
        <v>1.3054930276085719</v>
      </c>
      <c r="R152" s="298">
        <f t="shared" si="56"/>
        <v>1.3882617216161715</v>
      </c>
      <c r="S152" s="298">
        <f t="shared" si="56"/>
        <v>1.4761689541476208</v>
      </c>
      <c r="T152" s="298">
        <f t="shared" si="56"/>
        <v>1.5695305999507863</v>
      </c>
    </row>
    <row r="153" spans="2:20">
      <c r="B153" s="243"/>
      <c r="C153" s="243"/>
      <c r="D153" s="271" t="s">
        <v>16</v>
      </c>
      <c r="E153" s="299">
        <f>SUM(E149:E152)</f>
        <v>156.17908035300002</v>
      </c>
      <c r="F153" s="299">
        <f t="shared" ref="F153:P153" si="57">SUM(F149:F152)</f>
        <v>164.47722141662769</v>
      </c>
      <c r="G153" s="299">
        <f t="shared" si="57"/>
        <v>173.24432432313426</v>
      </c>
      <c r="H153" s="299">
        <f t="shared" si="57"/>
        <v>182.50785700031403</v>
      </c>
      <c r="I153" s="299">
        <f t="shared" si="57"/>
        <v>192.29692741731114</v>
      </c>
      <c r="J153" s="299">
        <f t="shared" si="57"/>
        <v>202.64238248047366</v>
      </c>
      <c r="K153" s="298">
        <f t="shared" si="57"/>
        <v>213.57691292248626</v>
      </c>
      <c r="L153" s="298">
        <f t="shared" si="57"/>
        <v>225.135164548886</v>
      </c>
      <c r="M153" s="298">
        <f t="shared" si="57"/>
        <v>237.35385622821602</v>
      </c>
      <c r="N153" s="298">
        <f t="shared" si="57"/>
        <v>250.27190503556636</v>
      </c>
      <c r="O153" s="298">
        <f t="shared" si="57"/>
        <v>263.93055898417589</v>
      </c>
      <c r="P153" s="298">
        <f t="shared" si="57"/>
        <v>278.37353780621407</v>
      </c>
      <c r="Q153" s="298">
        <f>SUM(Q149:Q152)</f>
        <v>293.64718227191139</v>
      </c>
      <c r="R153" s="298">
        <f>SUM(R149:R152)</f>
        <v>309.80061256596872</v>
      </c>
      <c r="S153" s="298">
        <f>SUM(S149:S152)</f>
        <v>326.88589627174508</v>
      </c>
      <c r="T153" s="298">
        <f>SUM(T149:T152)</f>
        <v>344.95822654721849</v>
      </c>
    </row>
    <row r="154" spans="2:20">
      <c r="B154" s="69" t="s">
        <v>521</v>
      </c>
      <c r="C154" s="255"/>
      <c r="D154" s="264"/>
      <c r="E154" s="298"/>
      <c r="F154" s="298"/>
      <c r="G154" s="298"/>
      <c r="H154" s="298"/>
      <c r="I154" s="298"/>
      <c r="J154" s="298"/>
      <c r="K154" s="298"/>
      <c r="L154" s="298"/>
      <c r="M154" s="298"/>
      <c r="N154" s="298"/>
      <c r="O154" s="298"/>
      <c r="P154" s="298"/>
      <c r="Q154" s="298"/>
      <c r="R154" s="298"/>
      <c r="S154" s="298"/>
      <c r="T154" s="298"/>
    </row>
    <row r="155" spans="2:20">
      <c r="B155" s="69" t="s">
        <v>265</v>
      </c>
    </row>
    <row r="156" spans="2:20">
      <c r="B156" s="69" t="s">
        <v>266</v>
      </c>
    </row>
    <row r="157" spans="2:20">
      <c r="C157" s="69" t="s">
        <v>267</v>
      </c>
    </row>
    <row r="158" spans="2:20">
      <c r="C158" s="69" t="s">
        <v>268</v>
      </c>
    </row>
    <row r="160" spans="2:20" ht="15.75">
      <c r="B160" s="300"/>
      <c r="C160" s="300" t="s">
        <v>269</v>
      </c>
      <c r="D160" s="301"/>
      <c r="E160" s="301"/>
      <c r="F160" s="301"/>
      <c r="G160" s="301"/>
      <c r="H160" s="301"/>
      <c r="I160" s="301"/>
      <c r="J160" s="301"/>
      <c r="K160" s="301"/>
      <c r="L160" s="301"/>
      <c r="M160" s="301"/>
      <c r="N160" s="301"/>
      <c r="O160" s="301"/>
      <c r="P160" s="301"/>
      <c r="Q160" s="301"/>
      <c r="R160" s="301"/>
      <c r="S160" s="301"/>
      <c r="T160" s="301"/>
    </row>
    <row r="161" spans="2:20">
      <c r="B161" s="284"/>
      <c r="D161" s="255"/>
      <c r="E161" s="255"/>
      <c r="F161" s="255"/>
      <c r="O161" s="69" t="s">
        <v>270</v>
      </c>
    </row>
    <row r="162" spans="2:20" ht="15">
      <c r="C162" s="243" t="s">
        <v>85</v>
      </c>
      <c r="D162" s="243"/>
      <c r="E162" s="243"/>
      <c r="F162" s="243" t="s">
        <v>78</v>
      </c>
      <c r="I162" s="243" t="s">
        <v>271</v>
      </c>
      <c r="J162" s="243"/>
      <c r="K162" s="243"/>
      <c r="L162" s="243"/>
      <c r="M162" s="243"/>
      <c r="O162" s="302" t="s">
        <v>272</v>
      </c>
      <c r="S162" s="303">
        <f>'Insulation Health'!K54</f>
        <v>7.9060595773207398E-3</v>
      </c>
    </row>
    <row r="163" spans="2:20" ht="15">
      <c r="D163" s="69" t="s">
        <v>86</v>
      </c>
      <c r="F163" s="247">
        <v>1009.34216308593</v>
      </c>
      <c r="J163" s="69" t="s">
        <v>273</v>
      </c>
      <c r="L163" s="247">
        <v>36492</v>
      </c>
      <c r="O163" s="302" t="s">
        <v>274</v>
      </c>
      <c r="S163" s="304">
        <f>'Insulation Health'!D54</f>
        <v>5.1579210104881982E-3</v>
      </c>
    </row>
    <row r="164" spans="2:20" ht="15">
      <c r="D164" s="69" t="s">
        <v>87</v>
      </c>
      <c r="F164" s="247">
        <v>284.90875244140602</v>
      </c>
      <c r="I164" s="243"/>
      <c r="J164" s="243" t="s">
        <v>3</v>
      </c>
      <c r="K164" s="243"/>
      <c r="L164" s="305">
        <v>2426781.4</v>
      </c>
      <c r="M164" s="243" t="s">
        <v>275</v>
      </c>
      <c r="O164" s="69" t="s">
        <v>276</v>
      </c>
    </row>
    <row r="165" spans="2:20" ht="15">
      <c r="D165" s="69" t="s">
        <v>88</v>
      </c>
      <c r="F165" s="247">
        <v>811.33526611328102</v>
      </c>
      <c r="I165" s="293" t="s">
        <v>277</v>
      </c>
      <c r="O165" s="302" t="s">
        <v>272</v>
      </c>
      <c r="S165" s="303">
        <f>'Insulation Health'!M54</f>
        <v>1.1173115079365078E-2</v>
      </c>
    </row>
    <row r="166" spans="2:20" ht="15">
      <c r="C166" s="243" t="s">
        <v>16</v>
      </c>
      <c r="D166" s="243"/>
      <c r="E166" s="243"/>
      <c r="F166" s="305">
        <v>2105.5861816406168</v>
      </c>
      <c r="I166" s="69" t="s">
        <v>278</v>
      </c>
      <c r="J166" s="255"/>
      <c r="K166" s="255"/>
      <c r="L166" s="247">
        <f>L164*1000/L163</f>
        <v>66501.73736709416</v>
      </c>
      <c r="M166" s="69" t="s">
        <v>279</v>
      </c>
      <c r="O166" s="302" t="s">
        <v>274</v>
      </c>
      <c r="S166" s="304">
        <f>'Insulation Health'!F54</f>
        <v>7.5361394557823128E-3</v>
      </c>
    </row>
    <row r="167" spans="2:20" ht="15">
      <c r="C167" s="293" t="s">
        <v>280</v>
      </c>
      <c r="I167" s="69" t="s">
        <v>278</v>
      </c>
      <c r="L167" s="247">
        <f>L166*1.69361</f>
        <v>112628.00742228434</v>
      </c>
      <c r="M167" s="69" t="s">
        <v>281</v>
      </c>
    </row>
    <row r="168" spans="2:20" ht="15">
      <c r="I168" s="69" t="s">
        <v>282</v>
      </c>
      <c r="L168" s="247">
        <v>948435</v>
      </c>
    </row>
    <row r="169" spans="2:20" ht="15">
      <c r="I169" s="69" t="s">
        <v>283</v>
      </c>
      <c r="L169" s="306">
        <f>L163/L168</f>
        <v>3.8476015752265572E-2</v>
      </c>
      <c r="O169" s="247"/>
    </row>
    <row r="171" spans="2:20">
      <c r="B171" s="243"/>
      <c r="C171" s="243"/>
      <c r="D171" s="243"/>
      <c r="E171" s="243">
        <v>2008</v>
      </c>
      <c r="F171" s="244">
        <v>2009</v>
      </c>
      <c r="G171" s="244">
        <v>2010</v>
      </c>
      <c r="H171" s="244">
        <v>2011</v>
      </c>
      <c r="I171" s="244">
        <v>2012</v>
      </c>
      <c r="J171" s="244">
        <v>2013</v>
      </c>
      <c r="K171" s="69">
        <v>2014</v>
      </c>
      <c r="L171" s="69">
        <v>2015</v>
      </c>
      <c r="M171" s="69">
        <v>2016</v>
      </c>
      <c r="N171" s="69">
        <v>2017</v>
      </c>
      <c r="O171" s="69">
        <v>2018</v>
      </c>
      <c r="P171" s="69">
        <v>2019</v>
      </c>
      <c r="Q171" s="69">
        <v>2020</v>
      </c>
      <c r="R171" s="69">
        <v>2021</v>
      </c>
      <c r="S171" s="69">
        <v>2022</v>
      </c>
      <c r="T171" s="69">
        <v>2023</v>
      </c>
    </row>
    <row r="172" spans="2:20" ht="15">
      <c r="B172" s="307">
        <v>6.4062999999999995E-2</v>
      </c>
      <c r="C172" s="255" t="s">
        <v>284</v>
      </c>
      <c r="D172" s="255"/>
      <c r="E172" s="308">
        <v>4.228809802747648</v>
      </c>
      <c r="F172" s="309">
        <v>4.3409579310344828</v>
      </c>
      <c r="G172" s="309">
        <v>4.5268507827250408</v>
      </c>
      <c r="H172" s="309">
        <v>4.7966250595735298</v>
      </c>
      <c r="I172" s="309">
        <v>5.3389898477800894</v>
      </c>
      <c r="J172" s="309">
        <v>6.0345217492085785</v>
      </c>
      <c r="K172" s="275">
        <v>6.397423696077448</v>
      </c>
      <c r="L172" s="275">
        <f>K172*(1+$B172)</f>
        <v>6.8072618503192572</v>
      </c>
      <c r="M172" s="275">
        <f t="shared" ref="M172:T172" si="58">L172*(1+$B172)</f>
        <v>7.2433554662362596</v>
      </c>
      <c r="N172" s="275">
        <f t="shared" si="58"/>
        <v>7.7073865474697527</v>
      </c>
      <c r="O172" s="275">
        <f t="shared" si="58"/>
        <v>8.2011448518603078</v>
      </c>
      <c r="P172" s="275">
        <f t="shared" si="58"/>
        <v>8.7265347945050351</v>
      </c>
      <c r="Q172" s="275">
        <f>P172*(1+$B172)</f>
        <v>9.2855827930454105</v>
      </c>
      <c r="R172" s="275">
        <f t="shared" si="58"/>
        <v>9.8804450835162783</v>
      </c>
      <c r="S172" s="275">
        <f t="shared" si="58"/>
        <v>10.513416036901582</v>
      </c>
      <c r="T172" s="275">
        <f t="shared" si="58"/>
        <v>11.186937008473608</v>
      </c>
    </row>
    <row r="173" spans="2:20" ht="15">
      <c r="B173" s="248">
        <v>0.54</v>
      </c>
      <c r="C173" s="69" t="s">
        <v>285</v>
      </c>
      <c r="E173" s="247">
        <f t="shared" ref="E173:T173" si="59">$B173*E172*1000</f>
        <v>2283.5572934837296</v>
      </c>
      <c r="F173" s="247">
        <f t="shared" si="59"/>
        <v>2344.1172827586206</v>
      </c>
      <c r="G173" s="247">
        <f t="shared" si="59"/>
        <v>2444.4994226715221</v>
      </c>
      <c r="H173" s="247">
        <f t="shared" si="59"/>
        <v>2590.1775321697064</v>
      </c>
      <c r="I173" s="247">
        <f t="shared" si="59"/>
        <v>2883.0545178012485</v>
      </c>
      <c r="J173" s="247">
        <f t="shared" si="59"/>
        <v>3258.6417445726329</v>
      </c>
      <c r="K173" s="247">
        <f t="shared" si="59"/>
        <v>3454.6087958818221</v>
      </c>
      <c r="L173" s="247">
        <f t="shared" si="59"/>
        <v>3675.9213991723996</v>
      </c>
      <c r="M173" s="247">
        <f t="shared" si="59"/>
        <v>3911.4119517675804</v>
      </c>
      <c r="N173" s="247">
        <f t="shared" si="59"/>
        <v>4161.9887356336667</v>
      </c>
      <c r="O173" s="247">
        <f t="shared" si="59"/>
        <v>4428.6182200045669</v>
      </c>
      <c r="P173" s="247">
        <f t="shared" si="59"/>
        <v>4712.3287890327192</v>
      </c>
      <c r="Q173" s="247">
        <f t="shared" si="59"/>
        <v>5014.2147082445217</v>
      </c>
      <c r="R173" s="247">
        <f t="shared" si="59"/>
        <v>5335.4403450987902</v>
      </c>
      <c r="S173" s="247">
        <f t="shared" si="59"/>
        <v>5677.2446599268542</v>
      </c>
      <c r="T173" s="247">
        <f t="shared" si="59"/>
        <v>6040.9459845757483</v>
      </c>
    </row>
    <row r="174" spans="2:20" ht="15">
      <c r="B174" s="248">
        <v>0.03</v>
      </c>
      <c r="C174" s="69" t="s">
        <v>286</v>
      </c>
      <c r="E174" s="247">
        <f>F174/(1+$B$174)</f>
        <v>1036380.5825242718</v>
      </c>
      <c r="F174" s="247">
        <v>1067472</v>
      </c>
      <c r="G174" s="247">
        <f>F174*(1+$B$174)</f>
        <v>1099496.1599999999</v>
      </c>
      <c r="H174" s="247">
        <f>G174*(1+$B$174)</f>
        <v>1132481.0448</v>
      </c>
      <c r="I174" s="247">
        <f>H174*(1+$B$174)</f>
        <v>1166455.476144</v>
      </c>
      <c r="J174" s="247">
        <f>I174*(1+$B$174)</f>
        <v>1201449.14042832</v>
      </c>
      <c r="K174" s="247">
        <f t="shared" ref="K174:T174" si="60">J174*(1+$B$174)</f>
        <v>1237492.6146411698</v>
      </c>
      <c r="L174" s="247">
        <f t="shared" si="60"/>
        <v>1274617.393080405</v>
      </c>
      <c r="M174" s="247">
        <f t="shared" si="60"/>
        <v>1312855.9148728172</v>
      </c>
      <c r="N174" s="247">
        <f t="shared" si="60"/>
        <v>1352241.5923190017</v>
      </c>
      <c r="O174" s="247">
        <f t="shared" si="60"/>
        <v>1392808.8400885717</v>
      </c>
      <c r="P174" s="247">
        <f t="shared" si="60"/>
        <v>1434593.1052912287</v>
      </c>
      <c r="Q174" s="247">
        <f t="shared" si="60"/>
        <v>1477630.8984499658</v>
      </c>
      <c r="R174" s="247">
        <f t="shared" si="60"/>
        <v>1521959.8254034647</v>
      </c>
      <c r="S174" s="247">
        <f t="shared" si="60"/>
        <v>1567618.6201655688</v>
      </c>
      <c r="T174" s="247">
        <f t="shared" si="60"/>
        <v>1614647.1787705359</v>
      </c>
    </row>
    <row r="175" spans="2:20" ht="15">
      <c r="C175" s="255" t="s">
        <v>287</v>
      </c>
      <c r="D175" s="255"/>
      <c r="E175" s="310">
        <f t="shared" ref="E175:T175" si="61">E173*1000000/E174</f>
        <v>2203.3964472025887</v>
      </c>
      <c r="F175" s="310">
        <f t="shared" si="61"/>
        <v>2195.9520088195482</v>
      </c>
      <c r="G175" s="310">
        <f t="shared" si="61"/>
        <v>2223.290550347645</v>
      </c>
      <c r="H175" s="310">
        <f t="shared" si="61"/>
        <v>2287.1707602197794</v>
      </c>
      <c r="I175" s="310">
        <f t="shared" si="61"/>
        <v>2471.6370035244558</v>
      </c>
      <c r="J175" s="310">
        <f t="shared" si="61"/>
        <v>2712.2594165000755</v>
      </c>
      <c r="K175" s="247">
        <f t="shared" si="61"/>
        <v>2791.6197276729117</v>
      </c>
      <c r="L175" s="247">
        <f t="shared" si="61"/>
        <v>2883.9410313464286</v>
      </c>
      <c r="M175" s="247">
        <f t="shared" si="61"/>
        <v>2979.3154812015287</v>
      </c>
      <c r="N175" s="247">
        <f t="shared" si="61"/>
        <v>3077.8440474502349</v>
      </c>
      <c r="O175" s="247">
        <f t="shared" si="61"/>
        <v>3179.6310394777088</v>
      </c>
      <c r="P175" s="247">
        <f t="shared" si="61"/>
        <v>3284.7842162716206</v>
      </c>
      <c r="Q175" s="247">
        <f t="shared" si="61"/>
        <v>3393.4149005035233</v>
      </c>
      <c r="R175" s="247">
        <f t="shared" si="61"/>
        <v>3505.6380963829902</v>
      </c>
      <c r="S175" s="247">
        <f t="shared" si="61"/>
        <v>3621.5726114092945</v>
      </c>
      <c r="T175" s="247">
        <f t="shared" si="61"/>
        <v>3741.3411821495229</v>
      </c>
    </row>
    <row r="176" spans="2:20">
      <c r="C176" s="264"/>
    </row>
    <row r="177" spans="2:20">
      <c r="C177" s="264" t="s">
        <v>288</v>
      </c>
    </row>
    <row r="178" spans="2:20">
      <c r="C178" s="264"/>
      <c r="D178" s="69" t="s">
        <v>289</v>
      </c>
      <c r="E178" s="254">
        <f t="shared" ref="E178:T178" si="62">$L$169*E$174*(1+100*(E$120-1)*$S$165)</f>
        <v>41212.406178527825</v>
      </c>
      <c r="F178" s="254">
        <f t="shared" si="62"/>
        <v>43866.788506968318</v>
      </c>
      <c r="G178" s="254">
        <f t="shared" si="62"/>
        <v>46687.159122975885</v>
      </c>
      <c r="H178" s="254">
        <f t="shared" si="62"/>
        <v>49683.75680537631</v>
      </c>
      <c r="I178" s="254">
        <f t="shared" si="62"/>
        <v>52867.44777738925</v>
      </c>
      <c r="J178" s="254">
        <f t="shared" si="62"/>
        <v>56249.764035074753</v>
      </c>
      <c r="K178" s="254">
        <f t="shared" si="62"/>
        <v>59842.944013494583</v>
      </c>
      <c r="L178" s="254">
        <f t="shared" si="62"/>
        <v>63659.975733060688</v>
      </c>
      <c r="M178" s="254">
        <f t="shared" si="62"/>
        <v>67714.642577222708</v>
      </c>
      <c r="N178" s="254">
        <f t="shared" si="62"/>
        <v>72021.57186185474</v>
      </c>
      <c r="O178" s="254">
        <f t="shared" si="62"/>
        <v>76596.28636647122</v>
      </c>
      <c r="P178" s="254">
        <f t="shared" si="62"/>
        <v>81455.259007765737</v>
      </c>
      <c r="Q178" s="254">
        <f t="shared" si="62"/>
        <v>86615.970846962417</v>
      </c>
      <c r="R178" s="254">
        <f t="shared" si="62"/>
        <v>92096.972634134872</v>
      </c>
      <c r="S178" s="254">
        <f t="shared" si="62"/>
        <v>97917.950105023905</v>
      </c>
      <c r="T178" s="254">
        <f t="shared" si="62"/>
        <v>104099.79325901419</v>
      </c>
    </row>
    <row r="179" spans="2:20">
      <c r="D179" s="69" t="s">
        <v>290</v>
      </c>
      <c r="E179" s="254">
        <f>E$174/100000*$F$166*(1+100*(E$120-1)*$S$162)</f>
        <v>22339.46173519584</v>
      </c>
      <c r="F179" s="254">
        <f t="shared" ref="F179:T179" si="63">F$174/100000*$F$166*(1+100*(F$120-1)*$S$162)</f>
        <v>23558.741329491775</v>
      </c>
      <c r="G179" s="254">
        <f t="shared" si="63"/>
        <v>24848.039242319002</v>
      </c>
      <c r="H179" s="254">
        <f>H$174/100000*$F$166*(1+100*(H$120-1)*$S$162)</f>
        <v>26211.492515013255</v>
      </c>
      <c r="I179" s="254">
        <f t="shared" si="63"/>
        <v>27653.486322499688</v>
      </c>
      <c r="J179" s="254">
        <f t="shared" si="63"/>
        <v>29178.668970261711</v>
      </c>
      <c r="K179" s="254">
        <f>K$174/100000*$F$166*(1+100*(K$120-1)*$S$162)</f>
        <v>30791.967801194103</v>
      </c>
      <c r="L179" s="254">
        <f t="shared" si="63"/>
        <v>32498.606067649573</v>
      </c>
      <c r="M179" s="254">
        <f t="shared" si="63"/>
        <v>34304.120827353072</v>
      </c>
      <c r="N179" s="254">
        <f t="shared" si="63"/>
        <v>36214.381925428017</v>
      </c>
      <c r="O179" s="254">
        <f t="shared" si="63"/>
        <v>38235.612128566398</v>
      </c>
      <c r="P179" s="254">
        <f t="shared" si="63"/>
        <v>40374.408481392296</v>
      </c>
      <c r="Q179" s="254">
        <f t="shared" si="63"/>
        <v>42637.764959331187</v>
      </c>
      <c r="R179" s="254">
        <f t="shared" si="63"/>
        <v>45033.096496819227</v>
      </c>
      <c r="S179" s="254">
        <f t="shared" si="63"/>
        <v>47568.264474484218</v>
      </c>
      <c r="T179" s="254">
        <f t="shared" si="63"/>
        <v>50251.603754019277</v>
      </c>
    </row>
    <row r="180" spans="2:20">
      <c r="C180" s="69" t="s">
        <v>291</v>
      </c>
    </row>
    <row r="181" spans="2:20" ht="15">
      <c r="D181" s="69" t="s">
        <v>292</v>
      </c>
      <c r="E181" s="296">
        <f t="shared" ref="E181:T181" si="64">E178*$L$167/$E$9/1000000</f>
        <v>3.2011525441140884</v>
      </c>
      <c r="F181" s="296">
        <f t="shared" si="64"/>
        <v>3.4073303321066244</v>
      </c>
      <c r="G181" s="296">
        <f t="shared" si="64"/>
        <v>3.6264011753295846</v>
      </c>
      <c r="H181" s="296">
        <f t="shared" si="64"/>
        <v>3.8591603656847537</v>
      </c>
      <c r="I181" s="296">
        <f t="shared" si="64"/>
        <v>4.1064519314958803</v>
      </c>
      <c r="J181" s="296">
        <f t="shared" si="64"/>
        <v>4.3691716146511324</v>
      </c>
      <c r="K181" s="296">
        <f t="shared" si="64"/>
        <v>4.6482700293263548</v>
      </c>
      <c r="L181" s="296">
        <f t="shared" si="64"/>
        <v>4.9447560133555868</v>
      </c>
      <c r="M181" s="296">
        <f t="shared" si="64"/>
        <v>5.259700183989497</v>
      </c>
      <c r="N181" s="296">
        <f t="shared" si="64"/>
        <v>5.5942387104976277</v>
      </c>
      <c r="O181" s="296">
        <f t="shared" si="64"/>
        <v>5.949577316829199</v>
      </c>
      <c r="P181" s="296">
        <f t="shared" si="64"/>
        <v>6.3269955283522297</v>
      </c>
      <c r="Q181" s="296">
        <f t="shared" si="64"/>
        <v>6.7278511775448591</v>
      </c>
      <c r="R181" s="296">
        <f t="shared" si="64"/>
        <v>7.1535851844187999</v>
      </c>
      <c r="S181" s="296">
        <f t="shared" si="64"/>
        <v>7.6057266284162077</v>
      </c>
      <c r="T181" s="296">
        <f t="shared" si="64"/>
        <v>8.0858981295410448</v>
      </c>
    </row>
    <row r="182" spans="2:20" ht="15">
      <c r="B182" s="243"/>
      <c r="C182" s="243"/>
      <c r="D182" s="243" t="s">
        <v>293</v>
      </c>
      <c r="E182" s="311">
        <f>E179*E175/1000000</f>
        <v>49.22269061974869</v>
      </c>
      <c r="F182" s="311">
        <f t="shared" ref="F182:T182" si="65">F179*F175/1000000</f>
        <v>51.733865347757579</v>
      </c>
      <c r="G182" s="311">
        <f t="shared" si="65"/>
        <v>55.244410842115293</v>
      </c>
      <c r="H182" s="311">
        <f t="shared" si="65"/>
        <v>59.950159262057923</v>
      </c>
      <c r="I182" s="311">
        <f t="shared" si="65"/>
        <v>68.34938007114765</v>
      </c>
      <c r="J182" s="311">
        <f t="shared" si="65"/>
        <v>79.140119675530897</v>
      </c>
      <c r="K182" s="296">
        <f t="shared" si="65"/>
        <v>85.959464767682547</v>
      </c>
      <c r="L182" s="296">
        <f t="shared" si="65"/>
        <v>93.724063500058605</v>
      </c>
      <c r="M182" s="296">
        <f t="shared" si="65"/>
        <v>102.2027982499408</v>
      </c>
      <c r="N182" s="296">
        <f t="shared" si="65"/>
        <v>111.46221984126801</v>
      </c>
      <c r="O182" s="296">
        <f t="shared" si="65"/>
        <v>121.57513913742005</v>
      </c>
      <c r="P182" s="296">
        <f t="shared" si="65"/>
        <v>132.62121972098046</v>
      </c>
      <c r="Q182" s="296">
        <f t="shared" si="65"/>
        <v>144.68762693716144</v>
      </c>
      <c r="R182" s="296">
        <f t="shared" si="65"/>
        <v>157.86973867734088</v>
      </c>
      <c r="S182" s="296">
        <f t="shared" si="65"/>
        <v>172.27192379306578</v>
      </c>
      <c r="T182" s="296">
        <f t="shared" si="65"/>
        <v>188.00839459397187</v>
      </c>
    </row>
    <row r="183" spans="2:20" ht="15">
      <c r="B183" s="255" t="s">
        <v>521</v>
      </c>
      <c r="C183" s="255"/>
      <c r="D183" s="255"/>
      <c r="E183" s="312"/>
      <c r="F183" s="312"/>
      <c r="G183" s="312"/>
      <c r="H183" s="312"/>
      <c r="I183" s="312"/>
      <c r="J183" s="312"/>
      <c r="K183" s="296"/>
      <c r="L183" s="296"/>
      <c r="M183" s="296"/>
      <c r="N183" s="296"/>
      <c r="O183" s="296"/>
      <c r="P183" s="296"/>
      <c r="Q183" s="296"/>
      <c r="R183" s="296"/>
      <c r="S183" s="296"/>
      <c r="T183" s="296"/>
    </row>
    <row r="184" spans="2:20" ht="15">
      <c r="B184" s="69" t="s">
        <v>294</v>
      </c>
      <c r="C184" s="255"/>
      <c r="D184" s="255"/>
      <c r="E184" s="312"/>
      <c r="F184" s="312"/>
      <c r="G184" s="312"/>
      <c r="H184" s="312"/>
      <c r="I184" s="312"/>
      <c r="J184" s="312"/>
      <c r="K184" s="296"/>
      <c r="L184" s="296"/>
      <c r="M184" s="296"/>
      <c r="N184" s="296"/>
      <c r="O184" s="296"/>
      <c r="P184" s="296"/>
      <c r="Q184" s="296"/>
      <c r="R184" s="296"/>
      <c r="S184" s="296"/>
      <c r="T184" s="296"/>
    </row>
    <row r="185" spans="2:20">
      <c r="B185" s="264" t="s">
        <v>295</v>
      </c>
    </row>
    <row r="186" spans="2:20">
      <c r="B186" s="264" t="s">
        <v>296</v>
      </c>
    </row>
    <row r="187" spans="2:20">
      <c r="B187" s="69" t="s">
        <v>297</v>
      </c>
    </row>
    <row r="188" spans="2:20">
      <c r="B188" s="69" t="s">
        <v>298</v>
      </c>
    </row>
    <row r="189" spans="2:20">
      <c r="C189" s="69" t="s">
        <v>299</v>
      </c>
    </row>
    <row r="190" spans="2:20">
      <c r="C190" s="69" t="s">
        <v>300</v>
      </c>
    </row>
    <row r="191" spans="2:20">
      <c r="C191" s="69" t="s">
        <v>301</v>
      </c>
    </row>
    <row r="192" spans="2:20">
      <c r="B192" s="69" t="s">
        <v>302</v>
      </c>
    </row>
    <row r="195" spans="4:5">
      <c r="D195" s="477" t="s">
        <v>529</v>
      </c>
      <c r="E195" s="69" t="s">
        <v>530</v>
      </c>
    </row>
    <row r="196" spans="4:5">
      <c r="D196" s="476">
        <v>1</v>
      </c>
      <c r="E196" s="69" t="s">
        <v>541</v>
      </c>
    </row>
    <row r="197" spans="4:5">
      <c r="D197" s="476">
        <v>2</v>
      </c>
      <c r="E197" s="69" t="s">
        <v>207</v>
      </c>
    </row>
    <row r="198" spans="4:5">
      <c r="D198" s="476">
        <v>3</v>
      </c>
      <c r="E198" s="69" t="s">
        <v>209</v>
      </c>
    </row>
    <row r="199" spans="4:5">
      <c r="D199" s="476">
        <v>4</v>
      </c>
      <c r="E199" s="69" t="s">
        <v>208</v>
      </c>
    </row>
    <row r="200" spans="4:5">
      <c r="D200" s="476">
        <v>5</v>
      </c>
      <c r="E200" s="69" t="s">
        <v>542</v>
      </c>
    </row>
    <row r="201" spans="4:5">
      <c r="D201" s="476">
        <v>6</v>
      </c>
      <c r="E201" s="69" t="s">
        <v>210</v>
      </c>
    </row>
    <row r="202" spans="4:5">
      <c r="D202" s="476">
        <v>7</v>
      </c>
      <c r="E202" s="69" t="s">
        <v>544</v>
      </c>
    </row>
    <row r="203" spans="4:5">
      <c r="D203" s="476">
        <v>8</v>
      </c>
      <c r="E203" s="69" t="s">
        <v>546</v>
      </c>
    </row>
    <row r="204" spans="4:5">
      <c r="D204" s="476">
        <v>9</v>
      </c>
      <c r="E204" s="69" t="s">
        <v>236</v>
      </c>
    </row>
    <row r="205" spans="4:5">
      <c r="D205" s="476">
        <v>10</v>
      </c>
      <c r="E205" s="103" t="s">
        <v>237</v>
      </c>
    </row>
  </sheetData>
  <mergeCells count="17">
    <mergeCell ref="C50:N50"/>
    <mergeCell ref="C5:D5"/>
    <mergeCell ref="C6:D6"/>
    <mergeCell ref="C4:D4"/>
    <mergeCell ref="B47:N47"/>
    <mergeCell ref="C48:N48"/>
    <mergeCell ref="C49:N49"/>
    <mergeCell ref="B51:N51"/>
    <mergeCell ref="C52:N52"/>
    <mergeCell ref="C53:N53"/>
    <mergeCell ref="C54:N54"/>
    <mergeCell ref="D55:N55"/>
    <mergeCell ref="C56:N56"/>
    <mergeCell ref="C57:N57"/>
    <mergeCell ref="C58:N58"/>
    <mergeCell ref="D59:N59"/>
    <mergeCell ref="J61:O61"/>
  </mergeCells>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M54"/>
  <sheetViews>
    <sheetView showGridLines="0" workbookViewId="0">
      <selection activeCell="A2" sqref="A2"/>
    </sheetView>
  </sheetViews>
  <sheetFormatPr defaultRowHeight="12.75"/>
  <cols>
    <col min="1" max="2" width="3.7109375" style="69" customWidth="1"/>
    <col min="3" max="3" width="25" style="69" customWidth="1"/>
    <col min="4" max="8" width="10.7109375" style="69" customWidth="1"/>
    <col min="9" max="10" width="12.7109375" style="69" customWidth="1"/>
    <col min="11" max="11" width="18.42578125" style="69" customWidth="1"/>
    <col min="12" max="12" width="9.140625" style="69"/>
    <col min="13" max="13" width="12.7109375" style="69" customWidth="1"/>
    <col min="14" max="16384" width="9.140625" style="69"/>
  </cols>
  <sheetData>
    <row r="1" spans="1:12" customFormat="1" ht="19.5" customHeight="1">
      <c r="A1" s="447" t="s">
        <v>501</v>
      </c>
      <c r="B1" s="447"/>
    </row>
    <row r="2" spans="1:12" customFormat="1" ht="18">
      <c r="A2" s="450" t="s">
        <v>553</v>
      </c>
      <c r="B2" s="464"/>
    </row>
    <row r="3" spans="1:12" customFormat="1" ht="15.75">
      <c r="A3" s="464"/>
      <c r="B3" s="464"/>
    </row>
    <row r="4" spans="1:12">
      <c r="A4" s="284" t="s">
        <v>377</v>
      </c>
    </row>
    <row r="6" spans="1:12">
      <c r="A6" s="339" t="s">
        <v>378</v>
      </c>
      <c r="B6" s="271"/>
      <c r="C6" s="259"/>
      <c r="D6" s="365">
        <v>2009</v>
      </c>
      <c r="E6" s="365">
        <v>2010</v>
      </c>
      <c r="F6" s="365">
        <v>2011</v>
      </c>
      <c r="G6" s="365">
        <v>2012</v>
      </c>
      <c r="H6" s="365">
        <v>2013</v>
      </c>
      <c r="I6" s="366" t="s">
        <v>379</v>
      </c>
      <c r="J6" s="374"/>
      <c r="K6" s="367" t="s">
        <v>380</v>
      </c>
      <c r="L6" s="368" t="s">
        <v>381</v>
      </c>
    </row>
    <row r="7" spans="1:12">
      <c r="B7" s="103"/>
      <c r="C7" s="257"/>
      <c r="D7" s="264"/>
      <c r="E7" s="264"/>
      <c r="F7" s="264"/>
      <c r="G7" s="264"/>
      <c r="H7" s="264"/>
    </row>
    <row r="8" spans="1:12" ht="15">
      <c r="B8" s="284" t="s">
        <v>382</v>
      </c>
      <c r="D8" s="247"/>
      <c r="E8" s="247"/>
      <c r="F8" s="247"/>
      <c r="G8" s="247"/>
      <c r="H8" s="247"/>
      <c r="I8" s="247"/>
      <c r="J8" s="247"/>
    </row>
    <row r="9" spans="1:12" ht="15">
      <c r="C9" s="69" t="s">
        <v>19</v>
      </c>
      <c r="D9" s="247"/>
      <c r="E9" s="247"/>
      <c r="F9" s="247"/>
      <c r="G9" s="247"/>
      <c r="H9" s="247"/>
      <c r="I9" s="247">
        <v>4200000</v>
      </c>
      <c r="J9" s="247"/>
      <c r="K9" s="506">
        <v>8.1869908715051787E-2</v>
      </c>
      <c r="L9" s="252">
        <v>6.5182067482063288E-2</v>
      </c>
    </row>
    <row r="10" spans="1:12" ht="15">
      <c r="C10" s="69" t="s">
        <v>383</v>
      </c>
      <c r="D10" s="247"/>
      <c r="E10" s="247"/>
      <c r="F10" s="247"/>
      <c r="G10" s="247"/>
      <c r="H10" s="247"/>
      <c r="I10" s="247">
        <v>6720000</v>
      </c>
      <c r="J10" s="247"/>
      <c r="K10" s="506">
        <v>0.13099185394408286</v>
      </c>
      <c r="L10" s="252">
        <v>0.10429130797130126</v>
      </c>
    </row>
    <row r="11" spans="1:12" ht="15">
      <c r="C11" s="69" t="s">
        <v>384</v>
      </c>
      <c r="D11" s="247"/>
      <c r="E11" s="247"/>
      <c r="F11" s="247"/>
      <c r="G11" s="247"/>
      <c r="H11" s="247"/>
      <c r="I11" s="247">
        <v>90000</v>
      </c>
      <c r="J11" s="247"/>
      <c r="K11" s="506">
        <v>1.7543551867511096E-3</v>
      </c>
      <c r="L11" s="252">
        <v>1.3967585889013562E-3</v>
      </c>
    </row>
    <row r="12" spans="1:12" ht="15">
      <c r="C12" s="69" t="s">
        <v>385</v>
      </c>
      <c r="D12" s="247"/>
      <c r="E12" s="247"/>
      <c r="F12" s="247"/>
      <c r="G12" s="247"/>
      <c r="H12" s="247"/>
      <c r="I12" s="247">
        <v>4050900</v>
      </c>
      <c r="J12" s="247"/>
      <c r="K12" s="506">
        <v>7.896352695566744E-2</v>
      </c>
      <c r="L12" s="252">
        <v>6.286810408645005E-2</v>
      </c>
    </row>
    <row r="13" spans="1:12" ht="15">
      <c r="C13" s="69" t="s">
        <v>386</v>
      </c>
      <c r="D13" s="247"/>
      <c r="E13" s="247"/>
      <c r="F13" s="247"/>
      <c r="G13" s="247"/>
      <c r="H13" s="247"/>
      <c r="I13" s="247">
        <v>3840000</v>
      </c>
      <c r="J13" s="247"/>
      <c r="K13" s="506">
        <v>7.4852487968047346E-2</v>
      </c>
      <c r="L13" s="252">
        <v>5.9595033126457864E-2</v>
      </c>
    </row>
    <row r="14" spans="1:12" ht="15">
      <c r="C14" s="69" t="s">
        <v>387</v>
      </c>
      <c r="D14" s="247"/>
      <c r="E14" s="247"/>
      <c r="F14" s="247"/>
      <c r="G14" s="247"/>
      <c r="H14" s="247"/>
      <c r="I14" s="247">
        <v>12400000</v>
      </c>
      <c r="J14" s="247"/>
      <c r="K14" s="506">
        <v>0.24171115906348623</v>
      </c>
      <c r="L14" s="252">
        <v>0.19244229447085354</v>
      </c>
    </row>
    <row r="15" spans="1:12" ht="15">
      <c r="D15" s="247"/>
      <c r="E15" s="247"/>
      <c r="F15" s="247"/>
      <c r="G15" s="247"/>
      <c r="H15" s="247"/>
      <c r="I15" s="247"/>
      <c r="J15" s="247"/>
      <c r="K15" s="506"/>
      <c r="L15" s="252"/>
    </row>
    <row r="16" spans="1:12" ht="15">
      <c r="B16" s="284" t="s">
        <v>388</v>
      </c>
      <c r="D16" s="247"/>
      <c r="E16" s="247"/>
      <c r="F16" s="247"/>
      <c r="G16" s="247"/>
      <c r="H16" s="247"/>
      <c r="I16" s="247"/>
      <c r="J16" s="247"/>
      <c r="K16" s="506"/>
      <c r="L16" s="252"/>
    </row>
    <row r="17" spans="1:13" ht="15">
      <c r="C17" s="69" t="s">
        <v>389</v>
      </c>
      <c r="D17" s="247"/>
      <c r="E17" s="247"/>
      <c r="F17" s="247"/>
      <c r="G17" s="247"/>
      <c r="H17" s="247"/>
      <c r="I17" s="247">
        <v>20000000</v>
      </c>
      <c r="J17" s="247"/>
      <c r="K17" s="506">
        <v>0.38985670816691326</v>
      </c>
      <c r="L17" s="252">
        <v>0.31039079753363474</v>
      </c>
    </row>
    <row r="18" spans="1:13" ht="15">
      <c r="D18" s="247"/>
      <c r="E18" s="247"/>
      <c r="F18" s="247"/>
      <c r="G18" s="247"/>
      <c r="H18" s="247"/>
      <c r="I18" s="247"/>
      <c r="J18" s="247"/>
      <c r="K18" s="369"/>
      <c r="L18" s="252"/>
    </row>
    <row r="19" spans="1:13" ht="15">
      <c r="B19" s="103" t="s">
        <v>390</v>
      </c>
      <c r="C19" s="257"/>
      <c r="D19" s="247"/>
      <c r="E19" s="247">
        <v>500000</v>
      </c>
      <c r="F19" s="247">
        <v>1000000</v>
      </c>
      <c r="G19" s="247">
        <v>1000000</v>
      </c>
      <c r="H19" s="247">
        <v>500000</v>
      </c>
      <c r="I19" s="247">
        <v>3000000</v>
      </c>
      <c r="J19" s="247"/>
      <c r="L19" s="252">
        <v>4.6558619630045206E-2</v>
      </c>
    </row>
    <row r="20" spans="1:13" ht="15">
      <c r="D20" s="247"/>
      <c r="E20" s="247"/>
      <c r="F20" s="247"/>
      <c r="G20" s="247"/>
      <c r="H20" s="247"/>
      <c r="I20" s="247"/>
      <c r="J20" s="247"/>
      <c r="L20" s="252"/>
    </row>
    <row r="21" spans="1:13" ht="15">
      <c r="B21" s="284" t="s">
        <v>391</v>
      </c>
      <c r="D21" s="247"/>
      <c r="E21" s="247"/>
      <c r="F21" s="247"/>
      <c r="G21" s="247"/>
      <c r="H21" s="247"/>
      <c r="I21" s="247">
        <v>10134000</v>
      </c>
      <c r="J21" s="247"/>
      <c r="L21" s="252">
        <v>0.15727501711029271</v>
      </c>
    </row>
    <row r="22" spans="1:13" ht="15">
      <c r="D22" s="247"/>
      <c r="E22" s="247"/>
      <c r="F22" s="247"/>
      <c r="G22" s="247"/>
      <c r="H22" s="247"/>
      <c r="I22" s="247"/>
      <c r="J22" s="247"/>
      <c r="L22" s="369"/>
    </row>
    <row r="23" spans="1:13" ht="15">
      <c r="B23" s="370" t="s">
        <v>392</v>
      </c>
      <c r="C23" s="257"/>
      <c r="D23" s="247"/>
      <c r="E23" s="247">
        <v>500000</v>
      </c>
      <c r="F23" s="247">
        <v>500000</v>
      </c>
      <c r="G23" s="247">
        <v>800000</v>
      </c>
      <c r="H23" s="247">
        <v>1000000</v>
      </c>
      <c r="I23" s="247">
        <v>2800000</v>
      </c>
      <c r="J23" s="247"/>
    </row>
    <row r="24" spans="1:13" ht="15">
      <c r="A24" s="243"/>
      <c r="B24" s="354" t="s">
        <v>393</v>
      </c>
      <c r="C24" s="259"/>
      <c r="D24" s="305"/>
      <c r="E24" s="305">
        <v>763000</v>
      </c>
      <c r="F24" s="305">
        <v>590000</v>
      </c>
      <c r="G24" s="305">
        <v>575000</v>
      </c>
      <c r="H24" s="305">
        <v>572000</v>
      </c>
      <c r="I24" s="305">
        <v>2500000</v>
      </c>
      <c r="J24" s="310"/>
    </row>
    <row r="26" spans="1:13" ht="13.5" thickBot="1">
      <c r="A26" s="371" t="s">
        <v>379</v>
      </c>
      <c r="B26" s="371"/>
      <c r="C26" s="372"/>
      <c r="D26" s="372"/>
      <c r="E26" s="372"/>
      <c r="F26" s="372"/>
      <c r="G26" s="372"/>
      <c r="H26" s="372"/>
      <c r="I26" s="373">
        <v>69734900</v>
      </c>
      <c r="J26" s="376"/>
    </row>
    <row r="27" spans="1:13" ht="13.5" thickTop="1"/>
    <row r="28" spans="1:13">
      <c r="A28" s="284" t="s">
        <v>394</v>
      </c>
    </row>
    <row r="29" spans="1:13" ht="38.25">
      <c r="A29" s="243"/>
      <c r="B29" s="243"/>
      <c r="C29" s="243"/>
      <c r="D29" s="365">
        <v>2009</v>
      </c>
      <c r="E29" s="365">
        <v>2010</v>
      </c>
      <c r="F29" s="365">
        <v>2011</v>
      </c>
      <c r="G29" s="365">
        <v>2012</v>
      </c>
      <c r="H29" s="365">
        <v>2013</v>
      </c>
      <c r="I29" s="366" t="s">
        <v>379</v>
      </c>
      <c r="J29" s="374"/>
      <c r="K29" s="470" t="s">
        <v>395</v>
      </c>
    </row>
    <row r="30" spans="1:13">
      <c r="A30" s="284" t="s">
        <v>382</v>
      </c>
      <c r="B30" s="255"/>
      <c r="C30" s="255"/>
      <c r="D30" s="343"/>
      <c r="E30" s="343"/>
      <c r="F30" s="343"/>
      <c r="G30" s="343"/>
      <c r="H30" s="343"/>
      <c r="I30" s="374"/>
      <c r="J30" s="374"/>
      <c r="M30" s="375" t="s">
        <v>396</v>
      </c>
    </row>
    <row r="31" spans="1:13">
      <c r="B31" s="69" t="s">
        <v>19</v>
      </c>
      <c r="M31" s="254">
        <v>6615000</v>
      </c>
    </row>
    <row r="32" spans="1:13" ht="15">
      <c r="C32" s="69" t="s">
        <v>397</v>
      </c>
      <c r="D32" s="247">
        <v>0</v>
      </c>
      <c r="E32" s="247">
        <v>0</v>
      </c>
      <c r="F32" s="247">
        <v>1575000</v>
      </c>
      <c r="G32" s="247">
        <v>1575000</v>
      </c>
      <c r="H32" s="247">
        <v>1575000</v>
      </c>
      <c r="I32" s="254">
        <v>4725000</v>
      </c>
      <c r="J32" s="254"/>
    </row>
    <row r="33" spans="2:13">
      <c r="C33" s="69" t="s">
        <v>353</v>
      </c>
      <c r="D33" s="254">
        <v>0</v>
      </c>
      <c r="E33" s="254">
        <v>0</v>
      </c>
      <c r="F33" s="254">
        <v>157500</v>
      </c>
      <c r="G33" s="254">
        <v>157500</v>
      </c>
      <c r="H33" s="254">
        <v>157500</v>
      </c>
      <c r="I33" s="254">
        <v>472500</v>
      </c>
      <c r="J33" s="254"/>
      <c r="K33" s="474">
        <v>0.1</v>
      </c>
    </row>
    <row r="34" spans="2:13">
      <c r="C34" s="69" t="s">
        <v>354</v>
      </c>
      <c r="D34" s="254">
        <v>0</v>
      </c>
      <c r="E34" s="254">
        <v>85050</v>
      </c>
      <c r="F34" s="254">
        <v>170100</v>
      </c>
      <c r="G34" s="254">
        <v>170100</v>
      </c>
      <c r="H34" s="254">
        <v>141750</v>
      </c>
      <c r="I34" s="254">
        <v>567000</v>
      </c>
      <c r="J34" s="254"/>
      <c r="K34" s="474">
        <v>0.12</v>
      </c>
    </row>
    <row r="35" spans="2:13">
      <c r="C35" s="69" t="s">
        <v>355</v>
      </c>
      <c r="D35" s="254">
        <v>0</v>
      </c>
      <c r="E35" s="254">
        <v>141750</v>
      </c>
      <c r="F35" s="254">
        <v>118125</v>
      </c>
      <c r="G35" s="254">
        <v>70875</v>
      </c>
      <c r="H35" s="254">
        <v>141749.99999999997</v>
      </c>
      <c r="I35" s="254">
        <v>472500</v>
      </c>
      <c r="J35" s="254"/>
      <c r="K35" s="474">
        <v>0.1</v>
      </c>
    </row>
    <row r="36" spans="2:13">
      <c r="C36" s="69" t="s">
        <v>356</v>
      </c>
      <c r="D36" s="254">
        <v>0</v>
      </c>
      <c r="E36" s="254">
        <v>115365.6</v>
      </c>
      <c r="F36" s="254">
        <v>89208</v>
      </c>
      <c r="G36" s="254">
        <v>86940</v>
      </c>
      <c r="H36" s="254">
        <v>86486.399999999994</v>
      </c>
      <c r="I36" s="254">
        <v>378000</v>
      </c>
      <c r="J36" s="254"/>
      <c r="K36" s="474">
        <v>0.08</v>
      </c>
    </row>
    <row r="37" spans="2:13">
      <c r="B37" s="69" t="s">
        <v>383</v>
      </c>
      <c r="K37" s="475"/>
      <c r="M37" s="254">
        <v>9775499.9999999981</v>
      </c>
    </row>
    <row r="38" spans="2:13" ht="15">
      <c r="C38" s="69" t="s">
        <v>397</v>
      </c>
      <c r="D38" s="247">
        <v>0</v>
      </c>
      <c r="E38" s="247">
        <v>0</v>
      </c>
      <c r="F38" s="247">
        <v>2327499.9999999995</v>
      </c>
      <c r="G38" s="247">
        <v>2327499.9999999995</v>
      </c>
      <c r="H38" s="247">
        <v>2327499.9999999995</v>
      </c>
      <c r="I38" s="254">
        <v>6982499.9999999981</v>
      </c>
      <c r="J38" s="254"/>
      <c r="K38" s="475"/>
    </row>
    <row r="39" spans="2:13">
      <c r="C39" s="69" t="s">
        <v>353</v>
      </c>
      <c r="D39" s="254">
        <v>0</v>
      </c>
      <c r="E39" s="254">
        <v>0</v>
      </c>
      <c r="F39" s="254">
        <v>232749.99999999997</v>
      </c>
      <c r="G39" s="254">
        <v>232749.99999999997</v>
      </c>
      <c r="H39" s="254">
        <v>232749.99999999997</v>
      </c>
      <c r="I39" s="254">
        <v>698249.99999999988</v>
      </c>
      <c r="J39" s="254"/>
      <c r="K39" s="474">
        <v>0.1</v>
      </c>
    </row>
    <row r="40" spans="2:13">
      <c r="C40" s="69" t="s">
        <v>354</v>
      </c>
      <c r="D40" s="254">
        <v>0</v>
      </c>
      <c r="E40" s="254">
        <v>125684.99999999996</v>
      </c>
      <c r="F40" s="254">
        <v>251369.99999999991</v>
      </c>
      <c r="G40" s="254">
        <v>251369.99999999991</v>
      </c>
      <c r="H40" s="254">
        <v>209474.99999999994</v>
      </c>
      <c r="I40" s="254">
        <v>837899.99999999977</v>
      </c>
      <c r="J40" s="254"/>
      <c r="K40" s="474">
        <v>0.12</v>
      </c>
    </row>
    <row r="41" spans="2:13">
      <c r="C41" s="69" t="s">
        <v>355</v>
      </c>
      <c r="D41" s="254">
        <v>0</v>
      </c>
      <c r="E41" s="254">
        <v>209474.99999999997</v>
      </c>
      <c r="F41" s="254">
        <v>174562.49999999997</v>
      </c>
      <c r="G41" s="254">
        <v>104737.49999999999</v>
      </c>
      <c r="H41" s="254">
        <v>209474.99999999991</v>
      </c>
      <c r="I41" s="254">
        <v>698249.99999999988</v>
      </c>
      <c r="J41" s="254"/>
      <c r="K41" s="474">
        <v>0.1</v>
      </c>
    </row>
    <row r="42" spans="2:13">
      <c r="C42" s="69" t="s">
        <v>356</v>
      </c>
      <c r="D42" s="254">
        <v>0</v>
      </c>
      <c r="E42" s="254">
        <v>170484.71999999997</v>
      </c>
      <c r="F42" s="254">
        <v>131829.59999999998</v>
      </c>
      <c r="G42" s="254">
        <v>128477.99999999999</v>
      </c>
      <c r="H42" s="254">
        <v>127807.67999999998</v>
      </c>
      <c r="I42" s="254">
        <v>558599.99999999988</v>
      </c>
      <c r="J42" s="254"/>
      <c r="K42" s="474">
        <v>0.08</v>
      </c>
    </row>
    <row r="43" spans="2:13">
      <c r="B43" s="284" t="s">
        <v>398</v>
      </c>
      <c r="D43" s="254"/>
      <c r="E43" s="254"/>
      <c r="F43" s="254"/>
      <c r="G43" s="254"/>
      <c r="H43" s="254"/>
      <c r="I43" s="254"/>
      <c r="J43" s="254"/>
      <c r="K43" s="319"/>
      <c r="M43" s="254">
        <v>16390499.999999998</v>
      </c>
    </row>
    <row r="44" spans="2:13">
      <c r="B44" s="284"/>
      <c r="C44" s="69" t="s">
        <v>397</v>
      </c>
      <c r="D44" s="254">
        <v>0</v>
      </c>
      <c r="E44" s="254">
        <v>0</v>
      </c>
      <c r="F44" s="254">
        <v>3902499.9999999995</v>
      </c>
      <c r="G44" s="254">
        <v>3902499.9999999995</v>
      </c>
      <c r="H44" s="254">
        <v>3902499.9999999995</v>
      </c>
      <c r="I44" s="254">
        <v>11707499.999999998</v>
      </c>
      <c r="J44" s="254"/>
      <c r="K44" s="319"/>
    </row>
    <row r="45" spans="2:13">
      <c r="B45" s="284"/>
      <c r="C45" s="69" t="s">
        <v>353</v>
      </c>
      <c r="D45" s="254">
        <v>0</v>
      </c>
      <c r="E45" s="254">
        <v>0</v>
      </c>
      <c r="F45" s="254">
        <v>390250</v>
      </c>
      <c r="G45" s="254">
        <v>390250</v>
      </c>
      <c r="H45" s="254">
        <v>390250</v>
      </c>
      <c r="I45" s="254">
        <v>1170750</v>
      </c>
      <c r="J45" s="254"/>
      <c r="K45" s="319"/>
    </row>
    <row r="46" spans="2:13">
      <c r="B46" s="284"/>
      <c r="C46" s="69" t="s">
        <v>354</v>
      </c>
      <c r="D46" s="254">
        <v>0</v>
      </c>
      <c r="E46" s="254">
        <v>210734.99999999994</v>
      </c>
      <c r="F46" s="254">
        <v>421469.99999999988</v>
      </c>
      <c r="G46" s="254">
        <v>421469.99999999988</v>
      </c>
      <c r="H46" s="254">
        <v>351224.99999999994</v>
      </c>
      <c r="I46" s="254">
        <v>1404899.9999999995</v>
      </c>
      <c r="J46" s="254"/>
      <c r="K46" s="319"/>
    </row>
    <row r="47" spans="2:13">
      <c r="B47" s="284"/>
      <c r="C47" s="69" t="s">
        <v>355</v>
      </c>
      <c r="D47" s="254">
        <v>0</v>
      </c>
      <c r="E47" s="254">
        <v>351225</v>
      </c>
      <c r="F47" s="254">
        <v>292687.5</v>
      </c>
      <c r="G47" s="254">
        <v>175612.5</v>
      </c>
      <c r="H47" s="254">
        <v>351224.99999999988</v>
      </c>
      <c r="I47" s="254">
        <v>1170750</v>
      </c>
      <c r="J47" s="254"/>
      <c r="K47" s="319"/>
    </row>
    <row r="48" spans="2:13">
      <c r="C48" s="69" t="s">
        <v>356</v>
      </c>
      <c r="D48" s="254">
        <v>0</v>
      </c>
      <c r="E48" s="254">
        <v>285850.31999999995</v>
      </c>
      <c r="F48" s="254">
        <v>221037.59999999998</v>
      </c>
      <c r="G48" s="254">
        <v>215418</v>
      </c>
      <c r="H48" s="254">
        <v>214294.07999999996</v>
      </c>
      <c r="I48" s="254">
        <v>936599.99999999988</v>
      </c>
      <c r="J48" s="254"/>
    </row>
    <row r="49" spans="1:10">
      <c r="D49" s="254"/>
      <c r="E49" s="254"/>
      <c r="F49" s="254"/>
      <c r="G49" s="254"/>
      <c r="H49" s="254"/>
      <c r="I49" s="254"/>
      <c r="J49" s="254"/>
    </row>
    <row r="50" spans="1:10" ht="13.5" thickBot="1">
      <c r="A50" s="371" t="s">
        <v>399</v>
      </c>
      <c r="B50" s="371"/>
      <c r="C50" s="372"/>
      <c r="D50" s="372"/>
      <c r="E50" s="372"/>
      <c r="F50" s="372"/>
      <c r="G50" s="372"/>
      <c r="H50" s="372"/>
      <c r="I50" s="373">
        <v>16390499.999999998</v>
      </c>
      <c r="J50" s="376"/>
    </row>
    <row r="51" spans="1:10" ht="13.5" thickTop="1">
      <c r="A51" s="321"/>
      <c r="B51" s="321"/>
      <c r="C51" s="255"/>
      <c r="D51" s="255"/>
      <c r="E51" s="255"/>
      <c r="F51" s="255"/>
      <c r="G51" s="255"/>
      <c r="H51" s="255"/>
      <c r="I51" s="376"/>
      <c r="J51" s="376"/>
    </row>
    <row r="52" spans="1:10">
      <c r="C52" s="69" t="s">
        <v>400</v>
      </c>
      <c r="E52" s="319">
        <v>0.15</v>
      </c>
      <c r="F52" s="319">
        <v>0.3</v>
      </c>
      <c r="G52" s="319">
        <v>0.3</v>
      </c>
      <c r="H52" s="319">
        <v>0.25</v>
      </c>
      <c r="I52" s="319">
        <v>1</v>
      </c>
      <c r="J52" s="319"/>
    </row>
    <row r="53" spans="1:10">
      <c r="C53" s="69" t="s">
        <v>401</v>
      </c>
      <c r="E53" s="319">
        <v>0.3</v>
      </c>
      <c r="F53" s="319">
        <v>0.25</v>
      </c>
      <c r="G53" s="319">
        <v>0.15</v>
      </c>
      <c r="H53" s="319">
        <v>0.29999999999999993</v>
      </c>
      <c r="I53" s="319">
        <v>1</v>
      </c>
      <c r="J53" s="319"/>
    </row>
    <row r="54" spans="1:10" ht="15">
      <c r="C54" s="69" t="s">
        <v>402</v>
      </c>
      <c r="E54" s="377">
        <v>0.30520000000000003</v>
      </c>
      <c r="F54" s="377">
        <v>0.23599999999999999</v>
      </c>
      <c r="G54" s="377">
        <v>0.23</v>
      </c>
      <c r="H54" s="377">
        <v>0.2288</v>
      </c>
      <c r="I54" s="319">
        <v>1</v>
      </c>
      <c r="J54" s="319"/>
    </row>
  </sheetData>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M63"/>
  <sheetViews>
    <sheetView zoomScale="85" workbookViewId="0">
      <selection activeCell="A2" sqref="A2"/>
    </sheetView>
  </sheetViews>
  <sheetFormatPr defaultRowHeight="12.75"/>
  <cols>
    <col min="1" max="1" width="28.7109375" style="69" customWidth="1"/>
    <col min="2" max="2" width="10.85546875" style="69" customWidth="1"/>
    <col min="3" max="3" width="12.7109375" style="69" customWidth="1"/>
    <col min="4" max="4" width="11.42578125" style="69" customWidth="1"/>
    <col min="5" max="5" width="13.140625" style="69" customWidth="1"/>
    <col min="6" max="6" width="11.7109375" style="69" customWidth="1"/>
    <col min="7" max="7" width="9.140625" style="69"/>
    <col min="8" max="8" width="27.5703125" style="69" customWidth="1"/>
    <col min="9" max="9" width="10.85546875" style="69" customWidth="1"/>
    <col min="10" max="11" width="10.7109375" style="69" customWidth="1"/>
    <col min="12" max="12" width="11.85546875" style="69" customWidth="1"/>
    <col min="13" max="13" width="11.7109375" style="69" customWidth="1"/>
    <col min="14" max="16384" width="9.140625" style="69"/>
  </cols>
  <sheetData>
    <row r="1" spans="1:13" customFormat="1" ht="19.5" customHeight="1">
      <c r="A1" s="447" t="s">
        <v>501</v>
      </c>
      <c r="B1" s="447"/>
    </row>
    <row r="2" spans="1:13" customFormat="1" ht="18">
      <c r="A2" s="450" t="s">
        <v>553</v>
      </c>
      <c r="B2" s="464"/>
    </row>
    <row r="3" spans="1:13" customFormat="1" ht="15.75">
      <c r="A3" s="464"/>
      <c r="B3" s="464"/>
    </row>
    <row r="4" spans="1:13" customFormat="1" ht="15.75">
      <c r="A4" s="464"/>
      <c r="B4" s="602" t="s">
        <v>526</v>
      </c>
      <c r="C4" s="603"/>
    </row>
    <row r="5" spans="1:13" customFormat="1" ht="15.75">
      <c r="A5" s="464"/>
      <c r="B5" s="598" t="s">
        <v>21</v>
      </c>
      <c r="C5" s="599"/>
    </row>
    <row r="6" spans="1:13" customFormat="1" ht="15.75">
      <c r="A6" s="464"/>
      <c r="B6" s="600" t="s">
        <v>206</v>
      </c>
      <c r="C6" s="601"/>
    </row>
    <row r="7" spans="1:13" customFormat="1" ht="15.75">
      <c r="A7" s="464"/>
      <c r="B7" s="464"/>
    </row>
    <row r="8" spans="1:13" ht="15.75">
      <c r="A8" s="378" t="s">
        <v>403</v>
      </c>
      <c r="B8" s="243"/>
      <c r="C8" s="243"/>
      <c r="D8" s="243"/>
      <c r="E8" s="243"/>
      <c r="F8" s="243"/>
      <c r="H8" s="243"/>
      <c r="I8" s="243"/>
      <c r="J8" s="243"/>
      <c r="K8" s="243"/>
      <c r="L8" s="243"/>
      <c r="M8" s="243"/>
    </row>
    <row r="9" spans="1:13" ht="51">
      <c r="A9" s="379" t="s">
        <v>404</v>
      </c>
      <c r="B9" s="379" t="s">
        <v>404</v>
      </c>
      <c r="C9" s="380" t="s">
        <v>79</v>
      </c>
      <c r="D9" s="380" t="s">
        <v>80</v>
      </c>
      <c r="E9" s="380" t="s">
        <v>81</v>
      </c>
      <c r="F9" s="380" t="s">
        <v>82</v>
      </c>
      <c r="H9" s="379" t="s">
        <v>405</v>
      </c>
      <c r="I9" s="379" t="s">
        <v>405</v>
      </c>
      <c r="J9" s="380" t="s">
        <v>79</v>
      </c>
      <c r="K9" s="380" t="s">
        <v>80</v>
      </c>
      <c r="L9" s="380" t="s">
        <v>81</v>
      </c>
      <c r="M9" s="380" t="s">
        <v>82</v>
      </c>
    </row>
    <row r="10" spans="1:13">
      <c r="A10" s="69" t="s">
        <v>406</v>
      </c>
      <c r="B10" s="249">
        <v>0</v>
      </c>
      <c r="C10" s="262">
        <v>614</v>
      </c>
      <c r="D10" s="262">
        <v>379</v>
      </c>
      <c r="E10" s="262">
        <v>735</v>
      </c>
      <c r="F10" s="262">
        <v>448</v>
      </c>
      <c r="H10" s="69" t="s">
        <v>406</v>
      </c>
      <c r="I10" s="249">
        <v>0</v>
      </c>
      <c r="J10" s="262">
        <v>614</v>
      </c>
      <c r="K10" s="262">
        <v>379</v>
      </c>
      <c r="L10" s="262">
        <v>735</v>
      </c>
      <c r="M10" s="262">
        <v>448</v>
      </c>
    </row>
    <row r="11" spans="1:13">
      <c r="A11" s="69" t="s">
        <v>407</v>
      </c>
      <c r="B11" s="249">
        <v>0.3</v>
      </c>
      <c r="C11" s="262">
        <v>83</v>
      </c>
      <c r="D11" s="262">
        <v>71</v>
      </c>
      <c r="E11" s="262">
        <v>165</v>
      </c>
      <c r="F11" s="262">
        <v>102</v>
      </c>
      <c r="H11" s="69" t="s">
        <v>407</v>
      </c>
      <c r="I11" s="249">
        <v>0.3</v>
      </c>
      <c r="J11" s="262">
        <v>129</v>
      </c>
      <c r="K11" s="262">
        <v>107</v>
      </c>
      <c r="L11" s="262">
        <v>245</v>
      </c>
      <c r="M11" s="262">
        <v>151</v>
      </c>
    </row>
    <row r="12" spans="1:13">
      <c r="A12" s="69" t="s">
        <v>407</v>
      </c>
      <c r="B12" s="249">
        <v>0.5</v>
      </c>
      <c r="C12" s="262">
        <v>149</v>
      </c>
      <c r="D12" s="262">
        <v>121</v>
      </c>
      <c r="E12" s="262">
        <v>277</v>
      </c>
      <c r="F12" s="262">
        <v>170</v>
      </c>
      <c r="H12" s="69" t="s">
        <v>407</v>
      </c>
      <c r="I12" s="249">
        <v>0.5</v>
      </c>
      <c r="J12" s="262">
        <v>244</v>
      </c>
      <c r="K12" s="262">
        <v>184</v>
      </c>
      <c r="L12" s="262">
        <v>411</v>
      </c>
      <c r="M12" s="262">
        <v>252</v>
      </c>
    </row>
    <row r="13" spans="1:13">
      <c r="A13" s="255" t="s">
        <v>407</v>
      </c>
      <c r="B13" s="381">
        <v>0.8</v>
      </c>
      <c r="C13" s="290">
        <v>273</v>
      </c>
      <c r="D13" s="290">
        <v>201</v>
      </c>
      <c r="E13" s="290">
        <v>446</v>
      </c>
      <c r="F13" s="290">
        <v>274</v>
      </c>
      <c r="H13" s="69" t="s">
        <v>407</v>
      </c>
      <c r="I13" s="381">
        <v>0.8</v>
      </c>
      <c r="J13" s="290">
        <v>504</v>
      </c>
      <c r="K13" s="290">
        <v>308</v>
      </c>
      <c r="L13" s="290">
        <v>664</v>
      </c>
      <c r="M13" s="290">
        <v>406</v>
      </c>
    </row>
    <row r="15" spans="1:13">
      <c r="A15" s="69" t="s">
        <v>406</v>
      </c>
      <c r="B15" s="319">
        <v>0</v>
      </c>
      <c r="C15" s="69">
        <f>C10</f>
        <v>614</v>
      </c>
      <c r="D15" s="69">
        <f>D10</f>
        <v>379</v>
      </c>
      <c r="E15" s="69">
        <f>E10</f>
        <v>735</v>
      </c>
      <c r="F15" s="69">
        <f>F10</f>
        <v>448</v>
      </c>
      <c r="H15" s="69" t="s">
        <v>406</v>
      </c>
      <c r="I15" s="319">
        <v>0</v>
      </c>
      <c r="J15" s="69">
        <f>J10</f>
        <v>614</v>
      </c>
      <c r="K15" s="69">
        <f>K10</f>
        <v>379</v>
      </c>
      <c r="L15" s="69">
        <f>L10</f>
        <v>735</v>
      </c>
      <c r="M15" s="69">
        <f>M10</f>
        <v>448</v>
      </c>
    </row>
    <row r="16" spans="1:13">
      <c r="A16" s="69" t="s">
        <v>408</v>
      </c>
      <c r="B16" s="319">
        <v>0.3</v>
      </c>
      <c r="C16" s="69">
        <f>C$10-C11</f>
        <v>531</v>
      </c>
      <c r="D16" s="69">
        <f>D$10-D11</f>
        <v>308</v>
      </c>
      <c r="E16" s="69">
        <f>E$10-E11</f>
        <v>570</v>
      </c>
      <c r="F16" s="69">
        <f>F$10-F11</f>
        <v>346</v>
      </c>
      <c r="H16" s="69" t="s">
        <v>408</v>
      </c>
      <c r="I16" s="319">
        <v>0.3</v>
      </c>
      <c r="J16" s="69">
        <f t="shared" ref="J16:M18" si="0">J$10-J11</f>
        <v>485</v>
      </c>
      <c r="K16" s="69">
        <f t="shared" si="0"/>
        <v>272</v>
      </c>
      <c r="L16" s="69">
        <f t="shared" si="0"/>
        <v>490</v>
      </c>
      <c r="M16" s="69">
        <f t="shared" si="0"/>
        <v>297</v>
      </c>
    </row>
    <row r="17" spans="1:13">
      <c r="A17" s="69" t="s">
        <v>408</v>
      </c>
      <c r="B17" s="319">
        <v>0.5</v>
      </c>
      <c r="C17" s="69">
        <f>C$10-C12</f>
        <v>465</v>
      </c>
      <c r="D17" s="69">
        <f t="shared" ref="D17:F18" si="1">D$10-D12</f>
        <v>258</v>
      </c>
      <c r="E17" s="69">
        <f t="shared" si="1"/>
        <v>458</v>
      </c>
      <c r="F17" s="69">
        <f t="shared" si="1"/>
        <v>278</v>
      </c>
      <c r="H17" s="69" t="s">
        <v>408</v>
      </c>
      <c r="I17" s="319">
        <v>0.5</v>
      </c>
      <c r="J17" s="69">
        <f t="shared" si="0"/>
        <v>370</v>
      </c>
      <c r="K17" s="69">
        <f t="shared" si="0"/>
        <v>195</v>
      </c>
      <c r="L17" s="69">
        <f t="shared" si="0"/>
        <v>324</v>
      </c>
      <c r="M17" s="69">
        <f t="shared" si="0"/>
        <v>196</v>
      </c>
    </row>
    <row r="18" spans="1:13">
      <c r="A18" s="69" t="s">
        <v>408</v>
      </c>
      <c r="B18" s="319">
        <v>0.8</v>
      </c>
      <c r="C18" s="69">
        <f>C$10-C13</f>
        <v>341</v>
      </c>
      <c r="D18" s="69">
        <f t="shared" si="1"/>
        <v>178</v>
      </c>
      <c r="E18" s="69">
        <f t="shared" si="1"/>
        <v>289</v>
      </c>
      <c r="F18" s="69">
        <f t="shared" si="1"/>
        <v>174</v>
      </c>
      <c r="H18" s="69" t="s">
        <v>408</v>
      </c>
      <c r="I18" s="319">
        <v>0.8</v>
      </c>
      <c r="J18" s="69">
        <f t="shared" si="0"/>
        <v>110</v>
      </c>
      <c r="K18" s="69">
        <f t="shared" si="0"/>
        <v>71</v>
      </c>
      <c r="L18" s="69">
        <f t="shared" si="0"/>
        <v>71</v>
      </c>
      <c r="M18" s="69">
        <f t="shared" si="0"/>
        <v>42</v>
      </c>
    </row>
    <row r="19" spans="1:13">
      <c r="B19" s="319"/>
      <c r="I19" s="319"/>
    </row>
    <row r="20" spans="1:13">
      <c r="A20" s="69" t="s">
        <v>409</v>
      </c>
      <c r="H20" s="69" t="s">
        <v>410</v>
      </c>
    </row>
    <row r="21" spans="1:13">
      <c r="A21" s="69" t="s">
        <v>407</v>
      </c>
      <c r="B21" s="382" t="s">
        <v>83</v>
      </c>
      <c r="C21" s="383">
        <f>(C11)/(100*($B11-$B10))</f>
        <v>2.7666666666666666</v>
      </c>
      <c r="D21" s="383">
        <f>(D11)/(100*($B11-$B10))</f>
        <v>2.3666666666666667</v>
      </c>
      <c r="E21" s="383">
        <f>(E11)/(100*($B11-$B10))</f>
        <v>5.5</v>
      </c>
      <c r="F21" s="383">
        <f>(F11)/(100*($B11-$B10))</f>
        <v>3.4</v>
      </c>
      <c r="H21" s="69" t="s">
        <v>407</v>
      </c>
      <c r="I21" s="382" t="s">
        <v>83</v>
      </c>
      <c r="J21" s="383">
        <f>(J11)/(100*($I11-$I10))</f>
        <v>4.3</v>
      </c>
      <c r="K21" s="383">
        <f>(K11)/(100*($I11-$I10))</f>
        <v>3.5666666666666669</v>
      </c>
      <c r="L21" s="383">
        <f>(L11)/(100*($I11-$I10))</f>
        <v>8.1666666666666661</v>
      </c>
      <c r="M21" s="383">
        <f>(M11)/(100*($I11-$I10))</f>
        <v>5.0333333333333332</v>
      </c>
    </row>
    <row r="22" spans="1:13">
      <c r="A22" s="69" t="s">
        <v>407</v>
      </c>
      <c r="B22" s="384" t="s">
        <v>411</v>
      </c>
      <c r="C22" s="385">
        <f t="shared" ref="C22:C23" si="2">(C12-C11)/(100*($B12-$B11))</f>
        <v>3.3</v>
      </c>
      <c r="D22" s="385">
        <f t="shared" ref="D22:F23" si="3">(D12-D11)/(100*($B12-$B11))</f>
        <v>2.5</v>
      </c>
      <c r="E22" s="385">
        <f t="shared" si="3"/>
        <v>5.6</v>
      </c>
      <c r="F22" s="385">
        <f t="shared" si="3"/>
        <v>3.4</v>
      </c>
      <c r="H22" s="69" t="s">
        <v>407</v>
      </c>
      <c r="I22" s="384" t="s">
        <v>411</v>
      </c>
      <c r="J22" s="385">
        <f t="shared" ref="J22:M23" si="4">(J12-J11)/(100*($I12-$I11))</f>
        <v>5.75</v>
      </c>
      <c r="K22" s="385">
        <f t="shared" si="4"/>
        <v>3.85</v>
      </c>
      <c r="L22" s="385">
        <f t="shared" si="4"/>
        <v>8.3000000000000007</v>
      </c>
      <c r="M22" s="385">
        <f t="shared" si="4"/>
        <v>5.05</v>
      </c>
    </row>
    <row r="23" spans="1:13">
      <c r="A23" s="243" t="s">
        <v>407</v>
      </c>
      <c r="B23" s="386" t="s">
        <v>412</v>
      </c>
      <c r="C23" s="387">
        <f t="shared" si="2"/>
        <v>4.1333333333333329</v>
      </c>
      <c r="D23" s="387">
        <f t="shared" si="3"/>
        <v>2.6666666666666665</v>
      </c>
      <c r="E23" s="387">
        <f t="shared" si="3"/>
        <v>5.6333333333333329</v>
      </c>
      <c r="F23" s="387">
        <f t="shared" si="3"/>
        <v>3.4666666666666663</v>
      </c>
      <c r="H23" s="243" t="s">
        <v>407</v>
      </c>
      <c r="I23" s="386" t="s">
        <v>412</v>
      </c>
      <c r="J23" s="387">
        <f t="shared" si="4"/>
        <v>8.6666666666666661</v>
      </c>
      <c r="K23" s="387">
        <f t="shared" si="4"/>
        <v>4.1333333333333329</v>
      </c>
      <c r="L23" s="387">
        <f t="shared" si="4"/>
        <v>8.4333333333333318</v>
      </c>
      <c r="M23" s="387">
        <f t="shared" si="4"/>
        <v>5.1333333333333329</v>
      </c>
    </row>
    <row r="24" spans="1:13">
      <c r="A24" s="262" t="s">
        <v>413</v>
      </c>
      <c r="B24" s="319"/>
      <c r="H24" s="262" t="s">
        <v>413</v>
      </c>
      <c r="I24" s="319"/>
    </row>
    <row r="25" spans="1:13">
      <c r="A25" s="261" t="s">
        <v>414</v>
      </c>
      <c r="H25" s="261" t="s">
        <v>415</v>
      </c>
    </row>
    <row r="26" spans="1:13">
      <c r="A26" s="103"/>
      <c r="H26" s="103"/>
    </row>
    <row r="27" spans="1:13">
      <c r="A27" s="103"/>
      <c r="H27" s="103"/>
    </row>
    <row r="28" spans="1:13">
      <c r="A28" s="103"/>
      <c r="H28" s="103"/>
    </row>
    <row r="29" spans="1:13">
      <c r="A29" s="103"/>
      <c r="H29" s="103"/>
    </row>
    <row r="30" spans="1:13">
      <c r="A30" s="103"/>
      <c r="H30" s="103"/>
    </row>
    <row r="31" spans="1:13">
      <c r="A31" s="103"/>
      <c r="H31" s="103"/>
    </row>
    <row r="32" spans="1:13">
      <c r="A32" s="103"/>
      <c r="H32" s="103"/>
    </row>
    <row r="33" spans="1:13">
      <c r="A33" s="103"/>
      <c r="H33" s="103"/>
    </row>
    <row r="34" spans="1:13">
      <c r="A34" s="103"/>
      <c r="H34" s="103"/>
    </row>
    <row r="35" spans="1:13">
      <c r="A35" s="103"/>
      <c r="H35" s="103"/>
    </row>
    <row r="36" spans="1:13">
      <c r="A36" s="103"/>
      <c r="H36" s="103"/>
    </row>
    <row r="37" spans="1:13">
      <c r="A37" s="103"/>
      <c r="H37" s="103"/>
    </row>
    <row r="38" spans="1:13">
      <c r="A38" s="103"/>
      <c r="H38" s="103"/>
    </row>
    <row r="39" spans="1:13">
      <c r="A39" s="103"/>
      <c r="H39" s="103"/>
    </row>
    <row r="40" spans="1:13">
      <c r="A40" s="103"/>
      <c r="H40" s="103"/>
    </row>
    <row r="42" spans="1:13">
      <c r="A42" s="339" t="s">
        <v>416</v>
      </c>
      <c r="B42" s="243"/>
      <c r="C42" s="243"/>
      <c r="D42" s="243"/>
      <c r="E42" s="243"/>
      <c r="F42" s="243"/>
      <c r="H42" s="339" t="s">
        <v>417</v>
      </c>
      <c r="I42" s="243"/>
      <c r="J42" s="243"/>
      <c r="K42" s="243"/>
      <c r="L42" s="243"/>
      <c r="M42" s="243"/>
    </row>
    <row r="43" spans="1:13">
      <c r="A43" s="69" t="s">
        <v>418</v>
      </c>
      <c r="C43" s="388" t="s">
        <v>419</v>
      </c>
      <c r="D43" s="388" t="s">
        <v>419</v>
      </c>
      <c r="E43" s="388" t="s">
        <v>420</v>
      </c>
      <c r="F43" s="388" t="s">
        <v>420</v>
      </c>
      <c r="H43" s="69" t="s">
        <v>418</v>
      </c>
      <c r="J43" s="388" t="s">
        <v>419</v>
      </c>
      <c r="K43" s="388" t="s">
        <v>419</v>
      </c>
      <c r="L43" s="388" t="s">
        <v>420</v>
      </c>
      <c r="M43" s="388" t="s">
        <v>420</v>
      </c>
    </row>
    <row r="44" spans="1:13" ht="15">
      <c r="A44" s="255" t="s">
        <v>251</v>
      </c>
      <c r="B44" s="255"/>
      <c r="C44" s="289">
        <v>200133</v>
      </c>
      <c r="D44" s="289">
        <v>64042</v>
      </c>
      <c r="E44" s="289">
        <v>800</v>
      </c>
      <c r="F44" s="289">
        <v>1300</v>
      </c>
      <c r="H44" s="255" t="s">
        <v>251</v>
      </c>
      <c r="I44" s="255"/>
      <c r="J44" s="289">
        <v>200133</v>
      </c>
      <c r="K44" s="289">
        <v>64042</v>
      </c>
      <c r="L44" s="289">
        <v>800</v>
      </c>
      <c r="M44" s="289">
        <v>1300</v>
      </c>
    </row>
    <row r="45" spans="1:13">
      <c r="A45" s="243" t="s">
        <v>421</v>
      </c>
      <c r="B45" s="243"/>
      <c r="C45" s="259">
        <f>C44*C21</f>
        <v>553701.29999999993</v>
      </c>
      <c r="D45" s="259">
        <f>D44*D21</f>
        <v>151566.06666666668</v>
      </c>
      <c r="E45" s="259">
        <f>E44*E21</f>
        <v>4400</v>
      </c>
      <c r="F45" s="259">
        <f>F44*F21</f>
        <v>4420</v>
      </c>
      <c r="H45" s="243" t="s">
        <v>422</v>
      </c>
      <c r="I45" s="243"/>
      <c r="J45" s="259">
        <f>J44*J21</f>
        <v>860571.89999999991</v>
      </c>
      <c r="K45" s="259">
        <f>K44*K21</f>
        <v>228416.46666666667</v>
      </c>
      <c r="L45" s="259">
        <f>L44*L21</f>
        <v>6533.333333333333</v>
      </c>
      <c r="M45" s="259">
        <f>M44*M21</f>
        <v>6543.333333333333</v>
      </c>
    </row>
    <row r="46" spans="1:13" ht="15">
      <c r="A46" s="262" t="s">
        <v>423</v>
      </c>
      <c r="C46" s="247"/>
      <c r="D46" s="247"/>
      <c r="E46" s="247"/>
      <c r="F46" s="247"/>
      <c r="H46" s="262" t="s">
        <v>423</v>
      </c>
      <c r="J46" s="247"/>
      <c r="K46" s="247"/>
      <c r="L46" s="247"/>
      <c r="M46" s="247"/>
    </row>
    <row r="47" spans="1:13" ht="15">
      <c r="A47" s="103" t="s">
        <v>424</v>
      </c>
      <c r="C47" s="247"/>
      <c r="D47" s="247"/>
      <c r="E47" s="247"/>
      <c r="F47" s="247"/>
      <c r="H47" s="103" t="s">
        <v>424</v>
      </c>
      <c r="J47" s="247"/>
      <c r="K47" s="247"/>
      <c r="L47" s="247"/>
      <c r="M47" s="247"/>
    </row>
    <row r="49" spans="1:13">
      <c r="A49" s="284" t="s">
        <v>425</v>
      </c>
      <c r="H49" s="284" t="s">
        <v>425</v>
      </c>
    </row>
    <row r="50" spans="1:13">
      <c r="A50" s="339" t="s">
        <v>404</v>
      </c>
      <c r="B50" s="243"/>
      <c r="C50" s="243"/>
      <c r="D50" s="243"/>
      <c r="E50" s="243"/>
      <c r="F50" s="243"/>
      <c r="H50" s="339" t="s">
        <v>426</v>
      </c>
      <c r="I50" s="389"/>
      <c r="J50" s="390"/>
      <c r="K50" s="390"/>
      <c r="L50" s="390"/>
      <c r="M50" s="390"/>
    </row>
    <row r="51" spans="1:13" ht="15">
      <c r="A51" s="69" t="s">
        <v>427</v>
      </c>
      <c r="C51" s="306">
        <f>C21/C10</f>
        <v>4.5059717698154181E-3</v>
      </c>
      <c r="D51" s="306">
        <f>D21/D10</f>
        <v>6.2445030782761653E-3</v>
      </c>
      <c r="E51" s="306">
        <f>E21/E10</f>
        <v>7.4829931972789114E-3</v>
      </c>
      <c r="F51" s="306">
        <f>F21/F10</f>
        <v>7.5892857142857142E-3</v>
      </c>
      <c r="H51" s="69" t="s">
        <v>428</v>
      </c>
      <c r="J51" s="306">
        <f>J21/J10</f>
        <v>7.003257328990228E-3</v>
      </c>
      <c r="K51" s="306">
        <f>K21/K10</f>
        <v>9.4107299912049251E-3</v>
      </c>
      <c r="L51" s="306">
        <f>L21/L10</f>
        <v>1.111111111111111E-2</v>
      </c>
      <c r="M51" s="306">
        <f>M21/M10</f>
        <v>1.1235119047619048E-2</v>
      </c>
    </row>
    <row r="52" spans="1:13" ht="15">
      <c r="A52" s="69" t="s">
        <v>84</v>
      </c>
      <c r="C52" s="391">
        <v>1</v>
      </c>
      <c r="D52" s="392">
        <v>0.6</v>
      </c>
      <c r="H52" s="69" t="s">
        <v>84</v>
      </c>
      <c r="J52" s="391">
        <v>1</v>
      </c>
      <c r="K52" s="392">
        <v>0.6</v>
      </c>
    </row>
    <row r="53" spans="1:13">
      <c r="A53" s="69" t="s">
        <v>429</v>
      </c>
      <c r="H53" s="69" t="s">
        <v>430</v>
      </c>
    </row>
    <row r="54" spans="1:13" ht="15">
      <c r="A54" s="393" t="s">
        <v>431</v>
      </c>
      <c r="B54" s="243"/>
      <c r="C54" s="243"/>
      <c r="D54" s="394">
        <f>(C51*C52+D51*D52)/(C52+D52)</f>
        <v>5.1579210104881982E-3</v>
      </c>
      <c r="E54" s="243"/>
      <c r="F54" s="395">
        <f>AVERAGE(E51:F51)</f>
        <v>7.5361394557823128E-3</v>
      </c>
      <c r="H54" s="393" t="s">
        <v>431</v>
      </c>
      <c r="I54" s="243"/>
      <c r="J54" s="243"/>
      <c r="K54" s="394">
        <f>(J51*J52+K51*K52)/(J52+K52)</f>
        <v>7.9060595773207398E-3</v>
      </c>
      <c r="L54" s="243"/>
      <c r="M54" s="395">
        <f>AVERAGE(L51:M51)</f>
        <v>1.1173115079365078E-2</v>
      </c>
    </row>
    <row r="55" spans="1:13">
      <c r="A55" s="103" t="s">
        <v>432</v>
      </c>
      <c r="B55" s="319"/>
      <c r="H55" s="103" t="s">
        <v>432</v>
      </c>
      <c r="I55" s="319"/>
    </row>
    <row r="57" spans="1:13" ht="51">
      <c r="A57" s="339" t="s">
        <v>433</v>
      </c>
      <c r="B57" s="379" t="s">
        <v>433</v>
      </c>
      <c r="C57" s="379" t="s">
        <v>79</v>
      </c>
      <c r="D57" s="379" t="s">
        <v>80</v>
      </c>
      <c r="E57" s="379" t="s">
        <v>81</v>
      </c>
      <c r="F57" s="379" t="s">
        <v>82</v>
      </c>
    </row>
    <row r="58" spans="1:13">
      <c r="A58" s="69" t="s">
        <v>407</v>
      </c>
      <c r="B58" s="249">
        <v>0.3</v>
      </c>
      <c r="C58" s="396">
        <v>0.7</v>
      </c>
      <c r="D58" s="396">
        <v>0.6</v>
      </c>
      <c r="E58" s="396">
        <v>1</v>
      </c>
      <c r="F58" s="396">
        <v>0.7</v>
      </c>
    </row>
    <row r="59" spans="1:13" ht="15">
      <c r="A59" s="69" t="s">
        <v>427</v>
      </c>
      <c r="C59" s="397">
        <f>C58/30/J10</f>
        <v>3.8002171552660146E-5</v>
      </c>
      <c r="D59" s="397">
        <f>D58/30/K10</f>
        <v>5.2770448548812667E-5</v>
      </c>
      <c r="E59" s="397">
        <f>E58/30/L10</f>
        <v>4.5351473922902495E-5</v>
      </c>
      <c r="F59" s="397">
        <f>F58/30/M10</f>
        <v>5.208333333333333E-5</v>
      </c>
    </row>
    <row r="60" spans="1:13" ht="15">
      <c r="A60" s="69" t="s">
        <v>84</v>
      </c>
      <c r="C60" s="391">
        <v>1</v>
      </c>
      <c r="D60" s="392">
        <v>0.6</v>
      </c>
    </row>
    <row r="61" spans="1:13">
      <c r="A61" s="69" t="s">
        <v>434</v>
      </c>
    </row>
    <row r="62" spans="1:13" ht="15">
      <c r="A62" s="393" t="s">
        <v>431</v>
      </c>
      <c r="B62" s="243"/>
      <c r="C62" s="243"/>
      <c r="D62" s="398">
        <f>(C59*C60+D59*D60)/(C60+D60)</f>
        <v>4.3540275426217335E-5</v>
      </c>
      <c r="E62" s="243"/>
      <c r="F62" s="399">
        <f>AVERAGE(E59:F59)</f>
        <v>4.8717403628117909E-5</v>
      </c>
    </row>
    <row r="63" spans="1:13">
      <c r="A63" s="262" t="s">
        <v>435</v>
      </c>
    </row>
  </sheetData>
  <mergeCells count="3">
    <mergeCell ref="B4:C4"/>
    <mergeCell ref="B5:C5"/>
    <mergeCell ref="B6:C6"/>
  </mergeCell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outlinePr summaryBelow="0"/>
  </sheetPr>
  <dimension ref="A1:I25"/>
  <sheetViews>
    <sheetView showGridLines="0" workbookViewId="0">
      <selection activeCell="A2" sqref="A2"/>
    </sheetView>
  </sheetViews>
  <sheetFormatPr defaultRowHeight="12.75" outlineLevelRow="1" outlineLevelCol="1"/>
  <cols>
    <col min="1" max="2" width="9.140625" style="69"/>
    <col min="3" max="3" width="25.7109375" style="69" bestFit="1" customWidth="1"/>
    <col min="4" max="9" width="13.28515625" style="69" customWidth="1" outlineLevel="1"/>
    <col min="10" max="16384" width="9.140625" style="69"/>
  </cols>
  <sheetData>
    <row r="1" spans="1:9" customFormat="1" ht="19.5" customHeight="1">
      <c r="A1" s="447" t="s">
        <v>501</v>
      </c>
      <c r="B1" s="447"/>
    </row>
    <row r="2" spans="1:9" customFormat="1" ht="18">
      <c r="A2" s="450" t="s">
        <v>553</v>
      </c>
      <c r="B2" s="464"/>
    </row>
    <row r="3" spans="1:9" ht="13.5" thickBot="1"/>
    <row r="4" spans="1:9" ht="15">
      <c r="B4" s="400" t="s">
        <v>436</v>
      </c>
      <c r="C4" s="400"/>
      <c r="D4" s="401"/>
      <c r="E4" s="401"/>
      <c r="F4" s="401"/>
      <c r="G4" s="401"/>
      <c r="H4" s="401"/>
      <c r="I4" s="401"/>
    </row>
    <row r="5" spans="1:9" ht="15" collapsed="1">
      <c r="B5" s="402"/>
      <c r="C5" s="402"/>
      <c r="D5" s="403" t="s">
        <v>437</v>
      </c>
      <c r="E5" s="403" t="s">
        <v>438</v>
      </c>
      <c r="F5" s="403" t="s">
        <v>439</v>
      </c>
      <c r="G5" s="403" t="s">
        <v>440</v>
      </c>
      <c r="H5" s="403" t="s">
        <v>441</v>
      </c>
      <c r="I5" s="403" t="s">
        <v>442</v>
      </c>
    </row>
    <row r="6" spans="1:9" ht="135" hidden="1" outlineLevel="1">
      <c r="B6" s="404"/>
      <c r="C6" s="404"/>
      <c r="D6" s="405"/>
      <c r="E6" s="406" t="s">
        <v>443</v>
      </c>
      <c r="F6" s="406" t="s">
        <v>444</v>
      </c>
      <c r="G6" s="406" t="s">
        <v>444</v>
      </c>
      <c r="H6" s="406" t="s">
        <v>444</v>
      </c>
      <c r="I6" s="406" t="s">
        <v>445</v>
      </c>
    </row>
    <row r="7" spans="1:9">
      <c r="B7" s="407" t="s">
        <v>446</v>
      </c>
      <c r="C7" s="407"/>
      <c r="D7" s="408"/>
      <c r="E7" s="408"/>
      <c r="F7" s="408"/>
      <c r="G7" s="408"/>
      <c r="H7" s="408"/>
      <c r="I7" s="408"/>
    </row>
    <row r="8" spans="1:9" outlineLevel="1">
      <c r="B8" s="404"/>
      <c r="C8" s="404" t="s">
        <v>447</v>
      </c>
      <c r="D8" s="409">
        <v>350</v>
      </c>
      <c r="E8" s="410">
        <v>350</v>
      </c>
      <c r="F8" s="410">
        <v>350</v>
      </c>
      <c r="G8" s="410">
        <v>450</v>
      </c>
      <c r="H8" s="410">
        <v>450</v>
      </c>
      <c r="I8" s="410">
        <v>350</v>
      </c>
    </row>
    <row r="9" spans="1:9" outlineLevel="1">
      <c r="B9" s="404"/>
      <c r="C9" s="404" t="s">
        <v>448</v>
      </c>
      <c r="D9" s="409">
        <v>9500</v>
      </c>
      <c r="E9" s="410">
        <v>9500</v>
      </c>
      <c r="F9" s="410">
        <v>14000</v>
      </c>
      <c r="G9" s="410">
        <v>5000</v>
      </c>
      <c r="H9" s="410">
        <v>14000</v>
      </c>
      <c r="I9" s="410">
        <v>9500</v>
      </c>
    </row>
    <row r="10" spans="1:9" outlineLevel="1">
      <c r="B10" s="404"/>
      <c r="C10" s="404" t="s">
        <v>449</v>
      </c>
      <c r="D10" s="411">
        <v>0.3</v>
      </c>
      <c r="E10" s="412">
        <v>0.3</v>
      </c>
      <c r="F10" s="412">
        <v>0.45</v>
      </c>
      <c r="G10" s="412">
        <v>0.2</v>
      </c>
      <c r="H10" s="412">
        <v>0.3</v>
      </c>
      <c r="I10" s="412">
        <v>0.3</v>
      </c>
    </row>
    <row r="11" spans="1:9" outlineLevel="1">
      <c r="B11" s="404"/>
      <c r="C11" s="404" t="s">
        <v>450</v>
      </c>
      <c r="D11" s="411">
        <v>0.15</v>
      </c>
      <c r="E11" s="412">
        <v>0.15</v>
      </c>
      <c r="F11" s="412">
        <v>0.23</v>
      </c>
      <c r="G11" s="412">
        <v>0.1</v>
      </c>
      <c r="H11" s="412">
        <v>0.15</v>
      </c>
      <c r="I11" s="412">
        <v>0.15</v>
      </c>
    </row>
    <row r="12" spans="1:9" outlineLevel="1">
      <c r="B12" s="404"/>
      <c r="C12" s="404" t="s">
        <v>451</v>
      </c>
      <c r="D12" s="411">
        <v>0</v>
      </c>
      <c r="E12" s="412">
        <v>0</v>
      </c>
      <c r="F12" s="412">
        <v>0</v>
      </c>
      <c r="G12" s="412">
        <v>0</v>
      </c>
      <c r="H12" s="412">
        <v>0</v>
      </c>
      <c r="I12" s="412">
        <v>0</v>
      </c>
    </row>
    <row r="13" spans="1:9" outlineLevel="1">
      <c r="B13" s="404"/>
      <c r="C13" s="404" t="s">
        <v>452</v>
      </c>
      <c r="D13" s="411">
        <v>0</v>
      </c>
      <c r="E13" s="412">
        <v>0</v>
      </c>
      <c r="F13" s="412">
        <v>0</v>
      </c>
      <c r="G13" s="412">
        <v>0</v>
      </c>
      <c r="H13" s="412">
        <v>0</v>
      </c>
      <c r="I13" s="412">
        <v>0</v>
      </c>
    </row>
    <row r="14" spans="1:9" outlineLevel="1">
      <c r="B14" s="404"/>
      <c r="C14" s="404" t="s">
        <v>453</v>
      </c>
      <c r="D14" s="411">
        <v>0.7</v>
      </c>
      <c r="E14" s="412">
        <v>0.7</v>
      </c>
      <c r="F14" s="412">
        <v>0.7</v>
      </c>
      <c r="G14" s="412">
        <v>0.7</v>
      </c>
      <c r="H14" s="412">
        <v>0.7</v>
      </c>
      <c r="I14" s="412">
        <v>0.35</v>
      </c>
    </row>
    <row r="15" spans="1:9">
      <c r="B15" s="407" t="s">
        <v>454</v>
      </c>
      <c r="C15" s="407"/>
      <c r="D15" s="408"/>
      <c r="E15" s="408"/>
      <c r="F15" s="408"/>
      <c r="G15" s="408"/>
      <c r="H15" s="408"/>
      <c r="I15" s="408"/>
    </row>
    <row r="16" spans="1:9" outlineLevel="1">
      <c r="B16" s="404"/>
      <c r="C16" s="404" t="s">
        <v>455</v>
      </c>
      <c r="D16" s="409">
        <v>9775500</v>
      </c>
      <c r="E16" s="409">
        <v>9775500</v>
      </c>
      <c r="F16" s="409">
        <v>14406000</v>
      </c>
      <c r="G16" s="409">
        <v>6615000</v>
      </c>
      <c r="H16" s="409">
        <v>18522000</v>
      </c>
      <c r="I16" s="409">
        <v>4887750</v>
      </c>
    </row>
    <row r="17" spans="2:9" outlineLevel="1">
      <c r="B17" s="404"/>
      <c r="C17" s="404" t="s">
        <v>456</v>
      </c>
      <c r="D17" s="411">
        <v>0.24492532510082801</v>
      </c>
      <c r="E17" s="411">
        <v>0.24492532510082801</v>
      </c>
      <c r="F17" s="411">
        <v>0.38383136690910202</v>
      </c>
      <c r="G17" s="411" t="e">
        <v>#NUM!</v>
      </c>
      <c r="H17" s="411">
        <v>5.0660975283813997E-2</v>
      </c>
      <c r="I17" s="411">
        <v>0.34772573239411497</v>
      </c>
    </row>
    <row r="18" spans="2:9" outlineLevel="1">
      <c r="B18" s="404"/>
      <c r="C18" s="404" t="s">
        <v>457</v>
      </c>
      <c r="D18" s="411">
        <v>0.244925325100837</v>
      </c>
      <c r="E18" s="411">
        <v>0.244925325100837</v>
      </c>
      <c r="F18" s="411">
        <v>0.38383136690910602</v>
      </c>
      <c r="G18" s="411" t="e">
        <v>#NUM!</v>
      </c>
      <c r="H18" s="411">
        <v>5.0660975283817501E-2</v>
      </c>
      <c r="I18" s="411">
        <v>0.34772573239412102</v>
      </c>
    </row>
    <row r="19" spans="2:9" outlineLevel="1">
      <c r="B19" s="404"/>
      <c r="C19" s="404" t="s">
        <v>458</v>
      </c>
      <c r="D19" s="413">
        <v>0</v>
      </c>
      <c r="E19" s="413">
        <v>0</v>
      </c>
      <c r="F19" s="413">
        <v>0</v>
      </c>
      <c r="G19" s="413">
        <v>0</v>
      </c>
      <c r="H19" s="413">
        <v>0</v>
      </c>
      <c r="I19" s="413">
        <v>0</v>
      </c>
    </row>
    <row r="20" spans="2:9" outlineLevel="1">
      <c r="B20" s="404"/>
      <c r="C20" s="404" t="s">
        <v>459</v>
      </c>
      <c r="D20" s="413">
        <v>0</v>
      </c>
      <c r="E20" s="413">
        <v>0</v>
      </c>
      <c r="F20" s="413">
        <v>0</v>
      </c>
      <c r="G20" s="413">
        <v>0</v>
      </c>
      <c r="H20" s="413">
        <v>0</v>
      </c>
      <c r="I20" s="413">
        <v>0</v>
      </c>
    </row>
    <row r="21" spans="2:9" outlineLevel="1">
      <c r="B21" s="404"/>
      <c r="C21" s="404" t="s">
        <v>460</v>
      </c>
      <c r="D21" s="413">
        <v>194.11111229903</v>
      </c>
      <c r="E21" s="413">
        <v>194.11111229903</v>
      </c>
      <c r="F21" s="413">
        <v>261.61497257836299</v>
      </c>
      <c r="G21" s="413">
        <v>164.97645349301499</v>
      </c>
      <c r="H21" s="413">
        <v>153.030881319684</v>
      </c>
      <c r="I21" s="413">
        <v>99.880343068261098</v>
      </c>
    </row>
    <row r="22" spans="2:9" ht="13.5" outlineLevel="1" thickBot="1">
      <c r="B22" s="414"/>
      <c r="C22" s="414" t="s">
        <v>461</v>
      </c>
      <c r="D22" s="415">
        <v>138.966829270267</v>
      </c>
      <c r="E22" s="415">
        <v>138.966829270267</v>
      </c>
      <c r="F22" s="415">
        <v>177.72156845736799</v>
      </c>
      <c r="G22" s="415">
        <v>126.758324158976</v>
      </c>
      <c r="H22" s="415">
        <v>103.36396242150001</v>
      </c>
      <c r="I22" s="415">
        <v>57.300162603600299</v>
      </c>
    </row>
    <row r="23" spans="2:9">
      <c r="B23" s="69" t="s">
        <v>462</v>
      </c>
    </row>
    <row r="24" spans="2:9">
      <c r="B24" s="69" t="s">
        <v>463</v>
      </c>
    </row>
    <row r="25" spans="2:9">
      <c r="B25" s="69" t="s">
        <v>464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tabSelected="1" topLeftCell="A3" workbookViewId="0">
      <selection activeCell="B6" sqref="B6"/>
    </sheetView>
  </sheetViews>
  <sheetFormatPr defaultRowHeight="15"/>
  <cols>
    <col min="2" max="2" width="92.42578125" customWidth="1"/>
  </cols>
  <sheetData>
    <row r="1" spans="1:2">
      <c r="A1" s="446"/>
      <c r="B1" s="446"/>
    </row>
    <row r="2" spans="1:2" ht="19.5" customHeight="1">
      <c r="A2" s="446"/>
      <c r="B2" s="447" t="s">
        <v>501</v>
      </c>
    </row>
    <row r="3" spans="1:2">
      <c r="A3" s="448"/>
      <c r="B3" s="449"/>
    </row>
    <row r="4" spans="1:2" ht="18">
      <c r="A4" s="446"/>
      <c r="B4" s="450" t="s">
        <v>553</v>
      </c>
    </row>
    <row r="5" spans="1:2" ht="18">
      <c r="A5" s="451"/>
      <c r="B5" s="446"/>
    </row>
    <row r="6" spans="1:2" ht="18">
      <c r="A6" s="451"/>
      <c r="B6" s="452" t="s">
        <v>498</v>
      </c>
    </row>
    <row r="7" spans="1:2">
      <c r="A7" s="446"/>
      <c r="B7" s="446"/>
    </row>
    <row r="8" spans="1:2">
      <c r="A8" s="456"/>
      <c r="B8" s="457" t="s">
        <v>499</v>
      </c>
    </row>
    <row r="9" spans="1:2" ht="132.75" customHeight="1">
      <c r="A9" s="454"/>
      <c r="B9" s="515" t="s">
        <v>555</v>
      </c>
    </row>
    <row r="10" spans="1:2">
      <c r="A10" s="454"/>
      <c r="B10" s="455"/>
    </row>
    <row r="11" spans="1:2">
      <c r="A11" s="456"/>
      <c r="B11" s="458" t="s">
        <v>500</v>
      </c>
    </row>
    <row r="12" spans="1:2" ht="51">
      <c r="A12" s="454"/>
      <c r="B12" s="455" t="s">
        <v>554</v>
      </c>
    </row>
    <row r="13" spans="1:2">
      <c r="A13" s="454"/>
      <c r="B13" s="455"/>
    </row>
    <row r="14" spans="1:2">
      <c r="A14" s="454"/>
      <c r="B14" s="459"/>
    </row>
    <row r="15" spans="1:2" ht="90" customHeight="1">
      <c r="A15" s="454"/>
      <c r="B15" s="517"/>
    </row>
    <row r="16" spans="1:2">
      <c r="A16" s="454"/>
    </row>
    <row r="17" spans="1:1">
      <c r="A17" s="454"/>
    </row>
    <row r="18" spans="1:1">
      <c r="A18" s="454"/>
    </row>
    <row r="19" spans="1:1">
      <c r="A19" s="453"/>
    </row>
    <row r="20" spans="1:1">
      <c r="A20" s="454"/>
    </row>
    <row r="21" spans="1:1" ht="15.75" customHeight="1">
      <c r="A21" s="454"/>
    </row>
    <row r="22" spans="1:1">
      <c r="A22" s="454"/>
    </row>
    <row r="23" spans="1:1">
      <c r="A23" s="456"/>
    </row>
    <row r="24" spans="1:1">
      <c r="A24" s="456"/>
    </row>
    <row r="25" spans="1:1" ht="99" customHeight="1">
      <c r="A25" s="45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P28"/>
  <sheetViews>
    <sheetView showGridLines="0" topLeftCell="A7" workbookViewId="0">
      <selection activeCell="D23" sqref="D23"/>
    </sheetView>
  </sheetViews>
  <sheetFormatPr defaultRowHeight="15"/>
  <cols>
    <col min="2" max="2" width="26.5703125" customWidth="1"/>
    <col min="3" max="3" width="14.5703125" bestFit="1" customWidth="1"/>
    <col min="4" max="4" width="12.28515625" bestFit="1" customWidth="1"/>
    <col min="5" max="5" width="13.42578125" bestFit="1" customWidth="1"/>
    <col min="6" max="8" width="15" bestFit="1" customWidth="1"/>
    <col min="9" max="15" width="14.28515625" bestFit="1" customWidth="1"/>
    <col min="16" max="18" width="15" bestFit="1" customWidth="1"/>
  </cols>
  <sheetData>
    <row r="1" spans="1:16" ht="19.5" customHeight="1">
      <c r="A1" s="446"/>
      <c r="B1" s="447" t="s">
        <v>501</v>
      </c>
    </row>
    <row r="2" spans="1:16" ht="18">
      <c r="A2" s="446"/>
      <c r="B2" s="450" t="s">
        <v>553</v>
      </c>
    </row>
    <row r="3" spans="1:16" ht="15.75" thickBot="1"/>
    <row r="4" spans="1:16" ht="22.5" customHeight="1">
      <c r="B4" s="537" t="s">
        <v>471</v>
      </c>
      <c r="C4" s="538"/>
      <c r="D4" s="538"/>
      <c r="E4" s="538"/>
      <c r="F4" s="538"/>
      <c r="G4" s="538"/>
      <c r="H4" s="538"/>
      <c r="I4" s="538"/>
      <c r="J4" s="538"/>
      <c r="K4" s="539"/>
    </row>
    <row r="5" spans="1:16" ht="22.5" customHeight="1">
      <c r="B5" s="540"/>
      <c r="C5" s="541"/>
      <c r="D5" s="541"/>
      <c r="E5" s="541"/>
      <c r="F5" s="541"/>
      <c r="G5" s="541"/>
      <c r="H5" s="541"/>
      <c r="I5" s="541"/>
      <c r="J5" s="541"/>
      <c r="K5" s="542"/>
    </row>
    <row r="6" spans="1:16" ht="22.5" customHeight="1">
      <c r="B6" s="540"/>
      <c r="C6" s="541"/>
      <c r="D6" s="541"/>
      <c r="E6" s="541"/>
      <c r="F6" s="541"/>
      <c r="G6" s="541"/>
      <c r="H6" s="541"/>
      <c r="I6" s="541"/>
      <c r="J6" s="541"/>
      <c r="K6" s="542"/>
    </row>
    <row r="7" spans="1:16" ht="22.5" customHeight="1" thickBot="1">
      <c r="B7" s="543"/>
      <c r="C7" s="544"/>
      <c r="D7" s="544"/>
      <c r="E7" s="544"/>
      <c r="F7" s="544"/>
      <c r="G7" s="544"/>
      <c r="H7" s="544"/>
      <c r="I7" s="544"/>
      <c r="J7" s="544"/>
      <c r="K7" s="545"/>
    </row>
    <row r="9" spans="1:16">
      <c r="C9">
        <v>2010</v>
      </c>
      <c r="D9">
        <v>2011</v>
      </c>
      <c r="E9">
        <v>2012</v>
      </c>
      <c r="F9">
        <v>2013</v>
      </c>
      <c r="G9">
        <v>2014</v>
      </c>
      <c r="H9">
        <v>2015</v>
      </c>
      <c r="I9">
        <v>2016</v>
      </c>
      <c r="J9">
        <v>2017</v>
      </c>
      <c r="K9">
        <v>2018</v>
      </c>
      <c r="L9">
        <v>2019</v>
      </c>
      <c r="M9">
        <v>2020</v>
      </c>
      <c r="N9">
        <v>2021</v>
      </c>
      <c r="O9">
        <v>2022</v>
      </c>
      <c r="P9">
        <v>2023</v>
      </c>
    </row>
    <row r="10" spans="1:16">
      <c r="B10" s="427" t="s">
        <v>467</v>
      </c>
      <c r="C10" s="428">
        <f>'Stove ERR'!B23</f>
        <v>-17785</v>
      </c>
      <c r="D10" s="428">
        <f>'Stove ERR'!C23</f>
        <v>-2336448.2864831984</v>
      </c>
      <c r="E10" s="428">
        <f>'Stove ERR'!D23</f>
        <v>-18444742.091472507</v>
      </c>
      <c r="F10" s="428">
        <f>'Stove ERR'!E23</f>
        <v>-2519124.0049923211</v>
      </c>
      <c r="G10" s="428">
        <f>'Stove ERR'!F23</f>
        <v>6297390.7823483497</v>
      </c>
      <c r="H10" s="428">
        <f>'Stove ERR'!G23</f>
        <v>6462291.979746446</v>
      </c>
      <c r="I10" s="428">
        <f>'Stove ERR'!H23</f>
        <v>6632731.2881991565</v>
      </c>
      <c r="J10" s="428">
        <f>'Stove ERR'!I23</f>
        <v>6808894.2548813075</v>
      </c>
      <c r="K10" s="428">
        <f>'Stove ERR'!J23</f>
        <v>6990972.6171829849</v>
      </c>
      <c r="L10" s="428">
        <f>'Stove ERR'!K23</f>
        <v>7179164.5086987019</v>
      </c>
      <c r="M10" s="428">
        <f>'Stove ERR'!L23</f>
        <v>7373674.6720588207</v>
      </c>
      <c r="N10" s="428">
        <f>'Stove ERR'!M23</f>
        <v>4232547.2967796326</v>
      </c>
      <c r="O10" s="428">
        <f>'Stove ERR'!N23</f>
        <v>1776905.2297989428</v>
      </c>
      <c r="P10" s="428">
        <f>'Stove ERR'!O23</f>
        <v>-817262.48910689354</v>
      </c>
    </row>
    <row r="11" spans="1:16">
      <c r="B11" s="424" t="s">
        <v>468</v>
      </c>
      <c r="C11" s="425">
        <f>'Insulation ERR'!H52</f>
        <v>-505644.71999999229</v>
      </c>
      <c r="D11" s="425">
        <f>'Insulation ERR'!I52</f>
        <v>-2107607.2365637659</v>
      </c>
      <c r="E11" s="425">
        <f>'Insulation ERR'!J52</f>
        <v>-1493126.0571806461</v>
      </c>
      <c r="F11" s="425">
        <f>'Insulation ERR'!K52</f>
        <v>-1013371.1034102504</v>
      </c>
      <c r="G11" s="425">
        <f>'Insulation ERR'!L52</f>
        <v>2516408.2994227782</v>
      </c>
      <c r="H11" s="425">
        <f>'Insulation ERR'!M52</f>
        <v>2516408.2994227926</v>
      </c>
      <c r="I11" s="425">
        <f>'Insulation ERR'!N52</f>
        <v>2516408.2994227782</v>
      </c>
      <c r="J11" s="425">
        <f>'Insulation ERR'!O52</f>
        <v>2516408.2994227498</v>
      </c>
      <c r="K11" s="425">
        <f>'Insulation ERR'!P52</f>
        <v>2516408.2994227498</v>
      </c>
      <c r="L11" s="425">
        <f>'Insulation ERR'!Q52</f>
        <v>2516408.2994228066</v>
      </c>
      <c r="M11" s="425">
        <f>'Insulation ERR'!R52</f>
        <v>2516408.2994228066</v>
      </c>
      <c r="N11" s="425">
        <f>'Insulation ERR'!S52</f>
        <v>-1504894.4670514856</v>
      </c>
      <c r="O11" s="425">
        <f>'Insulation ERR'!T52</f>
        <v>-2343697.2335257167</v>
      </c>
      <c r="P11" s="425">
        <f>'Insulation ERR'!U52</f>
        <v>-3182500.0000000047</v>
      </c>
    </row>
    <row r="12" spans="1:16">
      <c r="B12" s="429" t="s">
        <v>469</v>
      </c>
      <c r="C12" s="426">
        <f>SUM(C10:C11)</f>
        <v>-523429.71999999229</v>
      </c>
      <c r="D12" s="426">
        <f t="shared" ref="D12:P12" si="0">SUM(D10:D11)</f>
        <v>-4444055.5230469648</v>
      </c>
      <c r="E12" s="426">
        <f t="shared" si="0"/>
        <v>-19937868.148653153</v>
      </c>
      <c r="F12" s="426">
        <f t="shared" si="0"/>
        <v>-3532495.1084025716</v>
      </c>
      <c r="G12" s="426">
        <f t="shared" si="0"/>
        <v>8813799.0817711279</v>
      </c>
      <c r="H12" s="426">
        <f t="shared" si="0"/>
        <v>8978700.2791692391</v>
      </c>
      <c r="I12" s="426">
        <f t="shared" si="0"/>
        <v>9149139.5876219347</v>
      </c>
      <c r="J12" s="426">
        <f t="shared" si="0"/>
        <v>9325302.5543040577</v>
      </c>
      <c r="K12" s="426">
        <f t="shared" si="0"/>
        <v>9507380.9166057352</v>
      </c>
      <c r="L12" s="426">
        <f t="shared" si="0"/>
        <v>9695572.808121508</v>
      </c>
      <c r="M12" s="426">
        <f t="shared" si="0"/>
        <v>9890082.9714816269</v>
      </c>
      <c r="N12" s="426">
        <f t="shared" si="0"/>
        <v>2727652.829728147</v>
      </c>
      <c r="O12" s="426">
        <f t="shared" si="0"/>
        <v>-566792.0037267739</v>
      </c>
      <c r="P12" s="426">
        <f t="shared" si="0"/>
        <v>-3999762.4891068982</v>
      </c>
    </row>
    <row r="14" spans="1:16">
      <c r="B14" t="s">
        <v>506</v>
      </c>
    </row>
    <row r="16" spans="1:16">
      <c r="B16" s="421" t="s">
        <v>465</v>
      </c>
      <c r="C16" s="417">
        <f>'Stove ERR'!B25</f>
        <v>0.17415704264969323</v>
      </c>
    </row>
    <row r="17" spans="2:3">
      <c r="B17" s="421" t="s">
        <v>466</v>
      </c>
      <c r="C17" s="418">
        <f>'Insulation ERR'!G52</f>
        <v>0.24492532510423382</v>
      </c>
    </row>
    <row r="18" spans="2:3">
      <c r="B18" s="421" t="s">
        <v>470</v>
      </c>
      <c r="C18" s="419">
        <f>IRR(C12:P12)</f>
        <v>0.18669426332008898</v>
      </c>
    </row>
    <row r="19" spans="2:3">
      <c r="B19" s="421"/>
    </row>
    <row r="20" spans="2:3">
      <c r="B20" s="421" t="s">
        <v>472</v>
      </c>
      <c r="C20" s="422">
        <f>NPV($C$24,C10:P10)</f>
        <v>6577775.320188974</v>
      </c>
    </row>
    <row r="21" spans="2:3">
      <c r="B21" s="421" t="s">
        <v>473</v>
      </c>
      <c r="C21" s="423">
        <f>NPV($C$24,C11:P11)</f>
        <v>2355651.6386771272</v>
      </c>
    </row>
    <row r="22" spans="2:3">
      <c r="B22" s="421" t="s">
        <v>474</v>
      </c>
      <c r="C22" s="420">
        <f>NPV($C$24,C12:P12)</f>
        <v>8933426.958866097</v>
      </c>
    </row>
    <row r="24" spans="2:3">
      <c r="B24" s="421" t="s">
        <v>475</v>
      </c>
      <c r="C24" s="416">
        <v>0.1</v>
      </c>
    </row>
    <row r="28" spans="2:3">
      <c r="B28" s="439"/>
    </row>
  </sheetData>
  <mergeCells count="1">
    <mergeCell ref="B4:K7"/>
  </mergeCells>
  <hyperlinks>
    <hyperlink ref="B10" location="'Stove ERR'!B22" display="Stove Net Benefits"/>
    <hyperlink ref="B11" location="'Insulation ERR'!E48" display="Insulation Net Benefits"/>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W64"/>
  <sheetViews>
    <sheetView zoomScaleNormal="100" workbookViewId="0">
      <pane xSplit="1" ySplit="4" topLeftCell="B5" activePane="bottomRight" state="frozen"/>
      <selection activeCell="F6" sqref="F6"/>
      <selection pane="topRight" activeCell="F6" sqref="F6"/>
      <selection pane="bottomLeft" activeCell="F6" sqref="F6"/>
      <selection pane="bottomRight" activeCell="A2" sqref="A2"/>
    </sheetView>
  </sheetViews>
  <sheetFormatPr defaultRowHeight="15"/>
  <cols>
    <col min="1" max="1" width="51.28515625" style="3" customWidth="1"/>
    <col min="2" max="2" width="15.85546875" style="3" bestFit="1" customWidth="1"/>
    <col min="3" max="3" width="14.140625" style="3" bestFit="1" customWidth="1"/>
    <col min="4" max="5" width="15.140625" style="3" bestFit="1" customWidth="1"/>
    <col min="6" max="6" width="17.42578125" style="3" bestFit="1" customWidth="1"/>
    <col min="7" max="7" width="15.140625" style="3" customWidth="1"/>
    <col min="8" max="15" width="15.140625" style="3" bestFit="1" customWidth="1"/>
    <col min="16" max="16" width="4.85546875" style="3" customWidth="1"/>
    <col min="17" max="17" width="15.140625" style="3" bestFit="1" customWidth="1"/>
    <col min="18" max="18" width="12.5703125" style="3" bestFit="1" customWidth="1"/>
    <col min="19" max="19" width="11.42578125" style="3" customWidth="1"/>
    <col min="20" max="20" width="10.5703125" style="3" bestFit="1" customWidth="1"/>
    <col min="21" max="21" width="11.42578125" style="3" customWidth="1"/>
    <col min="22" max="16384" width="9.140625" style="3"/>
  </cols>
  <sheetData>
    <row r="1" spans="1:21" customFormat="1" ht="19.5" customHeight="1">
      <c r="A1" s="447" t="s">
        <v>501</v>
      </c>
      <c r="B1" s="447"/>
    </row>
    <row r="2" spans="1:21" customFormat="1" ht="18">
      <c r="A2" s="450" t="s">
        <v>553</v>
      </c>
      <c r="B2" s="464"/>
    </row>
    <row r="3" spans="1:21" customFormat="1" ht="15.75">
      <c r="A3" s="464"/>
      <c r="B3" s="464"/>
    </row>
    <row r="4" spans="1:21" ht="21">
      <c r="A4" s="1" t="s">
        <v>136</v>
      </c>
      <c r="B4" s="2">
        <v>2010</v>
      </c>
      <c r="C4" s="2">
        <v>2011</v>
      </c>
      <c r="D4" s="2">
        <v>2012</v>
      </c>
      <c r="E4" s="2">
        <v>2013</v>
      </c>
      <c r="F4" s="2">
        <v>2014</v>
      </c>
      <c r="G4" s="2">
        <v>2015</v>
      </c>
      <c r="H4" s="2">
        <v>2016</v>
      </c>
      <c r="I4" s="2">
        <v>2017</v>
      </c>
      <c r="J4" s="2">
        <v>2018</v>
      </c>
      <c r="K4" s="2">
        <v>2019</v>
      </c>
      <c r="L4" s="2">
        <v>2020</v>
      </c>
      <c r="M4" s="2">
        <v>2021</v>
      </c>
      <c r="N4" s="2">
        <v>2022</v>
      </c>
      <c r="O4" s="2">
        <v>2023</v>
      </c>
      <c r="P4" s="2"/>
      <c r="T4" s="4"/>
      <c r="U4" s="5"/>
    </row>
    <row r="5" spans="1:21" s="2" customFormat="1">
      <c r="B5" s="6"/>
      <c r="C5" s="7"/>
      <c r="D5" s="7"/>
      <c r="E5" s="7"/>
      <c r="Q5" s="7" t="s">
        <v>191</v>
      </c>
      <c r="R5" s="7" t="s">
        <v>192</v>
      </c>
      <c r="T5" s="4"/>
      <c r="U5" s="5"/>
    </row>
    <row r="6" spans="1:21" s="9" customFormat="1">
      <c r="A6" s="8" t="s">
        <v>7</v>
      </c>
    </row>
    <row r="7" spans="1:21" s="10" customFormat="1">
      <c r="A7" s="10" t="s">
        <v>156</v>
      </c>
      <c r="B7" s="192">
        <f>'Stove Replacement'!F23</f>
        <v>454868.95421853871</v>
      </c>
      <c r="C7" s="192">
        <f>'Stove Replacement'!G23</f>
        <v>468138.11833187367</v>
      </c>
      <c r="D7" s="192">
        <f>'Stove Replacement'!H23</f>
        <v>481797.8192783444</v>
      </c>
      <c r="E7" s="192">
        <f>'Stove Replacement'!I23</f>
        <v>495859.62240113958</v>
      </c>
      <c r="F7" s="192">
        <f>'Stove Replacement'!J23</f>
        <v>510335.43698850734</v>
      </c>
      <c r="G7" s="192">
        <f>'Stove Replacement'!K23</f>
        <v>525237.52653180284</v>
      </c>
      <c r="H7" s="192">
        <f>'Stove Replacement'!L23</f>
        <v>540578.51929007005</v>
      </c>
      <c r="I7" s="192">
        <f>'Stove Replacement'!M23</f>
        <v>556371.41917033156</v>
      </c>
      <c r="J7" s="192">
        <f>'Stove Replacement'!N23</f>
        <v>572629.61693303194</v>
      </c>
      <c r="K7" s="192">
        <f>'Stove Replacement'!O23</f>
        <v>589366.90173236537</v>
      </c>
      <c r="L7" s="192">
        <f>'Stove Replacement'!P23</f>
        <v>606597.47300150548</v>
      </c>
      <c r="M7" s="192">
        <f>'Stove Replacement'!Q23</f>
        <v>624335.95269306342</v>
      </c>
      <c r="N7" s="192">
        <f>'Stove Replacement'!R23</f>
        <v>642597.39788539801</v>
      </c>
      <c r="O7" s="192">
        <f>'Stove Replacement'!S23</f>
        <v>661397.31376573385</v>
      </c>
    </row>
    <row r="8" spans="1:21" s="10" customFormat="1">
      <c r="A8" s="10" t="s">
        <v>170</v>
      </c>
      <c r="B8" s="192">
        <f>'Stove Fuel Savings'!D13</f>
        <v>31103546.586950231</v>
      </c>
      <c r="C8" s="192">
        <f>'Stove Fuel Savings'!E13</f>
        <v>32008325.072575733</v>
      </c>
      <c r="D8" s="192">
        <f>'Stove Fuel Savings'!F13</f>
        <v>32939680.354530349</v>
      </c>
      <c r="E8" s="192">
        <f>'Stove Fuel Savings'!G13</f>
        <v>33898398.40553914</v>
      </c>
      <c r="F8" s="192">
        <f>'Stove Fuel Savings'!H13</f>
        <v>34885288.550885655</v>
      </c>
      <c r="G8" s="192">
        <f>'Stove Fuel Savings'!I13</f>
        <v>35901184.164456174</v>
      </c>
      <c r="H8" s="192">
        <f>'Stove Fuel Savings'!J13</f>
        <v>36946943.385574684</v>
      </c>
      <c r="I8" s="192">
        <f>'Stove Fuel Savings'!K13</f>
        <v>38023449.857250452</v>
      </c>
      <c r="J8" s="192">
        <f>'Stove Fuel Savings'!L13</f>
        <v>39131613.486478657</v>
      </c>
      <c r="K8" s="192">
        <f>'Stove Fuel Savings'!M13</f>
        <v>40272371.227253929</v>
      </c>
      <c r="L8" s="192">
        <f>'Stove Fuel Savings'!N13</f>
        <v>41446687.886976078</v>
      </c>
      <c r="M8" s="192">
        <f>'Stove Fuel Savings'!O13</f>
        <v>42655556.956947982</v>
      </c>
      <c r="N8" s="192">
        <f>'Stove Fuel Savings'!P13</f>
        <v>43900001.467686288</v>
      </c>
      <c r="O8" s="192">
        <f>'Stove Fuel Savings'!Q13</f>
        <v>45181074.86978735</v>
      </c>
    </row>
    <row r="9" spans="1:21" s="10" customFormat="1">
      <c r="A9" s="195" t="s">
        <v>171</v>
      </c>
      <c r="B9" s="196">
        <f>'Stove Health'!D21</f>
        <v>52668139.14912197</v>
      </c>
      <c r="C9" s="196">
        <f>'Stove Health'!E21</f>
        <v>55715013.654070884</v>
      </c>
      <c r="D9" s="196">
        <f>'Stove Health'!F21</f>
        <v>61749287.880409047</v>
      </c>
      <c r="E9" s="196">
        <f>'Stove Health'!G21</f>
        <v>69463473.085023955</v>
      </c>
      <c r="F9" s="196">
        <f>'Stove Health'!H21</f>
        <v>73538640.09074688</v>
      </c>
      <c r="G9" s="196">
        <f>'Stove Health'!I21</f>
        <v>78130765.974249139</v>
      </c>
      <c r="H9" s="196">
        <f>'Stove Health'!J21</f>
        <v>83013507.817727298</v>
      </c>
      <c r="I9" s="196">
        <f>'Stove Health'!K21</f>
        <v>88205376.269410297</v>
      </c>
      <c r="J9" s="196">
        <f>'Stove Health'!L21</f>
        <v>93726064.612724125</v>
      </c>
      <c r="K9" s="196">
        <f>'Stove Health'!M21</f>
        <v>99596524.43307668</v>
      </c>
      <c r="L9" s="196">
        <f>'Stove Health'!N21</f>
        <v>105839046.12919247</v>
      </c>
      <c r="M9" s="196">
        <f>'Stove Health'!O21</f>
        <v>112477344.57926737</v>
      </c>
      <c r="N9" s="196">
        <f>'Stove Health'!P21</f>
        <v>119536650.29208639</v>
      </c>
      <c r="O9" s="196">
        <f>'Stove Health'!Q21</f>
        <v>127043806.39439689</v>
      </c>
    </row>
    <row r="10" spans="1:21">
      <c r="A10" s="2" t="s">
        <v>3</v>
      </c>
      <c r="B10" s="193">
        <f>SUM(B7:B9)</f>
        <v>84226554.690290749</v>
      </c>
      <c r="C10" s="193">
        <f t="shared" ref="C10:O10" si="0">SUM(C7:C9)</f>
        <v>88191476.844978482</v>
      </c>
      <c r="D10" s="193">
        <f t="shared" si="0"/>
        <v>95170766.054217741</v>
      </c>
      <c r="E10" s="193">
        <f t="shared" si="0"/>
        <v>103857731.11296424</v>
      </c>
      <c r="F10" s="193">
        <f t="shared" si="0"/>
        <v>108934264.07862104</v>
      </c>
      <c r="G10" s="193">
        <f t="shared" si="0"/>
        <v>114557187.66523711</v>
      </c>
      <c r="H10" s="193">
        <f t="shared" si="0"/>
        <v>120501029.72259206</v>
      </c>
      <c r="I10" s="193">
        <f t="shared" si="0"/>
        <v>126785197.54583108</v>
      </c>
      <c r="J10" s="193">
        <f t="shared" si="0"/>
        <v>133430307.71613581</v>
      </c>
      <c r="K10" s="193">
        <f t="shared" si="0"/>
        <v>140458262.56206298</v>
      </c>
      <c r="L10" s="193">
        <f t="shared" si="0"/>
        <v>147892331.48917004</v>
      </c>
      <c r="M10" s="193">
        <f t="shared" si="0"/>
        <v>155757237.48890841</v>
      </c>
      <c r="N10" s="193">
        <f t="shared" si="0"/>
        <v>164079249.15765807</v>
      </c>
      <c r="O10" s="193">
        <f t="shared" si="0"/>
        <v>172886278.57794997</v>
      </c>
      <c r="P10" s="14"/>
      <c r="Q10" s="12">
        <f>SUM(B10:O10)</f>
        <v>1756727874.7066178</v>
      </c>
      <c r="R10" s="12">
        <f>NPV(0.1,B10:O10)</f>
        <v>850439918.233917</v>
      </c>
    </row>
    <row r="11" spans="1:21">
      <c r="A11" s="2"/>
      <c r="B11" s="24"/>
      <c r="C11" s="24"/>
      <c r="D11" s="24"/>
      <c r="E11" s="24"/>
      <c r="F11" s="24"/>
      <c r="G11" s="24"/>
      <c r="H11" s="24"/>
      <c r="I11" s="24"/>
      <c r="J11" s="24"/>
      <c r="K11" s="24"/>
      <c r="L11" s="24"/>
      <c r="M11" s="24"/>
      <c r="N11" s="24"/>
      <c r="O11" s="24"/>
      <c r="P11" s="14"/>
      <c r="Q11" s="12"/>
      <c r="R11" s="12"/>
    </row>
    <row r="12" spans="1:21">
      <c r="B12" s="15"/>
      <c r="C12" s="15"/>
      <c r="D12" s="15"/>
      <c r="E12" s="15"/>
      <c r="F12" s="15"/>
      <c r="G12" s="15"/>
      <c r="H12" s="15"/>
      <c r="I12" s="15"/>
      <c r="J12" s="15"/>
      <c r="K12" s="15"/>
      <c r="L12" s="15"/>
      <c r="M12" s="15"/>
      <c r="N12" s="15"/>
      <c r="O12" s="15"/>
      <c r="P12" s="15"/>
    </row>
    <row r="13" spans="1:21" s="18" customFormat="1">
      <c r="A13" s="16" t="s">
        <v>169</v>
      </c>
      <c r="B13" s="17"/>
      <c r="C13" s="17"/>
      <c r="D13" s="17"/>
      <c r="E13" s="17"/>
      <c r="F13" s="17"/>
      <c r="G13" s="17"/>
      <c r="H13" s="17"/>
      <c r="I13" s="17"/>
      <c r="J13" s="17"/>
      <c r="K13" s="17"/>
      <c r="L13" s="17"/>
      <c r="M13" s="17"/>
      <c r="N13" s="17"/>
      <c r="O13" s="17"/>
      <c r="P13" s="17"/>
    </row>
    <row r="14" spans="1:21" s="10" customFormat="1">
      <c r="A14" s="10" t="s">
        <v>156</v>
      </c>
      <c r="B14" s="187">
        <f>'Stove Replacement'!F53</f>
        <v>454868.95421853871</v>
      </c>
      <c r="C14" s="187">
        <f>'Stove Replacement'!G53</f>
        <v>675000.00000000012</v>
      </c>
      <c r="D14" s="187">
        <f>'Stove Replacement'!H53</f>
        <v>675000.00000000012</v>
      </c>
      <c r="E14" s="187">
        <f>'Stove Replacement'!I53</f>
        <v>675000.00000000012</v>
      </c>
      <c r="F14" s="187">
        <f>'Stove Replacement'!J53</f>
        <v>265156.69025643985</v>
      </c>
      <c r="G14" s="187">
        <f>'Stove Replacement'!K53</f>
        <v>280058.77979973541</v>
      </c>
      <c r="H14" s="187">
        <f>'Stove Replacement'!L53</f>
        <v>295399.77255800256</v>
      </c>
      <c r="I14" s="187">
        <f>'Stove Replacement'!M53</f>
        <v>311192.67243826407</v>
      </c>
      <c r="J14" s="187">
        <f>'Stove Replacement'!N53</f>
        <v>327450.87020096456</v>
      </c>
      <c r="K14" s="187">
        <f>'Stove Replacement'!O53</f>
        <v>344188.15500029793</v>
      </c>
      <c r="L14" s="187">
        <f>'Stove Replacement'!P53</f>
        <v>361418.72626943811</v>
      </c>
      <c r="M14" s="187">
        <f>'Stove Replacement'!Q53</f>
        <v>1278145.9439785765</v>
      </c>
      <c r="N14" s="187">
        <f>'Stove Replacement'!R53</f>
        <v>1378133.6380816004</v>
      </c>
      <c r="O14" s="187">
        <f>'Stove Replacement'!S53</f>
        <v>1478659.8028726249</v>
      </c>
      <c r="Q14" s="12"/>
      <c r="R14" s="12"/>
    </row>
    <row r="15" spans="1:21" s="10" customFormat="1">
      <c r="A15" s="10" t="s">
        <v>170</v>
      </c>
      <c r="B15" s="11">
        <f>'Stove Fuel Savings'!D22</f>
        <v>31103546.586950231</v>
      </c>
      <c r="C15" s="11">
        <f>'Stove Fuel Savings'!E22</f>
        <v>31728928.860255219</v>
      </c>
      <c r="D15" s="11">
        <f>'Stove Fuel Savings'!F22</f>
        <v>32380932.180924013</v>
      </c>
      <c r="E15" s="11">
        <f>'Stove Fuel Savings'!G22</f>
        <v>33060341.981722198</v>
      </c>
      <c r="F15" s="11">
        <f>'Stove Fuel Savings'!H22</f>
        <v>34047232.127068713</v>
      </c>
      <c r="G15" s="11">
        <f>'Stove Fuel Savings'!I22</f>
        <v>35063127.740639225</v>
      </c>
      <c r="H15" s="11">
        <f>'Stove Fuel Savings'!J22</f>
        <v>36108886.961757742</v>
      </c>
      <c r="I15" s="11">
        <f>'Stove Fuel Savings'!K22</f>
        <v>37185393.433433503</v>
      </c>
      <c r="J15" s="11">
        <f>'Stove Fuel Savings'!L22</f>
        <v>38293557.062661715</v>
      </c>
      <c r="K15" s="11">
        <f>'Stove Fuel Savings'!M22</f>
        <v>39434314.80343698</v>
      </c>
      <c r="L15" s="11">
        <f>'Stove Fuel Savings'!N22</f>
        <v>40608631.463159129</v>
      </c>
      <c r="M15" s="11">
        <f>'Stove Fuel Savings'!O22</f>
        <v>42096852.674403355</v>
      </c>
      <c r="N15" s="11">
        <f>'Stove Fuel Savings'!P22</f>
        <v>43620649.326413974</v>
      </c>
      <c r="O15" s="11">
        <f>'Stove Fuel Savings'!Q22</f>
        <v>45181074.86978735</v>
      </c>
      <c r="P15" s="13"/>
      <c r="Q15" s="12"/>
      <c r="R15" s="12"/>
    </row>
    <row r="16" spans="1:21" s="198" customFormat="1">
      <c r="A16" s="198" t="s">
        <v>171</v>
      </c>
      <c r="B16" s="199">
        <f>'Stove Health'!D33</f>
        <v>52668139.14912197</v>
      </c>
      <c r="C16" s="199">
        <f>'Stove Health'!E33</f>
        <v>54273124.651206464</v>
      </c>
      <c r="D16" s="199">
        <f>'Stove Health'!F33</f>
        <v>58649448.474766247</v>
      </c>
      <c r="E16" s="199">
        <f>'Stove Health'!G33</f>
        <v>64391454.586234361</v>
      </c>
      <c r="F16" s="199">
        <f>'Stove Health'!H33</f>
        <v>68324484.47894755</v>
      </c>
      <c r="G16" s="199">
        <f>'Stove Health'!I33</f>
        <v>72751709.165051699</v>
      </c>
      <c r="H16" s="199">
        <f>'Stove Health'!J33</f>
        <v>77464011.700077161</v>
      </c>
      <c r="I16" s="199">
        <f>'Stove Health'!K33</f>
        <v>82479717.18507801</v>
      </c>
      <c r="J16" s="199">
        <f>'Stove Health'!L33</f>
        <v>87818327.166090161</v>
      </c>
      <c r="K16" s="199">
        <f>'Stove Health'!M33</f>
        <v>93500595.094926998</v>
      </c>
      <c r="L16" s="199">
        <f>'Stove Health'!N33</f>
        <v>99548606.627682656</v>
      </c>
      <c r="M16" s="199">
        <f>'Stove Health'!O33</f>
        <v>108149691.57374683</v>
      </c>
      <c r="N16" s="199">
        <f>'Stove Health'!P33</f>
        <v>117303560.96336356</v>
      </c>
      <c r="O16" s="199">
        <f>'Stove Health'!Q33</f>
        <v>127043806.39439689</v>
      </c>
      <c r="P16" s="200"/>
      <c r="Q16" s="201"/>
      <c r="R16" s="201"/>
    </row>
    <row r="17" spans="1:23" s="10" customFormat="1">
      <c r="A17" s="10" t="s">
        <v>157</v>
      </c>
      <c r="B17" s="187"/>
      <c r="C17" s="187"/>
      <c r="D17" s="187"/>
      <c r="E17" s="187"/>
      <c r="F17" s="187"/>
      <c r="G17" s="187"/>
      <c r="H17" s="187"/>
      <c r="I17" s="187"/>
      <c r="J17" s="187"/>
      <c r="K17" s="187"/>
      <c r="L17" s="187"/>
      <c r="M17" s="187"/>
      <c r="N17" s="187"/>
      <c r="O17" s="187"/>
      <c r="Q17" s="12">
        <f>SUM(B17:O17)</f>
        <v>0</v>
      </c>
      <c r="R17" s="12"/>
    </row>
    <row r="18" spans="1:23" s="10" customFormat="1">
      <c r="A18" s="10" t="s">
        <v>1</v>
      </c>
      <c r="B18" s="11">
        <v>17785</v>
      </c>
      <c r="C18" s="11">
        <v>3783371.62</v>
      </c>
      <c r="D18" s="11">
        <v>21842627.489999998</v>
      </c>
      <c r="E18" s="11">
        <v>8182558.5499999998</v>
      </c>
      <c r="F18" s="11"/>
      <c r="G18" s="11"/>
      <c r="H18" s="11"/>
      <c r="I18" s="11"/>
      <c r="J18" s="11"/>
      <c r="K18" s="11"/>
      <c r="L18" s="11"/>
      <c r="M18" s="11"/>
      <c r="N18" s="11"/>
      <c r="O18" s="11"/>
      <c r="P18" s="13"/>
      <c r="Q18" s="12">
        <f>SUM(B18:O18)</f>
        <v>33826342.659999996</v>
      </c>
      <c r="R18" s="12"/>
    </row>
    <row r="19" spans="1:23" s="10" customFormat="1">
      <c r="A19" s="195" t="s">
        <v>2</v>
      </c>
      <c r="B19" s="197">
        <f>'Stove Additional Costs'!C13</f>
        <v>0</v>
      </c>
      <c r="C19" s="197">
        <f>'Stove Additional Costs'!D13</f>
        <v>67500.000000000015</v>
      </c>
      <c r="D19" s="197">
        <f>'Stove Additional Costs'!E13</f>
        <v>67500.000000000015</v>
      </c>
      <c r="E19" s="197">
        <f>'Stove Additional Costs'!F13</f>
        <v>67500.000000000015</v>
      </c>
      <c r="F19" s="197"/>
      <c r="G19" s="197"/>
      <c r="H19" s="197"/>
      <c r="I19" s="197"/>
      <c r="J19" s="197"/>
      <c r="K19" s="197"/>
      <c r="L19" s="197"/>
      <c r="M19" s="197"/>
      <c r="N19" s="197"/>
      <c r="O19" s="197"/>
      <c r="P19" s="13"/>
      <c r="Q19" s="229">
        <f>SUM(B19:O19)</f>
        <v>202500.00000000006</v>
      </c>
      <c r="R19" s="229"/>
    </row>
    <row r="20" spans="1:23">
      <c r="A20" s="2" t="s">
        <v>3</v>
      </c>
      <c r="B20" s="194">
        <f t="shared" ref="B20:O20" si="1">SUM(B14:B19)</f>
        <v>84244339.690290749</v>
      </c>
      <c r="C20" s="194">
        <f t="shared" si="1"/>
        <v>90527925.13146168</v>
      </c>
      <c r="D20" s="194">
        <f t="shared" si="1"/>
        <v>113615508.14569025</v>
      </c>
      <c r="E20" s="194">
        <f t="shared" si="1"/>
        <v>106376855.11795656</v>
      </c>
      <c r="F20" s="194">
        <f t="shared" si="1"/>
        <v>102636873.2962727</v>
      </c>
      <c r="G20" s="194">
        <f t="shared" si="1"/>
        <v>108094895.68549067</v>
      </c>
      <c r="H20" s="194">
        <f t="shared" si="1"/>
        <v>113868298.4343929</v>
      </c>
      <c r="I20" s="194">
        <f t="shared" si="1"/>
        <v>119976303.29094978</v>
      </c>
      <c r="J20" s="194">
        <f t="shared" si="1"/>
        <v>126439335.09895283</v>
      </c>
      <c r="K20" s="194">
        <f t="shared" si="1"/>
        <v>133279098.05336428</v>
      </c>
      <c r="L20" s="194">
        <f t="shared" si="1"/>
        <v>140518656.81711122</v>
      </c>
      <c r="M20" s="194">
        <f t="shared" si="1"/>
        <v>151524690.19212878</v>
      </c>
      <c r="N20" s="194">
        <f t="shared" si="1"/>
        <v>162302343.92785913</v>
      </c>
      <c r="O20" s="194">
        <f t="shared" si="1"/>
        <v>173703541.06705686</v>
      </c>
      <c r="P20" s="14"/>
      <c r="Q20" s="11">
        <f>SUM(Q14,Q17:Q19)</f>
        <v>34028842.659999996</v>
      </c>
      <c r="R20" s="11">
        <f>NPV(0.1,B20:O20)</f>
        <v>843862142.913728</v>
      </c>
    </row>
    <row r="21" spans="1:23">
      <c r="A21" s="2"/>
      <c r="B21" s="194"/>
      <c r="C21" s="194"/>
      <c r="D21" s="194"/>
      <c r="E21" s="194"/>
      <c r="F21" s="194"/>
      <c r="G21" s="194"/>
      <c r="H21" s="194"/>
      <c r="I21" s="194"/>
      <c r="J21" s="194"/>
      <c r="K21" s="194"/>
      <c r="L21" s="194"/>
      <c r="M21" s="194"/>
      <c r="N21" s="194"/>
      <c r="O21" s="194"/>
      <c r="P21" s="14"/>
      <c r="Q21" s="11"/>
      <c r="R21" s="11"/>
    </row>
    <row r="22" spans="1:23">
      <c r="B22" s="15"/>
      <c r="C22" s="15"/>
      <c r="D22" s="15"/>
      <c r="E22" s="15"/>
      <c r="F22" s="15"/>
      <c r="G22" s="15"/>
      <c r="H22" s="15"/>
      <c r="I22" s="15"/>
      <c r="J22" s="15"/>
      <c r="K22" s="15"/>
      <c r="L22" s="15"/>
      <c r="M22" s="15"/>
      <c r="N22" s="15"/>
      <c r="O22" s="15"/>
      <c r="P22" s="15"/>
    </row>
    <row r="23" spans="1:23" s="19" customFormat="1">
      <c r="A23" s="19" t="s">
        <v>4</v>
      </c>
      <c r="B23" s="20">
        <f t="shared" ref="B23:O23" si="2">B10-B20</f>
        <v>-17785</v>
      </c>
      <c r="C23" s="20">
        <f t="shared" si="2"/>
        <v>-2336448.2864831984</v>
      </c>
      <c r="D23" s="20">
        <f t="shared" si="2"/>
        <v>-18444742.091472507</v>
      </c>
      <c r="E23" s="20">
        <f t="shared" si="2"/>
        <v>-2519124.0049923211</v>
      </c>
      <c r="F23" s="20">
        <f t="shared" si="2"/>
        <v>6297390.7823483497</v>
      </c>
      <c r="G23" s="20">
        <f t="shared" si="2"/>
        <v>6462291.979746446</v>
      </c>
      <c r="H23" s="20">
        <f t="shared" si="2"/>
        <v>6632731.2881991565</v>
      </c>
      <c r="I23" s="20">
        <f t="shared" si="2"/>
        <v>6808894.2548813075</v>
      </c>
      <c r="J23" s="20">
        <f t="shared" si="2"/>
        <v>6990972.6171829849</v>
      </c>
      <c r="K23" s="20">
        <f t="shared" si="2"/>
        <v>7179164.5086987019</v>
      </c>
      <c r="L23" s="20">
        <f t="shared" si="2"/>
        <v>7373674.6720588207</v>
      </c>
      <c r="M23" s="20">
        <f t="shared" si="2"/>
        <v>4232547.2967796326</v>
      </c>
      <c r="N23" s="20">
        <f t="shared" si="2"/>
        <v>1776905.2297989428</v>
      </c>
      <c r="O23" s="20">
        <f t="shared" si="2"/>
        <v>-817262.48910689354</v>
      </c>
      <c r="P23" s="20"/>
    </row>
    <row r="25" spans="1:23">
      <c r="A25" s="21" t="s">
        <v>5</v>
      </c>
      <c r="B25" s="22">
        <f>IRR(B23:O23)</f>
        <v>0.17415704264969323</v>
      </c>
    </row>
    <row r="26" spans="1:23">
      <c r="A26" s="23"/>
      <c r="B26" s="24"/>
    </row>
    <row r="27" spans="1:23">
      <c r="A27" s="23"/>
      <c r="B27" s="24"/>
    </row>
    <row r="28" spans="1:23" s="219" customFormat="1">
      <c r="A28" s="216"/>
      <c r="B28" s="217"/>
      <c r="C28" s="217"/>
      <c r="D28" s="217"/>
      <c r="E28" s="217"/>
      <c r="F28" s="217"/>
      <c r="G28" s="217"/>
      <c r="H28" s="217"/>
      <c r="I28" s="217"/>
      <c r="J28" s="217"/>
      <c r="K28" s="217"/>
      <c r="L28" s="217"/>
      <c r="M28" s="217"/>
      <c r="N28" s="217"/>
      <c r="O28" s="217"/>
      <c r="P28" s="217"/>
      <c r="Q28" s="217"/>
      <c r="R28" s="217"/>
      <c r="S28" s="217"/>
      <c r="T28" s="217"/>
      <c r="U28" s="218"/>
      <c r="V28" s="218"/>
      <c r="W28" s="217"/>
    </row>
    <row r="29" spans="1:23" s="204" customFormat="1" ht="15.75" thickBot="1">
      <c r="A29" s="202"/>
      <c r="B29" s="203"/>
    </row>
    <row r="30" spans="1:23" s="204" customFormat="1">
      <c r="A30" s="220" t="s">
        <v>182</v>
      </c>
      <c r="B30" s="221"/>
      <c r="C30" s="221"/>
      <c r="D30" s="221"/>
      <c r="E30" s="221"/>
    </row>
    <row r="31" spans="1:23" s="204" customFormat="1">
      <c r="A31" s="222"/>
      <c r="B31" s="223" t="s">
        <v>183</v>
      </c>
      <c r="C31" s="223" t="s">
        <v>184</v>
      </c>
      <c r="D31" s="223" t="s">
        <v>185</v>
      </c>
      <c r="E31" s="223" t="s">
        <v>186</v>
      </c>
      <c r="G31" s="205"/>
      <c r="H31" s="206"/>
      <c r="I31" s="205"/>
    </row>
    <row r="32" spans="1:23" s="204" customFormat="1">
      <c r="A32" s="224" t="s">
        <v>194</v>
      </c>
      <c r="B32" s="225"/>
      <c r="C32" s="225"/>
      <c r="D32" s="225"/>
      <c r="E32" s="225"/>
      <c r="F32" s="202"/>
      <c r="G32" s="25"/>
      <c r="H32" s="25"/>
      <c r="I32" s="207"/>
    </row>
    <row r="33" spans="1:16" s="204" customFormat="1">
      <c r="A33" s="226" t="s">
        <v>187</v>
      </c>
      <c r="B33" s="227">
        <v>100</v>
      </c>
      <c r="C33" s="227">
        <v>150</v>
      </c>
      <c r="D33" s="227">
        <v>70</v>
      </c>
      <c r="E33" s="227">
        <v>150</v>
      </c>
      <c r="F33" s="202"/>
      <c r="G33" s="25"/>
      <c r="H33" s="208"/>
      <c r="I33" s="25"/>
    </row>
    <row r="34" spans="1:16" s="204" customFormat="1">
      <c r="A34" s="226" t="s">
        <v>188</v>
      </c>
      <c r="B34" s="227">
        <v>22500</v>
      </c>
      <c r="C34" s="227">
        <v>11250</v>
      </c>
      <c r="D34" s="227">
        <v>30000</v>
      </c>
      <c r="E34" s="227">
        <v>30000</v>
      </c>
    </row>
    <row r="35" spans="1:16" s="204" customFormat="1">
      <c r="A35" s="226" t="s">
        <v>121</v>
      </c>
      <c r="B35" s="228">
        <v>0.05</v>
      </c>
      <c r="C35" s="228">
        <v>2.5000000000000001E-2</v>
      </c>
      <c r="D35" s="228">
        <v>0.1</v>
      </c>
      <c r="E35" s="228">
        <v>0.05</v>
      </c>
    </row>
    <row r="36" spans="1:16" s="204" customFormat="1">
      <c r="A36" s="226" t="s">
        <v>189</v>
      </c>
      <c r="B36" s="228">
        <v>0.35</v>
      </c>
      <c r="C36" s="228">
        <v>0.18</v>
      </c>
      <c r="D36" s="228">
        <v>0.65</v>
      </c>
      <c r="E36" s="228">
        <v>0.35</v>
      </c>
    </row>
    <row r="37" spans="1:16" s="198" customFormat="1" ht="15.75" thickBot="1">
      <c r="A37" s="230" t="s">
        <v>190</v>
      </c>
      <c r="B37" s="238">
        <v>2.464</v>
      </c>
      <c r="C37" s="238">
        <v>0.54600000000000004</v>
      </c>
      <c r="D37" s="238">
        <v>11.523</v>
      </c>
      <c r="E37" s="238">
        <v>1.1240000000000001</v>
      </c>
      <c r="F37" s="210"/>
      <c r="G37" s="210"/>
      <c r="H37" s="210"/>
      <c r="I37" s="210"/>
      <c r="J37" s="210"/>
      <c r="K37" s="210"/>
      <c r="L37" s="210"/>
      <c r="M37" s="210"/>
      <c r="N37" s="210"/>
      <c r="O37" s="210"/>
      <c r="P37" s="210"/>
    </row>
    <row r="38" spans="1:16" s="198" customFormat="1">
      <c r="A38" s="211"/>
      <c r="B38" s="212"/>
      <c r="F38" s="199"/>
    </row>
    <row r="39" spans="1:16" s="198" customFormat="1">
      <c r="A39" s="211"/>
      <c r="B39" s="208"/>
      <c r="F39" s="199"/>
    </row>
    <row r="40" spans="1:16" s="198" customFormat="1"/>
    <row r="41" spans="1:16" s="198" customFormat="1">
      <c r="A41" s="209"/>
      <c r="B41" s="25"/>
      <c r="C41" s="25"/>
      <c r="D41" s="25"/>
      <c r="E41" s="25"/>
      <c r="F41" s="25"/>
      <c r="G41" s="25"/>
      <c r="H41" s="25"/>
      <c r="I41" s="25"/>
      <c r="J41" s="25"/>
      <c r="K41" s="25"/>
      <c r="L41" s="25"/>
      <c r="M41" s="25"/>
      <c r="N41" s="25"/>
      <c r="O41" s="25"/>
      <c r="P41" s="25"/>
    </row>
    <row r="42" spans="1:16" s="198" customFormat="1">
      <c r="A42" s="211"/>
      <c r="B42" s="212"/>
    </row>
    <row r="43" spans="1:16" s="198" customFormat="1">
      <c r="A43" s="211"/>
      <c r="B43" s="208"/>
    </row>
    <row r="44" spans="1:16" s="198" customFormat="1"/>
    <row r="45" spans="1:16" s="198" customFormat="1">
      <c r="A45" s="209"/>
      <c r="B45" s="25"/>
      <c r="C45" s="25"/>
      <c r="D45" s="25"/>
      <c r="E45" s="25"/>
      <c r="F45" s="25"/>
      <c r="G45" s="25"/>
      <c r="H45" s="25"/>
      <c r="I45" s="25"/>
      <c r="J45" s="25"/>
      <c r="K45" s="25"/>
      <c r="L45" s="25"/>
      <c r="M45" s="25"/>
      <c r="N45" s="25"/>
      <c r="O45" s="25"/>
      <c r="P45" s="25"/>
    </row>
    <row r="46" spans="1:16" s="198" customFormat="1">
      <c r="A46" s="211"/>
      <c r="B46" s="212"/>
    </row>
    <row r="47" spans="1:16" s="198" customFormat="1">
      <c r="A47" s="211"/>
      <c r="B47" s="208"/>
    </row>
    <row r="48" spans="1:16" s="198" customFormat="1"/>
    <row r="49" spans="1:16" s="198" customFormat="1">
      <c r="A49" s="209"/>
      <c r="B49" s="25"/>
      <c r="C49" s="25"/>
      <c r="D49" s="25"/>
      <c r="E49" s="25"/>
      <c r="F49" s="25"/>
      <c r="G49" s="25"/>
      <c r="H49" s="25"/>
      <c r="I49" s="25"/>
      <c r="J49" s="25"/>
      <c r="K49" s="25"/>
      <c r="L49" s="25"/>
      <c r="M49" s="25"/>
      <c r="N49" s="25"/>
      <c r="O49" s="25"/>
      <c r="P49" s="25"/>
    </row>
    <row r="50" spans="1:16" s="198" customFormat="1">
      <c r="A50" s="211"/>
      <c r="B50" s="212"/>
    </row>
    <row r="51" spans="1:16" s="198" customFormat="1">
      <c r="A51" s="211"/>
      <c r="B51" s="208"/>
    </row>
    <row r="52" spans="1:16" s="198" customFormat="1"/>
    <row r="53" spans="1:16" s="198" customFormat="1">
      <c r="A53" s="209"/>
      <c r="B53" s="25"/>
      <c r="C53" s="25"/>
      <c r="D53" s="25"/>
      <c r="E53" s="25"/>
      <c r="F53" s="25"/>
      <c r="G53" s="25"/>
      <c r="H53" s="25"/>
      <c r="I53" s="25"/>
      <c r="J53" s="25"/>
      <c r="K53" s="25"/>
      <c r="L53" s="25"/>
      <c r="M53" s="25"/>
      <c r="N53" s="25"/>
      <c r="O53" s="25"/>
      <c r="P53" s="25"/>
    </row>
    <row r="54" spans="1:16" s="198" customFormat="1">
      <c r="A54" s="211"/>
      <c r="B54" s="212"/>
    </row>
    <row r="55" spans="1:16" s="198" customFormat="1">
      <c r="A55" s="211"/>
      <c r="B55" s="208"/>
    </row>
    <row r="56" spans="1:16" s="198" customFormat="1"/>
    <row r="57" spans="1:16" s="198" customFormat="1">
      <c r="A57" s="209"/>
      <c r="B57" s="25"/>
      <c r="C57" s="25"/>
      <c r="D57" s="25"/>
      <c r="E57" s="25"/>
      <c r="F57" s="25"/>
      <c r="G57" s="25"/>
      <c r="H57" s="25"/>
      <c r="I57" s="25"/>
      <c r="J57" s="25"/>
      <c r="K57" s="25"/>
      <c r="L57" s="25"/>
      <c r="M57" s="25"/>
      <c r="N57" s="25"/>
      <c r="O57" s="25"/>
      <c r="P57" s="25"/>
    </row>
    <row r="58" spans="1:16" s="198" customFormat="1">
      <c r="A58" s="211"/>
      <c r="B58" s="212"/>
    </row>
    <row r="59" spans="1:16" s="198" customFormat="1">
      <c r="A59" s="211"/>
      <c r="B59" s="208"/>
    </row>
    <row r="60" spans="1:16" s="198" customFormat="1"/>
    <row r="61" spans="1:16" s="198" customFormat="1">
      <c r="A61" s="209"/>
      <c r="B61" s="25"/>
      <c r="C61" s="25"/>
      <c r="D61" s="25"/>
      <c r="E61" s="25"/>
      <c r="F61" s="25"/>
      <c r="G61" s="25"/>
      <c r="H61" s="25"/>
      <c r="I61" s="25"/>
      <c r="J61" s="25"/>
      <c r="K61" s="25"/>
      <c r="L61" s="25"/>
      <c r="M61" s="25"/>
      <c r="N61" s="25"/>
      <c r="O61" s="25"/>
      <c r="P61" s="25"/>
    </row>
    <row r="62" spans="1:16" s="198" customFormat="1">
      <c r="A62" s="211"/>
      <c r="B62" s="212"/>
    </row>
    <row r="63" spans="1:16" s="198" customFormat="1">
      <c r="A63" s="211"/>
      <c r="B63" s="208"/>
    </row>
    <row r="64" spans="1:16" s="198" customFormat="1"/>
  </sheetData>
  <pageMargins left="0.7" right="0.7" top="0.75" bottom="0.75" header="0.3" footer="0.3"/>
  <pageSetup scale="51"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N62"/>
  <sheetViews>
    <sheetView zoomScaleNormal="100" workbookViewId="0">
      <selection activeCell="B2" sqref="B2"/>
    </sheetView>
  </sheetViews>
  <sheetFormatPr defaultRowHeight="15"/>
  <cols>
    <col min="1" max="1" width="6" style="34" customWidth="1"/>
    <col min="2" max="2" width="48.7109375" style="34" customWidth="1"/>
    <col min="3" max="3" width="9" style="34" bestFit="1" customWidth="1"/>
    <col min="4" max="4" width="12.42578125" style="34" customWidth="1"/>
    <col min="5" max="5" width="12.7109375" style="34" customWidth="1"/>
    <col min="6" max="6" width="11.7109375" style="34" customWidth="1"/>
    <col min="7" max="7" width="16.42578125" style="34" customWidth="1"/>
    <col min="8" max="9" width="11" style="34" customWidth="1"/>
    <col min="10" max="10" width="13.5703125" style="34" customWidth="1"/>
    <col min="11" max="11" width="12.85546875" style="34" customWidth="1"/>
    <col min="12" max="12" width="13" style="34" customWidth="1"/>
    <col min="13" max="13" width="9.140625" style="34"/>
    <col min="14" max="14" width="14.28515625" style="34" customWidth="1"/>
    <col min="15" max="16384" width="9.140625" style="34"/>
  </cols>
  <sheetData>
    <row r="1" spans="1:8" customFormat="1" ht="19.5" customHeight="1">
      <c r="B1" s="447" t="s">
        <v>501</v>
      </c>
      <c r="C1" s="447"/>
    </row>
    <row r="2" spans="1:8" customFormat="1" ht="18">
      <c r="B2" s="450" t="s">
        <v>553</v>
      </c>
      <c r="C2" s="464"/>
    </row>
    <row r="5" spans="1:8">
      <c r="A5" s="499" t="s">
        <v>529</v>
      </c>
      <c r="B5" s="160" t="s">
        <v>128</v>
      </c>
      <c r="C5" s="148"/>
      <c r="D5" s="473" t="s">
        <v>528</v>
      </c>
      <c r="E5" s="513"/>
      <c r="F5" s="35"/>
      <c r="G5" s="35"/>
    </row>
    <row r="6" spans="1:8">
      <c r="A6" s="499">
        <v>1</v>
      </c>
      <c r="B6" s="161" t="s">
        <v>71</v>
      </c>
      <c r="C6" s="185">
        <f>'Stove Health'!D45</f>
        <v>104904.58732708107</v>
      </c>
      <c r="D6" s="148" t="s">
        <v>130</v>
      </c>
      <c r="E6" s="35"/>
      <c r="F6" s="35"/>
      <c r="G6" s="35"/>
    </row>
    <row r="7" spans="1:8">
      <c r="A7" s="499">
        <v>1</v>
      </c>
      <c r="B7" s="161" t="s">
        <v>73</v>
      </c>
      <c r="C7" s="148">
        <f>'Stove Health'!D46</f>
        <v>1</v>
      </c>
      <c r="D7" s="148"/>
      <c r="E7" s="35"/>
      <c r="F7" s="35"/>
      <c r="G7" s="35"/>
    </row>
    <row r="8" spans="1:8">
      <c r="A8" s="499">
        <v>1</v>
      </c>
      <c r="B8" s="161" t="s">
        <v>75</v>
      </c>
      <c r="C8" s="165">
        <f>'Stove Health'!D47</f>
        <v>3.8476013885628851E-2</v>
      </c>
      <c r="D8" s="148"/>
      <c r="E8" s="35"/>
      <c r="F8" s="35"/>
      <c r="G8" s="35"/>
    </row>
    <row r="9" spans="1:8">
      <c r="A9" s="499"/>
      <c r="B9" s="161" t="s">
        <v>44</v>
      </c>
      <c r="C9" s="148">
        <v>1430</v>
      </c>
      <c r="D9" s="148" t="s">
        <v>45</v>
      </c>
      <c r="E9" s="35"/>
      <c r="F9" s="35"/>
      <c r="G9" s="35"/>
    </row>
    <row r="10" spans="1:8">
      <c r="A10" s="499"/>
      <c r="B10" s="161" t="s">
        <v>76</v>
      </c>
      <c r="C10" s="162">
        <v>0.03</v>
      </c>
      <c r="D10" s="148"/>
      <c r="E10" s="35"/>
      <c r="F10" s="35"/>
      <c r="G10" s="35"/>
    </row>
    <row r="11" spans="1:8">
      <c r="A11" s="499"/>
      <c r="B11" s="231" t="s">
        <v>121</v>
      </c>
      <c r="C11" s="232">
        <v>0.05</v>
      </c>
      <c r="D11" s="148"/>
      <c r="E11" s="35"/>
      <c r="F11" s="35"/>
      <c r="G11" s="35"/>
    </row>
    <row r="12" spans="1:8">
      <c r="A12" s="499"/>
      <c r="B12" s="231" t="s">
        <v>122</v>
      </c>
      <c r="C12" s="233">
        <v>0.28000000000000003</v>
      </c>
      <c r="D12" s="148"/>
      <c r="E12" s="35"/>
      <c r="F12" s="35"/>
      <c r="G12" s="35"/>
    </row>
    <row r="13" spans="1:8">
      <c r="A13" s="499"/>
      <c r="B13" s="148" t="s">
        <v>102</v>
      </c>
      <c r="C13" s="163">
        <v>10</v>
      </c>
      <c r="D13" s="148" t="s">
        <v>103</v>
      </c>
      <c r="E13" s="35"/>
      <c r="F13" s="35"/>
      <c r="G13" s="35"/>
    </row>
    <row r="14" spans="1:8">
      <c r="A14" s="499">
        <v>2</v>
      </c>
      <c r="B14" s="148" t="s">
        <v>104</v>
      </c>
      <c r="C14" s="162">
        <v>0.1</v>
      </c>
      <c r="D14" s="148"/>
      <c r="E14" s="35"/>
      <c r="F14" s="35"/>
      <c r="G14" s="35"/>
    </row>
    <row r="15" spans="1:8">
      <c r="A15" s="499">
        <v>3</v>
      </c>
      <c r="B15" s="148" t="s">
        <v>22</v>
      </c>
      <c r="C15" s="162">
        <f>D48</f>
        <v>0.9659407969308571</v>
      </c>
      <c r="D15" s="148"/>
      <c r="E15" s="35"/>
      <c r="F15" s="35"/>
      <c r="G15" s="35"/>
      <c r="H15" s="115"/>
    </row>
    <row r="16" spans="1:8">
      <c r="A16" s="499">
        <v>3</v>
      </c>
      <c r="B16" s="148" t="s">
        <v>23</v>
      </c>
      <c r="C16" s="162">
        <f>1-D48</f>
        <v>3.4059203069142896E-2</v>
      </c>
      <c r="D16" s="148"/>
      <c r="E16" s="35"/>
      <c r="F16" s="35"/>
      <c r="G16" s="35"/>
      <c r="H16" s="115"/>
    </row>
    <row r="17" spans="1:8">
      <c r="A17" s="499"/>
      <c r="B17" s="148" t="s">
        <v>125</v>
      </c>
      <c r="C17" s="162">
        <v>0.03</v>
      </c>
      <c r="D17" s="148"/>
      <c r="E17" s="35"/>
      <c r="F17" s="35"/>
      <c r="G17" s="35"/>
    </row>
    <row r="18" spans="1:8">
      <c r="A18" s="499"/>
      <c r="B18" s="148" t="s">
        <v>126</v>
      </c>
      <c r="C18" s="162">
        <v>0.02</v>
      </c>
      <c r="D18" s="148"/>
      <c r="E18" s="35"/>
      <c r="F18" s="35"/>
      <c r="G18" s="35"/>
    </row>
    <row r="19" spans="1:8">
      <c r="A19" s="499"/>
      <c r="B19" s="148" t="s">
        <v>127</v>
      </c>
      <c r="C19" s="162">
        <v>0.03</v>
      </c>
      <c r="D19" s="148"/>
      <c r="E19" s="35"/>
      <c r="F19" s="35"/>
      <c r="G19" s="35"/>
    </row>
    <row r="20" spans="1:8">
      <c r="A20" s="499">
        <v>4</v>
      </c>
      <c r="B20" s="148" t="s">
        <v>98</v>
      </c>
      <c r="C20" s="188">
        <f>35000*E30/C9</f>
        <v>34.161938815418253</v>
      </c>
      <c r="D20" s="148"/>
      <c r="E20" s="35"/>
      <c r="F20" s="35"/>
      <c r="G20" s="35"/>
      <c r="H20" s="62"/>
    </row>
    <row r="21" spans="1:8">
      <c r="A21" s="499">
        <v>4</v>
      </c>
      <c r="B21" s="148" t="s">
        <v>99</v>
      </c>
      <c r="C21" s="188">
        <f>100000*E30/C9</f>
        <v>97.60553947262359</v>
      </c>
      <c r="D21" s="148"/>
      <c r="E21" s="35"/>
      <c r="F21" s="35"/>
      <c r="G21" s="35"/>
      <c r="H21" s="62"/>
    </row>
    <row r="22" spans="1:8">
      <c r="A22" s="499">
        <v>5</v>
      </c>
      <c r="B22" s="231" t="s">
        <v>100</v>
      </c>
      <c r="C22" s="234">
        <v>100</v>
      </c>
      <c r="D22" s="148"/>
      <c r="E22" s="35"/>
      <c r="F22" s="35"/>
      <c r="G22" s="35"/>
    </row>
    <row r="23" spans="1:8">
      <c r="A23" s="499"/>
      <c r="B23" s="231" t="s">
        <v>129</v>
      </c>
      <c r="C23" s="234">
        <v>22500</v>
      </c>
      <c r="D23" s="148"/>
      <c r="E23" s="35"/>
      <c r="F23" s="35"/>
      <c r="G23" s="35"/>
    </row>
    <row r="24" spans="1:8">
      <c r="A24" s="499"/>
      <c r="B24" s="148" t="s">
        <v>101</v>
      </c>
      <c r="C24" s="164">
        <v>0.7</v>
      </c>
      <c r="D24" s="148"/>
      <c r="E24" s="35"/>
      <c r="F24" s="35"/>
      <c r="G24" s="35"/>
    </row>
    <row r="25" spans="1:8" s="35" customFormat="1" ht="15.75" thickBot="1">
      <c r="C25" s="235"/>
    </row>
    <row r="26" spans="1:8" ht="15.75" thickBot="1">
      <c r="B26" s="236" t="s">
        <v>193</v>
      </c>
      <c r="C26" s="237">
        <f>'Stove ERR'!B25</f>
        <v>0.17415704264969323</v>
      </c>
      <c r="D26" s="35"/>
      <c r="E26" s="35"/>
      <c r="F26" s="35"/>
      <c r="G26" s="35"/>
    </row>
    <row r="28" spans="1:8">
      <c r="A28" s="499"/>
      <c r="B28" s="134" t="s">
        <v>123</v>
      </c>
      <c r="C28" s="134">
        <v>2005</v>
      </c>
      <c r="D28" s="134">
        <v>2006</v>
      </c>
      <c r="E28" s="134">
        <v>2007</v>
      </c>
      <c r="F28" s="134">
        <v>2008</v>
      </c>
      <c r="G28" s="134">
        <v>2009</v>
      </c>
    </row>
    <row r="29" spans="1:8">
      <c r="A29" s="499"/>
      <c r="B29" s="34" t="s">
        <v>96</v>
      </c>
      <c r="C29" s="106">
        <v>136.786</v>
      </c>
      <c r="D29" s="106">
        <v>142.92099999999999</v>
      </c>
      <c r="E29" s="106">
        <v>154.59399999999999</v>
      </c>
      <c r="F29" s="106">
        <v>196.035</v>
      </c>
      <c r="G29" s="106">
        <v>215.77600000000001</v>
      </c>
    </row>
    <row r="30" spans="1:8">
      <c r="A30" s="499"/>
      <c r="B30" s="54" t="s">
        <v>97</v>
      </c>
      <c r="C30" s="106">
        <f>$G$29/C29</f>
        <v>1.577471378649862</v>
      </c>
      <c r="D30" s="106">
        <f>$G$29/D29</f>
        <v>1.5097571385590642</v>
      </c>
      <c r="E30" s="106">
        <f>$G$29/E29</f>
        <v>1.3957592144585174</v>
      </c>
      <c r="F30" s="106">
        <f>$G$29/F29</f>
        <v>1.1007014053612876</v>
      </c>
      <c r="G30" s="34">
        <f>$G$29/G29</f>
        <v>1</v>
      </c>
    </row>
    <row r="31" spans="1:8">
      <c r="A31" s="499"/>
      <c r="B31" s="54"/>
      <c r="C31" s="106"/>
      <c r="D31" s="106"/>
      <c r="E31" s="106"/>
      <c r="F31" s="106"/>
    </row>
    <row r="32" spans="1:8">
      <c r="A32" s="499"/>
    </row>
    <row r="33" spans="1:14">
      <c r="A33" s="499"/>
      <c r="B33" s="134" t="s">
        <v>124</v>
      </c>
      <c r="C33" s="134">
        <v>2005</v>
      </c>
      <c r="D33" s="134">
        <v>2006</v>
      </c>
      <c r="E33" s="134">
        <v>2007</v>
      </c>
      <c r="F33" s="134">
        <v>2008</v>
      </c>
      <c r="G33" s="134">
        <v>2009</v>
      </c>
    </row>
    <row r="34" spans="1:14">
      <c r="A34" s="499"/>
      <c r="B34" s="34" t="s">
        <v>95</v>
      </c>
      <c r="C34" s="167">
        <f>D34/1.03</f>
        <v>948435.04601265618</v>
      </c>
      <c r="D34" s="167">
        <f>E34/1.03</f>
        <v>976888.09739303589</v>
      </c>
      <c r="E34" s="167">
        <f>F34/1.03</f>
        <v>1006194.740314827</v>
      </c>
      <c r="F34" s="167">
        <f>G34/1.03</f>
        <v>1036380.5825242718</v>
      </c>
      <c r="G34" s="167">
        <v>1067472</v>
      </c>
    </row>
    <row r="35" spans="1:14">
      <c r="A35" s="499"/>
    </row>
    <row r="36" spans="1:14">
      <c r="A36" s="499"/>
    </row>
    <row r="37" spans="1:14" s="43" customFormat="1">
      <c r="A37" s="499">
        <v>6</v>
      </c>
      <c r="B37" s="107" t="s">
        <v>28</v>
      </c>
    </row>
    <row r="38" spans="1:14" s="121" customFormat="1">
      <c r="A38" s="498"/>
      <c r="B38" s="122"/>
      <c r="C38" s="122" t="s">
        <v>29</v>
      </c>
      <c r="D38" s="122" t="s">
        <v>30</v>
      </c>
      <c r="E38" s="122" t="s">
        <v>31</v>
      </c>
      <c r="F38" s="122" t="s">
        <v>32</v>
      </c>
      <c r="G38" s="122" t="s">
        <v>33</v>
      </c>
      <c r="H38" s="122" t="s">
        <v>34</v>
      </c>
      <c r="I38" s="122" t="s">
        <v>35</v>
      </c>
      <c r="J38" s="122" t="s">
        <v>36</v>
      </c>
      <c r="K38" s="122" t="s">
        <v>37</v>
      </c>
      <c r="L38" s="122" t="s">
        <v>38</v>
      </c>
      <c r="M38" s="122" t="s">
        <v>39</v>
      </c>
      <c r="N38" s="122" t="s">
        <v>40</v>
      </c>
    </row>
    <row r="39" spans="1:14">
      <c r="A39" s="499"/>
      <c r="B39" s="40" t="s">
        <v>9</v>
      </c>
      <c r="C39" s="71">
        <v>3.49</v>
      </c>
      <c r="D39" s="39">
        <v>162087</v>
      </c>
      <c r="E39" s="61">
        <f>D39*'Stove Fuel Savings'!$B$33/'Stove Fuel Savings'!$B$31</f>
        <v>158.20589076499138</v>
      </c>
      <c r="F39" s="42">
        <f>D39/C39</f>
        <v>46443.266475644697</v>
      </c>
      <c r="G39" s="61">
        <f>E39/C39</f>
        <v>45.331200792261136</v>
      </c>
      <c r="H39" s="71">
        <v>4.82</v>
      </c>
      <c r="I39" s="39">
        <v>85070</v>
      </c>
      <c r="J39" s="61">
        <f>I39*'Stove Fuel Savings'!$B$33/'Stove Fuel Savings'!$B$31</f>
        <v>83.033032429360887</v>
      </c>
      <c r="K39" s="42">
        <f>I39/H39</f>
        <v>17649.377593360994</v>
      </c>
      <c r="L39" s="61">
        <f>J39/H39</f>
        <v>17.22677021356035</v>
      </c>
      <c r="M39" s="42">
        <f>D39+I39</f>
        <v>247157</v>
      </c>
      <c r="N39" s="61">
        <f>M39*$E$30/$C$9</f>
        <v>241.23892319435228</v>
      </c>
    </row>
    <row r="40" spans="1:14">
      <c r="A40" s="499"/>
      <c r="B40" s="56" t="s">
        <v>10</v>
      </c>
      <c r="C40" s="71">
        <v>3.9</v>
      </c>
      <c r="D40" s="39">
        <v>176073</v>
      </c>
      <c r="E40" s="61">
        <f>D40*'Stove Fuel Savings'!$B$33/'Stove Fuel Savings'!$B$31</f>
        <v>171.85700151563253</v>
      </c>
      <c r="F40" s="42">
        <f>D40/C40</f>
        <v>45146.923076923078</v>
      </c>
      <c r="G40" s="61">
        <f>E40/C40</f>
        <v>44.065897824521166</v>
      </c>
      <c r="H40" s="71">
        <v>5.53</v>
      </c>
      <c r="I40" s="39">
        <v>103624</v>
      </c>
      <c r="J40" s="61">
        <f>I40*'Stove Fuel Savings'!$B$33/'Stove Fuel Savings'!$B$31</f>
        <v>101.14276422311147</v>
      </c>
      <c r="K40" s="42">
        <f>I40/H40</f>
        <v>18738.517179023507</v>
      </c>
      <c r="L40" s="61">
        <f>J40/H40</f>
        <v>18.289830781756141</v>
      </c>
      <c r="M40" s="42">
        <f>D40+I40</f>
        <v>279697</v>
      </c>
      <c r="N40" s="61">
        <f>M40*$E$30/$C$9</f>
        <v>272.99976573874403</v>
      </c>
    </row>
    <row r="41" spans="1:14">
      <c r="A41" s="499"/>
      <c r="B41" s="56" t="s">
        <v>11</v>
      </c>
      <c r="C41" s="71">
        <v>4.49</v>
      </c>
      <c r="D41" s="39">
        <v>176870</v>
      </c>
      <c r="E41" s="61">
        <f>D41*'Stove Fuel Savings'!$B$33/'Stove Fuel Savings'!$B$31</f>
        <v>172.63491766522935</v>
      </c>
      <c r="F41" s="42">
        <f>D41/C41</f>
        <v>39391.98218262806</v>
      </c>
      <c r="G41" s="61">
        <f>E41/C41</f>
        <v>38.448756718313888</v>
      </c>
      <c r="H41" s="71">
        <v>4.4000000000000004</v>
      </c>
      <c r="I41" s="39">
        <v>80843</v>
      </c>
      <c r="J41" s="61">
        <f>I41*'Stove Fuel Savings'!$B$33/'Stove Fuel Savings'!$B$31</f>
        <v>78.907246275853097</v>
      </c>
      <c r="K41" s="42">
        <f>I41/H41</f>
        <v>18373.409090909088</v>
      </c>
      <c r="L41" s="61">
        <f>J41/H41</f>
        <v>17.933465062693884</v>
      </c>
      <c r="M41" s="42">
        <f>D41+I41</f>
        <v>257713</v>
      </c>
      <c r="N41" s="61">
        <f>M41*$E$30/$C$9</f>
        <v>251.54216394108244</v>
      </c>
    </row>
    <row r="42" spans="1:14">
      <c r="A42" s="499"/>
      <c r="B42" s="56"/>
      <c r="C42" s="71"/>
      <c r="D42" s="39"/>
      <c r="E42" s="61"/>
      <c r="F42" s="42"/>
      <c r="G42" s="61"/>
      <c r="H42" s="71"/>
      <c r="I42" s="39"/>
      <c r="J42" s="61"/>
      <c r="K42" s="42"/>
      <c r="L42" s="61"/>
      <c r="M42" s="42"/>
      <c r="N42" s="61"/>
    </row>
    <row r="43" spans="1:14" s="35" customFormat="1">
      <c r="A43" s="495"/>
      <c r="B43" s="72" t="s">
        <v>41</v>
      </c>
      <c r="F43" s="63"/>
      <c r="I43" s="63"/>
    </row>
    <row r="44" spans="1:14" s="35" customFormat="1">
      <c r="A44" s="495"/>
      <c r="B44" s="72"/>
      <c r="F44" s="63"/>
      <c r="I44" s="63"/>
    </row>
    <row r="45" spans="1:14">
      <c r="A45" s="499"/>
    </row>
    <row r="46" spans="1:14">
      <c r="A46" s="499">
        <v>7</v>
      </c>
      <c r="B46" s="33" t="s">
        <v>163</v>
      </c>
      <c r="C46" s="121"/>
      <c r="D46" s="121"/>
    </row>
    <row r="47" spans="1:14">
      <c r="A47" s="499">
        <v>8</v>
      </c>
      <c r="B47" s="70" t="s">
        <v>162</v>
      </c>
      <c r="C47" s="122" t="s">
        <v>167</v>
      </c>
      <c r="D47" s="122" t="s">
        <v>168</v>
      </c>
    </row>
    <row r="48" spans="1:14">
      <c r="A48" s="499"/>
      <c r="B48" s="34" t="s">
        <v>164</v>
      </c>
      <c r="C48" s="166">
        <v>88627</v>
      </c>
      <c r="D48" s="189">
        <f>C48/$C$51</f>
        <v>0.9659407969308571</v>
      </c>
    </row>
    <row r="49" spans="1:4">
      <c r="A49" s="499"/>
      <c r="B49" s="34" t="s">
        <v>165</v>
      </c>
      <c r="C49" s="166">
        <v>2015</v>
      </c>
      <c r="D49" s="189">
        <f>C49/$C$51</f>
        <v>2.1961374138983348E-2</v>
      </c>
    </row>
    <row r="50" spans="1:4">
      <c r="A50" s="499"/>
      <c r="B50" s="70" t="s">
        <v>166</v>
      </c>
      <c r="C50" s="190">
        <v>1110</v>
      </c>
      <c r="D50" s="191">
        <f>C50/$C$51</f>
        <v>1.209782893015956E-2</v>
      </c>
    </row>
    <row r="51" spans="1:4">
      <c r="A51" s="499"/>
      <c r="B51" s="34" t="s">
        <v>16</v>
      </c>
      <c r="C51" s="166">
        <f>SUM(C48:C50)</f>
        <v>91752</v>
      </c>
      <c r="D51" s="189">
        <f>SUM(D48:D50)</f>
        <v>1</v>
      </c>
    </row>
    <row r="54" spans="1:4">
      <c r="B54" s="498" t="s">
        <v>529</v>
      </c>
      <c r="C54" s="34" t="s">
        <v>530</v>
      </c>
    </row>
    <row r="55" spans="1:4">
      <c r="B55" s="499">
        <v>1</v>
      </c>
      <c r="C55" s="35" t="s">
        <v>179</v>
      </c>
    </row>
    <row r="56" spans="1:4">
      <c r="B56" s="499">
        <v>2</v>
      </c>
      <c r="C56" s="35" t="s">
        <v>180</v>
      </c>
    </row>
    <row r="57" spans="1:4">
      <c r="B57" s="499">
        <v>3</v>
      </c>
      <c r="C57" s="35" t="s">
        <v>181</v>
      </c>
    </row>
    <row r="58" spans="1:4">
      <c r="B58" s="499">
        <v>4</v>
      </c>
      <c r="C58" s="35" t="s">
        <v>178</v>
      </c>
    </row>
    <row r="59" spans="1:4">
      <c r="B59" s="499">
        <v>5</v>
      </c>
      <c r="C59" s="35" t="s">
        <v>177</v>
      </c>
    </row>
    <row r="60" spans="1:4">
      <c r="B60" s="499">
        <v>6</v>
      </c>
      <c r="C60" s="34" t="s">
        <v>549</v>
      </c>
    </row>
    <row r="61" spans="1:4">
      <c r="B61" s="499">
        <v>7</v>
      </c>
      <c r="C61" s="34" t="s">
        <v>550</v>
      </c>
    </row>
    <row r="62" spans="1:4">
      <c r="B62" s="499">
        <v>8</v>
      </c>
      <c r="C62" s="34" t="s">
        <v>551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J36"/>
  <sheetViews>
    <sheetView zoomScaleNormal="100" workbookViewId="0">
      <selection activeCell="A2" sqref="A2"/>
    </sheetView>
  </sheetViews>
  <sheetFormatPr defaultRowHeight="15"/>
  <cols>
    <col min="1" max="1" width="51.28515625" style="34" customWidth="1"/>
    <col min="2" max="2" width="10.85546875" style="34" customWidth="1"/>
    <col min="3" max="3" width="9.85546875" style="34" customWidth="1"/>
    <col min="4" max="6" width="10.7109375" style="34" customWidth="1"/>
    <col min="7" max="7" width="11.28515625" style="34" bestFit="1" customWidth="1"/>
    <col min="8" max="8" width="15.42578125" style="34" customWidth="1"/>
    <col min="9" max="9" width="12.7109375" style="34" customWidth="1"/>
    <col min="10" max="10" width="11.28515625" style="34" bestFit="1" customWidth="1"/>
    <col min="11" max="11" width="12.7109375" style="34" customWidth="1"/>
    <col min="12" max="16384" width="9.140625" style="34"/>
  </cols>
  <sheetData>
    <row r="1" spans="1:10" customFormat="1" ht="19.5" customHeight="1">
      <c r="A1" s="447" t="s">
        <v>501</v>
      </c>
      <c r="B1" s="447"/>
    </row>
    <row r="2" spans="1:10" customFormat="1" ht="18">
      <c r="A2" s="450" t="s">
        <v>553</v>
      </c>
      <c r="B2" s="464"/>
    </row>
    <row r="3" spans="1:10" customFormat="1" ht="15.75">
      <c r="A3" s="464"/>
      <c r="B3" s="464"/>
    </row>
    <row r="4" spans="1:10" ht="21">
      <c r="A4" s="109" t="s">
        <v>105</v>
      </c>
      <c r="B4" s="108">
        <v>2009</v>
      </c>
      <c r="C4" s="108">
        <v>2010</v>
      </c>
      <c r="D4" s="108">
        <v>2011</v>
      </c>
      <c r="E4" s="108">
        <v>2012</v>
      </c>
      <c r="F4" s="108">
        <v>2013</v>
      </c>
    </row>
    <row r="5" spans="1:10" ht="21">
      <c r="A5" s="110"/>
      <c r="B5" s="54"/>
      <c r="C5" s="54"/>
      <c r="D5" s="54"/>
      <c r="E5" s="54"/>
      <c r="F5" s="54"/>
    </row>
    <row r="6" spans="1:10" ht="15" customHeight="1">
      <c r="A6" s="110"/>
      <c r="B6" s="54"/>
      <c r="C6" s="54"/>
      <c r="D6" s="54"/>
      <c r="E6" s="54"/>
      <c r="F6" s="54"/>
      <c r="G6" s="111" t="s">
        <v>16</v>
      </c>
      <c r="H6" s="43" t="s">
        <v>106</v>
      </c>
    </row>
    <row r="7" spans="1:10">
      <c r="A7" s="119" t="s">
        <v>19</v>
      </c>
      <c r="B7" s="120"/>
      <c r="C7" s="120"/>
      <c r="D7" s="120"/>
      <c r="E7" s="120"/>
      <c r="F7" s="120"/>
      <c r="G7" s="120"/>
      <c r="H7" s="120"/>
      <c r="J7" s="112" t="s">
        <v>107</v>
      </c>
    </row>
    <row r="8" spans="1:10">
      <c r="A8" s="40" t="s">
        <v>108</v>
      </c>
      <c r="B8" s="44">
        <f>'Stove Replacement'!E48</f>
        <v>0</v>
      </c>
      <c r="C8" s="44">
        <f>'Stove Replacement'!F48</f>
        <v>0</v>
      </c>
      <c r="D8" s="44">
        <f>'Stove Replacement'!G48</f>
        <v>1574999.9999999998</v>
      </c>
      <c r="E8" s="44">
        <f>'Stove Replacement'!H48</f>
        <v>1574999.9999999998</v>
      </c>
      <c r="F8" s="44">
        <f>'Stove Replacement'!I48</f>
        <v>1574999.9999999998</v>
      </c>
      <c r="G8" s="42">
        <f t="shared" ref="G8:G13" si="0">SUM(B8:F8)</f>
        <v>4724999.9999999991</v>
      </c>
      <c r="J8" s="42">
        <f>SUM(G8:G11)</f>
        <v>6142499.9999999991</v>
      </c>
    </row>
    <row r="9" spans="1:10">
      <c r="A9" s="40" t="s">
        <v>109</v>
      </c>
      <c r="B9" s="42">
        <f>$G$8*$H9*$B$16</f>
        <v>0</v>
      </c>
      <c r="C9" s="42">
        <f t="shared" ref="C9:F11" si="1">$G$8*$H9*C16</f>
        <v>85049.999999999985</v>
      </c>
      <c r="D9" s="42">
        <f t="shared" si="1"/>
        <v>170099.99999999997</v>
      </c>
      <c r="E9" s="42">
        <f t="shared" si="1"/>
        <v>170099.99999999997</v>
      </c>
      <c r="F9" s="42">
        <f t="shared" si="1"/>
        <v>141749.99999999997</v>
      </c>
      <c r="G9" s="42">
        <f t="shared" si="0"/>
        <v>566999.99999999988</v>
      </c>
      <c r="H9" s="67">
        <v>0.12</v>
      </c>
    </row>
    <row r="10" spans="1:10">
      <c r="A10" s="40" t="s">
        <v>110</v>
      </c>
      <c r="B10" s="42">
        <f>$G$8*$H10*$B$16</f>
        <v>0</v>
      </c>
      <c r="C10" s="42">
        <f t="shared" si="1"/>
        <v>141749.99999999997</v>
      </c>
      <c r="D10" s="42">
        <f t="shared" si="1"/>
        <v>118124.99999999999</v>
      </c>
      <c r="E10" s="42">
        <f t="shared" si="1"/>
        <v>70874.999999999985</v>
      </c>
      <c r="F10" s="42">
        <f t="shared" si="1"/>
        <v>141749.99999999994</v>
      </c>
      <c r="G10" s="42">
        <f t="shared" si="0"/>
        <v>472499.99999999988</v>
      </c>
      <c r="H10" s="67">
        <v>0.1</v>
      </c>
    </row>
    <row r="11" spans="1:10">
      <c r="A11" s="40" t="s">
        <v>111</v>
      </c>
      <c r="B11" s="42">
        <f>$G$8*$H11*$B$16</f>
        <v>0</v>
      </c>
      <c r="C11" s="42">
        <f t="shared" si="1"/>
        <v>115365.59999999999</v>
      </c>
      <c r="D11" s="42">
        <f t="shared" si="1"/>
        <v>89207.999999999985</v>
      </c>
      <c r="E11" s="42">
        <f t="shared" si="1"/>
        <v>86939.999999999985</v>
      </c>
      <c r="F11" s="42">
        <f t="shared" si="1"/>
        <v>86486.399999999994</v>
      </c>
      <c r="G11" s="42">
        <f t="shared" si="0"/>
        <v>378000</v>
      </c>
      <c r="H11" s="67">
        <v>0.08</v>
      </c>
    </row>
    <row r="12" spans="1:10">
      <c r="A12" s="113" t="s">
        <v>112</v>
      </c>
      <c r="B12" s="114">
        <f>SUM(B9:B11)</f>
        <v>0</v>
      </c>
      <c r="C12" s="114">
        <f>SUM(C9:C11)</f>
        <v>342165.59999999992</v>
      </c>
      <c r="D12" s="114">
        <f>SUM(D9:D11)</f>
        <v>377432.99999999994</v>
      </c>
      <c r="E12" s="114">
        <f>SUM(E9:E11)</f>
        <v>327914.99999999994</v>
      </c>
      <c r="F12" s="114">
        <f>SUM(F9:F11)</f>
        <v>369986.39999999991</v>
      </c>
      <c r="G12" s="114">
        <f t="shared" si="0"/>
        <v>1417499.9999999998</v>
      </c>
      <c r="H12" s="67"/>
    </row>
    <row r="13" spans="1:10" s="35" customFormat="1">
      <c r="A13" s="60" t="s">
        <v>2</v>
      </c>
      <c r="B13" s="63">
        <f>'Stove Replacement'!E52*'Stove Additional Costs'!$H$13</f>
        <v>0</v>
      </c>
      <c r="C13" s="63">
        <f>'Stove Replacement'!F52*'Stove Additional Costs'!$H$13</f>
        <v>0</v>
      </c>
      <c r="D13" s="63">
        <f>'Stove Replacement'!G52*'Stove Additional Costs'!$H$13</f>
        <v>67500.000000000015</v>
      </c>
      <c r="E13" s="63">
        <f>'Stove Replacement'!H52*'Stove Additional Costs'!$H$13</f>
        <v>67500.000000000015</v>
      </c>
      <c r="F13" s="63">
        <f>'Stove Replacement'!I52*'Stove Additional Costs'!$H$13</f>
        <v>67500.000000000015</v>
      </c>
      <c r="G13" s="63">
        <f t="shared" si="0"/>
        <v>202500.00000000006</v>
      </c>
      <c r="H13" s="66">
        <f>[1]CertifiedStoves!$D$11</f>
        <v>0.1</v>
      </c>
      <c r="I13" s="115"/>
      <c r="J13" s="34"/>
    </row>
    <row r="14" spans="1:10">
      <c r="A14" s="40"/>
      <c r="D14" s="42"/>
      <c r="E14" s="42"/>
      <c r="F14" s="42"/>
      <c r="G14" s="42"/>
      <c r="H14" s="42"/>
      <c r="I14" s="42"/>
      <c r="J14" s="35"/>
    </row>
    <row r="15" spans="1:10">
      <c r="A15" s="116" t="s">
        <v>132</v>
      </c>
      <c r="B15" s="116"/>
      <c r="C15" s="43"/>
      <c r="D15" s="43"/>
      <c r="E15" s="43"/>
      <c r="F15" s="43"/>
      <c r="G15" s="43"/>
      <c r="H15" s="43"/>
      <c r="I15" s="117"/>
    </row>
    <row r="16" spans="1:10">
      <c r="A16" s="34" t="s">
        <v>133</v>
      </c>
      <c r="B16" s="168">
        <v>0</v>
      </c>
      <c r="C16" s="67">
        <v>0.15</v>
      </c>
      <c r="D16" s="67">
        <v>0.3</v>
      </c>
      <c r="E16" s="67">
        <v>0.3</v>
      </c>
      <c r="F16" s="67">
        <v>0.25</v>
      </c>
      <c r="G16" s="67">
        <f>SUM(C16:F16)</f>
        <v>1</v>
      </c>
    </row>
    <row r="17" spans="1:10">
      <c r="A17" s="34" t="s">
        <v>134</v>
      </c>
      <c r="B17" s="168">
        <v>0</v>
      </c>
      <c r="C17" s="67">
        <v>0.3</v>
      </c>
      <c r="D17" s="67">
        <v>0.25</v>
      </c>
      <c r="E17" s="67">
        <v>0.15</v>
      </c>
      <c r="F17" s="67">
        <f>100%-SUM(C17:E17)</f>
        <v>0.29999999999999993</v>
      </c>
      <c r="G17" s="67">
        <f>SUM(C17:F17)</f>
        <v>1</v>
      </c>
    </row>
    <row r="18" spans="1:10">
      <c r="A18" s="34" t="s">
        <v>135</v>
      </c>
      <c r="B18" s="168">
        <v>0</v>
      </c>
      <c r="C18" s="118">
        <v>0.30520000000000003</v>
      </c>
      <c r="D18" s="118">
        <v>0.23599999999999999</v>
      </c>
      <c r="E18" s="118">
        <v>0.23</v>
      </c>
      <c r="F18" s="118">
        <v>0.2288</v>
      </c>
      <c r="G18" s="67">
        <f>SUM(C18:F18)</f>
        <v>1</v>
      </c>
    </row>
    <row r="21" spans="1:10" s="54" customFormat="1">
      <c r="A21" s="181"/>
    </row>
    <row r="22" spans="1:10" s="54" customFormat="1">
      <c r="A22" s="37"/>
      <c r="B22" s="55"/>
      <c r="C22" s="55"/>
      <c r="D22" s="55"/>
      <c r="E22" s="55"/>
      <c r="F22" s="55"/>
      <c r="G22" s="76"/>
      <c r="J22" s="76"/>
    </row>
    <row r="23" spans="1:10" s="54" customFormat="1">
      <c r="A23" s="37"/>
      <c r="B23" s="76"/>
      <c r="C23" s="76"/>
      <c r="D23" s="76"/>
      <c r="E23" s="76"/>
      <c r="F23" s="76"/>
      <c r="G23" s="76"/>
      <c r="H23" s="131"/>
    </row>
    <row r="24" spans="1:10" s="54" customFormat="1">
      <c r="A24" s="37"/>
      <c r="B24" s="76"/>
      <c r="C24" s="76"/>
      <c r="D24" s="76"/>
      <c r="E24" s="76"/>
      <c r="F24" s="76"/>
      <c r="G24" s="76"/>
      <c r="H24" s="131"/>
    </row>
    <row r="25" spans="1:10" s="54" customFormat="1">
      <c r="A25" s="37"/>
      <c r="B25" s="76"/>
      <c r="C25" s="76"/>
      <c r="D25" s="76"/>
      <c r="E25" s="76"/>
      <c r="F25" s="76"/>
      <c r="G25" s="76"/>
      <c r="H25" s="131"/>
    </row>
    <row r="26" spans="1:10" s="54" customFormat="1">
      <c r="A26" s="182"/>
      <c r="B26" s="183"/>
      <c r="C26" s="183"/>
      <c r="D26" s="183"/>
      <c r="E26" s="183"/>
      <c r="F26" s="183"/>
      <c r="G26" s="183"/>
      <c r="H26" s="131"/>
    </row>
    <row r="27" spans="1:10" s="54" customFormat="1">
      <c r="A27" s="37"/>
      <c r="B27" s="76"/>
      <c r="C27" s="76"/>
      <c r="D27" s="76"/>
      <c r="E27" s="76"/>
      <c r="F27" s="76"/>
      <c r="G27" s="76"/>
      <c r="H27" s="131"/>
      <c r="I27" s="180"/>
      <c r="J27" s="76"/>
    </row>
    <row r="28" spans="1:10" s="54" customFormat="1">
      <c r="A28" s="184"/>
      <c r="C28" s="76"/>
      <c r="D28" s="76"/>
      <c r="E28" s="76"/>
      <c r="F28" s="76"/>
      <c r="G28" s="76"/>
      <c r="H28" s="76"/>
      <c r="I28" s="131"/>
    </row>
    <row r="29" spans="1:10" s="54" customFormat="1">
      <c r="A29" s="184"/>
      <c r="C29" s="76"/>
      <c r="D29" s="76"/>
      <c r="E29" s="76"/>
      <c r="F29" s="76"/>
      <c r="G29" s="76"/>
      <c r="H29" s="76"/>
      <c r="I29" s="131"/>
    </row>
    <row r="34" spans="2:3">
      <c r="B34" s="35"/>
      <c r="C34" s="159"/>
    </row>
    <row r="35" spans="2:3">
      <c r="B35" s="35"/>
      <c r="C35" s="159"/>
    </row>
    <row r="36" spans="2:3">
      <c r="B36" s="35"/>
      <c r="C36" s="131"/>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U77"/>
  <sheetViews>
    <sheetView zoomScaleNormal="100" workbookViewId="0">
      <pane ySplit="4" topLeftCell="A50" activePane="bottomLeft" state="frozen"/>
      <selection activeCell="F6" sqref="F6"/>
      <selection pane="bottomLeft" activeCell="B2" sqref="B2"/>
    </sheetView>
  </sheetViews>
  <sheetFormatPr defaultRowHeight="12.75"/>
  <cols>
    <col min="1" max="1" width="5.7109375" style="28" customWidth="1"/>
    <col min="2" max="2" width="42.42578125" style="46" customWidth="1"/>
    <col min="3" max="3" width="13" style="46" hidden="1" customWidth="1"/>
    <col min="4" max="6" width="12" style="46" bestFit="1" customWidth="1"/>
    <col min="7" max="9" width="13.28515625" style="46" bestFit="1" customWidth="1"/>
    <col min="10" max="16" width="12" style="46" bestFit="1" customWidth="1"/>
    <col min="17" max="19" width="13.28515625" style="46" bestFit="1" customWidth="1"/>
    <col min="20" max="16384" width="9.140625" style="28"/>
  </cols>
  <sheetData>
    <row r="1" spans="1:19" customFormat="1" ht="19.5" customHeight="1">
      <c r="B1" s="447" t="s">
        <v>501</v>
      </c>
      <c r="C1" s="447"/>
    </row>
    <row r="2" spans="1:19" customFormat="1" ht="18">
      <c r="B2" s="450" t="s">
        <v>553</v>
      </c>
      <c r="C2" s="464"/>
    </row>
    <row r="3" spans="1:19" customFormat="1" ht="15.75">
      <c r="B3" s="464"/>
      <c r="C3" s="464"/>
    </row>
    <row r="4" spans="1:19" ht="21">
      <c r="A4" s="507" t="s">
        <v>529</v>
      </c>
      <c r="B4" s="26" t="s">
        <v>6</v>
      </c>
      <c r="C4" s="27">
        <v>2007</v>
      </c>
      <c r="D4" s="27">
        <v>2008</v>
      </c>
      <c r="E4" s="27">
        <v>2009</v>
      </c>
      <c r="F4" s="27">
        <v>2010</v>
      </c>
      <c r="G4" s="27">
        <v>2011</v>
      </c>
      <c r="H4" s="27">
        <v>2012</v>
      </c>
      <c r="I4" s="27">
        <v>2013</v>
      </c>
      <c r="J4" s="27">
        <v>2014</v>
      </c>
      <c r="K4" s="27">
        <v>2015</v>
      </c>
      <c r="L4" s="27">
        <v>2016</v>
      </c>
      <c r="M4" s="27">
        <v>2017</v>
      </c>
      <c r="N4" s="27">
        <v>2018</v>
      </c>
      <c r="O4" s="27">
        <v>2019</v>
      </c>
      <c r="P4" s="27">
        <v>2020</v>
      </c>
      <c r="Q4" s="27">
        <v>2021</v>
      </c>
      <c r="R4" s="27">
        <v>2022</v>
      </c>
      <c r="S4" s="27">
        <v>2023</v>
      </c>
    </row>
    <row r="7" spans="1:19" s="32" customFormat="1" ht="15">
      <c r="A7" s="494"/>
      <c r="B7" s="29" t="s">
        <v>7</v>
      </c>
      <c r="C7" s="29"/>
      <c r="D7" s="30"/>
      <c r="E7" s="30"/>
      <c r="F7" s="30"/>
      <c r="G7" s="31"/>
      <c r="H7" s="31"/>
      <c r="I7" s="31"/>
      <c r="J7" s="31"/>
      <c r="K7" s="31"/>
      <c r="L7" s="31"/>
      <c r="M7" s="31"/>
      <c r="N7" s="31"/>
      <c r="O7" s="31"/>
      <c r="P7" s="31"/>
      <c r="Q7" s="31"/>
      <c r="R7" s="31"/>
      <c r="S7" s="31"/>
    </row>
    <row r="8" spans="1:19" s="35" customFormat="1" ht="15">
      <c r="A8" s="495"/>
      <c r="B8" s="33"/>
      <c r="C8" s="33"/>
      <c r="D8" s="34"/>
      <c r="E8" s="34"/>
      <c r="F8" s="34"/>
      <c r="G8" s="34"/>
      <c r="H8" s="34"/>
      <c r="I8" s="34"/>
      <c r="J8" s="34"/>
      <c r="K8" s="34"/>
      <c r="L8" s="34"/>
      <c r="M8" s="34"/>
      <c r="N8" s="34"/>
      <c r="O8" s="34"/>
      <c r="P8" s="34"/>
      <c r="Q8" s="34"/>
      <c r="R8" s="34"/>
      <c r="S8" s="34"/>
    </row>
    <row r="9" spans="1:19" s="35" customFormat="1" ht="15">
      <c r="A9" s="495"/>
      <c r="B9" s="36" t="s">
        <v>8</v>
      </c>
      <c r="C9" s="36"/>
      <c r="D9" s="34"/>
      <c r="E9" s="34"/>
      <c r="F9" s="34"/>
      <c r="G9" s="34"/>
      <c r="H9" s="34"/>
      <c r="I9" s="34"/>
      <c r="J9" s="34"/>
      <c r="K9" s="34"/>
      <c r="L9" s="34"/>
      <c r="M9" s="34"/>
      <c r="N9" s="34"/>
      <c r="O9" s="34"/>
      <c r="P9" s="34"/>
      <c r="Q9" s="34"/>
      <c r="R9" s="34"/>
      <c r="S9" s="34"/>
    </row>
    <row r="10" spans="1:19" s="35" customFormat="1" ht="15">
      <c r="A10" s="495">
        <v>1</v>
      </c>
      <c r="B10" s="37" t="s">
        <v>9</v>
      </c>
      <c r="C10" s="38">
        <v>43607</v>
      </c>
      <c r="D10" s="39">
        <f>C10*1.3</f>
        <v>56689.1</v>
      </c>
      <c r="E10" s="39">
        <f>D10*(1+$D$68)</f>
        <v>58389.773000000001</v>
      </c>
      <c r="F10" s="39">
        <f t="shared" ref="F10:S10" si="0">E10*(1+$D$68)</f>
        <v>60141.466189999999</v>
      </c>
      <c r="G10" s="39">
        <f t="shared" si="0"/>
        <v>61945.710175699998</v>
      </c>
      <c r="H10" s="39">
        <f t="shared" si="0"/>
        <v>63804.081480970999</v>
      </c>
      <c r="I10" s="39">
        <f t="shared" si="0"/>
        <v>65718.203925400128</v>
      </c>
      <c r="J10" s="39">
        <f t="shared" si="0"/>
        <v>67689.75004316213</v>
      </c>
      <c r="K10" s="39">
        <f t="shared" si="0"/>
        <v>69720.442544456993</v>
      </c>
      <c r="L10" s="39">
        <f t="shared" si="0"/>
        <v>71812.055820790702</v>
      </c>
      <c r="M10" s="39">
        <f t="shared" si="0"/>
        <v>73966.417495414426</v>
      </c>
      <c r="N10" s="39">
        <f t="shared" si="0"/>
        <v>76185.41002027686</v>
      </c>
      <c r="O10" s="39">
        <f t="shared" si="0"/>
        <v>78470.972320885165</v>
      </c>
      <c r="P10" s="39">
        <f t="shared" si="0"/>
        <v>80825.101490511719</v>
      </c>
      <c r="Q10" s="39">
        <f t="shared" si="0"/>
        <v>83249.854535227074</v>
      </c>
      <c r="R10" s="39">
        <f t="shared" si="0"/>
        <v>85747.350171283892</v>
      </c>
      <c r="S10" s="39">
        <f t="shared" si="0"/>
        <v>88319.770676422413</v>
      </c>
    </row>
    <row r="11" spans="1:19" s="35" customFormat="1" ht="15">
      <c r="A11" s="495"/>
      <c r="B11" s="37" t="s">
        <v>10</v>
      </c>
      <c r="C11" s="38">
        <v>7672</v>
      </c>
      <c r="D11" s="39">
        <f>C11*1.3</f>
        <v>9973.6</v>
      </c>
      <c r="E11" s="39">
        <f>D11*(1+$D$69)</f>
        <v>10173.072</v>
      </c>
      <c r="F11" s="39">
        <f t="shared" ref="F11:S11" si="1">E11*(1+$D$69)</f>
        <v>10376.533440000001</v>
      </c>
      <c r="G11" s="39">
        <f t="shared" si="1"/>
        <v>10584.064108800001</v>
      </c>
      <c r="H11" s="39">
        <f t="shared" si="1"/>
        <v>10795.745390976001</v>
      </c>
      <c r="I11" s="39">
        <f t="shared" si="1"/>
        <v>11011.660298795521</v>
      </c>
      <c r="J11" s="39">
        <f t="shared" si="1"/>
        <v>11231.893504771431</v>
      </c>
      <c r="K11" s="39">
        <f t="shared" si="1"/>
        <v>11456.53137486686</v>
      </c>
      <c r="L11" s="39">
        <f t="shared" si="1"/>
        <v>11685.662002364197</v>
      </c>
      <c r="M11" s="39">
        <f t="shared" si="1"/>
        <v>11919.375242411481</v>
      </c>
      <c r="N11" s="39">
        <f t="shared" si="1"/>
        <v>12157.762747259711</v>
      </c>
      <c r="O11" s="39">
        <f t="shared" si="1"/>
        <v>12400.918002204904</v>
      </c>
      <c r="P11" s="39">
        <f t="shared" si="1"/>
        <v>12648.936362249002</v>
      </c>
      <c r="Q11" s="39">
        <f t="shared" si="1"/>
        <v>12901.915089493981</v>
      </c>
      <c r="R11" s="39">
        <f t="shared" si="1"/>
        <v>13159.953391283861</v>
      </c>
      <c r="S11" s="39">
        <f t="shared" si="1"/>
        <v>13423.152459109539</v>
      </c>
    </row>
    <row r="12" spans="1:19" s="35" customFormat="1" ht="15">
      <c r="A12" s="495"/>
      <c r="B12" s="37" t="s">
        <v>11</v>
      </c>
      <c r="C12" s="38">
        <v>39670</v>
      </c>
      <c r="D12" s="39">
        <f>C12*1.3</f>
        <v>51571</v>
      </c>
      <c r="E12" s="39">
        <f>D12*(1+$D$70)</f>
        <v>53118.130000000005</v>
      </c>
      <c r="F12" s="39">
        <f t="shared" ref="F12:S12" si="2">E12*(1+$D$70)</f>
        <v>54711.673900000009</v>
      </c>
      <c r="G12" s="39">
        <f t="shared" si="2"/>
        <v>56353.024117000008</v>
      </c>
      <c r="H12" s="39">
        <f t="shared" si="2"/>
        <v>58043.61484051001</v>
      </c>
      <c r="I12" s="39">
        <f t="shared" si="2"/>
        <v>59784.923285725316</v>
      </c>
      <c r="J12" s="39">
        <f t="shared" si="2"/>
        <v>61578.470984297077</v>
      </c>
      <c r="K12" s="39">
        <f t="shared" si="2"/>
        <v>63425.825113825988</v>
      </c>
      <c r="L12" s="39">
        <f t="shared" si="2"/>
        <v>65328.599867240766</v>
      </c>
      <c r="M12" s="39">
        <f t="shared" si="2"/>
        <v>67288.457863257994</v>
      </c>
      <c r="N12" s="39">
        <f t="shared" si="2"/>
        <v>69307.111599155731</v>
      </c>
      <c r="O12" s="39">
        <f t="shared" si="2"/>
        <v>71386.324947130401</v>
      </c>
      <c r="P12" s="39">
        <f t="shared" si="2"/>
        <v>73527.914695544314</v>
      </c>
      <c r="Q12" s="39">
        <f t="shared" si="2"/>
        <v>75733.752136410651</v>
      </c>
      <c r="R12" s="39">
        <f t="shared" si="2"/>
        <v>78005.764700502972</v>
      </c>
      <c r="S12" s="39">
        <f t="shared" si="2"/>
        <v>80345.93764151806</v>
      </c>
    </row>
    <row r="13" spans="1:19" s="35" customFormat="1" ht="15">
      <c r="A13" s="495"/>
      <c r="B13" s="40" t="s">
        <v>137</v>
      </c>
      <c r="C13" s="41">
        <f>SUM(C10:C12)</f>
        <v>90949</v>
      </c>
      <c r="D13" s="42">
        <f>SUM(D10:D12)</f>
        <v>118233.7</v>
      </c>
      <c r="E13" s="42">
        <f t="shared" ref="E13:S13" si="3">SUM(E10:E12)</f>
        <v>121680.97500000001</v>
      </c>
      <c r="F13" s="42">
        <f t="shared" si="3"/>
        <v>125229.67353000001</v>
      </c>
      <c r="G13" s="42">
        <f t="shared" si="3"/>
        <v>128882.79840150001</v>
      </c>
      <c r="H13" s="42">
        <f t="shared" si="3"/>
        <v>132643.44171245702</v>
      </c>
      <c r="I13" s="42">
        <f t="shared" si="3"/>
        <v>136514.78750992098</v>
      </c>
      <c r="J13" s="42">
        <f t="shared" si="3"/>
        <v>140500.11453223065</v>
      </c>
      <c r="K13" s="42">
        <f t="shared" si="3"/>
        <v>144602.79903314984</v>
      </c>
      <c r="L13" s="42">
        <f t="shared" si="3"/>
        <v>148826.31769039566</v>
      </c>
      <c r="M13" s="42">
        <f t="shared" si="3"/>
        <v>153174.25060108391</v>
      </c>
      <c r="N13" s="42">
        <f t="shared" si="3"/>
        <v>157650.2843666923</v>
      </c>
      <c r="O13" s="42">
        <f t="shared" si="3"/>
        <v>162258.21527022048</v>
      </c>
      <c r="P13" s="42">
        <f t="shared" si="3"/>
        <v>167001.95254830504</v>
      </c>
      <c r="Q13" s="42">
        <f t="shared" si="3"/>
        <v>171885.52176113171</v>
      </c>
      <c r="R13" s="42">
        <f t="shared" si="3"/>
        <v>176913.06826307072</v>
      </c>
      <c r="S13" s="42">
        <f t="shared" si="3"/>
        <v>182088.86077705002</v>
      </c>
    </row>
    <row r="14" spans="1:19" s="35" customFormat="1" ht="15">
      <c r="A14" s="495"/>
      <c r="B14" s="43"/>
      <c r="C14" s="43"/>
      <c r="D14" s="44"/>
      <c r="E14" s="44"/>
      <c r="F14" s="44"/>
      <c r="G14" s="44"/>
      <c r="H14" s="44"/>
      <c r="I14" s="44"/>
      <c r="J14" s="44"/>
      <c r="K14" s="44"/>
      <c r="L14" s="44"/>
      <c r="M14" s="44"/>
      <c r="N14" s="44"/>
      <c r="O14" s="44"/>
      <c r="P14" s="44"/>
      <c r="Q14" s="44"/>
      <c r="R14" s="44"/>
      <c r="S14" s="44"/>
    </row>
    <row r="15" spans="1:19" s="35" customFormat="1" ht="15">
      <c r="A15" s="495"/>
      <c r="B15" s="45" t="s">
        <v>12</v>
      </c>
      <c r="C15" s="45"/>
      <c r="D15" s="44"/>
      <c r="E15" s="44"/>
      <c r="F15" s="44"/>
      <c r="G15" s="44"/>
      <c r="H15" s="44"/>
      <c r="I15" s="44"/>
      <c r="J15" s="44"/>
      <c r="K15" s="44"/>
      <c r="L15" s="44"/>
      <c r="M15" s="44"/>
      <c r="N15" s="44"/>
      <c r="O15" s="44"/>
      <c r="P15" s="44"/>
      <c r="Q15" s="44"/>
      <c r="R15" s="44"/>
      <c r="S15" s="44"/>
    </row>
    <row r="16" spans="1:19" s="35" customFormat="1" ht="15">
      <c r="A16" s="495"/>
      <c r="B16" s="40" t="s">
        <v>13</v>
      </c>
      <c r="C16" s="40"/>
      <c r="D16" s="39">
        <f>D13*$D$64*$D$62</f>
        <v>11420.675440208388</v>
      </c>
      <c r="E16" s="39">
        <f t="shared" ref="E16:S16" si="4">E13*$D$64*$D$62</f>
        <v>11753.661796282371</v>
      </c>
      <c r="F16" s="39">
        <f t="shared" si="4"/>
        <v>12096.445064895928</v>
      </c>
      <c r="G16" s="39">
        <f t="shared" si="4"/>
        <v>12449.315299862392</v>
      </c>
      <c r="H16" s="39">
        <f t="shared" si="4"/>
        <v>12812.571179538243</v>
      </c>
      <c r="I16" s="39">
        <f t="shared" si="4"/>
        <v>13186.52026401797</v>
      </c>
      <c r="J16" s="39">
        <f t="shared" si="4"/>
        <v>13571.479260013957</v>
      </c>
      <c r="K16" s="39">
        <f t="shared" si="4"/>
        <v>13967.774293651335</v>
      </c>
      <c r="L16" s="39">
        <f t="shared" si="4"/>
        <v>14375.74119141457</v>
      </c>
      <c r="M16" s="39">
        <f t="shared" si="4"/>
        <v>14795.725769489782</v>
      </c>
      <c r="N16" s="39">
        <f t="shared" si="4"/>
        <v>15228.0841317539</v>
      </c>
      <c r="O16" s="39">
        <f t="shared" si="4"/>
        <v>15673.182976669534</v>
      </c>
      <c r="P16" s="39">
        <f t="shared" si="4"/>
        <v>16131.399913351897</v>
      </c>
      <c r="Q16" s="39">
        <f t="shared" si="4"/>
        <v>16603.123787082375</v>
      </c>
      <c r="R16" s="39">
        <f t="shared" si="4"/>
        <v>17088.755014551363</v>
      </c>
      <c r="S16" s="39">
        <f t="shared" si="4"/>
        <v>17588.705929121559</v>
      </c>
    </row>
    <row r="17" spans="1:21" s="35" customFormat="1" ht="15">
      <c r="A17" s="495"/>
      <c r="B17" s="40" t="s">
        <v>14</v>
      </c>
      <c r="C17" s="40"/>
      <c r="D17" s="39">
        <f>D13*$D$64*$D$63</f>
        <v>402.69455979161205</v>
      </c>
      <c r="E17" s="39">
        <f t="shared" ref="E17:S17" si="5">E13*$D$64*$D$63</f>
        <v>414.43570371763008</v>
      </c>
      <c r="F17" s="39">
        <f t="shared" si="5"/>
        <v>426.52228810407394</v>
      </c>
      <c r="G17" s="39">
        <f t="shared" si="5"/>
        <v>438.96454028760945</v>
      </c>
      <c r="H17" s="39">
        <f t="shared" si="5"/>
        <v>451.77299170745931</v>
      </c>
      <c r="I17" s="39">
        <f t="shared" si="5"/>
        <v>464.95848697412913</v>
      </c>
      <c r="J17" s="39">
        <f t="shared" si="5"/>
        <v>478.53219320910785</v>
      </c>
      <c r="K17" s="39">
        <f t="shared" si="5"/>
        <v>492.50560966365111</v>
      </c>
      <c r="L17" s="39">
        <f t="shared" si="5"/>
        <v>506.89057762499596</v>
      </c>
      <c r="M17" s="39">
        <f t="shared" si="5"/>
        <v>521.69929061861001</v>
      </c>
      <c r="N17" s="39">
        <f t="shared" si="5"/>
        <v>536.94430491532967</v>
      </c>
      <c r="O17" s="39">
        <f t="shared" si="5"/>
        <v>552.63855035251424</v>
      </c>
      <c r="P17" s="39">
        <f t="shared" si="5"/>
        <v>568.79534147860875</v>
      </c>
      <c r="Q17" s="39">
        <f t="shared" si="5"/>
        <v>585.42838903079655</v>
      </c>
      <c r="R17" s="39">
        <f t="shared" si="5"/>
        <v>602.55181175570647</v>
      </c>
      <c r="S17" s="39">
        <f t="shared" si="5"/>
        <v>620.18014858344361</v>
      </c>
    </row>
    <row r="18" spans="1:21" s="35" customFormat="1" ht="15">
      <c r="A18" s="495"/>
      <c r="B18" s="40" t="s">
        <v>138</v>
      </c>
      <c r="C18" s="34"/>
      <c r="D18" s="44">
        <f>SUM(D16:D17)</f>
        <v>11823.37</v>
      </c>
      <c r="E18" s="44">
        <f t="shared" ref="E18:S18" si="6">SUM(E16:E17)</f>
        <v>12168.097500000002</v>
      </c>
      <c r="F18" s="44">
        <f t="shared" si="6"/>
        <v>12522.967353000002</v>
      </c>
      <c r="G18" s="44">
        <f t="shared" si="6"/>
        <v>12888.27984015</v>
      </c>
      <c r="H18" s="44">
        <f t="shared" si="6"/>
        <v>13264.344171245702</v>
      </c>
      <c r="I18" s="44">
        <f t="shared" si="6"/>
        <v>13651.478750992099</v>
      </c>
      <c r="J18" s="44">
        <f t="shared" si="6"/>
        <v>14050.011453223065</v>
      </c>
      <c r="K18" s="44">
        <f t="shared" si="6"/>
        <v>14460.279903314986</v>
      </c>
      <c r="L18" s="44">
        <f t="shared" si="6"/>
        <v>14882.631769039566</v>
      </c>
      <c r="M18" s="44">
        <f t="shared" si="6"/>
        <v>15317.425060108391</v>
      </c>
      <c r="N18" s="44">
        <f t="shared" si="6"/>
        <v>15765.028436669229</v>
      </c>
      <c r="O18" s="44">
        <f t="shared" si="6"/>
        <v>16225.821527022048</v>
      </c>
      <c r="P18" s="44">
        <f t="shared" si="6"/>
        <v>16700.195254830505</v>
      </c>
      <c r="Q18" s="44">
        <f t="shared" si="6"/>
        <v>17188.552176113171</v>
      </c>
      <c r="R18" s="44">
        <f t="shared" si="6"/>
        <v>17691.306826307071</v>
      </c>
      <c r="S18" s="44">
        <f t="shared" si="6"/>
        <v>18208.886077705003</v>
      </c>
    </row>
    <row r="19" spans="1:21" ht="15">
      <c r="A19" s="508"/>
      <c r="B19" s="40"/>
      <c r="D19" s="47"/>
      <c r="E19" s="47"/>
      <c r="F19" s="47"/>
      <c r="G19" s="47"/>
      <c r="H19" s="47"/>
      <c r="I19" s="47"/>
      <c r="J19" s="47"/>
      <c r="K19" s="47"/>
      <c r="L19" s="47"/>
      <c r="M19" s="47"/>
      <c r="N19" s="47"/>
      <c r="O19" s="47"/>
      <c r="P19" s="47"/>
      <c r="Q19" s="47"/>
      <c r="R19" s="47"/>
      <c r="S19" s="47"/>
    </row>
    <row r="20" spans="1:21" s="35" customFormat="1" ht="15">
      <c r="A20" s="495"/>
      <c r="B20" s="36" t="s">
        <v>15</v>
      </c>
      <c r="C20" s="36"/>
      <c r="D20" s="34"/>
      <c r="E20" s="34"/>
      <c r="F20" s="44"/>
      <c r="G20" s="34"/>
      <c r="H20" s="34"/>
      <c r="I20" s="34"/>
      <c r="J20" s="34"/>
      <c r="K20" s="34"/>
      <c r="L20" s="34"/>
      <c r="M20" s="34"/>
      <c r="N20" s="34"/>
      <c r="O20" s="34"/>
      <c r="P20" s="34"/>
      <c r="Q20" s="34"/>
      <c r="R20" s="34"/>
      <c r="S20" s="34"/>
    </row>
    <row r="21" spans="1:21" s="35" customFormat="1" ht="15">
      <c r="A21" s="495"/>
      <c r="B21" s="40" t="s">
        <v>13</v>
      </c>
      <c r="C21" s="40"/>
      <c r="D21" s="42">
        <f>D16*$D$65</f>
        <v>390152.41561914887</v>
      </c>
      <c r="E21" s="42">
        <f t="shared" ref="E21:S21" si="7">E16*$D$65</f>
        <v>401527.87514171738</v>
      </c>
      <c r="F21" s="42">
        <f t="shared" si="7"/>
        <v>413238.01619104279</v>
      </c>
      <c r="G21" s="42">
        <f t="shared" si="7"/>
        <v>425292.74756774935</v>
      </c>
      <c r="H21" s="42">
        <f t="shared" si="7"/>
        <v>437702.27270357672</v>
      </c>
      <c r="I21" s="42">
        <f t="shared" si="7"/>
        <v>450477.09844765486</v>
      </c>
      <c r="J21" s="42">
        <f t="shared" si="7"/>
        <v>463628.04411531461</v>
      </c>
      <c r="K21" s="42">
        <f t="shared" si="7"/>
        <v>477166.2508072888</v>
      </c>
      <c r="L21" s="42">
        <f t="shared" si="7"/>
        <v>491103.19100739248</v>
      </c>
      <c r="M21" s="42">
        <f t="shared" si="7"/>
        <v>505450.67846701707</v>
      </c>
      <c r="N21" s="42">
        <f t="shared" si="7"/>
        <v>520220.87838501832</v>
      </c>
      <c r="O21" s="42">
        <f t="shared" si="7"/>
        <v>535426.31789183954</v>
      </c>
      <c r="P21" s="42">
        <f t="shared" si="7"/>
        <v>551079.89684697078</v>
      </c>
      <c r="Q21" s="42">
        <f t="shared" si="7"/>
        <v>567194.89895912353</v>
      </c>
      <c r="R21" s="42">
        <f t="shared" si="7"/>
        <v>583785.00323877553</v>
      </c>
      <c r="S21" s="42">
        <f t="shared" si="7"/>
        <v>600864.29579303495</v>
      </c>
    </row>
    <row r="22" spans="1:21" s="35" customFormat="1" ht="15">
      <c r="A22" s="495"/>
      <c r="B22" s="40" t="s">
        <v>14</v>
      </c>
      <c r="C22" s="40"/>
      <c r="D22" s="42">
        <f>D17*$D$66</f>
        <v>39305.219751150973</v>
      </c>
      <c r="E22" s="42">
        <f t="shared" ref="E22:S22" si="8">E17*$D$66</f>
        <v>40451.220438075681</v>
      </c>
      <c r="F22" s="42">
        <f t="shared" si="8"/>
        <v>41630.938027495919</v>
      </c>
      <c r="G22" s="42">
        <f t="shared" si="8"/>
        <v>42845.370764124331</v>
      </c>
      <c r="H22" s="42">
        <f t="shared" si="8"/>
        <v>44095.546574767672</v>
      </c>
      <c r="I22" s="42">
        <f t="shared" si="8"/>
        <v>45382.523953484699</v>
      </c>
      <c r="J22" s="42">
        <f t="shared" si="8"/>
        <v>46707.392873192715</v>
      </c>
      <c r="K22" s="42">
        <f t="shared" si="8"/>
        <v>48071.275724514046</v>
      </c>
      <c r="L22" s="42">
        <f t="shared" si="8"/>
        <v>49475.328282677518</v>
      </c>
      <c r="M22" s="42">
        <f t="shared" si="8"/>
        <v>50920.740703314463</v>
      </c>
      <c r="N22" s="42">
        <f t="shared" si="8"/>
        <v>52408.738548013644</v>
      </c>
      <c r="O22" s="42">
        <f t="shared" si="8"/>
        <v>53940.583840525811</v>
      </c>
      <c r="P22" s="42">
        <f t="shared" si="8"/>
        <v>55517.576154534763</v>
      </c>
      <c r="Q22" s="42">
        <f t="shared" si="8"/>
        <v>57141.053733939851</v>
      </c>
      <c r="R22" s="42">
        <f t="shared" si="8"/>
        <v>58812.394646622466</v>
      </c>
      <c r="S22" s="42">
        <f t="shared" si="8"/>
        <v>60533.017972698872</v>
      </c>
      <c r="T22" s="39"/>
      <c r="U22" s="39"/>
    </row>
    <row r="23" spans="1:21" s="35" customFormat="1" ht="15">
      <c r="A23" s="495"/>
      <c r="B23" s="40" t="s">
        <v>161</v>
      </c>
      <c r="C23" s="40"/>
      <c r="D23" s="42">
        <f>SUM(D21:D22)</f>
        <v>429457.63537029986</v>
      </c>
      <c r="E23" s="42">
        <f t="shared" ref="E23:S23" si="9">SUM(E21:E22)</f>
        <v>441979.09557979304</v>
      </c>
      <c r="F23" s="42">
        <f t="shared" si="9"/>
        <v>454868.95421853871</v>
      </c>
      <c r="G23" s="42">
        <f t="shared" si="9"/>
        <v>468138.11833187367</v>
      </c>
      <c r="H23" s="42">
        <f t="shared" si="9"/>
        <v>481797.8192783444</v>
      </c>
      <c r="I23" s="42">
        <f t="shared" si="9"/>
        <v>495859.62240113958</v>
      </c>
      <c r="J23" s="42">
        <f t="shared" si="9"/>
        <v>510335.43698850734</v>
      </c>
      <c r="K23" s="42">
        <f t="shared" si="9"/>
        <v>525237.52653180284</v>
      </c>
      <c r="L23" s="42">
        <f t="shared" si="9"/>
        <v>540578.51929007005</v>
      </c>
      <c r="M23" s="42">
        <f t="shared" si="9"/>
        <v>556371.41917033156</v>
      </c>
      <c r="N23" s="42">
        <f t="shared" si="9"/>
        <v>572629.61693303194</v>
      </c>
      <c r="O23" s="42">
        <f t="shared" si="9"/>
        <v>589366.90173236537</v>
      </c>
      <c r="P23" s="42">
        <f t="shared" si="9"/>
        <v>606597.47300150548</v>
      </c>
      <c r="Q23" s="42">
        <f t="shared" si="9"/>
        <v>624335.95269306342</v>
      </c>
      <c r="R23" s="42">
        <f t="shared" si="9"/>
        <v>642597.39788539801</v>
      </c>
      <c r="S23" s="42">
        <f t="shared" si="9"/>
        <v>661397.31376573385</v>
      </c>
      <c r="T23" s="39"/>
      <c r="U23" s="39"/>
    </row>
    <row r="24" spans="1:21" s="35" customFormat="1" ht="15">
      <c r="C24" s="34"/>
      <c r="D24" s="34"/>
      <c r="E24" s="34"/>
      <c r="F24" s="44"/>
      <c r="G24" s="44"/>
      <c r="H24" s="44"/>
      <c r="I24" s="44"/>
      <c r="J24" s="44"/>
      <c r="K24" s="44"/>
      <c r="L24" s="44"/>
      <c r="M24" s="44"/>
      <c r="N24" s="44"/>
      <c r="O24" s="44"/>
      <c r="P24" s="44"/>
      <c r="Q24" s="44"/>
      <c r="R24" s="44"/>
      <c r="S24" s="44"/>
      <c r="T24" s="39"/>
      <c r="U24" s="39"/>
    </row>
    <row r="25" spans="1:21" s="35" customFormat="1" ht="15">
      <c r="B25" s="33"/>
      <c r="C25" s="33"/>
      <c r="D25" s="44"/>
      <c r="E25" s="34"/>
      <c r="F25" s="34"/>
      <c r="G25" s="34"/>
      <c r="H25" s="34"/>
      <c r="I25" s="34"/>
      <c r="J25" s="34"/>
      <c r="K25" s="34"/>
      <c r="L25" s="34"/>
      <c r="M25" s="34"/>
      <c r="N25" s="34"/>
      <c r="O25" s="34"/>
      <c r="P25" s="34"/>
      <c r="Q25" s="34"/>
      <c r="R25" s="34"/>
      <c r="S25" s="34"/>
    </row>
    <row r="26" spans="1:21" s="50" customFormat="1" ht="15">
      <c r="A26" s="509"/>
      <c r="B26" s="48" t="s">
        <v>17</v>
      </c>
      <c r="C26" s="48"/>
      <c r="D26" s="49"/>
      <c r="E26" s="49"/>
      <c r="F26" s="49"/>
      <c r="G26" s="49"/>
      <c r="H26" s="49"/>
      <c r="I26" s="49"/>
      <c r="J26" s="49"/>
      <c r="K26" s="49"/>
      <c r="L26" s="49"/>
      <c r="M26" s="49"/>
      <c r="N26" s="49"/>
      <c r="O26" s="49"/>
      <c r="P26" s="49"/>
      <c r="Q26" s="49"/>
      <c r="R26" s="49"/>
      <c r="S26" s="49"/>
    </row>
    <row r="27" spans="1:21" s="50" customFormat="1" ht="15">
      <c r="A27" s="509"/>
      <c r="B27" s="51"/>
      <c r="C27" s="51"/>
    </row>
    <row r="28" spans="1:21" s="50" customFormat="1" ht="15">
      <c r="A28" s="509"/>
      <c r="B28" s="36" t="s">
        <v>8</v>
      </c>
      <c r="C28" s="36"/>
    </row>
    <row r="29" spans="1:21" s="50" customFormat="1" ht="15">
      <c r="A29" s="509"/>
      <c r="B29" s="52" t="s">
        <v>131</v>
      </c>
      <c r="C29" s="52"/>
      <c r="D29" s="39">
        <f>D13</f>
        <v>118233.7</v>
      </c>
      <c r="E29" s="39">
        <f t="shared" ref="E29:S29" si="10">E13</f>
        <v>121680.97500000001</v>
      </c>
      <c r="F29" s="39">
        <f t="shared" si="10"/>
        <v>125229.67353000001</v>
      </c>
      <c r="G29" s="39">
        <f t="shared" si="10"/>
        <v>128882.79840150001</v>
      </c>
      <c r="H29" s="39">
        <f t="shared" si="10"/>
        <v>132643.44171245702</v>
      </c>
      <c r="I29" s="39">
        <f t="shared" si="10"/>
        <v>136514.78750992098</v>
      </c>
      <c r="J29" s="39">
        <f t="shared" si="10"/>
        <v>140500.11453223065</v>
      </c>
      <c r="K29" s="39">
        <f t="shared" si="10"/>
        <v>144602.79903314984</v>
      </c>
      <c r="L29" s="39">
        <f t="shared" si="10"/>
        <v>148826.31769039566</v>
      </c>
      <c r="M29" s="39">
        <f t="shared" si="10"/>
        <v>153174.25060108391</v>
      </c>
      <c r="N29" s="39">
        <f t="shared" si="10"/>
        <v>157650.2843666923</v>
      </c>
      <c r="O29" s="39">
        <f t="shared" si="10"/>
        <v>162258.21527022048</v>
      </c>
      <c r="P29" s="39">
        <f t="shared" si="10"/>
        <v>167001.95254830504</v>
      </c>
      <c r="Q29" s="39">
        <f t="shared" si="10"/>
        <v>171885.52176113171</v>
      </c>
      <c r="R29" s="39">
        <f t="shared" si="10"/>
        <v>176913.06826307072</v>
      </c>
      <c r="S29" s="39">
        <f t="shared" si="10"/>
        <v>182088.86077705002</v>
      </c>
    </row>
    <row r="30" spans="1:21" s="54" customFormat="1" ht="15">
      <c r="A30" s="495"/>
      <c r="B30" s="169" t="s">
        <v>18</v>
      </c>
      <c r="C30" s="53"/>
      <c r="F30" s="55"/>
      <c r="G30" s="55"/>
      <c r="H30" s="55"/>
      <c r="I30" s="55"/>
      <c r="J30" s="55"/>
      <c r="K30" s="55"/>
      <c r="L30" s="55"/>
      <c r="M30" s="55"/>
      <c r="N30" s="55"/>
      <c r="O30" s="55"/>
      <c r="P30" s="55"/>
      <c r="Q30" s="55"/>
      <c r="R30" s="55"/>
      <c r="S30" s="55"/>
      <c r="T30" s="55"/>
      <c r="U30" s="55"/>
    </row>
    <row r="31" spans="1:21" s="54" customFormat="1" ht="15">
      <c r="A31" s="495"/>
      <c r="B31" s="56" t="s">
        <v>9</v>
      </c>
      <c r="C31" s="56"/>
      <c r="D31" s="57">
        <f t="shared" ref="D31:F33" si="11">D10</f>
        <v>56689.1</v>
      </c>
      <c r="E31" s="57">
        <f t="shared" si="11"/>
        <v>58389.773000000001</v>
      </c>
      <c r="F31" s="57">
        <f t="shared" si="11"/>
        <v>60141.466189999999</v>
      </c>
      <c r="G31" s="58">
        <f>G10*(1-G39/G29)</f>
        <v>51131.40061507652</v>
      </c>
      <c r="H31" s="58">
        <f>H10*(1-H39/H29)</f>
        <v>42158.204160720103</v>
      </c>
      <c r="I31" s="58">
        <f>I10*(1-I39/I29)</f>
        <v>33223.711234327144</v>
      </c>
      <c r="J31" s="58">
        <f>I31+(I31+I36)*'Stove Assumptions'!$C$17</f>
        <v>35195.257352089146</v>
      </c>
      <c r="K31" s="58">
        <f t="shared" ref="K31:P31" si="12">J31+(J31+J36)*$D$68</f>
        <v>37225.949853384009</v>
      </c>
      <c r="L31" s="58">
        <f t="shared" si="12"/>
        <v>39317.563129717717</v>
      </c>
      <c r="M31" s="58">
        <f t="shared" si="12"/>
        <v>41471.924804341441</v>
      </c>
      <c r="N31" s="58">
        <f t="shared" si="12"/>
        <v>43690.917329203876</v>
      </c>
      <c r="O31" s="58">
        <f t="shared" si="12"/>
        <v>45976.47962981218</v>
      </c>
      <c r="P31" s="58">
        <f t="shared" si="12"/>
        <v>48330.608799438734</v>
      </c>
      <c r="Q31" s="58">
        <f>P31+(P31+P36)*$D$68+P36-Q36</f>
        <v>61586.859407845084</v>
      </c>
      <c r="R31" s="58">
        <f>Q31+(Q31+Q36)*$D$68+Q36-R36</f>
        <v>74915.852607592897</v>
      </c>
      <c r="S31" s="58">
        <f>R31+(R31+R36)*$D$68+R36-S36</f>
        <v>88319.770676422413</v>
      </c>
      <c r="T31" s="55"/>
      <c r="U31" s="55"/>
    </row>
    <row r="32" spans="1:21" s="54" customFormat="1" ht="15">
      <c r="A32" s="495"/>
      <c r="B32" s="56" t="s">
        <v>10</v>
      </c>
      <c r="C32" s="56"/>
      <c r="D32" s="57">
        <f t="shared" si="11"/>
        <v>9973.6</v>
      </c>
      <c r="E32" s="57">
        <f t="shared" si="11"/>
        <v>10173.072</v>
      </c>
      <c r="F32" s="57">
        <f t="shared" si="11"/>
        <v>10376.533440000001</v>
      </c>
      <c r="G32" s="58">
        <f>G11*(1-G39/G29)</f>
        <v>8736.3276738249187</v>
      </c>
      <c r="H32" s="58">
        <f>H11*(1-H39/H29)</f>
        <v>7133.2307854891314</v>
      </c>
      <c r="I32" s="58">
        <f>I11*(1-I39/I29)</f>
        <v>5566.9236242819225</v>
      </c>
      <c r="J32" s="58">
        <f>I32+(I32+I37)*'Stove Assumptions'!$C$18</f>
        <v>5787.1568302578326</v>
      </c>
      <c r="K32" s="58">
        <f t="shared" ref="K32:P32" si="13">J32+(J32+J37)*$D$69</f>
        <v>6011.7947003532609</v>
      </c>
      <c r="L32" s="58">
        <f t="shared" si="13"/>
        <v>6240.9253278505985</v>
      </c>
      <c r="M32" s="58">
        <f t="shared" si="13"/>
        <v>6474.6385678978822</v>
      </c>
      <c r="N32" s="58">
        <f t="shared" si="13"/>
        <v>6713.0260727461118</v>
      </c>
      <c r="O32" s="58">
        <f t="shared" si="13"/>
        <v>6956.1813276913063</v>
      </c>
      <c r="P32" s="58">
        <f t="shared" si="13"/>
        <v>7204.199687735404</v>
      </c>
      <c r="Q32" s="58">
        <f>P32+(P32+P37)*$D$69+P37-Q37</f>
        <v>9272.0906398182506</v>
      </c>
      <c r="R32" s="58">
        <f>Q32+(Q32+Q37)*$D$69+Q37-R37</f>
        <v>11345.041166445997</v>
      </c>
      <c r="S32" s="58">
        <f>R32+(R32+R37)*$D$69+R37-S37</f>
        <v>13423.15245910954</v>
      </c>
      <c r="T32" s="55"/>
      <c r="U32" s="55"/>
    </row>
    <row r="33" spans="1:21" s="54" customFormat="1" ht="15">
      <c r="A33" s="495"/>
      <c r="B33" s="56" t="s">
        <v>11</v>
      </c>
      <c r="C33" s="56"/>
      <c r="D33" s="57">
        <f t="shared" si="11"/>
        <v>51571</v>
      </c>
      <c r="E33" s="57">
        <f t="shared" si="11"/>
        <v>53118.130000000005</v>
      </c>
      <c r="F33" s="57">
        <f t="shared" si="11"/>
        <v>54711.673900000009</v>
      </c>
      <c r="G33" s="58">
        <f>G12*(1-G39/G29)</f>
        <v>46515.070112598572</v>
      </c>
      <c r="H33" s="58">
        <f>H12*(1-H39/H29)</f>
        <v>38352.006766247781</v>
      </c>
      <c r="I33" s="58">
        <f>I12*(1-I39/I29)</f>
        <v>30224.152651311902</v>
      </c>
      <c r="J33" s="58">
        <f>I33+(I33+I38)*'Stove Assumptions'!$C$19</f>
        <v>32017.70034988366</v>
      </c>
      <c r="K33" s="58">
        <f t="shared" ref="K33:P33" si="14">J33+(J33+J38)*$D$70</f>
        <v>33865.054479412574</v>
      </c>
      <c r="L33" s="58">
        <f t="shared" si="14"/>
        <v>35767.829232827353</v>
      </c>
      <c r="M33" s="58">
        <f t="shared" si="14"/>
        <v>37727.687228844574</v>
      </c>
      <c r="N33" s="58">
        <f t="shared" si="14"/>
        <v>39746.34096474231</v>
      </c>
      <c r="O33" s="58">
        <f t="shared" si="14"/>
        <v>41825.55431271698</v>
      </c>
      <c r="P33" s="58">
        <f t="shared" si="14"/>
        <v>43967.144061130894</v>
      </c>
      <c r="Q33" s="58">
        <f>P33+(P33+P38)*$D$70+P38-Q38</f>
        <v>56026.571713468365</v>
      </c>
      <c r="R33" s="58">
        <f>Q33+(Q33+Q38)*$D$70+Q38-R38</f>
        <v>68152.174489031822</v>
      </c>
      <c r="S33" s="58">
        <f>R33+(R33+R38)*$D$70+R38-S38</f>
        <v>80345.937641518045</v>
      </c>
      <c r="T33" s="55"/>
      <c r="U33" s="55"/>
    </row>
    <row r="34" spans="1:21" s="54" customFormat="1" ht="15">
      <c r="A34" s="495"/>
      <c r="B34" s="56" t="s">
        <v>139</v>
      </c>
      <c r="C34" s="56"/>
      <c r="D34" s="57">
        <f t="shared" ref="D34:S34" si="15">SUM(D31:D33)</f>
        <v>118233.7</v>
      </c>
      <c r="E34" s="57">
        <f t="shared" si="15"/>
        <v>121680.97500000001</v>
      </c>
      <c r="F34" s="57">
        <f t="shared" si="15"/>
        <v>125229.67353000001</v>
      </c>
      <c r="G34" s="57">
        <f t="shared" si="15"/>
        <v>106382.79840150001</v>
      </c>
      <c r="H34" s="57">
        <f t="shared" si="15"/>
        <v>87643.441712457017</v>
      </c>
      <c r="I34" s="57">
        <f t="shared" si="15"/>
        <v>69014.787509920978</v>
      </c>
      <c r="J34" s="57">
        <f t="shared" si="15"/>
        <v>73000.11453223064</v>
      </c>
      <c r="K34" s="57">
        <f t="shared" si="15"/>
        <v>77102.799033149844</v>
      </c>
      <c r="L34" s="57">
        <f t="shared" si="15"/>
        <v>81326.317690395663</v>
      </c>
      <c r="M34" s="57">
        <f t="shared" si="15"/>
        <v>85674.250601083899</v>
      </c>
      <c r="N34" s="57">
        <f t="shared" si="15"/>
        <v>90150.2843666923</v>
      </c>
      <c r="O34" s="57">
        <f t="shared" si="15"/>
        <v>94758.215270220477</v>
      </c>
      <c r="P34" s="57">
        <f t="shared" si="15"/>
        <v>99501.952548305038</v>
      </c>
      <c r="Q34" s="57">
        <f t="shared" si="15"/>
        <v>126885.52176113171</v>
      </c>
      <c r="R34" s="57">
        <f t="shared" si="15"/>
        <v>154413.06826307072</v>
      </c>
      <c r="S34" s="57">
        <f t="shared" si="15"/>
        <v>182088.86077704999</v>
      </c>
      <c r="T34" s="55"/>
      <c r="U34" s="55"/>
    </row>
    <row r="35" spans="1:21" s="54" customFormat="1" ht="15">
      <c r="A35" s="495"/>
      <c r="B35" s="169" t="s">
        <v>19</v>
      </c>
      <c r="C35" s="53"/>
    </row>
    <row r="36" spans="1:21" s="35" customFormat="1" ht="15">
      <c r="A36" s="495"/>
      <c r="B36" s="56" t="s">
        <v>9</v>
      </c>
      <c r="C36" s="56"/>
      <c r="D36" s="59">
        <v>0</v>
      </c>
      <c r="E36" s="59">
        <v>0</v>
      </c>
      <c r="F36" s="44">
        <v>0</v>
      </c>
      <c r="G36" s="44">
        <f t="shared" ref="G36:I38" si="16">G10-G31</f>
        <v>10814.309560623478</v>
      </c>
      <c r="H36" s="44">
        <f t="shared" si="16"/>
        <v>21645.877320250896</v>
      </c>
      <c r="I36" s="44">
        <f t="shared" si="16"/>
        <v>32494.492691072985</v>
      </c>
      <c r="J36" s="44">
        <f t="shared" ref="J36:S36" si="17">I36*J39/I39</f>
        <v>32494.492691072988</v>
      </c>
      <c r="K36" s="44">
        <f t="shared" si="17"/>
        <v>32494.492691072988</v>
      </c>
      <c r="L36" s="44">
        <f t="shared" si="17"/>
        <v>32494.492691072988</v>
      </c>
      <c r="M36" s="44">
        <f t="shared" si="17"/>
        <v>32494.492691072988</v>
      </c>
      <c r="N36" s="44">
        <f t="shared" si="17"/>
        <v>32494.492691072988</v>
      </c>
      <c r="O36" s="44">
        <f t="shared" si="17"/>
        <v>32494.492691072988</v>
      </c>
      <c r="P36" s="44">
        <f t="shared" si="17"/>
        <v>32494.492691072988</v>
      </c>
      <c r="Q36" s="44">
        <f t="shared" si="17"/>
        <v>21662.995127381993</v>
      </c>
      <c r="R36" s="44">
        <f t="shared" si="17"/>
        <v>10831.497563690997</v>
      </c>
      <c r="S36" s="44">
        <f t="shared" si="17"/>
        <v>0</v>
      </c>
      <c r="T36" s="39"/>
      <c r="U36" s="39"/>
    </row>
    <row r="37" spans="1:21" s="35" customFormat="1" ht="15">
      <c r="A37" s="495"/>
      <c r="B37" s="56" t="s">
        <v>10</v>
      </c>
      <c r="C37" s="56"/>
      <c r="D37" s="59">
        <v>0</v>
      </c>
      <c r="E37" s="59">
        <v>0</v>
      </c>
      <c r="F37" s="44">
        <v>0</v>
      </c>
      <c r="G37" s="44">
        <f t="shared" si="16"/>
        <v>1847.7364349750824</v>
      </c>
      <c r="H37" s="44">
        <f t="shared" si="16"/>
        <v>3662.5146054868692</v>
      </c>
      <c r="I37" s="44">
        <f t="shared" si="16"/>
        <v>5444.7366745135987</v>
      </c>
      <c r="J37" s="44">
        <f t="shared" ref="J37:S37" si="18">I37*J39/I39</f>
        <v>5444.7366745135987</v>
      </c>
      <c r="K37" s="44">
        <f t="shared" si="18"/>
        <v>5444.7366745135987</v>
      </c>
      <c r="L37" s="44">
        <f t="shared" si="18"/>
        <v>5444.7366745135987</v>
      </c>
      <c r="M37" s="44">
        <f t="shared" si="18"/>
        <v>5444.7366745135987</v>
      </c>
      <c r="N37" s="44">
        <f t="shared" si="18"/>
        <v>5444.7366745135987</v>
      </c>
      <c r="O37" s="44">
        <f t="shared" si="18"/>
        <v>5444.7366745135987</v>
      </c>
      <c r="P37" s="44">
        <f t="shared" si="18"/>
        <v>5444.7366745135987</v>
      </c>
      <c r="Q37" s="44">
        <f t="shared" si="18"/>
        <v>3629.8244496757325</v>
      </c>
      <c r="R37" s="44">
        <f t="shared" si="18"/>
        <v>1814.912224837866</v>
      </c>
      <c r="S37" s="44">
        <f t="shared" si="18"/>
        <v>0</v>
      </c>
      <c r="T37" s="39"/>
      <c r="U37" s="39"/>
    </row>
    <row r="38" spans="1:21" s="35" customFormat="1" ht="15">
      <c r="A38" s="495"/>
      <c r="B38" s="56" t="s">
        <v>11</v>
      </c>
      <c r="C38" s="56"/>
      <c r="D38" s="59">
        <v>0</v>
      </c>
      <c r="E38" s="59">
        <v>0</v>
      </c>
      <c r="F38" s="44">
        <v>0</v>
      </c>
      <c r="G38" s="44">
        <f t="shared" si="16"/>
        <v>9837.9540044014357</v>
      </c>
      <c r="H38" s="44">
        <f t="shared" si="16"/>
        <v>19691.608074262229</v>
      </c>
      <c r="I38" s="44">
        <f t="shared" si="16"/>
        <v>29560.770634413413</v>
      </c>
      <c r="J38" s="44">
        <f t="shared" ref="J38:S38" si="19">I38*J39/I39</f>
        <v>29560.770634413413</v>
      </c>
      <c r="K38" s="44">
        <f t="shared" si="19"/>
        <v>29560.770634413413</v>
      </c>
      <c r="L38" s="44">
        <f t="shared" si="19"/>
        <v>29560.770634413413</v>
      </c>
      <c r="M38" s="44">
        <f t="shared" si="19"/>
        <v>29560.770634413413</v>
      </c>
      <c r="N38" s="44">
        <f t="shared" si="19"/>
        <v>29560.770634413413</v>
      </c>
      <c r="O38" s="44">
        <f t="shared" si="19"/>
        <v>29560.770634413413</v>
      </c>
      <c r="P38" s="44">
        <f t="shared" si="19"/>
        <v>29560.770634413413</v>
      </c>
      <c r="Q38" s="44">
        <f t="shared" si="19"/>
        <v>19707.180422942274</v>
      </c>
      <c r="R38" s="44">
        <f t="shared" si="19"/>
        <v>9853.5902114711371</v>
      </c>
      <c r="S38" s="44">
        <f t="shared" si="19"/>
        <v>0</v>
      </c>
      <c r="T38" s="39"/>
      <c r="U38" s="39"/>
    </row>
    <row r="39" spans="1:21" s="35" customFormat="1" ht="15">
      <c r="A39" s="495"/>
      <c r="B39" s="60" t="s">
        <v>140</v>
      </c>
      <c r="C39" s="60"/>
      <c r="D39" s="39">
        <v>0</v>
      </c>
      <c r="E39" s="39">
        <f t="shared" ref="E39:P39" si="20">D39+E44</f>
        <v>0</v>
      </c>
      <c r="F39" s="39">
        <f t="shared" si="20"/>
        <v>0</v>
      </c>
      <c r="G39" s="39">
        <f t="shared" si="20"/>
        <v>22500</v>
      </c>
      <c r="H39" s="39">
        <f t="shared" si="20"/>
        <v>45000</v>
      </c>
      <c r="I39" s="39">
        <f t="shared" si="20"/>
        <v>67500</v>
      </c>
      <c r="J39" s="39">
        <f t="shared" si="20"/>
        <v>67500</v>
      </c>
      <c r="K39" s="39">
        <f t="shared" si="20"/>
        <v>67500</v>
      </c>
      <c r="L39" s="39">
        <f t="shared" si="20"/>
        <v>67500</v>
      </c>
      <c r="M39" s="39">
        <f t="shared" si="20"/>
        <v>67500</v>
      </c>
      <c r="N39" s="39">
        <f t="shared" si="20"/>
        <v>67500</v>
      </c>
      <c r="O39" s="39">
        <f t="shared" si="20"/>
        <v>67500</v>
      </c>
      <c r="P39" s="39">
        <f t="shared" si="20"/>
        <v>67500</v>
      </c>
      <c r="Q39" s="39">
        <f>P39-G44</f>
        <v>45000</v>
      </c>
      <c r="R39" s="39">
        <f>Q39-H44</f>
        <v>22500</v>
      </c>
      <c r="S39" s="39">
        <f>R39-I44</f>
        <v>0</v>
      </c>
      <c r="T39" s="39"/>
      <c r="U39" s="39"/>
    </row>
    <row r="40" spans="1:21" s="35" customFormat="1" ht="15">
      <c r="A40" s="495"/>
      <c r="B40" s="43"/>
      <c r="C40" s="43"/>
      <c r="D40" s="43"/>
      <c r="E40" s="34"/>
      <c r="F40" s="44"/>
      <c r="G40" s="44"/>
      <c r="H40" s="44"/>
      <c r="I40" s="44"/>
      <c r="J40" s="44"/>
      <c r="K40" s="44"/>
      <c r="L40" s="44"/>
      <c r="M40" s="44"/>
      <c r="N40" s="44"/>
      <c r="O40" s="44"/>
      <c r="P40" s="44"/>
      <c r="Q40" s="44"/>
      <c r="R40" s="44"/>
      <c r="S40" s="44"/>
      <c r="T40" s="39"/>
      <c r="U40" s="39"/>
    </row>
    <row r="41" spans="1:21" s="35" customFormat="1" ht="15">
      <c r="A41" s="495"/>
      <c r="B41" s="45" t="s">
        <v>12</v>
      </c>
      <c r="C41" s="45"/>
      <c r="D41" s="34"/>
      <c r="E41" s="34"/>
      <c r="F41" s="44"/>
      <c r="G41" s="44"/>
      <c r="H41" s="44"/>
      <c r="I41" s="44"/>
      <c r="J41" s="44"/>
      <c r="K41" s="44"/>
      <c r="L41" s="44"/>
      <c r="M41" s="44"/>
      <c r="N41" s="44"/>
      <c r="O41" s="44"/>
      <c r="P41" s="44"/>
      <c r="Q41" s="44"/>
      <c r="R41" s="44"/>
      <c r="S41" s="44"/>
      <c r="T41" s="39"/>
      <c r="U41" s="39"/>
    </row>
    <row r="42" spans="1:21" s="35" customFormat="1" ht="15">
      <c r="A42" s="495"/>
      <c r="B42" s="40" t="s">
        <v>13</v>
      </c>
      <c r="C42" s="40"/>
      <c r="D42" s="44">
        <f t="shared" ref="D42:F43" si="21">D16</f>
        <v>11420.675440208388</v>
      </c>
      <c r="E42" s="44">
        <f t="shared" si="21"/>
        <v>11753.661796282371</v>
      </c>
      <c r="F42" s="44">
        <f t="shared" si="21"/>
        <v>12096.445064895928</v>
      </c>
      <c r="G42" s="44">
        <f>IF(G16&lt;G44,0, G16-G44)</f>
        <v>0</v>
      </c>
      <c r="H42" s="44">
        <f>IF(H16&lt;H44,0, H16-H44)</f>
        <v>0</v>
      </c>
      <c r="I42" s="44">
        <f>IF(I16&lt;I44,0, I16-I44)</f>
        <v>0</v>
      </c>
      <c r="J42" s="44">
        <f>J34*$D$62*$D$64</f>
        <v>7051.3788807306701</v>
      </c>
      <c r="K42" s="44">
        <f t="shared" ref="K42:P42" si="22">K34*$D$62*$D$64</f>
        <v>7447.6739143680479</v>
      </c>
      <c r="L42" s="44">
        <f t="shared" si="22"/>
        <v>7855.6408121312852</v>
      </c>
      <c r="M42" s="44">
        <f t="shared" si="22"/>
        <v>8275.6253902064946</v>
      </c>
      <c r="N42" s="44">
        <f t="shared" si="22"/>
        <v>8707.9837524706145</v>
      </c>
      <c r="O42" s="44">
        <f t="shared" si="22"/>
        <v>9153.0825973862484</v>
      </c>
      <c r="P42" s="44">
        <f t="shared" si="22"/>
        <v>9611.2995340686102</v>
      </c>
      <c r="Q42" s="44">
        <f>$D$62*$D$64*Q34+G44*$D$62</f>
        <v>33990.058131837803</v>
      </c>
      <c r="R42" s="44">
        <f>$D$62*$D$64*R34+H44*$D$62</f>
        <v>36649.056152401223</v>
      </c>
      <c r="S42" s="44">
        <f>$D$62*$D$64*S34+I44*$D$62</f>
        <v>39322.37386006584</v>
      </c>
    </row>
    <row r="43" spans="1:21" s="35" customFormat="1" ht="15">
      <c r="A43" s="495"/>
      <c r="B43" s="40" t="s">
        <v>14</v>
      </c>
      <c r="C43" s="40"/>
      <c r="D43" s="44">
        <f t="shared" si="21"/>
        <v>402.69455979161205</v>
      </c>
      <c r="E43" s="44">
        <f t="shared" si="21"/>
        <v>414.43570371763008</v>
      </c>
      <c r="F43" s="44">
        <f t="shared" si="21"/>
        <v>426.52228810407394</v>
      </c>
      <c r="G43" s="44">
        <f>IF(G17&lt;G44,0)</f>
        <v>0</v>
      </c>
      <c r="H43" s="44">
        <f>IF(H17&lt;H44,0)</f>
        <v>0</v>
      </c>
      <c r="I43" s="44">
        <f>IF(I17&lt;I44,0)</f>
        <v>0</v>
      </c>
      <c r="J43" s="44">
        <f>J34*$D$63*$D$64</f>
        <v>248.63257249239328</v>
      </c>
      <c r="K43" s="44">
        <f t="shared" ref="K43:P43" si="23">K34*$D$63*$D$64</f>
        <v>262.60598894693652</v>
      </c>
      <c r="L43" s="44">
        <f t="shared" si="23"/>
        <v>276.99095690828142</v>
      </c>
      <c r="M43" s="44">
        <f t="shared" si="23"/>
        <v>291.79966990189541</v>
      </c>
      <c r="N43" s="44">
        <f t="shared" si="23"/>
        <v>307.04468419861519</v>
      </c>
      <c r="O43" s="44">
        <f t="shared" si="23"/>
        <v>322.73892963579965</v>
      </c>
      <c r="P43" s="44">
        <f t="shared" si="23"/>
        <v>338.89572076189415</v>
      </c>
      <c r="Q43" s="44">
        <f>$D$63*$D$64*Q34+G44*$D$63</f>
        <v>1198.4940442753687</v>
      </c>
      <c r="R43" s="44">
        <f>$D$63*$D$64*R34+H44*$D$63</f>
        <v>1292.2506739058501</v>
      </c>
      <c r="S43" s="44">
        <f>$D$63*$D$64*S34+I44*$D$63</f>
        <v>1386.5122176391587</v>
      </c>
    </row>
    <row r="44" spans="1:21" s="35" customFormat="1" ht="15">
      <c r="A44" s="495"/>
      <c r="B44" s="40" t="s">
        <v>19</v>
      </c>
      <c r="C44" s="40"/>
      <c r="D44" s="44">
        <v>0</v>
      </c>
      <c r="E44" s="44">
        <v>0</v>
      </c>
      <c r="F44" s="44">
        <v>0</v>
      </c>
      <c r="G44" s="44">
        <f>$D$72</f>
        <v>22500</v>
      </c>
      <c r="H44" s="44">
        <f>$D$72</f>
        <v>22500</v>
      </c>
      <c r="I44" s="44">
        <f>$D$72</f>
        <v>22500</v>
      </c>
      <c r="J44" s="61">
        <v>0</v>
      </c>
      <c r="K44" s="61">
        <v>0</v>
      </c>
      <c r="L44" s="61">
        <v>0</v>
      </c>
      <c r="M44" s="61">
        <v>0</v>
      </c>
      <c r="N44" s="61">
        <v>0</v>
      </c>
      <c r="O44" s="61">
        <v>0</v>
      </c>
      <c r="P44" s="61">
        <v>0</v>
      </c>
      <c r="Q44" s="61">
        <v>0</v>
      </c>
      <c r="R44" s="61">
        <v>0</v>
      </c>
      <c r="S44" s="61">
        <v>0</v>
      </c>
    </row>
    <row r="45" spans="1:21" s="35" customFormat="1" ht="15">
      <c r="A45" s="495"/>
      <c r="B45" s="40" t="s">
        <v>138</v>
      </c>
      <c r="C45" s="40"/>
      <c r="D45" s="44">
        <f>SUM(D42:D44)</f>
        <v>11823.37</v>
      </c>
      <c r="E45" s="44">
        <f t="shared" ref="E45:S45" si="24">SUM(E42:E44)</f>
        <v>12168.097500000002</v>
      </c>
      <c r="F45" s="44">
        <f t="shared" si="24"/>
        <v>12522.967353000002</v>
      </c>
      <c r="G45" s="44">
        <f t="shared" si="24"/>
        <v>22500</v>
      </c>
      <c r="H45" s="44">
        <f t="shared" si="24"/>
        <v>22500</v>
      </c>
      <c r="I45" s="44">
        <f t="shared" si="24"/>
        <v>22500</v>
      </c>
      <c r="J45" s="44">
        <f t="shared" si="24"/>
        <v>7300.0114532230637</v>
      </c>
      <c r="K45" s="44">
        <f t="shared" si="24"/>
        <v>7710.279903314984</v>
      </c>
      <c r="L45" s="44">
        <f t="shared" si="24"/>
        <v>8132.6317690395663</v>
      </c>
      <c r="M45" s="44">
        <f t="shared" si="24"/>
        <v>8567.4250601083895</v>
      </c>
      <c r="N45" s="44">
        <f t="shared" si="24"/>
        <v>9015.0284366692304</v>
      </c>
      <c r="O45" s="44">
        <f t="shared" si="24"/>
        <v>9475.821527022048</v>
      </c>
      <c r="P45" s="44">
        <f t="shared" si="24"/>
        <v>9950.1952548305053</v>
      </c>
      <c r="Q45" s="44">
        <f t="shared" si="24"/>
        <v>35188.552176113168</v>
      </c>
      <c r="R45" s="44">
        <f t="shared" si="24"/>
        <v>37941.306826307075</v>
      </c>
      <c r="S45" s="44">
        <f t="shared" si="24"/>
        <v>40708.886077704999</v>
      </c>
    </row>
    <row r="46" spans="1:21" s="35" customFormat="1" ht="15">
      <c r="A46" s="495"/>
      <c r="B46" s="34"/>
      <c r="C46" s="34"/>
      <c r="D46" s="34"/>
      <c r="E46" s="34"/>
      <c r="F46" s="34"/>
      <c r="G46" s="34"/>
      <c r="H46" s="62"/>
      <c r="I46" s="34"/>
      <c r="J46" s="34"/>
      <c r="K46" s="34"/>
      <c r="L46" s="34"/>
      <c r="M46" s="34"/>
      <c r="N46" s="34"/>
      <c r="O46" s="34"/>
      <c r="P46" s="34"/>
      <c r="Q46" s="34"/>
      <c r="R46" s="34"/>
      <c r="S46" s="34"/>
    </row>
    <row r="47" spans="1:21" s="35" customFormat="1" ht="15">
      <c r="A47" s="495"/>
      <c r="B47" s="36" t="s">
        <v>15</v>
      </c>
      <c r="C47" s="36"/>
      <c r="D47" s="34"/>
      <c r="E47" s="34"/>
      <c r="F47" s="34"/>
      <c r="G47" s="34"/>
      <c r="H47" s="34"/>
      <c r="I47" s="34"/>
      <c r="J47" s="34"/>
      <c r="K47" s="34"/>
      <c r="L47" s="34"/>
      <c r="M47" s="34"/>
      <c r="N47" s="34"/>
      <c r="O47" s="34"/>
      <c r="P47" s="34"/>
      <c r="Q47" s="34"/>
      <c r="R47" s="34"/>
      <c r="S47" s="34"/>
    </row>
    <row r="48" spans="1:21" s="35" customFormat="1" ht="15">
      <c r="A48" s="495"/>
      <c r="B48" s="186" t="s">
        <v>158</v>
      </c>
      <c r="C48" s="36"/>
      <c r="D48" s="42">
        <f>D44*$D$71*$D$67</f>
        <v>0</v>
      </c>
      <c r="E48" s="42">
        <f t="shared" ref="E48:S48" si="25">E44*$D$71*$D$67</f>
        <v>0</v>
      </c>
      <c r="F48" s="42">
        <f t="shared" si="25"/>
        <v>0</v>
      </c>
      <c r="G48" s="42">
        <f t="shared" si="25"/>
        <v>1574999.9999999998</v>
      </c>
      <c r="H48" s="42">
        <f t="shared" si="25"/>
        <v>1574999.9999999998</v>
      </c>
      <c r="I48" s="42">
        <f t="shared" si="25"/>
        <v>1574999.9999999998</v>
      </c>
      <c r="J48" s="42">
        <f t="shared" si="25"/>
        <v>0</v>
      </c>
      <c r="K48" s="42">
        <f t="shared" si="25"/>
        <v>0</v>
      </c>
      <c r="L48" s="42">
        <f t="shared" si="25"/>
        <v>0</v>
      </c>
      <c r="M48" s="42">
        <f t="shared" si="25"/>
        <v>0</v>
      </c>
      <c r="N48" s="42">
        <f t="shared" si="25"/>
        <v>0</v>
      </c>
      <c r="O48" s="42">
        <f t="shared" si="25"/>
        <v>0</v>
      </c>
      <c r="P48" s="42">
        <f t="shared" si="25"/>
        <v>0</v>
      </c>
      <c r="Q48" s="42">
        <f t="shared" si="25"/>
        <v>0</v>
      </c>
      <c r="R48" s="42">
        <f t="shared" si="25"/>
        <v>0</v>
      </c>
      <c r="S48" s="42">
        <f t="shared" si="25"/>
        <v>0</v>
      </c>
    </row>
    <row r="49" spans="1:21" s="35" customFormat="1" ht="15">
      <c r="A49" s="495"/>
      <c r="B49" s="186" t="s">
        <v>159</v>
      </c>
      <c r="C49" s="36"/>
      <c r="D49" s="34"/>
      <c r="E49" s="34"/>
      <c r="F49" s="34"/>
      <c r="G49" s="34"/>
      <c r="H49" s="34"/>
      <c r="I49" s="34"/>
      <c r="J49" s="34"/>
      <c r="K49" s="34"/>
      <c r="L49" s="34"/>
      <c r="M49" s="34"/>
      <c r="N49" s="34"/>
      <c r="O49" s="34"/>
      <c r="P49" s="34"/>
      <c r="Q49" s="34"/>
      <c r="R49" s="34"/>
      <c r="S49" s="34"/>
    </row>
    <row r="50" spans="1:21" s="35" customFormat="1" ht="15">
      <c r="A50" s="495"/>
      <c r="B50" s="40" t="s">
        <v>13</v>
      </c>
      <c r="C50" s="40"/>
      <c r="D50" s="44">
        <f>D42*$D$65</f>
        <v>390152.41561914887</v>
      </c>
      <c r="E50" s="44">
        <f t="shared" ref="E50:S50" si="26">E42*$D$65</f>
        <v>401527.87514171738</v>
      </c>
      <c r="F50" s="44">
        <f t="shared" si="26"/>
        <v>413238.01619104279</v>
      </c>
      <c r="G50" s="44">
        <f t="shared" si="26"/>
        <v>0</v>
      </c>
      <c r="H50" s="44">
        <f t="shared" si="26"/>
        <v>0</v>
      </c>
      <c r="I50" s="44">
        <f t="shared" si="26"/>
        <v>0</v>
      </c>
      <c r="J50" s="44">
        <f t="shared" si="26"/>
        <v>240888.7738878536</v>
      </c>
      <c r="K50" s="44">
        <f t="shared" si="26"/>
        <v>254426.98057982782</v>
      </c>
      <c r="L50" s="44">
        <f t="shared" si="26"/>
        <v>268363.92077993153</v>
      </c>
      <c r="M50" s="44">
        <f t="shared" si="26"/>
        <v>282711.40823955607</v>
      </c>
      <c r="N50" s="44">
        <f t="shared" si="26"/>
        <v>297481.60815755738</v>
      </c>
      <c r="O50" s="44">
        <f t="shared" si="26"/>
        <v>312687.0476643786</v>
      </c>
      <c r="P50" s="44">
        <f t="shared" si="26"/>
        <v>328340.62661950983</v>
      </c>
      <c r="Q50" s="44">
        <f t="shared" si="26"/>
        <v>1161166.2862323527</v>
      </c>
      <c r="R50" s="44">
        <f t="shared" si="26"/>
        <v>1252002.8139211584</v>
      </c>
      <c r="S50" s="44">
        <f t="shared" si="26"/>
        <v>1343328.5298845712</v>
      </c>
    </row>
    <row r="51" spans="1:21" s="35" customFormat="1" ht="15">
      <c r="A51" s="495"/>
      <c r="B51" s="40" t="s">
        <v>14</v>
      </c>
      <c r="C51" s="40"/>
      <c r="D51" s="44">
        <f>D43*$D$66</f>
        <v>39305.219751150973</v>
      </c>
      <c r="E51" s="44">
        <f t="shared" ref="E51:S51" si="27">E43*$D$66</f>
        <v>40451.220438075681</v>
      </c>
      <c r="F51" s="44">
        <f t="shared" si="27"/>
        <v>41630.938027495919</v>
      </c>
      <c r="G51" s="44">
        <f t="shared" si="27"/>
        <v>0</v>
      </c>
      <c r="H51" s="44">
        <f t="shared" si="27"/>
        <v>0</v>
      </c>
      <c r="I51" s="44">
        <f t="shared" si="27"/>
        <v>0</v>
      </c>
      <c r="J51" s="44">
        <f t="shared" si="27"/>
        <v>24267.916368586237</v>
      </c>
      <c r="K51" s="44">
        <f t="shared" si="27"/>
        <v>25631.799219907567</v>
      </c>
      <c r="L51" s="44">
        <f t="shared" si="27"/>
        <v>27035.851778071043</v>
      </c>
      <c r="M51" s="44">
        <f t="shared" si="27"/>
        <v>28481.264198707988</v>
      </c>
      <c r="N51" s="44">
        <f t="shared" si="27"/>
        <v>29969.26204340718</v>
      </c>
      <c r="O51" s="44">
        <f t="shared" si="27"/>
        <v>31501.107335919329</v>
      </c>
      <c r="P51" s="44">
        <f t="shared" si="27"/>
        <v>33078.099649928285</v>
      </c>
      <c r="Q51" s="44">
        <f t="shared" si="27"/>
        <v>116979.65774622378</v>
      </c>
      <c r="R51" s="44">
        <f t="shared" si="27"/>
        <v>126130.82416044189</v>
      </c>
      <c r="S51" s="44">
        <f t="shared" si="27"/>
        <v>135331.27298805377</v>
      </c>
      <c r="T51" s="63"/>
      <c r="U51" s="63"/>
    </row>
    <row r="52" spans="1:21" s="35" customFormat="1" ht="15">
      <c r="A52" s="495"/>
      <c r="B52" s="40" t="s">
        <v>19</v>
      </c>
      <c r="C52" s="40"/>
      <c r="D52" s="42">
        <f>D44*(1-$D$71)*$D$67</f>
        <v>0</v>
      </c>
      <c r="E52" s="42">
        <f t="shared" ref="E52:S52" si="28">E44*(1-$D$71)*$D$67</f>
        <v>0</v>
      </c>
      <c r="F52" s="42">
        <f t="shared" si="28"/>
        <v>0</v>
      </c>
      <c r="G52" s="42">
        <f t="shared" si="28"/>
        <v>675000.00000000012</v>
      </c>
      <c r="H52" s="42">
        <f t="shared" si="28"/>
        <v>675000.00000000012</v>
      </c>
      <c r="I52" s="42">
        <f t="shared" si="28"/>
        <v>675000.00000000012</v>
      </c>
      <c r="J52" s="42">
        <f t="shared" si="28"/>
        <v>0</v>
      </c>
      <c r="K52" s="42">
        <f t="shared" si="28"/>
        <v>0</v>
      </c>
      <c r="L52" s="42">
        <f t="shared" si="28"/>
        <v>0</v>
      </c>
      <c r="M52" s="42">
        <f t="shared" si="28"/>
        <v>0</v>
      </c>
      <c r="N52" s="42">
        <f t="shared" si="28"/>
        <v>0</v>
      </c>
      <c r="O52" s="42">
        <f t="shared" si="28"/>
        <v>0</v>
      </c>
      <c r="P52" s="42">
        <f t="shared" si="28"/>
        <v>0</v>
      </c>
      <c r="Q52" s="42">
        <f t="shared" si="28"/>
        <v>0</v>
      </c>
      <c r="R52" s="42">
        <f t="shared" si="28"/>
        <v>0</v>
      </c>
      <c r="S52" s="42">
        <f t="shared" si="28"/>
        <v>0</v>
      </c>
      <c r="T52" s="63"/>
      <c r="U52" s="63"/>
    </row>
    <row r="53" spans="1:21" s="35" customFormat="1" ht="15">
      <c r="A53" s="495"/>
      <c r="B53" s="40" t="s">
        <v>161</v>
      </c>
      <c r="C53" s="40"/>
      <c r="D53" s="42">
        <f t="shared" ref="D53:S53" si="29">SUM(D50:D52)</f>
        <v>429457.63537029986</v>
      </c>
      <c r="E53" s="42">
        <f t="shared" si="29"/>
        <v>441979.09557979304</v>
      </c>
      <c r="F53" s="42">
        <f t="shared" si="29"/>
        <v>454868.95421853871</v>
      </c>
      <c r="G53" s="42">
        <f t="shared" si="29"/>
        <v>675000.00000000012</v>
      </c>
      <c r="H53" s="42">
        <f t="shared" si="29"/>
        <v>675000.00000000012</v>
      </c>
      <c r="I53" s="42">
        <f t="shared" si="29"/>
        <v>675000.00000000012</v>
      </c>
      <c r="J53" s="42">
        <f t="shared" si="29"/>
        <v>265156.69025643985</v>
      </c>
      <c r="K53" s="42">
        <f t="shared" si="29"/>
        <v>280058.77979973541</v>
      </c>
      <c r="L53" s="42">
        <f t="shared" si="29"/>
        <v>295399.77255800256</v>
      </c>
      <c r="M53" s="42">
        <f t="shared" si="29"/>
        <v>311192.67243826407</v>
      </c>
      <c r="N53" s="42">
        <f t="shared" si="29"/>
        <v>327450.87020096456</v>
      </c>
      <c r="O53" s="42">
        <f t="shared" si="29"/>
        <v>344188.15500029793</v>
      </c>
      <c r="P53" s="42">
        <f t="shared" si="29"/>
        <v>361418.72626943811</v>
      </c>
      <c r="Q53" s="42">
        <f t="shared" si="29"/>
        <v>1278145.9439785765</v>
      </c>
      <c r="R53" s="42">
        <f t="shared" si="29"/>
        <v>1378133.6380816004</v>
      </c>
      <c r="S53" s="42">
        <f t="shared" si="29"/>
        <v>1478659.8028726249</v>
      </c>
      <c r="T53" s="63"/>
      <c r="U53" s="63"/>
    </row>
    <row r="54" spans="1:21" s="35" customFormat="1" ht="15">
      <c r="B54" s="34"/>
      <c r="C54" s="34"/>
      <c r="D54" s="34"/>
      <c r="E54" s="34"/>
      <c r="F54" s="42"/>
      <c r="G54" s="42"/>
      <c r="H54" s="42"/>
      <c r="I54" s="42"/>
      <c r="J54" s="42"/>
      <c r="K54" s="42"/>
      <c r="L54" s="42"/>
      <c r="M54" s="42"/>
      <c r="N54" s="42"/>
      <c r="O54" s="42"/>
      <c r="P54" s="42"/>
      <c r="Q54" s="42"/>
      <c r="R54" s="42"/>
      <c r="S54" s="42"/>
      <c r="T54" s="63"/>
      <c r="U54" s="63"/>
    </row>
    <row r="55" spans="1:21" s="35" customFormat="1" ht="15">
      <c r="B55" s="34"/>
      <c r="C55" s="34"/>
      <c r="D55" s="34"/>
      <c r="E55" s="34"/>
      <c r="F55" s="34"/>
      <c r="G55" s="34"/>
      <c r="H55" s="44"/>
      <c r="I55" s="34"/>
      <c r="J55" s="34"/>
      <c r="K55" s="34"/>
      <c r="L55" s="34"/>
      <c r="M55" s="34"/>
      <c r="N55" s="34"/>
      <c r="O55" s="34"/>
      <c r="P55" s="34"/>
      <c r="Q55" s="34"/>
      <c r="R55" s="34"/>
      <c r="S55" s="34"/>
    </row>
    <row r="56" spans="1:21" s="32" customFormat="1" ht="15">
      <c r="A56" s="494">
        <v>2</v>
      </c>
      <c r="B56" s="64" t="s">
        <v>20</v>
      </c>
      <c r="C56" s="64"/>
      <c r="D56" s="65"/>
      <c r="E56" s="65"/>
      <c r="F56" s="65"/>
      <c r="G56" s="65"/>
      <c r="H56" s="65"/>
      <c r="I56" s="65"/>
      <c r="J56" s="65"/>
      <c r="K56" s="65"/>
      <c r="L56" s="65"/>
      <c r="M56" s="65"/>
      <c r="N56" s="65"/>
      <c r="O56" s="65"/>
      <c r="P56" s="65"/>
      <c r="Q56" s="65"/>
      <c r="R56" s="65"/>
      <c r="S56" s="65"/>
    </row>
    <row r="57" spans="1:21" s="35" customFormat="1" ht="15">
      <c r="A57" s="495"/>
      <c r="B57" s="173" t="s">
        <v>176</v>
      </c>
      <c r="C57" s="173"/>
      <c r="D57" s="213">
        <f>D53-D23</f>
        <v>0</v>
      </c>
      <c r="E57" s="213">
        <f t="shared" ref="E57:S57" si="30">E53-E23</f>
        <v>0</v>
      </c>
      <c r="F57" s="213">
        <f t="shared" si="30"/>
        <v>0</v>
      </c>
      <c r="G57" s="213">
        <f t="shared" si="30"/>
        <v>206861.88166812644</v>
      </c>
      <c r="H57" s="213">
        <f t="shared" si="30"/>
        <v>193202.18072165572</v>
      </c>
      <c r="I57" s="213">
        <f t="shared" si="30"/>
        <v>179140.37759886053</v>
      </c>
      <c r="J57" s="213">
        <f t="shared" si="30"/>
        <v>-245178.74673206749</v>
      </c>
      <c r="K57" s="213">
        <f t="shared" si="30"/>
        <v>-245178.74673206743</v>
      </c>
      <c r="L57" s="213">
        <f t="shared" si="30"/>
        <v>-245178.74673206749</v>
      </c>
      <c r="M57" s="213">
        <f t="shared" si="30"/>
        <v>-245178.74673206749</v>
      </c>
      <c r="N57" s="213">
        <f t="shared" si="30"/>
        <v>-245178.74673206737</v>
      </c>
      <c r="O57" s="213">
        <f t="shared" si="30"/>
        <v>-245178.74673206743</v>
      </c>
      <c r="P57" s="213">
        <f t="shared" si="30"/>
        <v>-245178.74673206737</v>
      </c>
      <c r="Q57" s="213">
        <f t="shared" si="30"/>
        <v>653809.99128551304</v>
      </c>
      <c r="R57" s="213">
        <f t="shared" si="30"/>
        <v>735536.24019620242</v>
      </c>
      <c r="S57" s="213">
        <f t="shared" si="30"/>
        <v>817262.48910689109</v>
      </c>
    </row>
    <row r="58" spans="1:21" s="35" customFormat="1" ht="15">
      <c r="A58" s="495"/>
      <c r="B58" s="173" t="s">
        <v>175</v>
      </c>
      <c r="C58" s="173"/>
      <c r="D58" s="213">
        <f>D48</f>
        <v>0</v>
      </c>
      <c r="E58" s="213">
        <f t="shared" ref="E58:S58" si="31">E48</f>
        <v>0</v>
      </c>
      <c r="F58" s="213">
        <f t="shared" si="31"/>
        <v>0</v>
      </c>
      <c r="G58" s="213">
        <f t="shared" si="31"/>
        <v>1574999.9999999998</v>
      </c>
      <c r="H58" s="213">
        <f t="shared" si="31"/>
        <v>1574999.9999999998</v>
      </c>
      <c r="I58" s="213">
        <f t="shared" si="31"/>
        <v>1574999.9999999998</v>
      </c>
      <c r="J58" s="213">
        <f t="shared" si="31"/>
        <v>0</v>
      </c>
      <c r="K58" s="213">
        <f t="shared" si="31"/>
        <v>0</v>
      </c>
      <c r="L58" s="213">
        <f t="shared" si="31"/>
        <v>0</v>
      </c>
      <c r="M58" s="213">
        <f t="shared" si="31"/>
        <v>0</v>
      </c>
      <c r="N58" s="213">
        <f t="shared" si="31"/>
        <v>0</v>
      </c>
      <c r="O58" s="213">
        <f t="shared" si="31"/>
        <v>0</v>
      </c>
      <c r="P58" s="213">
        <f t="shared" si="31"/>
        <v>0</v>
      </c>
      <c r="Q58" s="213">
        <f t="shared" si="31"/>
        <v>0</v>
      </c>
      <c r="R58" s="213">
        <f t="shared" si="31"/>
        <v>0</v>
      </c>
      <c r="S58" s="213">
        <f t="shared" si="31"/>
        <v>0</v>
      </c>
    </row>
    <row r="59" spans="1:21" s="35" customFormat="1" ht="15">
      <c r="B59" s="66"/>
      <c r="C59" s="34"/>
      <c r="D59" s="42"/>
      <c r="E59" s="42"/>
      <c r="F59" s="42"/>
      <c r="G59" s="42"/>
      <c r="H59" s="42"/>
      <c r="I59" s="42"/>
      <c r="J59" s="42"/>
      <c r="K59" s="42"/>
      <c r="L59" s="42"/>
      <c r="M59" s="42"/>
      <c r="N59" s="42"/>
      <c r="O59" s="42"/>
      <c r="P59" s="42"/>
      <c r="Q59" s="42"/>
      <c r="R59" s="42"/>
      <c r="S59" s="42"/>
    </row>
    <row r="60" spans="1:21" s="35" customFormat="1" ht="15">
      <c r="B60" s="67"/>
      <c r="C60" s="66"/>
      <c r="D60" s="34"/>
      <c r="E60" s="34"/>
      <c r="F60" s="44"/>
      <c r="G60" s="44"/>
      <c r="H60" s="44"/>
      <c r="I60" s="44"/>
      <c r="J60" s="44"/>
      <c r="K60" s="44"/>
      <c r="L60" s="34"/>
      <c r="M60" s="34"/>
      <c r="N60" s="34"/>
      <c r="O60" s="34"/>
      <c r="P60" s="34"/>
      <c r="Q60" s="34"/>
      <c r="R60" s="34"/>
      <c r="S60" s="34"/>
    </row>
    <row r="61" spans="1:21" s="35" customFormat="1" ht="15">
      <c r="B61" s="147" t="s">
        <v>21</v>
      </c>
      <c r="C61" s="67"/>
      <c r="D61" s="148"/>
      <c r="E61" s="472" t="s">
        <v>528</v>
      </c>
      <c r="F61" s="44"/>
      <c r="G61" s="44"/>
      <c r="H61" s="44"/>
      <c r="I61" s="44"/>
      <c r="J61" s="44"/>
      <c r="K61" s="44"/>
      <c r="L61" s="34"/>
      <c r="M61" s="34"/>
      <c r="N61" s="34"/>
      <c r="O61" s="34"/>
      <c r="P61" s="34"/>
      <c r="Q61" s="34"/>
      <c r="R61" s="34"/>
      <c r="S61" s="34"/>
    </row>
    <row r="62" spans="1:21" s="35" customFormat="1" ht="15">
      <c r="B62" s="148" t="s">
        <v>22</v>
      </c>
      <c r="C62" s="147"/>
      <c r="D62" s="150">
        <f>'Stove Assumptions'!C15</f>
        <v>0.9659407969308571</v>
      </c>
      <c r="E62" s="148"/>
      <c r="F62" s="44"/>
      <c r="G62" s="44"/>
      <c r="H62" s="44"/>
      <c r="I62" s="44"/>
      <c r="J62" s="44"/>
      <c r="K62" s="44"/>
      <c r="L62" s="34"/>
      <c r="M62" s="34"/>
      <c r="N62" s="34"/>
      <c r="O62" s="34"/>
      <c r="P62" s="34"/>
      <c r="Q62" s="34"/>
      <c r="R62" s="34"/>
      <c r="S62" s="34"/>
    </row>
    <row r="63" spans="1:21" s="35" customFormat="1" ht="15">
      <c r="B63" s="148" t="s">
        <v>23</v>
      </c>
      <c r="C63" s="148"/>
      <c r="D63" s="150">
        <f>'Stove Assumptions'!C16</f>
        <v>3.4059203069142896E-2</v>
      </c>
      <c r="E63" s="148"/>
      <c r="F63" s="44"/>
      <c r="G63" s="44"/>
      <c r="H63" s="44"/>
      <c r="I63" s="44"/>
      <c r="J63" s="44"/>
      <c r="K63" s="44"/>
      <c r="L63" s="42"/>
      <c r="M63" s="34"/>
      <c r="N63" s="34"/>
      <c r="O63" s="34"/>
      <c r="P63" s="34"/>
      <c r="Q63" s="34"/>
      <c r="R63" s="34"/>
      <c r="S63" s="34"/>
    </row>
    <row r="64" spans="1:21" s="35" customFormat="1" ht="15">
      <c r="B64" s="148" t="s">
        <v>24</v>
      </c>
      <c r="C64" s="148"/>
      <c r="D64" s="150">
        <f>'Stove Assumptions'!C14</f>
        <v>0.1</v>
      </c>
      <c r="E64" s="510"/>
      <c r="F64" s="44"/>
      <c r="G64" s="44"/>
      <c r="H64" s="44"/>
      <c r="I64" s="44"/>
      <c r="J64" s="44"/>
      <c r="K64" s="44"/>
      <c r="L64" s="44"/>
      <c r="M64" s="44"/>
      <c r="N64" s="44"/>
      <c r="O64" s="44"/>
      <c r="P64" s="44"/>
      <c r="Q64" s="44"/>
      <c r="R64" s="44"/>
      <c r="S64" s="44"/>
      <c r="T64" s="39"/>
      <c r="U64" s="39"/>
    </row>
    <row r="65" spans="2:21" s="35" customFormat="1" ht="15">
      <c r="B65" s="148" t="s">
        <v>172</v>
      </c>
      <c r="C65" s="148"/>
      <c r="D65" s="152">
        <f>'Stove Assumptions'!C20</f>
        <v>34.161938815418253</v>
      </c>
      <c r="E65" s="510" t="s">
        <v>144</v>
      </c>
      <c r="F65" s="44"/>
      <c r="G65" s="44"/>
      <c r="H65" s="44"/>
      <c r="I65" s="44"/>
      <c r="J65" s="44"/>
      <c r="K65" s="44"/>
      <c r="L65" s="44"/>
      <c r="M65" s="44"/>
      <c r="N65" s="44"/>
      <c r="O65" s="44"/>
      <c r="P65" s="44"/>
      <c r="Q65" s="44"/>
      <c r="R65" s="44"/>
      <c r="S65" s="44"/>
      <c r="T65" s="39"/>
      <c r="U65" s="39"/>
    </row>
    <row r="66" spans="2:21" s="35" customFormat="1" ht="15">
      <c r="B66" s="148" t="s">
        <v>173</v>
      </c>
      <c r="C66" s="148"/>
      <c r="D66" s="152">
        <f>'Stove Assumptions'!C21</f>
        <v>97.60553947262359</v>
      </c>
      <c r="E66" s="510" t="s">
        <v>144</v>
      </c>
      <c r="F66" s="44"/>
      <c r="G66" s="44"/>
      <c r="H66" s="44"/>
      <c r="I66" s="44"/>
      <c r="J66" s="44"/>
      <c r="K66" s="44"/>
      <c r="L66" s="44"/>
      <c r="M66" s="44"/>
      <c r="N66" s="44"/>
      <c r="O66" s="44"/>
      <c r="P66" s="44"/>
      <c r="Q66" s="44"/>
      <c r="R66" s="44"/>
      <c r="S66" s="44"/>
      <c r="T66" s="39"/>
      <c r="U66" s="39"/>
    </row>
    <row r="67" spans="2:21" ht="15">
      <c r="B67" s="148" t="s">
        <v>174</v>
      </c>
      <c r="C67" s="148"/>
      <c r="D67" s="149">
        <f>'Stove Assumptions'!C22</f>
        <v>100</v>
      </c>
      <c r="E67" s="510" t="s">
        <v>144</v>
      </c>
      <c r="F67" s="47"/>
      <c r="G67" s="47"/>
      <c r="H67" s="47"/>
      <c r="I67" s="47"/>
      <c r="J67" s="47"/>
      <c r="K67" s="47"/>
      <c r="L67" s="47"/>
      <c r="M67" s="47"/>
      <c r="N67" s="47"/>
      <c r="O67" s="47"/>
      <c r="P67" s="47"/>
      <c r="Q67" s="47"/>
      <c r="R67" s="47"/>
      <c r="S67" s="47"/>
      <c r="T67" s="68"/>
      <c r="U67" s="68"/>
    </row>
    <row r="68" spans="2:21" ht="15">
      <c r="B68" s="148" t="s">
        <v>125</v>
      </c>
      <c r="C68" s="148"/>
      <c r="D68" s="150">
        <f>'Stove Assumptions'!C17</f>
        <v>0.03</v>
      </c>
      <c r="E68" s="148"/>
      <c r="F68" s="47"/>
      <c r="G68" s="47"/>
      <c r="H68" s="47"/>
      <c r="I68" s="47"/>
      <c r="J68" s="47"/>
      <c r="K68" s="47"/>
      <c r="L68" s="47"/>
      <c r="M68" s="47"/>
      <c r="N68" s="47"/>
      <c r="O68" s="47"/>
      <c r="P68" s="47"/>
      <c r="Q68" s="47"/>
      <c r="R68" s="47"/>
      <c r="S68" s="47"/>
      <c r="T68" s="68"/>
      <c r="U68" s="68"/>
    </row>
    <row r="69" spans="2:21" ht="15">
      <c r="B69" s="148" t="s">
        <v>25</v>
      </c>
      <c r="C69" s="148"/>
      <c r="D69" s="150">
        <f>'Stove Assumptions'!C18</f>
        <v>0.02</v>
      </c>
      <c r="E69" s="214"/>
    </row>
    <row r="70" spans="2:21" ht="15">
      <c r="B70" s="148" t="s">
        <v>26</v>
      </c>
      <c r="C70" s="148"/>
      <c r="D70" s="150">
        <f>'Stove Assumptions'!C19</f>
        <v>0.03</v>
      </c>
      <c r="E70" s="214"/>
    </row>
    <row r="71" spans="2:21" s="35" customFormat="1" ht="15">
      <c r="B71" s="148" t="s">
        <v>160</v>
      </c>
      <c r="C71" s="148"/>
      <c r="D71" s="150">
        <f>'Stove Assumptions'!C24</f>
        <v>0.7</v>
      </c>
      <c r="E71" s="148"/>
      <c r="F71" s="34"/>
      <c r="G71" s="34"/>
      <c r="H71" s="34"/>
      <c r="I71" s="34"/>
      <c r="J71" s="34"/>
      <c r="K71" s="34"/>
      <c r="L71" s="34"/>
      <c r="M71" s="34"/>
      <c r="N71" s="34"/>
      <c r="O71" s="34"/>
      <c r="P71" s="34"/>
      <c r="Q71" s="34"/>
      <c r="R71" s="34"/>
      <c r="S71" s="34"/>
    </row>
    <row r="72" spans="2:21" ht="15">
      <c r="B72" s="148" t="s">
        <v>129</v>
      </c>
      <c r="D72" s="215">
        <f>'Stove Assumptions'!C23</f>
        <v>22500</v>
      </c>
      <c r="E72" s="148"/>
    </row>
    <row r="75" spans="2:21">
      <c r="B75" s="511" t="s">
        <v>529</v>
      </c>
      <c r="D75" s="46" t="s">
        <v>530</v>
      </c>
    </row>
    <row r="76" spans="2:21">
      <c r="B76" s="512">
        <v>1</v>
      </c>
      <c r="D76" s="46" t="s">
        <v>547</v>
      </c>
    </row>
    <row r="77" spans="2:21">
      <c r="B77" s="512">
        <v>2</v>
      </c>
      <c r="D77" s="46" t="s">
        <v>548</v>
      </c>
    </row>
  </sheetData>
  <pageMargins left="0.7" right="0.7" top="0.75" bottom="0.75" header="0.3" footer="0.3"/>
  <pageSetup paperSize="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S48"/>
  <sheetViews>
    <sheetView zoomScaleNormal="100" workbookViewId="0">
      <pane ySplit="4" topLeftCell="A5" activePane="bottomLeft" state="frozen"/>
      <selection activeCell="F6" sqref="F6"/>
      <selection pane="bottomLeft" activeCell="A2" sqref="A2"/>
    </sheetView>
  </sheetViews>
  <sheetFormatPr defaultRowHeight="12.75"/>
  <cols>
    <col min="1" max="1" width="44.28515625" style="69" customWidth="1"/>
    <col min="2" max="2" width="16.28515625" style="69" bestFit="1" customWidth="1"/>
    <col min="3" max="3" width="13.5703125" style="69" bestFit="1" customWidth="1"/>
    <col min="4" max="4" width="14.28515625" style="69" bestFit="1" customWidth="1"/>
    <col min="5" max="5" width="11.5703125" style="69" bestFit="1" customWidth="1"/>
    <col min="6" max="8" width="12.28515625" style="69" bestFit="1" customWidth="1"/>
    <col min="9" max="9" width="14.140625" style="69" bestFit="1" customWidth="1"/>
    <col min="10" max="10" width="12.28515625" style="69" bestFit="1" customWidth="1"/>
    <col min="11" max="11" width="13.140625" style="69" customWidth="1"/>
    <col min="12" max="12" width="12.28515625" style="69" bestFit="1" customWidth="1"/>
    <col min="13" max="13" width="15.140625" style="69" bestFit="1" customWidth="1"/>
    <col min="14" max="17" width="12.28515625" style="69" bestFit="1" customWidth="1"/>
    <col min="18" max="18" width="11.5703125" style="69" bestFit="1" customWidth="1"/>
    <col min="19" max="19" width="12.28515625" style="69" bestFit="1" customWidth="1"/>
    <col min="20" max="16384" width="9.140625" style="69"/>
  </cols>
  <sheetData>
    <row r="1" spans="1:19" customFormat="1" ht="19.5" customHeight="1">
      <c r="A1" s="447" t="s">
        <v>501</v>
      </c>
      <c r="B1" s="447"/>
    </row>
    <row r="2" spans="1:19" customFormat="1" ht="18">
      <c r="A2" s="450" t="s">
        <v>553</v>
      </c>
      <c r="B2" s="464"/>
    </row>
    <row r="3" spans="1:19" customFormat="1" ht="15.75">
      <c r="A3" s="464"/>
      <c r="B3" s="464"/>
    </row>
    <row r="4" spans="1:19" ht="21">
      <c r="A4" s="26" t="s">
        <v>27</v>
      </c>
      <c r="B4" s="27">
        <v>2008</v>
      </c>
      <c r="C4" s="27">
        <v>2009</v>
      </c>
      <c r="D4" s="27">
        <v>2010</v>
      </c>
      <c r="E4" s="27">
        <v>2011</v>
      </c>
      <c r="F4" s="27">
        <v>2012</v>
      </c>
      <c r="G4" s="27">
        <v>2013</v>
      </c>
      <c r="H4" s="27">
        <v>2014</v>
      </c>
      <c r="I4" s="27">
        <v>2015</v>
      </c>
      <c r="J4" s="27">
        <v>2016</v>
      </c>
      <c r="K4" s="27">
        <v>2017</v>
      </c>
      <c r="L4" s="27">
        <v>2018</v>
      </c>
      <c r="M4" s="27">
        <v>2019</v>
      </c>
      <c r="N4" s="27">
        <v>2020</v>
      </c>
      <c r="O4" s="27">
        <v>2021</v>
      </c>
      <c r="P4" s="27">
        <v>2022</v>
      </c>
      <c r="Q4" s="27">
        <v>2023</v>
      </c>
    </row>
    <row r="6" spans="1:19" s="34" customFormat="1" ht="15">
      <c r="A6" s="35"/>
      <c r="H6" s="42"/>
      <c r="O6" s="73"/>
    </row>
    <row r="7" spans="1:19" s="32" customFormat="1" ht="15">
      <c r="A7" s="29" t="s">
        <v>7</v>
      </c>
      <c r="B7" s="30"/>
      <c r="C7" s="30"/>
      <c r="D7" s="30"/>
      <c r="E7" s="31"/>
      <c r="F7" s="31"/>
      <c r="G7" s="31"/>
      <c r="H7" s="31"/>
      <c r="I7" s="31"/>
      <c r="J7" s="31"/>
      <c r="K7" s="31"/>
      <c r="L7" s="31"/>
      <c r="M7" s="31"/>
      <c r="N7" s="31"/>
      <c r="O7" s="31"/>
      <c r="P7" s="31"/>
      <c r="Q7" s="31"/>
    </row>
    <row r="8" spans="1:19" s="32" customFormat="1" ht="15">
      <c r="A8" s="74"/>
      <c r="B8" s="75"/>
      <c r="C8" s="75"/>
      <c r="D8" s="75"/>
    </row>
    <row r="9" spans="1:19" s="34" customFormat="1" ht="15">
      <c r="A9" s="33" t="s">
        <v>42</v>
      </c>
    </row>
    <row r="10" spans="1:19" s="34" customFormat="1" ht="15">
      <c r="A10" s="40" t="s">
        <v>9</v>
      </c>
      <c r="B10" s="39">
        <f>'Stove Replacement'!D10*$B$34</f>
        <v>13675617.440856956</v>
      </c>
      <c r="C10" s="39">
        <f>'Stove Replacement'!E10*$B$34</f>
        <v>14085885.964082666</v>
      </c>
      <c r="D10" s="39">
        <f>'Stove Replacement'!F10*$B$34</f>
        <v>14508462.543005144</v>
      </c>
      <c r="E10" s="39">
        <f>'Stove Replacement'!G10*$B$34</f>
        <v>14943716.419295298</v>
      </c>
      <c r="F10" s="39">
        <f>'Stove Replacement'!H10*$B$34</f>
        <v>15392027.911874158</v>
      </c>
      <c r="G10" s="39">
        <f>'Stove Replacement'!I10*$B$34</f>
        <v>15853788.749230383</v>
      </c>
      <c r="H10" s="39">
        <f>'Stove Replacement'!J10*$B$34</f>
        <v>16329402.411707293</v>
      </c>
      <c r="I10" s="39">
        <f>'Stove Replacement'!K10*$B$34</f>
        <v>16819284.484058511</v>
      </c>
      <c r="J10" s="39">
        <f>'Stove Replacement'!L10*$B$34</f>
        <v>17323863.018580265</v>
      </c>
      <c r="K10" s="39">
        <f>'Stove Replacement'!M10*$B$34</f>
        <v>17843578.909137674</v>
      </c>
      <c r="L10" s="39">
        <f>'Stove Replacement'!N10*$B$34</f>
        <v>18378886.276411805</v>
      </c>
      <c r="M10" s="39">
        <f>'Stove Replacement'!O10*$B$34</f>
        <v>18930252.864704162</v>
      </c>
      <c r="N10" s="39">
        <f>'Stove Replacement'!P10*$B$34</f>
        <v>19498160.450645283</v>
      </c>
      <c r="O10" s="39">
        <f>'Stove Replacement'!Q10*$B$34</f>
        <v>20083105.264164645</v>
      </c>
      <c r="P10" s="39">
        <f>'Stove Replacement'!R10*$B$34</f>
        <v>20685598.422089584</v>
      </c>
      <c r="Q10" s="39">
        <f>'Stove Replacement'!S10*$B$34</f>
        <v>21306166.374752272</v>
      </c>
    </row>
    <row r="11" spans="1:19" s="34" customFormat="1" ht="15">
      <c r="A11" s="56" t="s">
        <v>10</v>
      </c>
      <c r="B11" s="39">
        <f>'Stove Replacement'!D11*$B$35</f>
        <v>2722790.4635719378</v>
      </c>
      <c r="C11" s="39">
        <f>'Stove Replacement'!E11*$B$35</f>
        <v>2777246.2728433763</v>
      </c>
      <c r="D11" s="39">
        <f>'Stove Replacement'!F11*$B$35</f>
        <v>2832791.1983002438</v>
      </c>
      <c r="E11" s="39">
        <f>'Stove Replacement'!G11*$B$35</f>
        <v>2889447.0222662487</v>
      </c>
      <c r="F11" s="39">
        <f>'Stove Replacement'!H11*$B$35</f>
        <v>2947235.9627115736</v>
      </c>
      <c r="G11" s="39">
        <f>'Stove Replacement'!I11*$B$35</f>
        <v>3006180.6819658056</v>
      </c>
      <c r="H11" s="39">
        <f>'Stove Replacement'!J11*$B$35</f>
        <v>3066304.2956051212</v>
      </c>
      <c r="I11" s="39">
        <f>'Stove Replacement'!K11*$B$35</f>
        <v>3127630.3815172235</v>
      </c>
      <c r="J11" s="39">
        <f>'Stove Replacement'!L11*$B$35</f>
        <v>3190182.9891475681</v>
      </c>
      <c r="K11" s="39">
        <f>'Stove Replacement'!M11*$B$35</f>
        <v>3253986.6489305198</v>
      </c>
      <c r="L11" s="39">
        <f>'Stove Replacement'!N11*$B$35</f>
        <v>3319066.3819091301</v>
      </c>
      <c r="M11" s="39">
        <f>'Stove Replacement'!O11*$B$35</f>
        <v>3385447.7095473125</v>
      </c>
      <c r="N11" s="39">
        <f>'Stove Replacement'!P11*$B$35</f>
        <v>3453156.6637382586</v>
      </c>
      <c r="O11" s="39">
        <f>'Stove Replacement'!Q11*$B$35</f>
        <v>3522219.7970130234</v>
      </c>
      <c r="P11" s="39">
        <f>'Stove Replacement'!R11*$B$35</f>
        <v>3592664.1929532844</v>
      </c>
      <c r="Q11" s="39">
        <f>'Stove Replacement'!S11*$B$35</f>
        <v>3664517.4768123501</v>
      </c>
    </row>
    <row r="12" spans="1:19" s="34" customFormat="1" ht="15">
      <c r="A12" s="56" t="s">
        <v>11</v>
      </c>
      <c r="B12" s="39">
        <f>'Stove Replacement'!D12*$B$36</f>
        <v>12972280.936605562</v>
      </c>
      <c r="C12" s="39">
        <f>'Stove Replacement'!E12*$B$36</f>
        <v>13361449.36470373</v>
      </c>
      <c r="D12" s="39">
        <f>'Stove Replacement'!F12*$B$36</f>
        <v>13762292.845644843</v>
      </c>
      <c r="E12" s="39">
        <f>'Stove Replacement'!G12*$B$36</f>
        <v>14175161.631014189</v>
      </c>
      <c r="F12" s="39">
        <f>'Stove Replacement'!H12*$B$36</f>
        <v>14600416.479944615</v>
      </c>
      <c r="G12" s="39">
        <f>'Stove Replacement'!I12*$B$36</f>
        <v>15038428.974342953</v>
      </c>
      <c r="H12" s="39">
        <f>'Stove Replacement'!J12*$B$36</f>
        <v>15489581.843573242</v>
      </c>
      <c r="I12" s="39">
        <f>'Stove Replacement'!K12*$B$36</f>
        <v>15954269.298880439</v>
      </c>
      <c r="J12" s="39">
        <f>'Stove Replacement'!L12*$B$36</f>
        <v>16432897.377846854</v>
      </c>
      <c r="K12" s="39">
        <f>'Stove Replacement'!M12*$B$36</f>
        <v>16925884.299182259</v>
      </c>
      <c r="L12" s="39">
        <f>'Stove Replacement'!N12*$B$36</f>
        <v>17433660.828157727</v>
      </c>
      <c r="M12" s="39">
        <f>'Stove Replacement'!O12*$B$36</f>
        <v>17956670.65300246</v>
      </c>
      <c r="N12" s="39">
        <f>'Stove Replacement'!P12*$B$36</f>
        <v>18495370.772592533</v>
      </c>
      <c r="O12" s="39">
        <f>'Stove Replacement'!Q12*$B$36</f>
        <v>19050231.895770311</v>
      </c>
      <c r="P12" s="39">
        <f>'Stove Replacement'!R12*$B$36</f>
        <v>19621738.852643419</v>
      </c>
      <c r="Q12" s="39">
        <f>'Stove Replacement'!S12*$B$36</f>
        <v>20210391.018222723</v>
      </c>
    </row>
    <row r="13" spans="1:19" s="34" customFormat="1" ht="15">
      <c r="A13" s="56" t="s">
        <v>145</v>
      </c>
      <c r="B13" s="39">
        <f>SUM(B10:B12)</f>
        <v>29370688.841034457</v>
      </c>
      <c r="C13" s="39">
        <f t="shared" ref="C13:Q13" si="0">SUM(C10:C12)</f>
        <v>30224581.601629771</v>
      </c>
      <c r="D13" s="39">
        <f t="shared" si="0"/>
        <v>31103546.586950231</v>
      </c>
      <c r="E13" s="39">
        <f t="shared" si="0"/>
        <v>32008325.072575733</v>
      </c>
      <c r="F13" s="39">
        <f t="shared" si="0"/>
        <v>32939680.354530349</v>
      </c>
      <c r="G13" s="39">
        <f t="shared" si="0"/>
        <v>33898398.40553914</v>
      </c>
      <c r="H13" s="39">
        <f t="shared" si="0"/>
        <v>34885288.550885655</v>
      </c>
      <c r="I13" s="39">
        <f t="shared" si="0"/>
        <v>35901184.164456174</v>
      </c>
      <c r="J13" s="39">
        <f t="shared" si="0"/>
        <v>36946943.385574684</v>
      </c>
      <c r="K13" s="39">
        <f t="shared" si="0"/>
        <v>38023449.857250452</v>
      </c>
      <c r="L13" s="39">
        <f t="shared" si="0"/>
        <v>39131613.486478657</v>
      </c>
      <c r="M13" s="39">
        <f t="shared" si="0"/>
        <v>40272371.227253929</v>
      </c>
      <c r="N13" s="39">
        <f t="shared" si="0"/>
        <v>41446687.886976078</v>
      </c>
      <c r="O13" s="39">
        <f t="shared" si="0"/>
        <v>42655556.956947982</v>
      </c>
      <c r="P13" s="39">
        <f t="shared" si="0"/>
        <v>43900001.467686288</v>
      </c>
      <c r="Q13" s="39">
        <f t="shared" si="0"/>
        <v>45181074.86978735</v>
      </c>
    </row>
    <row r="14" spans="1:19" s="34" customFormat="1" ht="15">
      <c r="A14" s="56"/>
      <c r="B14" s="39"/>
      <c r="C14" s="39"/>
      <c r="D14" s="39"/>
      <c r="E14" s="39"/>
      <c r="F14" s="39"/>
      <c r="G14" s="39"/>
      <c r="H14" s="39"/>
      <c r="I14" s="39"/>
      <c r="J14" s="39"/>
      <c r="K14" s="39"/>
      <c r="L14" s="39"/>
      <c r="M14" s="39"/>
      <c r="N14" s="39"/>
      <c r="O14" s="39"/>
      <c r="P14" s="39"/>
      <c r="Q14" s="39"/>
    </row>
    <row r="15" spans="1:19" s="34" customFormat="1" ht="15">
      <c r="B15" s="43"/>
      <c r="C15" s="43"/>
      <c r="D15" s="76"/>
      <c r="E15" s="77"/>
      <c r="F15" s="77"/>
      <c r="G15" s="77"/>
      <c r="H15" s="77"/>
      <c r="I15" s="77"/>
      <c r="J15" s="77"/>
      <c r="K15" s="77"/>
      <c r="L15" s="77"/>
      <c r="M15" s="77"/>
      <c r="N15" s="77"/>
      <c r="O15" s="77"/>
      <c r="P15" s="77"/>
      <c r="Q15" s="77"/>
      <c r="R15" s="77"/>
      <c r="S15" s="77"/>
    </row>
    <row r="16" spans="1:19" s="50" customFormat="1" ht="15">
      <c r="A16" s="48" t="s">
        <v>17</v>
      </c>
      <c r="B16" s="49"/>
      <c r="C16" s="49"/>
      <c r="D16" s="49"/>
      <c r="E16" s="49"/>
      <c r="F16" s="49"/>
      <c r="G16" s="49"/>
      <c r="H16" s="49"/>
      <c r="I16" s="49"/>
      <c r="J16" s="49"/>
      <c r="K16" s="49"/>
      <c r="L16" s="49"/>
      <c r="M16" s="49"/>
      <c r="N16" s="49"/>
      <c r="O16" s="49"/>
      <c r="P16" s="49"/>
      <c r="Q16" s="49"/>
    </row>
    <row r="17" spans="1:17" s="50" customFormat="1" ht="15">
      <c r="A17" s="51"/>
    </row>
    <row r="18" spans="1:17" s="34" customFormat="1" ht="15">
      <c r="A18" s="33" t="s">
        <v>42</v>
      </c>
      <c r="E18" s="44"/>
    </row>
    <row r="19" spans="1:17" s="34" customFormat="1" ht="15">
      <c r="A19" s="60" t="s">
        <v>9</v>
      </c>
      <c r="B19" s="44">
        <f>B10*('Stove Replacement'!D31/('Stove Replacement'!D31+'Stove Replacement'!D36))+((1-$B$32)*B10*'Stove Replacement'!D36/('Stove Replacement'!D31+'Stove Replacement'!D36))</f>
        <v>13675617.440856956</v>
      </c>
      <c r="C19" s="44">
        <f>C10*('Stove Replacement'!E31/('Stove Replacement'!E31+'Stove Replacement'!E36))+((1-$B$32)*C10*'Stove Replacement'!E36/('Stove Replacement'!E31+'Stove Replacement'!E36))</f>
        <v>14085885.964082666</v>
      </c>
      <c r="D19" s="44">
        <f>D10*('Stove Replacement'!F31/('Stove Replacement'!F31+'Stove Replacement'!F36))+((1-$B$32)*D10*'Stove Replacement'!F36/('Stove Replacement'!F31+'Stove Replacement'!F36))</f>
        <v>14508462.543005144</v>
      </c>
      <c r="E19" s="44">
        <f>E10*'Stove Replacement'!G31/('Stove Replacement'!G31+'Stove Replacement'!G36)+(1-$B$32)*E10*'Stove Replacement'!G36/('Stove Replacement'!G31+'Stove Replacement'!G36)</f>
        <v>14813274.799620539</v>
      </c>
      <c r="F19" s="44">
        <f>F10*'Stove Replacement'!H31/('Stove Replacement'!H31+'Stove Replacement'!H36)+(1-$B$32)*F10*'Stove Replacement'!H36/('Stove Replacement'!H31+'Stove Replacement'!H36)</f>
        <v>15130936.505057439</v>
      </c>
      <c r="G19" s="44">
        <f>G10*'Stove Replacement'!I31/('Stove Replacement'!I31+'Stove Replacement'!I36)+(1-$B$32)*G10*'Stove Replacement'!I36/('Stove Replacement'!I31+'Stove Replacement'!I36)</f>
        <v>15461841.927903324</v>
      </c>
      <c r="H19" s="44">
        <f>H10*'Stove Replacement'!J31/('Stove Replacement'!J31+'Stove Replacement'!J36)+(1-$B$32)*H10*'Stove Replacement'!J36/('Stove Replacement'!J31+'Stove Replacement'!J36)</f>
        <v>15937455.590380233</v>
      </c>
      <c r="I19" s="44">
        <f>I10*'Stove Replacement'!K31/('Stove Replacement'!K31+'Stove Replacement'!K36)+(1-$B$32)*I10*'Stove Replacement'!K36/('Stove Replacement'!K31+'Stove Replacement'!K36)</f>
        <v>16427337.662731452</v>
      </c>
      <c r="J19" s="44">
        <f>J10*'Stove Replacement'!L31/('Stove Replacement'!L31+'Stove Replacement'!L36)+(1-$B$32)*J10*'Stove Replacement'!L36/('Stove Replacement'!L31+'Stove Replacement'!L36)</f>
        <v>16931916.197253205</v>
      </c>
      <c r="K19" s="44">
        <f>K10*'Stove Replacement'!M31/('Stove Replacement'!M31+'Stove Replacement'!M36)+(1-$B$32)*K10*'Stove Replacement'!M36/('Stove Replacement'!M31+'Stove Replacement'!M36)</f>
        <v>17451632.087810613</v>
      </c>
      <c r="L19" s="44">
        <f>L10*'Stove Replacement'!N31/('Stove Replacement'!N31+'Stove Replacement'!N36)+(1-$B$32)*L10*'Stove Replacement'!N36/('Stove Replacement'!N31+'Stove Replacement'!N36)</f>
        <v>17986939.455084749</v>
      </c>
      <c r="M19" s="44">
        <f>M10*'Stove Replacement'!O31/('Stove Replacement'!O31+'Stove Replacement'!O36)+(1-$B$32)*M10*'Stove Replacement'!O36/('Stove Replacement'!O31+'Stove Replacement'!O36)</f>
        <v>18538306.043377101</v>
      </c>
      <c r="N19" s="44">
        <f>N10*'Stove Replacement'!P31/('Stove Replacement'!P31+'Stove Replacement'!P36)+(1-$B$32)*N10*'Stove Replacement'!P36/('Stove Replacement'!P31+'Stove Replacement'!P36)</f>
        <v>19106213.629318222</v>
      </c>
      <c r="O19" s="44">
        <f>O10*'Stove Replacement'!Q31/('Stove Replacement'!Q31+'Stove Replacement'!Q36)+(1-$B$32)*O10*'Stove Replacement'!Q36/('Stove Replacement'!Q31+'Stove Replacement'!Q36)</f>
        <v>19821807.383279938</v>
      </c>
      <c r="P19" s="44">
        <f>P10*'Stove Replacement'!R31/('Stove Replacement'!R31+'Stove Replacement'!R36)+(1-$B$32)*P10*'Stove Replacement'!R36/('Stove Replacement'!R31+'Stove Replacement'!R36)</f>
        <v>20554949.481647231</v>
      </c>
      <c r="Q19" s="44">
        <f>Q10*'Stove Replacement'!S31/('Stove Replacement'!S31+'Stove Replacement'!S36)+(1-$B$32)*Q10*'Stove Replacement'!S36/('Stove Replacement'!S31+'Stove Replacement'!S36)</f>
        <v>21306166.374752272</v>
      </c>
    </row>
    <row r="20" spans="1:17" s="34" customFormat="1" ht="15">
      <c r="A20" s="37" t="s">
        <v>10</v>
      </c>
      <c r="B20" s="44">
        <f>B11*'Stove Replacement'!D32/('Stove Replacement'!D32+'Stove Replacement'!D37)+((1-$B$32)*B11*'Stove Replacement'!D37*('Stove Replacement'!D32+'Stove Replacement'!D37))</f>
        <v>2722790.4635719378</v>
      </c>
      <c r="C20" s="44">
        <f>C11*'Stove Replacement'!E32/('Stove Replacement'!E32+'Stove Replacement'!E37)+((1-$B$32)*C11*'Stove Replacement'!E37*('Stove Replacement'!E32+'Stove Replacement'!E37))</f>
        <v>2777246.2728433763</v>
      </c>
      <c r="D20" s="44">
        <f>D11*'Stove Replacement'!F32/('Stove Replacement'!F32+'Stove Replacement'!F37)+((1-$B$32)*D11*'Stove Replacement'!F37*('Stove Replacement'!F32+'Stove Replacement'!F37))</f>
        <v>2832791.1983002438</v>
      </c>
      <c r="E20" s="44">
        <f>E11*'Stove Replacement'!G32/('Stove Replacement'!G32+'Stove Replacement'!G37)+(1-$B$32)*E11*'Stove Replacement'!G37/('Stove Replacement'!G32+'Stove Replacement'!G37)</f>
        <v>2864225.4415714918</v>
      </c>
      <c r="F20" s="44">
        <f>F11*'Stove Replacement'!H32/('Stove Replacement'!H32+'Stove Replacement'!H37)+(1-$B$32)*F11*'Stove Replacement'!H37/('Stove Replacement'!H32+'Stove Replacement'!H37)</f>
        <v>2897242.6812459417</v>
      </c>
      <c r="G20" s="44">
        <f>G11*'Stove Replacement'!I32/('Stove Replacement'!I32+'Stove Replacement'!I37)+(1-$B$32)*G11*'Stove Replacement'!I37/('Stove Replacement'!I32+'Stove Replacement'!I37)</f>
        <v>2931860.0901332377</v>
      </c>
      <c r="H20" s="44">
        <f>H11*'Stove Replacement'!J32/('Stove Replacement'!J32+'Stove Replacement'!J37)+(1-$B$32)*H11*'Stove Replacement'!J37/('Stove Replacement'!J32+'Stove Replacement'!J37)</f>
        <v>2991983.7037725532</v>
      </c>
      <c r="I20" s="44">
        <f>I11*'Stove Replacement'!K32/('Stove Replacement'!K32+'Stove Replacement'!K37)+(1-$B$32)*I11*'Stove Replacement'!K37/('Stove Replacement'!K32+'Stove Replacement'!K37)</f>
        <v>3053309.7896846551</v>
      </c>
      <c r="J20" s="44">
        <f>J11*'Stove Replacement'!L32/('Stove Replacement'!L32+'Stove Replacement'!L37)+(1-$B$32)*J11*'Stove Replacement'!L37/('Stove Replacement'!L32+'Stove Replacement'!L37)</f>
        <v>3115862.3973150002</v>
      </c>
      <c r="K20" s="44">
        <f>K11*'Stove Replacement'!M32/('Stove Replacement'!M32+'Stove Replacement'!M37)+(1-$B$32)*K11*'Stove Replacement'!M37/('Stove Replacement'!M32+'Stove Replacement'!M37)</f>
        <v>3179666.0570979514</v>
      </c>
      <c r="L20" s="44">
        <f>L11*'Stove Replacement'!N32/('Stove Replacement'!N32+'Stove Replacement'!N37)+(1-$B$32)*L11*'Stove Replacement'!N37/('Stove Replacement'!N32+'Stove Replacement'!N37)</f>
        <v>3244745.7900765622</v>
      </c>
      <c r="M20" s="44">
        <f>M11*'Stove Replacement'!O32/('Stove Replacement'!O32+'Stove Replacement'!O37)+(1-$B$32)*M11*'Stove Replacement'!O37/('Stove Replacement'!O32+'Stove Replacement'!O37)</f>
        <v>3311127.1177147445</v>
      </c>
      <c r="N20" s="44">
        <f>N11*'Stove Replacement'!P32/('Stove Replacement'!P32+'Stove Replacement'!P37)+(1-$B$32)*N11*'Stove Replacement'!P37/('Stove Replacement'!P32+'Stove Replacement'!P37)</f>
        <v>3378836.0719056902</v>
      </c>
      <c r="O20" s="44">
        <f>O11*'Stove Replacement'!Q32/('Stove Replacement'!Q32+'Stove Replacement'!Q37)+(1-$B$32)*O11*'Stove Replacement'!Q37/('Stove Replacement'!Q32+'Stove Replacement'!Q37)</f>
        <v>3472672.7357913116</v>
      </c>
      <c r="P20" s="44">
        <f>P11*'Stove Replacement'!R32/('Stove Replacement'!R32+'Stove Replacement'!R37)+(1-$B$32)*P11*'Stove Replacement'!R37/('Stove Replacement'!R32+'Stove Replacement'!R37)</f>
        <v>3567890.6623424287</v>
      </c>
      <c r="Q20" s="44">
        <f>Q11*'Stove Replacement'!S32/('Stove Replacement'!S32+'Stove Replacement'!S37)+(1-$B$32)*Q11*'Stove Replacement'!S37/('Stove Replacement'!S32+'Stove Replacement'!S37)</f>
        <v>3664517.4768123501</v>
      </c>
    </row>
    <row r="21" spans="1:17" s="34" customFormat="1" ht="15">
      <c r="A21" s="37" t="s">
        <v>11</v>
      </c>
      <c r="B21" s="44">
        <f>B12*'Stove Replacement'!D33/('Stove Replacement'!D33+'Stove Replacement'!D38)+((1-$B$32)*B12*'Stove Replacement'!D38*('Stove Replacement'!D33+'Stove Replacement'!D38))</f>
        <v>12972280.936605562</v>
      </c>
      <c r="C21" s="44">
        <f>C12*'Stove Replacement'!E33/('Stove Replacement'!E33+'Stove Replacement'!E38)+((1-$B$32)*C12*'Stove Replacement'!E38*('Stove Replacement'!E33+'Stove Replacement'!E38))</f>
        <v>13361449.364703732</v>
      </c>
      <c r="D21" s="44">
        <f>D12*'Stove Replacement'!F33/('Stove Replacement'!F33+'Stove Replacement'!F38)+((1-$B$32)*D12*'Stove Replacement'!F38*('Stove Replacement'!F33+'Stove Replacement'!F38))</f>
        <v>13762292.845644843</v>
      </c>
      <c r="E21" s="44">
        <f>E12*'Stove Replacement'!G33/('Stove Replacement'!G33+'Stove Replacement'!G38)+(1-$B$32)*E12*'Stove Replacement'!G38/('Stove Replacement'!G33+'Stove Replacement'!G38)</f>
        <v>14051428.619063189</v>
      </c>
      <c r="F21" s="44">
        <f>F12*'Stove Replacement'!H33/('Stove Replacement'!H33+'Stove Replacement'!H38)+(1-$B$32)*F12*'Stove Replacement'!H38/('Stove Replacement'!H33+'Stove Replacement'!H38)</f>
        <v>14352752.994620632</v>
      </c>
      <c r="G21" s="44">
        <f>G12*'Stove Replacement'!I33/('Stove Replacement'!I33+'Stove Replacement'!I38)+(1-$B$32)*G12*'Stove Replacement'!I38/('Stove Replacement'!I33+'Stove Replacement'!I38)</f>
        <v>14666639.963685635</v>
      </c>
      <c r="H21" s="44">
        <f>H12*'Stove Replacement'!J33/('Stove Replacement'!J33+'Stove Replacement'!J38)+(1-$B$32)*H12*'Stove Replacement'!J38/('Stove Replacement'!J33+'Stove Replacement'!J38)</f>
        <v>15117792.832915924</v>
      </c>
      <c r="I21" s="44">
        <f>I12*'Stove Replacement'!K33/('Stove Replacement'!K33+'Stove Replacement'!K38)+(1-$B$32)*I12*'Stove Replacement'!K38/('Stove Replacement'!K33+'Stove Replacement'!K38)</f>
        <v>15582480.288223121</v>
      </c>
      <c r="J21" s="44">
        <f>J12*'Stove Replacement'!L33/('Stove Replacement'!L33+'Stove Replacement'!L38)+(1-$B$32)*J12*'Stove Replacement'!L38/('Stove Replacement'!L33+'Stove Replacement'!L38)</f>
        <v>16061108.367189538</v>
      </c>
      <c r="K21" s="44">
        <f>K12*'Stove Replacement'!M33/('Stove Replacement'!M33+'Stove Replacement'!M38)+(1-$B$32)*K12*'Stove Replacement'!M38/('Stove Replacement'!M33+'Stove Replacement'!M38)</f>
        <v>16554095.288524939</v>
      </c>
      <c r="L21" s="44">
        <f>L12*'Stove Replacement'!N33/('Stove Replacement'!N33+'Stove Replacement'!N38)+(1-$B$32)*L12*'Stove Replacement'!N38/('Stove Replacement'!N33+'Stove Replacement'!N38)</f>
        <v>17061871.817500405</v>
      </c>
      <c r="M21" s="44">
        <f>M12*'Stove Replacement'!O33/('Stove Replacement'!O33+'Stove Replacement'!O38)+(1-$B$32)*M12*'Stove Replacement'!O38/('Stove Replacement'!O33+'Stove Replacement'!O38)</f>
        <v>17584881.642345138</v>
      </c>
      <c r="N21" s="44">
        <f>N12*'Stove Replacement'!P33/('Stove Replacement'!P33+'Stove Replacement'!P38)+(1-$B$32)*N12*'Stove Replacement'!P38/('Stove Replacement'!P33+'Stove Replacement'!P38)</f>
        <v>18123581.761935212</v>
      </c>
      <c r="O21" s="44">
        <f>O12*'Stove Replacement'!Q33/('Stove Replacement'!Q33+'Stove Replacement'!Q38)+(1-$B$32)*O12*'Stove Replacement'!Q38/('Stove Replacement'!Q33+'Stove Replacement'!Q38)</f>
        <v>18802372.555332102</v>
      </c>
      <c r="P21" s="44">
        <f>P12*'Stove Replacement'!R33/('Stove Replacement'!R33+'Stove Replacement'!R38)+(1-$B$32)*P12*'Stove Replacement'!R38/('Stove Replacement'!R33+'Stove Replacement'!R38)</f>
        <v>19497809.182424314</v>
      </c>
      <c r="Q21" s="44">
        <f>Q12*'Stove Replacement'!S33/('Stove Replacement'!S33+'Stove Replacement'!S38)+(1-$B$32)*Q12*'Stove Replacement'!S38/('Stove Replacement'!S33+'Stove Replacement'!S38)</f>
        <v>20210391.018222723</v>
      </c>
    </row>
    <row r="22" spans="1:17" s="34" customFormat="1" ht="15">
      <c r="A22" s="56" t="s">
        <v>145</v>
      </c>
      <c r="B22" s="44">
        <f>SUM(B19:B21)</f>
        <v>29370688.841034457</v>
      </c>
      <c r="C22" s="44">
        <f>SUM(C19:C21)</f>
        <v>30224581.601629771</v>
      </c>
      <c r="D22" s="44">
        <f>SUM(D19:D21)</f>
        <v>31103546.586950231</v>
      </c>
      <c r="E22" s="44">
        <f>SUM(E19:E21)</f>
        <v>31728928.860255219</v>
      </c>
      <c r="F22" s="44">
        <f t="shared" ref="F22:Q22" si="1">SUM(F19:F21)</f>
        <v>32380932.180924013</v>
      </c>
      <c r="G22" s="44">
        <f t="shared" si="1"/>
        <v>33060341.981722198</v>
      </c>
      <c r="H22" s="44">
        <f t="shared" si="1"/>
        <v>34047232.127068713</v>
      </c>
      <c r="I22" s="44">
        <f t="shared" si="1"/>
        <v>35063127.740639225</v>
      </c>
      <c r="J22" s="44">
        <f t="shared" si="1"/>
        <v>36108886.961757742</v>
      </c>
      <c r="K22" s="44">
        <f t="shared" si="1"/>
        <v>37185393.433433503</v>
      </c>
      <c r="L22" s="44">
        <f t="shared" si="1"/>
        <v>38293557.062661715</v>
      </c>
      <c r="M22" s="44">
        <f t="shared" si="1"/>
        <v>39434314.80343698</v>
      </c>
      <c r="N22" s="44">
        <f t="shared" si="1"/>
        <v>40608631.463159129</v>
      </c>
      <c r="O22" s="44">
        <f t="shared" si="1"/>
        <v>42096852.674403355</v>
      </c>
      <c r="P22" s="44">
        <f t="shared" si="1"/>
        <v>43620649.326413974</v>
      </c>
      <c r="Q22" s="44">
        <f t="shared" si="1"/>
        <v>45181074.86978735</v>
      </c>
    </row>
    <row r="23" spans="1:17" s="34" customFormat="1" ht="15"/>
    <row r="24" spans="1:17" s="34" customFormat="1" ht="15"/>
    <row r="25" spans="1:17" s="65" customFormat="1" ht="15">
      <c r="A25" s="64" t="s">
        <v>20</v>
      </c>
    </row>
    <row r="26" spans="1:17" s="173" customFormat="1" ht="15">
      <c r="A26" s="173" t="s">
        <v>43</v>
      </c>
      <c r="B26" s="174">
        <f t="shared" ref="B26:Q26" si="2">B13-B22</f>
        <v>0</v>
      </c>
      <c r="C26" s="174">
        <f t="shared" si="2"/>
        <v>0</v>
      </c>
      <c r="D26" s="174">
        <f t="shared" si="2"/>
        <v>0</v>
      </c>
      <c r="E26" s="174">
        <f t="shared" si="2"/>
        <v>279396.21232051402</v>
      </c>
      <c r="F26" s="174">
        <f t="shared" si="2"/>
        <v>558748.17360633612</v>
      </c>
      <c r="G26" s="174">
        <f t="shared" si="2"/>
        <v>838056.42381694168</v>
      </c>
      <c r="H26" s="174">
        <f t="shared" si="2"/>
        <v>838056.42381694168</v>
      </c>
      <c r="I26" s="174">
        <f t="shared" si="2"/>
        <v>838056.42381694913</v>
      </c>
      <c r="J26" s="174">
        <f t="shared" si="2"/>
        <v>838056.42381694168</v>
      </c>
      <c r="K26" s="174">
        <f t="shared" si="2"/>
        <v>838056.42381694913</v>
      </c>
      <c r="L26" s="174">
        <f t="shared" si="2"/>
        <v>838056.42381694168</v>
      </c>
      <c r="M26" s="174">
        <f t="shared" si="2"/>
        <v>838056.42381694913</v>
      </c>
      <c r="N26" s="174">
        <f t="shared" si="2"/>
        <v>838056.42381694913</v>
      </c>
      <c r="O26" s="174">
        <f t="shared" si="2"/>
        <v>558704.28254462779</v>
      </c>
      <c r="P26" s="174">
        <f t="shared" si="2"/>
        <v>279352.14127231389</v>
      </c>
      <c r="Q26" s="174">
        <f t="shared" si="2"/>
        <v>0</v>
      </c>
    </row>
    <row r="27" spans="1:17" s="34" customFormat="1" ht="15"/>
    <row r="28" spans="1:17" s="34" customFormat="1" ht="15"/>
    <row r="29" spans="1:17" s="34" customFormat="1" ht="15"/>
    <row r="30" spans="1:17" s="34" customFormat="1" ht="15">
      <c r="A30" s="147" t="s">
        <v>21</v>
      </c>
      <c r="B30" s="147"/>
      <c r="C30" s="472" t="s">
        <v>528</v>
      </c>
    </row>
    <row r="31" spans="1:17" s="34" customFormat="1" ht="15">
      <c r="A31" s="148" t="s">
        <v>44</v>
      </c>
      <c r="B31" s="171">
        <f>'Stove Assumptions'!C9</f>
        <v>1430</v>
      </c>
      <c r="C31" s="148" t="s">
        <v>45</v>
      </c>
      <c r="D31" s="35"/>
    </row>
    <row r="32" spans="1:17" s="34" customFormat="1" ht="15">
      <c r="A32" s="148" t="s">
        <v>46</v>
      </c>
      <c r="B32" s="150">
        <f>'Stove Assumptions'!C11</f>
        <v>0.05</v>
      </c>
      <c r="C32" s="148"/>
    </row>
    <row r="33" spans="1:15" s="34" customFormat="1" ht="15">
      <c r="A33" s="148" t="s">
        <v>47</v>
      </c>
      <c r="B33" s="151">
        <f>'Stove Assumptions'!E30</f>
        <v>1.3957592144585174</v>
      </c>
      <c r="C33" s="148"/>
    </row>
    <row r="34" spans="1:15" s="34" customFormat="1" ht="15">
      <c r="A34" s="148" t="s">
        <v>141</v>
      </c>
      <c r="B34" s="170">
        <f>'Stove Assumptions'!N39</f>
        <v>241.23892319435228</v>
      </c>
      <c r="C34" s="148" t="s">
        <v>144</v>
      </c>
    </row>
    <row r="35" spans="1:15" s="34" customFormat="1" ht="15">
      <c r="A35" s="148" t="s">
        <v>142</v>
      </c>
      <c r="B35" s="170">
        <f>'Stove Assumptions'!N40</f>
        <v>272.99976573874403</v>
      </c>
      <c r="C35" s="148" t="s">
        <v>144</v>
      </c>
    </row>
    <row r="36" spans="1:15" s="34" customFormat="1" ht="15">
      <c r="A36" s="148" t="s">
        <v>143</v>
      </c>
      <c r="B36" s="170">
        <f>'Stove Assumptions'!N41</f>
        <v>251.54216394108244</v>
      </c>
      <c r="C36" s="148" t="s">
        <v>144</v>
      </c>
    </row>
    <row r="37" spans="1:15" s="34" customFormat="1" ht="15"/>
    <row r="38" spans="1:15" s="43" customFormat="1" ht="15"/>
    <row r="39" spans="1:15" s="43" customFormat="1" ht="15"/>
    <row r="40" spans="1:15" s="34" customFormat="1" ht="15"/>
    <row r="48" spans="1:15" s="34" customFormat="1" ht="15">
      <c r="A48" s="35"/>
      <c r="H48" s="42"/>
      <c r="O48" s="7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A40"/>
  <sheetViews>
    <sheetView zoomScaleNormal="100" workbookViewId="0">
      <pane ySplit="4" topLeftCell="A5" activePane="bottomLeft" state="frozen"/>
      <selection activeCell="F6" sqref="F6"/>
      <selection pane="bottomLeft" activeCell="A2" sqref="A2"/>
    </sheetView>
  </sheetViews>
  <sheetFormatPr defaultRowHeight="15"/>
  <cols>
    <col min="1" max="1" width="59" style="32" customWidth="1"/>
    <col min="2" max="2" width="11.5703125" style="32" hidden="1" customWidth="1"/>
    <col min="3" max="3" width="9.140625" style="32" hidden="1" customWidth="1"/>
    <col min="4" max="4" width="9.140625" style="32" customWidth="1"/>
    <col min="5" max="16384" width="9.140625" style="32"/>
  </cols>
  <sheetData>
    <row r="1" spans="1:27" customFormat="1" ht="19.5" customHeight="1">
      <c r="A1" s="447" t="s">
        <v>501</v>
      </c>
      <c r="B1" s="447"/>
    </row>
    <row r="2" spans="1:27" customFormat="1" ht="18">
      <c r="A2" s="450" t="s">
        <v>553</v>
      </c>
      <c r="B2" s="464"/>
    </row>
    <row r="3" spans="1:27" customFormat="1" ht="15.75">
      <c r="A3" s="464"/>
      <c r="B3" s="464"/>
    </row>
    <row r="4" spans="1:27" ht="21">
      <c r="A4" s="26" t="s">
        <v>48</v>
      </c>
      <c r="B4" s="27">
        <v>2006</v>
      </c>
      <c r="C4" s="27">
        <v>2007</v>
      </c>
      <c r="D4" s="27">
        <v>2008</v>
      </c>
      <c r="E4" s="27">
        <v>2009</v>
      </c>
      <c r="F4" s="27">
        <v>2010</v>
      </c>
      <c r="G4" s="27">
        <v>2011</v>
      </c>
      <c r="H4" s="27">
        <v>2012</v>
      </c>
      <c r="I4" s="27">
        <v>2013</v>
      </c>
      <c r="J4" s="27">
        <v>2014</v>
      </c>
      <c r="K4" s="27">
        <v>2015</v>
      </c>
      <c r="L4" s="27">
        <v>2016</v>
      </c>
      <c r="M4" s="27">
        <v>2017</v>
      </c>
      <c r="N4" s="27">
        <v>2018</v>
      </c>
      <c r="O4" s="27">
        <v>2019</v>
      </c>
      <c r="P4" s="27">
        <v>2020</v>
      </c>
      <c r="Q4" s="27">
        <v>2021</v>
      </c>
      <c r="R4" s="27">
        <v>2022</v>
      </c>
      <c r="S4" s="27">
        <v>2023</v>
      </c>
    </row>
    <row r="6" spans="1:27" s="31" customFormat="1">
      <c r="A6" s="29" t="s">
        <v>7</v>
      </c>
      <c r="C6" s="30"/>
      <c r="D6" s="30"/>
      <c r="E6" s="30"/>
      <c r="F6" s="30"/>
    </row>
    <row r="7" spans="1:27">
      <c r="A7" s="78" t="s">
        <v>0</v>
      </c>
      <c r="B7" s="75"/>
      <c r="C7" s="75"/>
      <c r="D7" s="75"/>
      <c r="E7" s="75"/>
      <c r="F7" s="75"/>
      <c r="G7" s="75"/>
      <c r="H7" s="75"/>
      <c r="I7" s="75"/>
      <c r="J7" s="75"/>
      <c r="K7" s="75"/>
      <c r="L7" s="75"/>
      <c r="M7" s="75"/>
      <c r="N7" s="75"/>
      <c r="O7" s="75"/>
      <c r="P7" s="75"/>
      <c r="Q7" s="75"/>
      <c r="R7" s="75"/>
      <c r="S7" s="75"/>
      <c r="T7" s="75"/>
      <c r="U7" s="75"/>
      <c r="V7" s="75"/>
      <c r="W7" s="75"/>
      <c r="X7" s="75"/>
      <c r="Y7" s="75"/>
      <c r="Z7" s="75"/>
      <c r="AA7" s="75"/>
    </row>
    <row r="8" spans="1:27">
      <c r="A8" s="79" t="s">
        <v>49</v>
      </c>
      <c r="C8" s="75"/>
      <c r="D8" s="39">
        <f>'Stove Replacement'!D13</f>
        <v>118233.7</v>
      </c>
      <c r="E8" s="39">
        <f>'Stove Replacement'!E13</f>
        <v>121680.97500000001</v>
      </c>
      <c r="F8" s="39">
        <f>'Stove Replacement'!F13</f>
        <v>125229.67353000001</v>
      </c>
      <c r="G8" s="39">
        <f>'Stove Replacement'!G13</f>
        <v>128882.79840150001</v>
      </c>
      <c r="H8" s="39">
        <f>'Stove Replacement'!H13</f>
        <v>132643.44171245702</v>
      </c>
      <c r="I8" s="39">
        <f>'Stove Replacement'!I13</f>
        <v>136514.78750992098</v>
      </c>
      <c r="J8" s="39">
        <f>'Stove Replacement'!J13</f>
        <v>140500.11453223065</v>
      </c>
      <c r="K8" s="39">
        <f>'Stove Replacement'!K13</f>
        <v>144602.79903314984</v>
      </c>
      <c r="L8" s="39">
        <f>'Stove Replacement'!L13</f>
        <v>148826.31769039566</v>
      </c>
      <c r="M8" s="39">
        <f>'Stove Replacement'!M13</f>
        <v>153174.25060108391</v>
      </c>
      <c r="N8" s="39">
        <f>'Stove Replacement'!N13</f>
        <v>157650.2843666923</v>
      </c>
      <c r="O8" s="39">
        <f>'Stove Replacement'!O13</f>
        <v>162258.21527022048</v>
      </c>
      <c r="P8" s="39">
        <f>'Stove Replacement'!P13</f>
        <v>167001.95254830504</v>
      </c>
      <c r="Q8" s="39">
        <f>'Stove Replacement'!Q13</f>
        <v>171885.52176113171</v>
      </c>
      <c r="R8" s="39">
        <f>'Stove Replacement'!R13</f>
        <v>176913.06826307072</v>
      </c>
      <c r="S8" s="39">
        <f>'Stove Replacement'!S13</f>
        <v>182088.86077705002</v>
      </c>
      <c r="T8" s="39"/>
      <c r="U8" s="39"/>
      <c r="V8" s="39"/>
      <c r="W8" s="39"/>
      <c r="X8" s="39"/>
      <c r="Y8" s="39"/>
      <c r="Z8" s="39"/>
      <c r="AA8" s="39"/>
    </row>
    <row r="9" spans="1:27" s="50" customFormat="1">
      <c r="A9" s="80" t="s">
        <v>50</v>
      </c>
      <c r="D9" s="50">
        <f t="shared" ref="D9:S9" si="0">D16/D8</f>
        <v>0.44115594792347701</v>
      </c>
      <c r="E9" s="50">
        <f t="shared" si="0"/>
        <v>0.4495053561166813</v>
      </c>
      <c r="F9" s="50">
        <f t="shared" si="0"/>
        <v>0.45702426898277637</v>
      </c>
      <c r="G9" s="50">
        <f t="shared" si="0"/>
        <v>0.45821475582821203</v>
      </c>
      <c r="H9" s="50">
        <f t="shared" si="0"/>
        <v>0.45896728261901415</v>
      </c>
      <c r="I9" s="50">
        <f t="shared" si="0"/>
        <v>0.45930555322032951</v>
      </c>
      <c r="J9" s="50">
        <f t="shared" si="0"/>
        <v>0.45925229466768858</v>
      </c>
      <c r="K9" s="50">
        <f t="shared" si="0"/>
        <v>0.4588292926804956</v>
      </c>
      <c r="L9" s="50">
        <f t="shared" si="0"/>
        <v>0.45508886500099721</v>
      </c>
      <c r="M9" s="50">
        <f t="shared" si="0"/>
        <v>0.45118810589115393</v>
      </c>
      <c r="N9" s="50">
        <f t="shared" si="0"/>
        <v>0.44713906025083683</v>
      </c>
      <c r="O9" s="50">
        <f t="shared" si="0"/>
        <v>0.44295322662279352</v>
      </c>
      <c r="P9" s="50">
        <f t="shared" si="0"/>
        <v>0.43864157803072035</v>
      </c>
      <c r="Q9" s="50">
        <f t="shared" si="0"/>
        <v>0.4342145820967987</v>
      </c>
      <c r="R9" s="50">
        <f t="shared" si="0"/>
        <v>0.42968222046187782</v>
      </c>
      <c r="S9" s="50">
        <f t="shared" si="0"/>
        <v>0.42505400753078343</v>
      </c>
    </row>
    <row r="10" spans="1:27" s="50" customFormat="1">
      <c r="A10" s="80"/>
    </row>
    <row r="11" spans="1:27">
      <c r="A11" s="78" t="s">
        <v>51</v>
      </c>
      <c r="C11" s="75">
        <f>(C12-B12)/B12</f>
        <v>5.3879987433239081E-2</v>
      </c>
      <c r="D11" s="75"/>
      <c r="E11" s="75"/>
      <c r="F11" s="75"/>
      <c r="G11" s="75"/>
      <c r="H11" s="75"/>
      <c r="I11" s="75"/>
      <c r="J11" s="75"/>
      <c r="K11" s="75"/>
      <c r="L11" s="75"/>
      <c r="M11" s="75"/>
      <c r="N11" s="75"/>
      <c r="O11" s="75"/>
      <c r="P11" s="75"/>
      <c r="Q11" s="75"/>
      <c r="R11" s="75"/>
      <c r="S11" s="75"/>
      <c r="T11" s="75"/>
      <c r="U11" s="75"/>
      <c r="V11" s="75"/>
      <c r="W11" s="75"/>
      <c r="X11" s="75"/>
      <c r="Y11" s="75"/>
      <c r="Z11" s="75"/>
      <c r="AA11" s="75"/>
    </row>
    <row r="12" spans="1:27">
      <c r="A12" s="79" t="s">
        <v>52</v>
      </c>
      <c r="B12" s="81">
        <v>22281</v>
      </c>
      <c r="C12" s="81">
        <f>($F12-$B12)/4+B12</f>
        <v>23481.5</v>
      </c>
      <c r="D12" s="81">
        <f t="shared" ref="C12:E15" si="1">($F12-$B12)/4+C12</f>
        <v>24682</v>
      </c>
      <c r="E12" s="81">
        <f t="shared" si="1"/>
        <v>25882.5</v>
      </c>
      <c r="F12" s="81">
        <v>27083</v>
      </c>
      <c r="G12" s="81">
        <f t="shared" ref="G12:J15" si="2">($K12-$F12)/5+F12</f>
        <v>27945.599999999999</v>
      </c>
      <c r="H12" s="81">
        <f t="shared" si="2"/>
        <v>28808.199999999997</v>
      </c>
      <c r="I12" s="81">
        <f t="shared" si="2"/>
        <v>29670.799999999996</v>
      </c>
      <c r="J12" s="81">
        <f t="shared" si="2"/>
        <v>30533.399999999994</v>
      </c>
      <c r="K12" s="81">
        <v>31396</v>
      </c>
      <c r="L12" s="81">
        <f t="shared" ref="L12:O15" si="3">($P12-$K12)/5+K12</f>
        <v>32049.599999999999</v>
      </c>
      <c r="M12" s="81">
        <f t="shared" si="3"/>
        <v>32703.199999999997</v>
      </c>
      <c r="N12" s="81">
        <f t="shared" si="3"/>
        <v>33356.799999999996</v>
      </c>
      <c r="O12" s="81">
        <f t="shared" si="3"/>
        <v>34010.399999999994</v>
      </c>
      <c r="P12" s="81">
        <v>34664</v>
      </c>
      <c r="Q12" s="81">
        <f>($P12-$K12)/5+P12</f>
        <v>35317.599999999999</v>
      </c>
      <c r="R12" s="81">
        <f>($P12-$K12)/5+Q12</f>
        <v>35971.199999999997</v>
      </c>
      <c r="S12" s="81">
        <f>($P12-$K12)/5+R12</f>
        <v>36624.799999999996</v>
      </c>
      <c r="T12" s="81"/>
      <c r="U12" s="81"/>
      <c r="V12" s="81"/>
      <c r="W12" s="81"/>
      <c r="X12" s="81"/>
      <c r="Y12" s="81"/>
      <c r="Z12" s="81"/>
      <c r="AA12" s="81"/>
    </row>
    <row r="13" spans="1:27">
      <c r="A13" s="79" t="s">
        <v>53</v>
      </c>
      <c r="B13" s="81">
        <v>13369</v>
      </c>
      <c r="C13" s="81">
        <f t="shared" si="1"/>
        <v>14089.25</v>
      </c>
      <c r="D13" s="81">
        <f t="shared" si="1"/>
        <v>14809.5</v>
      </c>
      <c r="E13" s="81">
        <f t="shared" si="1"/>
        <v>15529.75</v>
      </c>
      <c r="F13" s="81">
        <v>16250</v>
      </c>
      <c r="G13" s="81">
        <f t="shared" si="2"/>
        <v>16767.599999999999</v>
      </c>
      <c r="H13" s="81">
        <f t="shared" si="2"/>
        <v>17285.199999999997</v>
      </c>
      <c r="I13" s="81">
        <f t="shared" si="2"/>
        <v>17802.799999999996</v>
      </c>
      <c r="J13" s="81">
        <f t="shared" si="2"/>
        <v>18320.399999999994</v>
      </c>
      <c r="K13" s="81">
        <v>18838</v>
      </c>
      <c r="L13" s="81">
        <f t="shared" si="3"/>
        <v>19230</v>
      </c>
      <c r="M13" s="81">
        <f t="shared" si="3"/>
        <v>19622</v>
      </c>
      <c r="N13" s="81">
        <f t="shared" si="3"/>
        <v>20014</v>
      </c>
      <c r="O13" s="81">
        <f t="shared" si="3"/>
        <v>20406</v>
      </c>
      <c r="P13" s="81">
        <v>20798</v>
      </c>
      <c r="Q13" s="81">
        <f t="shared" ref="Q13:S15" si="4">($P13-$K13)/5+P13</f>
        <v>21190</v>
      </c>
      <c r="R13" s="81">
        <f t="shared" si="4"/>
        <v>21582</v>
      </c>
      <c r="S13" s="81">
        <f t="shared" si="4"/>
        <v>21974</v>
      </c>
      <c r="T13" s="81"/>
      <c r="U13" s="81"/>
      <c r="V13" s="81"/>
      <c r="W13" s="81"/>
      <c r="X13" s="81"/>
      <c r="Y13" s="81"/>
      <c r="Z13" s="81"/>
      <c r="AA13" s="81"/>
    </row>
    <row r="14" spans="1:27">
      <c r="A14" s="79" t="s">
        <v>54</v>
      </c>
      <c r="B14" s="81">
        <v>4286</v>
      </c>
      <c r="C14" s="81">
        <f t="shared" si="1"/>
        <v>4516.75</v>
      </c>
      <c r="D14" s="81">
        <f t="shared" si="1"/>
        <v>4747.5</v>
      </c>
      <c r="E14" s="81">
        <f t="shared" si="1"/>
        <v>4978.25</v>
      </c>
      <c r="F14" s="81">
        <v>5209</v>
      </c>
      <c r="G14" s="81">
        <f t="shared" si="2"/>
        <v>5375</v>
      </c>
      <c r="H14" s="81">
        <f t="shared" si="2"/>
        <v>5541</v>
      </c>
      <c r="I14" s="81">
        <f t="shared" si="2"/>
        <v>5707</v>
      </c>
      <c r="J14" s="81">
        <f t="shared" si="2"/>
        <v>5873</v>
      </c>
      <c r="K14" s="81">
        <v>6039</v>
      </c>
      <c r="L14" s="81">
        <f t="shared" si="3"/>
        <v>6164.8</v>
      </c>
      <c r="M14" s="81">
        <f t="shared" si="3"/>
        <v>6290.6</v>
      </c>
      <c r="N14" s="81">
        <f t="shared" si="3"/>
        <v>6416.4000000000005</v>
      </c>
      <c r="O14" s="81">
        <f t="shared" si="3"/>
        <v>6542.2000000000007</v>
      </c>
      <c r="P14" s="81">
        <v>6668</v>
      </c>
      <c r="Q14" s="81">
        <f t="shared" si="4"/>
        <v>6793.8</v>
      </c>
      <c r="R14" s="81">
        <f t="shared" si="4"/>
        <v>6919.6</v>
      </c>
      <c r="S14" s="81">
        <f t="shared" si="4"/>
        <v>7045.4000000000005</v>
      </c>
      <c r="T14" s="81"/>
      <c r="U14" s="81"/>
      <c r="V14" s="81"/>
      <c r="W14" s="81"/>
      <c r="X14" s="81"/>
      <c r="Y14" s="81"/>
      <c r="Z14" s="81"/>
      <c r="AA14" s="81"/>
    </row>
    <row r="15" spans="1:27">
      <c r="A15" s="79" t="s">
        <v>55</v>
      </c>
      <c r="B15" s="81">
        <v>7150</v>
      </c>
      <c r="C15" s="81">
        <f t="shared" si="1"/>
        <v>7535.25</v>
      </c>
      <c r="D15" s="81">
        <f t="shared" si="1"/>
        <v>7920.5</v>
      </c>
      <c r="E15" s="81">
        <f t="shared" si="1"/>
        <v>8305.75</v>
      </c>
      <c r="F15" s="81">
        <v>8691</v>
      </c>
      <c r="G15" s="81">
        <f t="shared" si="2"/>
        <v>8967.7999999999993</v>
      </c>
      <c r="H15" s="81">
        <f t="shared" si="2"/>
        <v>9244.5999999999985</v>
      </c>
      <c r="I15" s="81">
        <f t="shared" si="2"/>
        <v>9521.3999999999978</v>
      </c>
      <c r="J15" s="81">
        <f t="shared" si="2"/>
        <v>9798.1999999999971</v>
      </c>
      <c r="K15" s="81">
        <v>10075</v>
      </c>
      <c r="L15" s="81">
        <f t="shared" si="3"/>
        <v>10284.799999999999</v>
      </c>
      <c r="M15" s="81">
        <f t="shared" si="3"/>
        <v>10494.599999999999</v>
      </c>
      <c r="N15" s="81">
        <f t="shared" si="3"/>
        <v>10704.399999999998</v>
      </c>
      <c r="O15" s="81">
        <f t="shared" si="3"/>
        <v>10914.199999999997</v>
      </c>
      <c r="P15" s="81">
        <v>11124</v>
      </c>
      <c r="Q15" s="81">
        <f t="shared" si="4"/>
        <v>11333.8</v>
      </c>
      <c r="R15" s="81">
        <f>($P15-$K15)/5+Q15</f>
        <v>11543.599999999999</v>
      </c>
      <c r="S15" s="81">
        <f t="shared" si="4"/>
        <v>11753.399999999998</v>
      </c>
      <c r="T15" s="81"/>
      <c r="U15" s="81"/>
      <c r="V15" s="81"/>
      <c r="W15" s="81"/>
      <c r="X15" s="81"/>
      <c r="Y15" s="81"/>
      <c r="Z15" s="81"/>
      <c r="AA15" s="81"/>
    </row>
    <row r="16" spans="1:27">
      <c r="A16" s="79" t="s">
        <v>146</v>
      </c>
      <c r="B16" s="81">
        <f>SUM(B12:B15)</f>
        <v>47086</v>
      </c>
      <c r="C16" s="81">
        <f t="shared" ref="C16:S16" si="5">SUM(C12:C15)</f>
        <v>49622.75</v>
      </c>
      <c r="D16" s="81">
        <f t="shared" si="5"/>
        <v>52159.5</v>
      </c>
      <c r="E16" s="81">
        <f t="shared" si="5"/>
        <v>54696.25</v>
      </c>
      <c r="F16" s="81">
        <f t="shared" si="5"/>
        <v>57233</v>
      </c>
      <c r="G16" s="81">
        <f t="shared" si="5"/>
        <v>59056</v>
      </c>
      <c r="H16" s="81">
        <f t="shared" si="5"/>
        <v>60878.999999999993</v>
      </c>
      <c r="I16" s="81">
        <f t="shared" si="5"/>
        <v>62701.999999999985</v>
      </c>
      <c r="J16" s="81">
        <f t="shared" si="5"/>
        <v>64524.999999999985</v>
      </c>
      <c r="K16" s="81">
        <f t="shared" si="5"/>
        <v>66348</v>
      </c>
      <c r="L16" s="81">
        <f t="shared" si="5"/>
        <v>67729.2</v>
      </c>
      <c r="M16" s="81">
        <f t="shared" si="5"/>
        <v>69110.399999999994</v>
      </c>
      <c r="N16" s="81">
        <f t="shared" si="5"/>
        <v>70491.599999999991</v>
      </c>
      <c r="O16" s="81">
        <f t="shared" si="5"/>
        <v>71872.799999999988</v>
      </c>
      <c r="P16" s="81">
        <f t="shared" si="5"/>
        <v>73254</v>
      </c>
      <c r="Q16" s="81">
        <f>SUM(Q12:Q15)</f>
        <v>74635.199999999997</v>
      </c>
      <c r="R16" s="81">
        <f>SUM(R12:R15)</f>
        <v>76016.399999999994</v>
      </c>
      <c r="S16" s="81">
        <f t="shared" si="5"/>
        <v>77397.599999999991</v>
      </c>
      <c r="T16" s="81"/>
      <c r="U16" s="81"/>
      <c r="V16" s="81"/>
      <c r="W16" s="81"/>
      <c r="X16" s="81"/>
      <c r="Y16" s="81"/>
      <c r="Z16" s="81"/>
      <c r="AA16" s="81"/>
    </row>
    <row r="17" spans="1:27">
      <c r="A17" s="79"/>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row>
    <row r="18" spans="1:27" s="50" customFormat="1"/>
    <row r="19" spans="1:27" s="49" customFormat="1">
      <c r="A19" s="48" t="s">
        <v>17</v>
      </c>
    </row>
    <row r="20" spans="1:27">
      <c r="A20" s="78" t="s">
        <v>0</v>
      </c>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row>
    <row r="21" spans="1:27">
      <c r="A21" s="79" t="s">
        <v>56</v>
      </c>
      <c r="B21" s="81"/>
      <c r="C21" s="81"/>
      <c r="D21" s="81">
        <f>'Stove Replacement'!D34</f>
        <v>118233.7</v>
      </c>
      <c r="E21" s="81">
        <f>'Stove Replacement'!E34</f>
        <v>121680.97500000001</v>
      </c>
      <c r="F21" s="81">
        <f>'Stove Replacement'!F34</f>
        <v>125229.67353000001</v>
      </c>
      <c r="G21" s="81">
        <f>'Stove Replacement'!G34</f>
        <v>106382.79840150001</v>
      </c>
      <c r="H21" s="81">
        <f>'Stove Replacement'!H34</f>
        <v>87643.441712457017</v>
      </c>
      <c r="I21" s="81">
        <f>'Stove Replacement'!I34</f>
        <v>69014.787509920978</v>
      </c>
      <c r="J21" s="81">
        <f>'Stove Replacement'!J34</f>
        <v>73000.11453223064</v>
      </c>
      <c r="K21" s="81">
        <f>'Stove Replacement'!K34</f>
        <v>77102.799033149844</v>
      </c>
      <c r="L21" s="81">
        <f>'Stove Replacement'!L34</f>
        <v>81326.317690395663</v>
      </c>
      <c r="M21" s="81">
        <f>'Stove Replacement'!M34</f>
        <v>85674.250601083899</v>
      </c>
      <c r="N21" s="81">
        <f>'Stove Replacement'!N34</f>
        <v>90150.2843666923</v>
      </c>
      <c r="O21" s="81">
        <f>'Stove Replacement'!O34</f>
        <v>94758.215270220477</v>
      </c>
      <c r="P21" s="81">
        <f>'Stove Replacement'!P34</f>
        <v>99501.952548305038</v>
      </c>
      <c r="Q21" s="81">
        <f>'Stove Replacement'!Q34</f>
        <v>126885.52176113171</v>
      </c>
      <c r="R21" s="81">
        <f>'Stove Replacement'!R34</f>
        <v>154413.06826307072</v>
      </c>
      <c r="S21" s="81">
        <f>'Stove Replacement'!S34</f>
        <v>182088.86077704999</v>
      </c>
      <c r="T21" s="81"/>
      <c r="U21" s="81"/>
      <c r="V21" s="81"/>
      <c r="W21" s="81"/>
      <c r="X21" s="81"/>
      <c r="Y21" s="81"/>
      <c r="Z21" s="81"/>
      <c r="AA21" s="81"/>
    </row>
    <row r="22" spans="1:27">
      <c r="A22" s="79" t="s">
        <v>57</v>
      </c>
      <c r="B22" s="81"/>
      <c r="C22" s="81"/>
      <c r="D22" s="81">
        <f>'Stove Replacement'!D39</f>
        <v>0</v>
      </c>
      <c r="E22" s="81">
        <f>'Stove Replacement'!E39</f>
        <v>0</v>
      </c>
      <c r="F22" s="81">
        <f>'Stove Replacement'!F39</f>
        <v>0</v>
      </c>
      <c r="G22" s="81">
        <f>'Stove Replacement'!G39</f>
        <v>22500</v>
      </c>
      <c r="H22" s="81">
        <f>'Stove Replacement'!H39</f>
        <v>45000</v>
      </c>
      <c r="I22" s="81">
        <f>'Stove Replacement'!I39</f>
        <v>67500</v>
      </c>
      <c r="J22" s="81">
        <f>'Stove Replacement'!J39</f>
        <v>67500</v>
      </c>
      <c r="K22" s="81">
        <f>'Stove Replacement'!K39</f>
        <v>67500</v>
      </c>
      <c r="L22" s="81">
        <f>'Stove Replacement'!L39</f>
        <v>67500</v>
      </c>
      <c r="M22" s="81">
        <f>'Stove Replacement'!M39</f>
        <v>67500</v>
      </c>
      <c r="N22" s="81">
        <f>'Stove Replacement'!N39</f>
        <v>67500</v>
      </c>
      <c r="O22" s="81">
        <f>'Stove Replacement'!O39</f>
        <v>67500</v>
      </c>
      <c r="P22" s="81">
        <f>'Stove Replacement'!P39</f>
        <v>67500</v>
      </c>
      <c r="Q22" s="81">
        <f>'Stove Replacement'!Q39</f>
        <v>45000</v>
      </c>
      <c r="R22" s="81">
        <f>'Stove Replacement'!R39</f>
        <v>22500</v>
      </c>
      <c r="S22" s="81">
        <f>'Stove Replacement'!S39</f>
        <v>0</v>
      </c>
      <c r="T22" s="81"/>
      <c r="U22" s="81"/>
      <c r="V22" s="81"/>
      <c r="W22" s="81"/>
      <c r="X22" s="81"/>
      <c r="Y22" s="81"/>
      <c r="Z22" s="81"/>
      <c r="AA22" s="81"/>
    </row>
    <row r="23" spans="1:27" s="50" customFormat="1">
      <c r="A23" s="80" t="s">
        <v>50</v>
      </c>
      <c r="D23" s="50">
        <f t="shared" ref="D23:S23" si="6">D9</f>
        <v>0.44115594792347701</v>
      </c>
      <c r="E23" s="50">
        <f t="shared" si="6"/>
        <v>0.4495053561166813</v>
      </c>
      <c r="F23" s="50">
        <f t="shared" si="6"/>
        <v>0.45702426898277637</v>
      </c>
      <c r="G23" s="50">
        <f t="shared" si="6"/>
        <v>0.45821475582821203</v>
      </c>
      <c r="H23" s="50">
        <f t="shared" si="6"/>
        <v>0.45896728261901415</v>
      </c>
      <c r="I23" s="50">
        <f t="shared" si="6"/>
        <v>0.45930555322032951</v>
      </c>
      <c r="J23" s="50">
        <f t="shared" si="6"/>
        <v>0.45925229466768858</v>
      </c>
      <c r="K23" s="50">
        <f t="shared" si="6"/>
        <v>0.4588292926804956</v>
      </c>
      <c r="L23" s="50">
        <f t="shared" si="6"/>
        <v>0.45508886500099721</v>
      </c>
      <c r="M23" s="50">
        <f t="shared" si="6"/>
        <v>0.45118810589115393</v>
      </c>
      <c r="N23" s="50">
        <f t="shared" si="6"/>
        <v>0.44713906025083683</v>
      </c>
      <c r="O23" s="50">
        <f t="shared" si="6"/>
        <v>0.44295322662279352</v>
      </c>
      <c r="P23" s="50">
        <f t="shared" si="6"/>
        <v>0.43864157803072035</v>
      </c>
      <c r="Q23" s="50">
        <f t="shared" si="6"/>
        <v>0.4342145820967987</v>
      </c>
      <c r="R23" s="50">
        <f t="shared" si="6"/>
        <v>0.42968222046187782</v>
      </c>
      <c r="S23" s="50">
        <f t="shared" si="6"/>
        <v>0.42505400753078343</v>
      </c>
    </row>
    <row r="24" spans="1:27" s="50" customFormat="1">
      <c r="A24" s="80" t="s">
        <v>58</v>
      </c>
      <c r="D24" s="50">
        <f t="shared" ref="D24:S24" si="7">D23*(1-$D$37)</f>
        <v>0.31763228250490344</v>
      </c>
      <c r="E24" s="50">
        <f t="shared" si="7"/>
        <v>0.3236438564040105</v>
      </c>
      <c r="F24" s="50">
        <f t="shared" si="7"/>
        <v>0.32905747366759897</v>
      </c>
      <c r="G24" s="50">
        <f t="shared" si="7"/>
        <v>0.32991462419631262</v>
      </c>
      <c r="H24" s="50">
        <f t="shared" si="7"/>
        <v>0.3304564434856902</v>
      </c>
      <c r="I24" s="50">
        <f t="shared" si="7"/>
        <v>0.33069999831863722</v>
      </c>
      <c r="J24" s="50">
        <f t="shared" si="7"/>
        <v>0.33066165216073579</v>
      </c>
      <c r="K24" s="50">
        <f t="shared" si="7"/>
        <v>0.33035709072995684</v>
      </c>
      <c r="L24" s="50">
        <f t="shared" si="7"/>
        <v>0.32766398280071796</v>
      </c>
      <c r="M24" s="50">
        <f t="shared" si="7"/>
        <v>0.32485543624163082</v>
      </c>
      <c r="N24" s="50">
        <f t="shared" si="7"/>
        <v>0.32194012338060252</v>
      </c>
      <c r="O24" s="50">
        <f t="shared" si="7"/>
        <v>0.3189263231684113</v>
      </c>
      <c r="P24" s="50">
        <f t="shared" si="7"/>
        <v>0.31582193618211862</v>
      </c>
      <c r="Q24" s="50">
        <f t="shared" si="7"/>
        <v>0.31263449910969504</v>
      </c>
      <c r="R24" s="50">
        <f t="shared" si="7"/>
        <v>0.30937119873255203</v>
      </c>
      <c r="S24" s="50">
        <f t="shared" si="7"/>
        <v>0.30603888542216406</v>
      </c>
    </row>
    <row r="25" spans="1:27" s="50" customFormat="1">
      <c r="A25" s="80"/>
    </row>
    <row r="26" spans="1:27">
      <c r="A26" s="78" t="s">
        <v>51</v>
      </c>
      <c r="B26" s="81"/>
      <c r="C26" s="75"/>
      <c r="D26" s="75"/>
      <c r="E26" s="75"/>
      <c r="F26" s="75"/>
      <c r="G26" s="75"/>
      <c r="H26" s="75"/>
      <c r="I26" s="75"/>
      <c r="J26" s="75"/>
      <c r="K26" s="75"/>
      <c r="L26" s="75"/>
      <c r="M26" s="75"/>
      <c r="N26" s="75"/>
      <c r="O26" s="75"/>
      <c r="P26" s="75"/>
      <c r="Q26" s="75"/>
      <c r="R26" s="75"/>
      <c r="S26" s="75"/>
      <c r="T26" s="75"/>
      <c r="U26" s="75"/>
      <c r="V26" s="75"/>
      <c r="W26" s="75"/>
      <c r="X26" s="75"/>
      <c r="Y26" s="75"/>
      <c r="Z26" s="75"/>
      <c r="AA26" s="75"/>
    </row>
    <row r="27" spans="1:27">
      <c r="A27" s="79" t="s">
        <v>146</v>
      </c>
      <c r="B27" s="81"/>
      <c r="C27" s="81"/>
      <c r="D27" s="81">
        <f>D21*D23+D22*D24</f>
        <v>52159.5</v>
      </c>
      <c r="E27" s="81">
        <f>E21*E23+E22*E24</f>
        <v>54696.25</v>
      </c>
      <c r="F27" s="81">
        <f>F21*F23+F22*F24</f>
        <v>57233</v>
      </c>
      <c r="G27" s="81">
        <f>G21*G23+G22*G24</f>
        <v>56169.247038282265</v>
      </c>
      <c r="H27" s="81">
        <f>H21*H23+H22*H24</f>
        <v>55096.012239000411</v>
      </c>
      <c r="I27" s="81">
        <f t="shared" ref="I27:S27" si="8">I21*I23+I22*I24</f>
        <v>54021.125044135755</v>
      </c>
      <c r="J27" s="81">
        <f t="shared" si="8"/>
        <v>55845.13163078067</v>
      </c>
      <c r="K27" s="81">
        <f t="shared" si="8"/>
        <v>57676.126368338628</v>
      </c>
      <c r="L27" s="81">
        <f t="shared" si="8"/>
        <v>59128.020451481148</v>
      </c>
      <c r="M27" s="81">
        <f t="shared" si="8"/>
        <v>60582.944798657183</v>
      </c>
      <c r="N27" s="81">
        <f t="shared" si="8"/>
        <v>62040.671761259175</v>
      </c>
      <c r="O27" s="81">
        <f t="shared" si="8"/>
        <v>63500.984016829185</v>
      </c>
      <c r="P27" s="81">
        <f t="shared" si="8"/>
        <v>64963.674175219385</v>
      </c>
      <c r="Q27" s="81">
        <f t="shared" si="8"/>
        <v>69164.096265580331</v>
      </c>
      <c r="R27" s="81">
        <f t="shared" si="8"/>
        <v>73309.402011090162</v>
      </c>
      <c r="S27" s="81">
        <f t="shared" si="8"/>
        <v>77397.599999999977</v>
      </c>
      <c r="T27" s="81"/>
      <c r="U27" s="81"/>
      <c r="V27" s="81"/>
      <c r="W27" s="81"/>
      <c r="X27" s="81"/>
      <c r="Y27" s="81"/>
      <c r="Z27" s="81"/>
      <c r="AA27" s="81"/>
    </row>
    <row r="28" spans="1:27">
      <c r="A28" s="79"/>
      <c r="B28" s="81"/>
      <c r="C28" s="81"/>
      <c r="D28" s="81"/>
      <c r="E28" s="75"/>
      <c r="F28" s="75"/>
      <c r="G28" s="75"/>
      <c r="H28" s="75"/>
      <c r="I28" s="75"/>
      <c r="J28" s="75"/>
      <c r="K28" s="75"/>
      <c r="L28" s="75"/>
      <c r="M28" s="75"/>
      <c r="N28" s="75"/>
      <c r="O28" s="75"/>
      <c r="P28" s="75"/>
      <c r="Q28" s="75"/>
      <c r="R28" s="75"/>
      <c r="S28" s="75"/>
      <c r="T28" s="81"/>
      <c r="U28" s="81"/>
      <c r="V28" s="81"/>
      <c r="W28" s="81"/>
      <c r="X28" s="81"/>
      <c r="Y28" s="81"/>
      <c r="Z28" s="81"/>
      <c r="AA28" s="81"/>
    </row>
    <row r="29" spans="1:27">
      <c r="B29" s="81"/>
      <c r="C29" s="81"/>
      <c r="D29" s="81"/>
      <c r="E29" s="81"/>
      <c r="F29" s="81"/>
      <c r="G29" s="50"/>
      <c r="H29" s="81"/>
      <c r="I29" s="81"/>
      <c r="J29" s="81"/>
      <c r="K29" s="81"/>
      <c r="L29" s="81"/>
      <c r="M29" s="81"/>
      <c r="N29" s="81"/>
      <c r="O29" s="81"/>
      <c r="P29" s="81"/>
      <c r="Q29" s="81"/>
      <c r="R29" s="81"/>
      <c r="S29" s="81"/>
      <c r="T29" s="81"/>
      <c r="U29" s="81"/>
      <c r="V29" s="81"/>
      <c r="W29" s="81"/>
      <c r="X29" s="81"/>
      <c r="Y29" s="81"/>
      <c r="Z29" s="81"/>
      <c r="AA29" s="81"/>
    </row>
    <row r="30" spans="1:27" s="65" customFormat="1">
      <c r="A30" s="64" t="s">
        <v>20</v>
      </c>
    </row>
    <row r="31" spans="1:27" s="65" customFormat="1">
      <c r="A31" s="178" t="s">
        <v>155</v>
      </c>
      <c r="B31" s="172"/>
      <c r="C31" s="172"/>
      <c r="D31" s="172"/>
      <c r="E31" s="177">
        <f t="shared" ref="E31:S31" si="9">(E16-E27)/E16</f>
        <v>0</v>
      </c>
      <c r="F31" s="177">
        <f t="shared" si="9"/>
        <v>0</v>
      </c>
      <c r="G31" s="177">
        <f t="shared" si="9"/>
        <v>4.8881620186225536E-2</v>
      </c>
      <c r="H31" s="177">
        <f t="shared" si="9"/>
        <v>9.4991503819044046E-2</v>
      </c>
      <c r="I31" s="177">
        <f t="shared" si="9"/>
        <v>0.13844654007630111</v>
      </c>
      <c r="J31" s="177">
        <f t="shared" si="9"/>
        <v>0.13451946329669612</v>
      </c>
      <c r="K31" s="177">
        <f t="shared" si="9"/>
        <v>0.13070286416563232</v>
      </c>
      <c r="L31" s="177">
        <f t="shared" si="9"/>
        <v>0.12699366814488949</v>
      </c>
      <c r="M31" s="177">
        <f t="shared" si="9"/>
        <v>0.12338888504975824</v>
      </c>
      <c r="N31" s="177">
        <f t="shared" si="9"/>
        <v>0.11988560677784045</v>
      </c>
      <c r="O31" s="177">
        <f t="shared" si="9"/>
        <v>0.11648100509748896</v>
      </c>
      <c r="P31" s="177">
        <f t="shared" si="9"/>
        <v>0.11317232949437048</v>
      </c>
      <c r="Q31" s="177">
        <f t="shared" si="9"/>
        <v>7.3304603383117714E-2</v>
      </c>
      <c r="R31" s="177">
        <f t="shared" si="9"/>
        <v>3.5610710174512769E-2</v>
      </c>
      <c r="S31" s="177">
        <f t="shared" si="9"/>
        <v>1.8801507060124414E-16</v>
      </c>
      <c r="T31" s="172"/>
      <c r="U31" s="172"/>
      <c r="V31" s="172"/>
      <c r="W31" s="172"/>
      <c r="X31" s="172"/>
      <c r="Y31" s="172"/>
      <c r="Z31" s="172"/>
      <c r="AA31" s="172"/>
    </row>
    <row r="32" spans="1:27" s="65" customFormat="1">
      <c r="A32" s="65" t="s">
        <v>51</v>
      </c>
      <c r="B32" s="172"/>
      <c r="C32" s="172"/>
      <c r="D32" s="172">
        <f t="shared" ref="D32:S32" si="10">D16-D27</f>
        <v>0</v>
      </c>
      <c r="E32" s="172">
        <f t="shared" si="10"/>
        <v>0</v>
      </c>
      <c r="F32" s="172">
        <f t="shared" si="10"/>
        <v>0</v>
      </c>
      <c r="G32" s="172">
        <f t="shared" si="10"/>
        <v>2886.7529617177352</v>
      </c>
      <c r="H32" s="172">
        <f t="shared" si="10"/>
        <v>5782.987760999582</v>
      </c>
      <c r="I32" s="172">
        <f t="shared" si="10"/>
        <v>8680.8749558642303</v>
      </c>
      <c r="J32" s="172">
        <f t="shared" si="10"/>
        <v>8679.8683692193154</v>
      </c>
      <c r="K32" s="172">
        <f t="shared" si="10"/>
        <v>8671.8736316613722</v>
      </c>
      <c r="L32" s="172">
        <f t="shared" si="10"/>
        <v>8601.1795485188486</v>
      </c>
      <c r="M32" s="172">
        <f t="shared" si="10"/>
        <v>8527.4552013428111</v>
      </c>
      <c r="N32" s="172">
        <f t="shared" si="10"/>
        <v>8450.9282387408166</v>
      </c>
      <c r="O32" s="172">
        <f t="shared" si="10"/>
        <v>8371.8159831708035</v>
      </c>
      <c r="P32" s="172">
        <f t="shared" si="10"/>
        <v>8290.3258247806152</v>
      </c>
      <c r="Q32" s="172">
        <f t="shared" si="10"/>
        <v>5471.1037344196666</v>
      </c>
      <c r="R32" s="172">
        <f t="shared" si="10"/>
        <v>2706.9979889098322</v>
      </c>
      <c r="S32" s="172">
        <f t="shared" si="10"/>
        <v>0</v>
      </c>
      <c r="T32" s="172"/>
      <c r="U32" s="172"/>
      <c r="V32" s="172"/>
      <c r="W32" s="172"/>
      <c r="X32" s="172"/>
      <c r="Y32" s="172"/>
      <c r="Z32" s="172"/>
      <c r="AA32" s="172"/>
    </row>
    <row r="33" spans="1:27">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row>
    <row r="35" spans="1:27">
      <c r="G35" s="82"/>
    </row>
    <row r="36" spans="1:27">
      <c r="A36" s="101" t="s">
        <v>21</v>
      </c>
      <c r="B36" s="102"/>
      <c r="C36" s="102"/>
      <c r="D36" s="102"/>
    </row>
    <row r="37" spans="1:27">
      <c r="A37" s="148" t="s">
        <v>60</v>
      </c>
      <c r="B37" s="102"/>
      <c r="C37" s="102"/>
      <c r="D37" s="153">
        <f>'Stove Assumptions'!C12</f>
        <v>0.28000000000000003</v>
      </c>
    </row>
    <row r="40" spans="1:27">
      <c r="A40" s="3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User's Guide</vt:lpstr>
      <vt:lpstr>Activity Description</vt:lpstr>
      <vt:lpstr>Combined ERR</vt:lpstr>
      <vt:lpstr>Stove ERR</vt:lpstr>
      <vt:lpstr>Stove Assumptions</vt:lpstr>
      <vt:lpstr>Stove Additional Costs</vt:lpstr>
      <vt:lpstr>Stove Replacement</vt:lpstr>
      <vt:lpstr>Stove Fuel Savings</vt:lpstr>
      <vt:lpstr>Stove Pollution</vt:lpstr>
      <vt:lpstr>Stove Health</vt:lpstr>
      <vt:lpstr>Insulation ERR</vt:lpstr>
      <vt:lpstr>Insulation Base</vt:lpstr>
      <vt:lpstr>Insulation MCC Costs</vt:lpstr>
      <vt:lpstr>Insulation Health</vt:lpstr>
      <vt:lpstr>Insulation Ger Scenario</vt:lpstr>
      <vt:lpstr>Annual_wrap_target</vt:lpstr>
      <vt:lpstr>Cost_wrap</vt:lpstr>
      <vt:lpstr>Fuel_savings_full</vt:lpstr>
      <vt:lpstr>Fuel_savings_partial</vt:lpstr>
      <vt:lpstr>Ger_comp_cost</vt:lpstr>
      <vt:lpstr>Ger_ERR_DALY</vt:lpstr>
      <vt:lpstr>Ger_ERR_WTP</vt:lpstr>
      <vt:lpstr>Ger_subsidy</vt:lpstr>
      <vt:lpstr>Health_NPV10_wrap_DALY</vt:lpstr>
      <vt:lpstr>Health_NPV10_wrap_WTP</vt:lpstr>
      <vt:lpstr>NPVi30_wrap</vt:lpstr>
      <vt:lpstr>NPVi50_wrap</vt:lpstr>
      <vt:lpstr>Reductions_full</vt:lpstr>
      <vt:lpstr>Reductions_partial</vt:lpstr>
    </vt:vector>
  </TitlesOfParts>
  <Company>MCC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gillaa</dc:creator>
  <cp:lastModifiedBy>Fiore, Peter N (DPE/EE-EA/PSC)</cp:lastModifiedBy>
  <dcterms:created xsi:type="dcterms:W3CDTF">2009-11-06T17:39:02Z</dcterms:created>
  <dcterms:modified xsi:type="dcterms:W3CDTF">2019-12-12T14:38:46Z</dcterms:modified>
</cp:coreProperties>
</file>