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fiorepn\OneDrive - Millennium Challenge Corporation\ERRS\Indonesia\"/>
    </mc:Choice>
  </mc:AlternateContent>
  <bookViews>
    <workbookView xWindow="0" yWindow="0" windowWidth="13950" windowHeight="4080" firstSheet="2" activeTab="6"/>
  </bookViews>
  <sheets>
    <sheet name="Cover Page" sheetId="18" r:id="rId1"/>
    <sheet name="Project Description - PSU" sheetId="34" r:id="rId2"/>
    <sheet name="Project Description - PPP" sheetId="17" r:id="rId3"/>
    <sheet name="CB_DATA_" sheetId="32" state="veryHidden" r:id="rId4"/>
    <sheet name="ERR &amp; Sensitivity Analysis" sheetId="16" r:id="rId5"/>
    <sheet name="Cost-Benefit Summary" sheetId="19" r:id="rId6"/>
    <sheet name="ERR Calculation" sheetId="27" r:id="rId7"/>
    <sheet name="Parameters" sheetId="28" r:id="rId8"/>
    <sheet name="ERR Theory" sheetId="30" r:id="rId9"/>
    <sheet name="Program Costs" sheetId="29" r:id="rId10"/>
    <sheet name="Procurement Spend" sheetId="26" r:id="rId11"/>
    <sheet name="Spend" sheetId="14" r:id="rId12"/>
    <sheet name="Fiscal Space" sheetId="33" r:id="rId13"/>
    <sheet name="Demographics" sheetId="25" r:id="rId14"/>
    <sheet name="Crystal Ball Report" sheetId="21" r:id="rId15"/>
    <sheet name="PS" sheetId="20"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13" hidden="1">Demographics!$B$5:$G$69</definedName>
    <definedName name="_xlnm._FilterDatabase" localSheetId="10" hidden="1">'Procurement Spend'!$B$7:$FZ$71</definedName>
    <definedName name="_LF0913">[1]Assumptions!$G$12</definedName>
    <definedName name="_LF1423">[1]Assumptions!$H$12</definedName>
    <definedName name="_LF2433">[1]Assumptions!$I$12</definedName>
    <definedName name="_LF2434">[1]Assumptions!$I$12</definedName>
    <definedName name="_LU1">[2]LU!$A$3:$V$57</definedName>
    <definedName name="Addgrow" localSheetId="1">#REF!</definedName>
    <definedName name="Addgrow">#REF!</definedName>
    <definedName name="annwage" localSheetId="1">#REF!</definedName>
    <definedName name="annwage">#REF!</definedName>
    <definedName name="asset_life" localSheetId="1">#REF!</definedName>
    <definedName name="asset_life">#REF!</definedName>
    <definedName name="avgwage">'[3]Key Assumptions'!$G$9</definedName>
    <definedName name="avoidedLoss">'[4]Background Sheet 1'!$C$7</definedName>
    <definedName name="billing_hydro" localSheetId="1">#REF!</definedName>
    <definedName name="billing_hydro">#REF!</definedName>
    <definedName name="billing_subsea" localSheetId="1">#REF!</definedName>
    <definedName name="billing_subsea">#REF!</definedName>
    <definedName name="billing_td" localSheetId="1">#REF!</definedName>
    <definedName name="billing_td">#REF!</definedName>
    <definedName name="c_tax">[5]Assumptions!$D$129</definedName>
    <definedName name="cablife">[1]Assumptions!$H$29</definedName>
    <definedName name="CB_1a26bd5dccc24da399e1ef642684b91f" localSheetId="4" hidden="1">'ERR &amp; Sensitivity Analysis'!$D$19</definedName>
    <definedName name="CB_21fd3b4c09dc428caa99db7ab391bb16" localSheetId="4" hidden="1">'ERR &amp; Sensitivity Analysis'!$D$17</definedName>
    <definedName name="CB_3be900a1508f4eafabf8087956dd6fde" localSheetId="4" hidden="1">'ERR &amp; Sensitivity Analysis'!#REF!</definedName>
    <definedName name="CB_77adbc97d2d84e87b6bd2b0647034066" localSheetId="4" hidden="1">'ERR &amp; Sensitivity Analysis'!$D$12</definedName>
    <definedName name="CB_81a46183bc2444daa8fbb1c567fde843" localSheetId="4" hidden="1">'ERR &amp; Sensitivity Analysis'!$D$23</definedName>
    <definedName name="CB_b8827ea14e17476d8c28fdadccc76bf3" localSheetId="4" hidden="1">'ERR &amp; Sensitivity Analysis'!$D$18</definedName>
    <definedName name="CB_Block_00000000000000000000000000000000" localSheetId="5" hidden="1">"'7.0.0.0"</definedName>
    <definedName name="CB_Block_00000000000000000000000000000000" localSheetId="4" hidden="1">"'7.0.0.0"</definedName>
    <definedName name="CB_Block_00000000000000000000000000000000" localSheetId="12" hidden="1">"'7.0.0.0"</definedName>
    <definedName name="CB_Block_00000000000000000000000000000001" localSheetId="3" hidden="1">"'636771805905693698"</definedName>
    <definedName name="CB_Block_00000000000000000000000000000001" localSheetId="5" hidden="1">"'636771757758787323"</definedName>
    <definedName name="CB_Block_00000000000000000000000000000001" localSheetId="4" hidden="1">"'636771786402607990"</definedName>
    <definedName name="CB_Block_00000000000000000000000000000001" localSheetId="12" hidden="1">"'636771788082264976"</definedName>
    <definedName name="CB_Block_00000000000000000000000000000003" localSheetId="5" hidden="1">"'11.1.4100.0"</definedName>
    <definedName name="CB_Block_00000000000000000000000000000003" localSheetId="4" hidden="1">"'11.1.4100.0"</definedName>
    <definedName name="CB_Block_00000000000000000000000000000003" localSheetId="12" hidden="1">"'11.1.4100.0"</definedName>
    <definedName name="CB_BlockExt_00000000000000000000000000000003" localSheetId="5" hidden="1">"'11.1.2.4.000"</definedName>
    <definedName name="CB_BlockExt_00000000000000000000000000000003" localSheetId="4" hidden="1">"'11.1.2.4.000"</definedName>
    <definedName name="CB_BlockExt_00000000000000000000000000000003" localSheetId="12" hidden="1">"'11.1.2.4.000"</definedName>
    <definedName name="CB_cddd29dd3669483abcd8be7eabd016a1" localSheetId="4" hidden="1">'ERR &amp; Sensitivity Analysis'!$D$14</definedName>
    <definedName name="CBCR_6d6da4b106834a0c9191312e4e6116f3" localSheetId="4" hidden="1">'ERR &amp; Sensitivity Analysis'!$C$19</definedName>
    <definedName name="CBCR_d1bcd07f7c554f208b61d3a29177b005" localSheetId="4" hidden="1">'ERR &amp; Sensitivity Analysis'!$C$14</definedName>
    <definedName name="CBCR_da08fbc3e22d446b90bd2323a4dfc960" localSheetId="4" hidden="1">'ERR &amp; Sensitivity Analysis'!$C$18</definedName>
    <definedName name="CBCR_e136113f8aa04dc8abe85bb4c5cad7a2" localSheetId="4" hidden="1">'ERR &amp; Sensitivity Analysis'!$C$12</definedName>
    <definedName name="CBWorkbookPriority" localSheetId="3" hidden="1">-1269776684965550</definedName>
    <definedName name="CBWorkbookPriority" hidden="1">-456694519</definedName>
    <definedName name="CBx_7a9953afa79844e8ae4e7480b723f921" localSheetId="3" hidden="1">"'ERR &amp; Sensitivity Analysis'!$A$1"</definedName>
    <definedName name="CBx_a60f20f4c52f4d07aefb8ef3e57e1e6e" localSheetId="3" hidden="1">"'Cost-Benefit Summary'!$A$1"</definedName>
    <definedName name="CBx_c68f24928fd848fb862fab51dcd8f0e7" localSheetId="3" hidden="1">"'Fiscal Space'!$A$1"</definedName>
    <definedName name="CBx_eb07da6cca3342a6b1ed06f9e67787ad" localSheetId="3" hidden="1">"'CB_DATA_'!$A$1"</definedName>
    <definedName name="CBx_Sheet_Guid" localSheetId="3" hidden="1">"'eb07da6c-ca33-42a6-b1ed-06f9e67787ad"</definedName>
    <definedName name="CBx_Sheet_Guid" localSheetId="5" hidden="1">"'a60f20f4-c52f-4d07-aefb-8ef3e57e1e6e"</definedName>
    <definedName name="CBx_Sheet_Guid" localSheetId="4" hidden="1">"'7a9953af-a798-44e8-ae4e-7480b723f921"</definedName>
    <definedName name="CBx_Sheet_Guid" localSheetId="12" hidden="1">"'c68f2492-8fd8-48fb-862f-ab51dcd8f0e7"</definedName>
    <definedName name="CBx_SheetRef" localSheetId="3" hidden="1">CB_DATA_!$A$14</definedName>
    <definedName name="CBx_SheetRef" localSheetId="5" hidden="1">CB_DATA_!$D$14</definedName>
    <definedName name="CBx_SheetRef" localSheetId="4" hidden="1">CB_DATA_!$B$14</definedName>
    <definedName name="CBx_SheetRef" localSheetId="12" hidden="1">CB_DATA_!$C$14</definedName>
    <definedName name="CBx_StorageType" localSheetId="3" hidden="1">2</definedName>
    <definedName name="CBx_StorageType" localSheetId="5" hidden="1">2</definedName>
    <definedName name="CBx_StorageType" localSheetId="4" hidden="1">2</definedName>
    <definedName name="CBx_StorageType" localSheetId="12" hidden="1">2</definedName>
    <definedName name="changebene" localSheetId="1">#REF!</definedName>
    <definedName name="changebene">#REF!</definedName>
    <definedName name="changecosts" localSheetId="1">#REF!</definedName>
    <definedName name="changecosts">#REF!</definedName>
    <definedName name="changeinv" localSheetId="1">#REF!</definedName>
    <definedName name="changeinv">#REF!</definedName>
    <definedName name="Class1_wo_expt" localSheetId="1">#REF!</definedName>
    <definedName name="Class1_wo_expt">#REF!</definedName>
    <definedName name="Class2_wo_expt" localSheetId="1">#REF!</definedName>
    <definedName name="Class2_wo_expt">#REF!</definedName>
    <definedName name="Class3_wo_expt" localSheetId="1">#REF!</definedName>
    <definedName name="Class3_wo_expt">#REF!</definedName>
    <definedName name="Corridor">[6]Benefits!$C$13</definedName>
    <definedName name="Costs" localSheetId="1">#REF!</definedName>
    <definedName name="Costs">#REF!</definedName>
    <definedName name="Costs2">[1]Assumptions!$W$7:$AB$15</definedName>
    <definedName name="death_rate_stage_III_T">'[7]Diabetes Costs &amp; Benefits'!$C$26</definedName>
    <definedName name="death_rate_stage_III_UT">'[7]Diabetes Costs &amp; Benefits'!$C$25</definedName>
    <definedName name="death_rate_stage_IV_T">'[7]Hypertension Costs &amp; Benefits'!$C$28</definedName>
    <definedName name="death_rate_stage_IV_UT">'[7]Hypertension Costs &amp; Benefits'!$C$27</definedName>
    <definedName name="debt" localSheetId="1">#REF!</definedName>
    <definedName name="debt">#REF!</definedName>
    <definedName name="debt_cost" localSheetId="1">#REF!</definedName>
    <definedName name="debt_cost">#REF!</definedName>
    <definedName name="DEP" localSheetId="1">#REF!</definedName>
    <definedName name="DEP">#REF!</definedName>
    <definedName name="DI" hidden="1">-1448428185</definedName>
    <definedName name="diesel_price" localSheetId="1">#REF!</definedName>
    <definedName name="diesel_price">#REF!</definedName>
    <definedName name="disc" localSheetId="1">[8]Assumptions!#REF!</definedName>
    <definedName name="disc">[8]Assumptions!#REF!</definedName>
    <definedName name="discount" localSheetId="1">#REF!</definedName>
    <definedName name="discount">#REF!</definedName>
    <definedName name="disease_cases" localSheetId="1">[8]Assumptions!#REF!</definedName>
    <definedName name="disease_cases">[8]Assumptions!#REF!</definedName>
    <definedName name="DPY">'[3]Key Assumptions'!$G$24</definedName>
    <definedName name="ECF">[2]LU!$AF$8</definedName>
    <definedName name="ECON" localSheetId="1">#REF!</definedName>
    <definedName name="ECON">#REF!</definedName>
    <definedName name="eduwageadd">[8]Morogoro!$K$31</definedName>
    <definedName name="eduwagenr">[8]Morogoro!$K$29</definedName>
    <definedName name="elasticity">[6]Benefits!$C$12</definedName>
    <definedName name="equity" localSheetId="1">#REF!</definedName>
    <definedName name="equity">#REF!</definedName>
    <definedName name="EU_import_growth">'[4]Background Sheet 2'!$C$10</definedName>
    <definedName name="EU_share">'[4]Background Sheet 2'!$C$15</definedName>
    <definedName name="ex_rate" localSheetId="1">#REF!</definedName>
    <definedName name="ex_rate">#REF!</definedName>
    <definedName name="exch">[9]Assumptions!$F$7</definedName>
    <definedName name="exch2">[10]Basics!$G$8</definedName>
    <definedName name="farm_density">[6]Benefits!$C$15</definedName>
    <definedName name="FBO_outgrowers">'[4]Background Sheet 2'!$C$18</definedName>
    <definedName name="gasswitch">[1]Assumptions!$H$47</definedName>
    <definedName name="GM_param" localSheetId="0">[6]Benefits!#REF!</definedName>
    <definedName name="GM_param" localSheetId="1">[6]Benefits!#REF!</definedName>
    <definedName name="GM_param">[6]Benefits!#REF!</definedName>
    <definedName name="grow" localSheetId="1">#REF!</definedName>
    <definedName name="grow">#REF!</definedName>
    <definedName name="Growth_Rate">[6]Benefits!$C$14</definedName>
    <definedName name="hydro_cap" localSheetId="1">#REF!</definedName>
    <definedName name="hydro_cap">#REF!</definedName>
    <definedName name="hydro_opex" localSheetId="1">#REF!</definedName>
    <definedName name="hydro_opex">#REF!</definedName>
    <definedName name="I_to_II_T_W">'[7]Hypertension Costs &amp; Benefits'!$J$82</definedName>
    <definedName name="I_to_II_T_WO">'[7]Hypertension Costs &amp; Benefits'!$J$32</definedName>
    <definedName name="I_to_II_UT">'[7]Hypertension Costs &amp; Benefits'!$E$32</definedName>
    <definedName name="II_t0_III_T_WO">'[7]Hypertension Costs &amp; Benefits'!$J$33</definedName>
    <definedName name="II_t0_III_UT">'[7]Hypertension Costs &amp; Benefits'!$E$33</definedName>
    <definedName name="II_to_III_T_W">'[7]Hypertension Costs &amp; Benefits'!$J$83</definedName>
    <definedName name="II_to_III_UT">'[7]Diabetes Costs &amp; Benefits'!$E$31</definedName>
    <definedName name="III_to_IV_T_W">'[7]Hypertension Costs &amp; Benefits'!$J$84</definedName>
    <definedName name="III_to_IV_T_WO">'[7]Hypertension Costs &amp; Benefits'!$J$34</definedName>
    <definedName name="III_to_IV_UT">'[7]Hypertension Costs &amp; Benefits'!$E$34</definedName>
    <definedName name="improved_outgrower_prod_ha">'[4]Background Sheet 2'!$C$17</definedName>
    <definedName name="income_comm" localSheetId="1">#REF!</definedName>
    <definedName name="income_comm">#REF!</definedName>
    <definedName name="income_dom" localSheetId="1">#REF!</definedName>
    <definedName name="income_dom">#REF!</definedName>
    <definedName name="income_ind" localSheetId="1">#REF!</definedName>
    <definedName name="income_ind">#REF!</definedName>
    <definedName name="income_p">'[7]Hypertension Costs &amp; Benefits'!$E$6</definedName>
    <definedName name="income_street" localSheetId="1">#REF!</definedName>
    <definedName name="income_street">#REF!</definedName>
    <definedName name="incrnetchange" localSheetId="1">#REF!</definedName>
    <definedName name="incrnetchange">#REF!</definedName>
    <definedName name="incrswitch" localSheetId="1">#REF!</definedName>
    <definedName name="incrswitch">#REF!</definedName>
    <definedName name="infl">'[3]Key Assumptions'!$G$38</definedName>
    <definedName name="inflation" localSheetId="1">#REF!</definedName>
    <definedName name="inflation">#REF!</definedName>
    <definedName name="LCC">'[3]Key Assumptions'!$G$38</definedName>
    <definedName name="Lessgrow" localSheetId="1">#REF!</definedName>
    <definedName name="Lessgrow">#REF!</definedName>
    <definedName name="list" localSheetId="1">[8]Assumptions!#REF!</definedName>
    <definedName name="list">[8]Assumptions!#REF!</definedName>
    <definedName name="loadshed" localSheetId="1">[1]Assumptions!#REF!</definedName>
    <definedName name="loadshed">[1]Assumptions!#REF!</definedName>
    <definedName name="LOAN" localSheetId="1">#REF!</definedName>
    <definedName name="LOAN">#REF!</definedName>
    <definedName name="loan_period" localSheetId="1">#REF!</definedName>
    <definedName name="loan_period">#REF!</definedName>
    <definedName name="lpb">[8]Assumptions!$F$6</definedName>
    <definedName name="LUsum">[2]Summary!$A$6:$S$16</definedName>
    <definedName name="lva">'[3]Key Assumptions'!$G$37</definedName>
    <definedName name="major_works_impact">[6]Benefits!$C$11</definedName>
    <definedName name="mat_rate">[5]Assumptions!$D$125</definedName>
    <definedName name="mat_years">[5]Assumptions!$D$127</definedName>
    <definedName name="miniprojrange" localSheetId="1">#REF!</definedName>
    <definedName name="miniprojrange">#REF!</definedName>
    <definedName name="minor_works_impact">[6]Benefits!$C$10</definedName>
    <definedName name="model_start" localSheetId="1">#REF!</definedName>
    <definedName name="model_start">#REF!</definedName>
    <definedName name="mvacap">[1]Assumptions!$H$31</definedName>
    <definedName name="nmarkup" localSheetId="1">[8]Assumptions!#REF!</definedName>
    <definedName name="nmarkup">[8]Assumptions!#REF!</definedName>
    <definedName name="nucleus_growth">'[4]Background Sheet 2'!$C$14</definedName>
    <definedName name="nucleus_prod">'[4]Background Sheet 2'!$D$25</definedName>
    <definedName name="omcost">[8]Assumptions!$F$9</definedName>
    <definedName name="ops_end" localSheetId="1">#REF!</definedName>
    <definedName name="ops_end">#REF!</definedName>
    <definedName name="ops_start" localSheetId="1">#REF!</definedName>
    <definedName name="ops_start">#REF!</definedName>
    <definedName name="outgrower_growth">[11]Sheet1!$C$15</definedName>
    <definedName name="outgrower_prod_ha">'[4]Background Sheet 2'!$D$26</definedName>
    <definedName name="PeriodicMain">[6]Costs!$C$9</definedName>
    <definedName name="pfactor">[1]Assumptions!$H$13</definedName>
    <definedName name="Phasing" localSheetId="1">#REF!</definedName>
    <definedName name="Phasing">#REF!</definedName>
    <definedName name="Phasing2">[1]Planting!$F$4:$S$10</definedName>
    <definedName name="pop_growth">'[7]Hypertension Costs &amp; Benefits'!$C$5</definedName>
    <definedName name="pow_importprice">[1]Assumptions!$M$8:$O$35</definedName>
    <definedName name="ppatable">[1]Assumptions!$L$9:$P$35</definedName>
    <definedName name="price_comm" localSheetId="1">#REF!</definedName>
    <definedName name="price_comm">#REF!</definedName>
    <definedName name="price_dom" localSheetId="1">#REF!</definedName>
    <definedName name="price_dom">#REF!</definedName>
    <definedName name="price_ind" localSheetId="1">#REF!+#REF!</definedName>
    <definedName name="price_ind">#REF!+#REF!</definedName>
    <definedName name="price_street" localSheetId="1">#REF!</definedName>
    <definedName name="price_street">#REF!</definedName>
    <definedName name="_xlnm.Print_Area" localSheetId="4">'ERR &amp; Sensitivity Analysis'!$A$1:$G$75</definedName>
    <definedName name="_xlnm.Print_Area" localSheetId="11">Spend!$B$3:$F$55</definedName>
    <definedName name="prod">'[12]Key Assumptions'!$H$41</definedName>
    <definedName name="proj_life" localSheetId="1">#REF!</definedName>
    <definedName name="proj_life">#REF!</definedName>
    <definedName name="PROJECT_NAME">CONCATENATE('[13]User''s Guide'!$C$12," (", '[13]User''s Guide'!$C$13,")")</definedName>
    <definedName name="project_switch" localSheetId="1">#REF!</definedName>
    <definedName name="project_switch">#REF!</definedName>
    <definedName name="real_disc_rate" localSheetId="1">#REF!</definedName>
    <definedName name="real_disc_rate">#REF!</definedName>
    <definedName name="req_ret">[5]Assumptions!$D$129</definedName>
    <definedName name="residcapex">[1]Assumptions!$H$49</definedName>
    <definedName name="RoutineMain">[6]Costs!$C$8</definedName>
    <definedName name="selected_cap" localSheetId="1">#REF!</definedName>
    <definedName name="selected_cap">#REF!</definedName>
    <definedName name="startyear">[1]Assumptions!$H$36</definedName>
    <definedName name="STAT">#N/A</definedName>
    <definedName name="sub_cap" localSheetId="1">#REF!</definedName>
    <definedName name="sub_cap">#REF!</definedName>
    <definedName name="SUM" localSheetId="1">#REF!</definedName>
    <definedName name="SUM">#REF!</definedName>
    <definedName name="tariff_case" localSheetId="1">#REF!</definedName>
    <definedName name="tariff_case">#REF!</definedName>
    <definedName name="tax_dep" localSheetId="1">#REF!</definedName>
    <definedName name="tax_dep">#REF!</definedName>
    <definedName name="tax_rate" localSheetId="1">#REF!</definedName>
    <definedName name="tax_rate">#REF!</definedName>
    <definedName name="td_cap" localSheetId="1">#REF!</definedName>
    <definedName name="td_cap">#REF!</definedName>
    <definedName name="td_opex" localSheetId="1">#REF!</definedName>
    <definedName name="td_opex">#REF!</definedName>
    <definedName name="unserved">[1]Assumptions!$H$35</definedName>
    <definedName name="UWSSA">[8]Assumptions!$E$14:$E$16</definedName>
    <definedName name="voll">[1]Assumptions!$H$30</definedName>
    <definedName name="Year1">[9]Assumptions!$F$5</definedName>
  </definedNames>
  <calcPr calcId="152511"/>
</workbook>
</file>

<file path=xl/calcChain.xml><?xml version="1.0" encoding="utf-8"?>
<calcChain xmlns="http://schemas.openxmlformats.org/spreadsheetml/2006/main">
  <c r="D23" i="16" l="1"/>
  <c r="B44" i="34" l="1"/>
  <c r="E11" i="27"/>
  <c r="C17" i="28" l="1"/>
  <c r="C15" i="28"/>
  <c r="C16" i="28"/>
  <c r="C14" i="28"/>
  <c r="GJ12" i="26"/>
  <c r="GI12" i="26"/>
  <c r="GH12" i="26"/>
  <c r="GG12" i="26"/>
  <c r="GG10" i="26"/>
  <c r="GG9" i="26"/>
  <c r="GG8" i="26"/>
  <c r="GG13" i="26"/>
  <c r="GJ13" i="26"/>
  <c r="GI13" i="26"/>
  <c r="GH13" i="26"/>
  <c r="GF12" i="26"/>
  <c r="GF13" i="26"/>
  <c r="GE12" i="26"/>
  <c r="GE13" i="26"/>
  <c r="GD12" i="26"/>
  <c r="GD13" i="26"/>
  <c r="GC12" i="26"/>
  <c r="GC13" i="26"/>
  <c r="FV9" i="26"/>
  <c r="FV10" i="26"/>
  <c r="FV11" i="26"/>
  <c r="FV12" i="26"/>
  <c r="FV13" i="26"/>
  <c r="FV14" i="26"/>
  <c r="FV15" i="26"/>
  <c r="FV16" i="26"/>
  <c r="FV17" i="26"/>
  <c r="FV18" i="26"/>
  <c r="FV19" i="26"/>
  <c r="FV20" i="26"/>
  <c r="FV21" i="26"/>
  <c r="FV22" i="26"/>
  <c r="FV23" i="26"/>
  <c r="FV24" i="26"/>
  <c r="FV25" i="26"/>
  <c r="FV26" i="26"/>
  <c r="FV27" i="26"/>
  <c r="FV28" i="26"/>
  <c r="FV29" i="26"/>
  <c r="FV30" i="26"/>
  <c r="FV31" i="26"/>
  <c r="FV32" i="26"/>
  <c r="FV33" i="26"/>
  <c r="FV34" i="26"/>
  <c r="FV35" i="26"/>
  <c r="FV36" i="26"/>
  <c r="FV37" i="26"/>
  <c r="FV38" i="26"/>
  <c r="FV39" i="26"/>
  <c r="FV40" i="26"/>
  <c r="FV41" i="26"/>
  <c r="FV42" i="26"/>
  <c r="FV43" i="26"/>
  <c r="FV44" i="26"/>
  <c r="FV45" i="26"/>
  <c r="FV46" i="26"/>
  <c r="FV47" i="26"/>
  <c r="FV48" i="26"/>
  <c r="FV49" i="26"/>
  <c r="FV50" i="26"/>
  <c r="FV51" i="26"/>
  <c r="FV52" i="26"/>
  <c r="FV53" i="26"/>
  <c r="FV54" i="26"/>
  <c r="FV55" i="26"/>
  <c r="FV56" i="26"/>
  <c r="FV57" i="26"/>
  <c r="FV58" i="26"/>
  <c r="FV59" i="26"/>
  <c r="FV60" i="26"/>
  <c r="FV61" i="26"/>
  <c r="FV62" i="26"/>
  <c r="FV63" i="26"/>
  <c r="FV64" i="26"/>
  <c r="FV65" i="26"/>
  <c r="FV66" i="26"/>
  <c r="FV67" i="26"/>
  <c r="FV68" i="26"/>
  <c r="FV69" i="26"/>
  <c r="FV70" i="26"/>
  <c r="FV71" i="26"/>
  <c r="FV8" i="26"/>
  <c r="ED9" i="26"/>
  <c r="ED10" i="26"/>
  <c r="ED11" i="26"/>
  <c r="ED12" i="26"/>
  <c r="ED13" i="26"/>
  <c r="ED14" i="26"/>
  <c r="ED15" i="26"/>
  <c r="ED16" i="26"/>
  <c r="ED17" i="26"/>
  <c r="ED18" i="26"/>
  <c r="ED19" i="26"/>
  <c r="ED20" i="26"/>
  <c r="ED21" i="26"/>
  <c r="ED22" i="26"/>
  <c r="ED23" i="26"/>
  <c r="ED24" i="26"/>
  <c r="ED25" i="26"/>
  <c r="ED26" i="26"/>
  <c r="ED27" i="26"/>
  <c r="ED28" i="26"/>
  <c r="ED29" i="26"/>
  <c r="ED30" i="26"/>
  <c r="ED31" i="26"/>
  <c r="ED32" i="26"/>
  <c r="ED33" i="26"/>
  <c r="ED34" i="26"/>
  <c r="ED35" i="26"/>
  <c r="ED36" i="26"/>
  <c r="ED37" i="26"/>
  <c r="ED38" i="26"/>
  <c r="ED39" i="26"/>
  <c r="ED40" i="26"/>
  <c r="ED41" i="26"/>
  <c r="ED42" i="26"/>
  <c r="ED43" i="26"/>
  <c r="ED44" i="26"/>
  <c r="ED45" i="26"/>
  <c r="ED46" i="26"/>
  <c r="ED47" i="26"/>
  <c r="ED48" i="26"/>
  <c r="ED49" i="26"/>
  <c r="ED50" i="26"/>
  <c r="ED51" i="26"/>
  <c r="ED52" i="26"/>
  <c r="ED53" i="26"/>
  <c r="ED54" i="26"/>
  <c r="ED55" i="26"/>
  <c r="ED56" i="26"/>
  <c r="ED57" i="26"/>
  <c r="ED58" i="26"/>
  <c r="ED59" i="26"/>
  <c r="ED60" i="26"/>
  <c r="ED61" i="26"/>
  <c r="ED62" i="26"/>
  <c r="ED63" i="26"/>
  <c r="ED64" i="26"/>
  <c r="ED65" i="26"/>
  <c r="ED66" i="26"/>
  <c r="ED67" i="26"/>
  <c r="ED68" i="26"/>
  <c r="ED69" i="26"/>
  <c r="ED70" i="26"/>
  <c r="ED71" i="26"/>
  <c r="ED8" i="26"/>
  <c r="CL54" i="26"/>
  <c r="CL55" i="26"/>
  <c r="CL56" i="26"/>
  <c r="CL57" i="26"/>
  <c r="CL58" i="26"/>
  <c r="CL59" i="26"/>
  <c r="CL60" i="26"/>
  <c r="CL61" i="26"/>
  <c r="CL62" i="26"/>
  <c r="CL63" i="26"/>
  <c r="CL64" i="26"/>
  <c r="CL65" i="26"/>
  <c r="CL66" i="26"/>
  <c r="CL67" i="26"/>
  <c r="CL68" i="26"/>
  <c r="CL69" i="26"/>
  <c r="CL70" i="26"/>
  <c r="CL71" i="26"/>
  <c r="CL9" i="26"/>
  <c r="CL10" i="26"/>
  <c r="CL11" i="26"/>
  <c r="CL12" i="26"/>
  <c r="CL13" i="26"/>
  <c r="CL14" i="26"/>
  <c r="CL15" i="26"/>
  <c r="CL16" i="26"/>
  <c r="CL17" i="26"/>
  <c r="CL18" i="26"/>
  <c r="CL19" i="26"/>
  <c r="CL20" i="26"/>
  <c r="CL21" i="26"/>
  <c r="CL22" i="26"/>
  <c r="CL23" i="26"/>
  <c r="CL24" i="26"/>
  <c r="CL25" i="26"/>
  <c r="CL26" i="26"/>
  <c r="CL27" i="26"/>
  <c r="CL28" i="26"/>
  <c r="CL29" i="26"/>
  <c r="CL30" i="26"/>
  <c r="CL31" i="26"/>
  <c r="CL32" i="26"/>
  <c r="CL33" i="26"/>
  <c r="CL34" i="26"/>
  <c r="CL35" i="26"/>
  <c r="CL36" i="26"/>
  <c r="CL37" i="26"/>
  <c r="CL38" i="26"/>
  <c r="CL39" i="26"/>
  <c r="CL40" i="26"/>
  <c r="CL41" i="26"/>
  <c r="CL42" i="26"/>
  <c r="CL43" i="26"/>
  <c r="CL44" i="26"/>
  <c r="CL45" i="26"/>
  <c r="CL46" i="26"/>
  <c r="CL47" i="26"/>
  <c r="CL48" i="26"/>
  <c r="CL49" i="26"/>
  <c r="CL50" i="26"/>
  <c r="CL51" i="26"/>
  <c r="CL52" i="26"/>
  <c r="CL53" i="26"/>
  <c r="CL8" i="26"/>
  <c r="AT8" i="26"/>
  <c r="AT9" i="26"/>
  <c r="AT10" i="26"/>
  <c r="GC8" i="26" s="1"/>
  <c r="AT11" i="26"/>
  <c r="AT12" i="26"/>
  <c r="AT13" i="26"/>
  <c r="AT14" i="26"/>
  <c r="AT15" i="26"/>
  <c r="AT16" i="26"/>
  <c r="AT17" i="26"/>
  <c r="AT18" i="26"/>
  <c r="AT19" i="26"/>
  <c r="AT20" i="26"/>
  <c r="AT21" i="26"/>
  <c r="AT22" i="26"/>
  <c r="AT23" i="26"/>
  <c r="AT24" i="26"/>
  <c r="AT25" i="26"/>
  <c r="AT26" i="26"/>
  <c r="AT27" i="26"/>
  <c r="AT28" i="26"/>
  <c r="AT29" i="26"/>
  <c r="AT30" i="26"/>
  <c r="AT31" i="26"/>
  <c r="AT32" i="26"/>
  <c r="AT33" i="26"/>
  <c r="AT34" i="26"/>
  <c r="AT35" i="26"/>
  <c r="AT36" i="26"/>
  <c r="AT37" i="26"/>
  <c r="AT38" i="26"/>
  <c r="AT39" i="26"/>
  <c r="AT40" i="26"/>
  <c r="AT41" i="26"/>
  <c r="AT42" i="26"/>
  <c r="AT43" i="26"/>
  <c r="AT44" i="26"/>
  <c r="AT45" i="26"/>
  <c r="AT46" i="26"/>
  <c r="AT47" i="26"/>
  <c r="AT48" i="26"/>
  <c r="AT49" i="26"/>
  <c r="AT50" i="26"/>
  <c r="AT51" i="26"/>
  <c r="AT52" i="26"/>
  <c r="AT53" i="26"/>
  <c r="AT54" i="26"/>
  <c r="AT55" i="26"/>
  <c r="AT56" i="26"/>
  <c r="AT57" i="26"/>
  <c r="AT58" i="26"/>
  <c r="AT59" i="26"/>
  <c r="AT60" i="26"/>
  <c r="AT61" i="26"/>
  <c r="AT62" i="26"/>
  <c r="AT63" i="26"/>
  <c r="AT64" i="26"/>
  <c r="AT65" i="26"/>
  <c r="AT66" i="26"/>
  <c r="AT67" i="26"/>
  <c r="AT68" i="26"/>
  <c r="AT69" i="26"/>
  <c r="AT70" i="26"/>
  <c r="AT71" i="26"/>
  <c r="GJ10" i="26" l="1"/>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8" i="26"/>
  <c r="D9" i="26"/>
  <c r="D10" i="26"/>
  <c r="D11" i="26"/>
  <c r="D12" i="26"/>
  <c r="D13" i="26"/>
  <c r="D14" i="26"/>
  <c r="D15" i="26"/>
  <c r="D16" i="26"/>
  <c r="D17" i="26"/>
  <c r="D18" i="26"/>
  <c r="D19" i="26"/>
  <c r="D20" i="26"/>
  <c r="D21" i="26"/>
  <c r="D22" i="26"/>
  <c r="D23" i="26"/>
  <c r="D24" i="26"/>
  <c r="D25" i="26"/>
  <c r="D26" i="26"/>
  <c r="D27" i="26"/>
  <c r="D28" i="26"/>
  <c r="D29" i="26"/>
  <c r="D30" i="26"/>
  <c r="D31" i="26"/>
  <c r="D32" i="26"/>
  <c r="D33" i="26"/>
  <c r="D34" i="26"/>
  <c r="D35" i="26"/>
  <c r="D36" i="26"/>
  <c r="D37" i="26"/>
  <c r="D38" i="26"/>
  <c r="D39" i="26"/>
  <c r="D40" i="26"/>
  <c r="D41" i="26"/>
  <c r="D42" i="26"/>
  <c r="D43" i="26"/>
  <c r="D44" i="26"/>
  <c r="D45" i="26"/>
  <c r="D46" i="26"/>
  <c r="D47" i="26"/>
  <c r="D48" i="26"/>
  <c r="D49" i="26"/>
  <c r="D50" i="26"/>
  <c r="D51" i="26"/>
  <c r="D52" i="26"/>
  <c r="D53" i="26"/>
  <c r="D54" i="26"/>
  <c r="D55" i="26"/>
  <c r="D56" i="26"/>
  <c r="D57" i="26"/>
  <c r="D58" i="26"/>
  <c r="D59" i="26"/>
  <c r="D60" i="26"/>
  <c r="D61" i="26"/>
  <c r="D62" i="26"/>
  <c r="D63" i="26"/>
  <c r="D64" i="26"/>
  <c r="D65" i="26"/>
  <c r="D66" i="26"/>
  <c r="D67" i="26"/>
  <c r="D68" i="26"/>
  <c r="D69" i="26"/>
  <c r="D70" i="26"/>
  <c r="D71" i="26"/>
  <c r="D8" i="26"/>
  <c r="FU54" i="26"/>
  <c r="FS9" i="26"/>
  <c r="FU9" i="26" s="1"/>
  <c r="FS10" i="26"/>
  <c r="FU10" i="26" s="1"/>
  <c r="FS11" i="26"/>
  <c r="FU11" i="26" s="1"/>
  <c r="GJ9" i="26" s="1"/>
  <c r="FS12" i="26"/>
  <c r="FU12" i="26" s="1"/>
  <c r="FS13" i="26"/>
  <c r="FU13" i="26" s="1"/>
  <c r="FS14" i="26"/>
  <c r="FU14" i="26" s="1"/>
  <c r="FS15" i="26"/>
  <c r="FU15" i="26" s="1"/>
  <c r="FS16" i="26"/>
  <c r="FU16" i="26" s="1"/>
  <c r="FS17" i="26"/>
  <c r="FU17" i="26" s="1"/>
  <c r="FS18" i="26"/>
  <c r="FU18" i="26" s="1"/>
  <c r="FS19" i="26"/>
  <c r="FU19" i="26" s="1"/>
  <c r="FS20" i="26"/>
  <c r="FU20" i="26" s="1"/>
  <c r="FS21" i="26"/>
  <c r="FU21" i="26" s="1"/>
  <c r="FS22" i="26"/>
  <c r="FU22" i="26" s="1"/>
  <c r="FS23" i="26"/>
  <c r="FU23" i="26" s="1"/>
  <c r="FS24" i="26"/>
  <c r="FU24" i="26" s="1"/>
  <c r="FS25" i="26"/>
  <c r="FU25" i="26" s="1"/>
  <c r="FS26" i="26"/>
  <c r="FU26" i="26" s="1"/>
  <c r="FS27" i="26"/>
  <c r="FU27" i="26" s="1"/>
  <c r="FS28" i="26"/>
  <c r="FU28" i="26" s="1"/>
  <c r="FS29" i="26"/>
  <c r="FU29" i="26" s="1"/>
  <c r="FS30" i="26"/>
  <c r="FU30" i="26" s="1"/>
  <c r="FS31" i="26"/>
  <c r="FU31" i="26" s="1"/>
  <c r="FS32" i="26"/>
  <c r="FU32" i="26" s="1"/>
  <c r="FS33" i="26"/>
  <c r="FU33" i="26" s="1"/>
  <c r="FS34" i="26"/>
  <c r="FU34" i="26" s="1"/>
  <c r="FS35" i="26"/>
  <c r="FU35" i="26" s="1"/>
  <c r="FS36" i="26"/>
  <c r="FU36" i="26" s="1"/>
  <c r="FS37" i="26"/>
  <c r="FU37" i="26" s="1"/>
  <c r="FS38" i="26"/>
  <c r="FU38" i="26" s="1"/>
  <c r="FS39" i="26"/>
  <c r="FU39" i="26" s="1"/>
  <c r="FS40" i="26"/>
  <c r="FU40" i="26" s="1"/>
  <c r="FS41" i="26"/>
  <c r="FU41" i="26" s="1"/>
  <c r="FS42" i="26"/>
  <c r="FU42" i="26" s="1"/>
  <c r="FS43" i="26"/>
  <c r="FU43" i="26" s="1"/>
  <c r="FS44" i="26"/>
  <c r="FU44" i="26" s="1"/>
  <c r="FS45" i="26"/>
  <c r="FU45" i="26" s="1"/>
  <c r="FS46" i="26"/>
  <c r="FU46" i="26" s="1"/>
  <c r="FS47" i="26"/>
  <c r="FU47" i="26" s="1"/>
  <c r="FS48" i="26"/>
  <c r="FU48" i="26" s="1"/>
  <c r="FS49" i="26"/>
  <c r="FU49" i="26" s="1"/>
  <c r="FS50" i="26"/>
  <c r="FU50" i="26" s="1"/>
  <c r="FS51" i="26"/>
  <c r="FU51" i="26" s="1"/>
  <c r="FS52" i="26"/>
  <c r="FU52" i="26" s="1"/>
  <c r="FS53" i="26"/>
  <c r="FU53" i="26" s="1"/>
  <c r="FS54" i="26"/>
  <c r="FS55" i="26"/>
  <c r="FU55" i="26" s="1"/>
  <c r="FS56" i="26"/>
  <c r="FU56" i="26" s="1"/>
  <c r="FS57" i="26"/>
  <c r="FU57" i="26" s="1"/>
  <c r="FS58" i="26"/>
  <c r="FU58" i="26" s="1"/>
  <c r="FS59" i="26"/>
  <c r="FU59" i="26" s="1"/>
  <c r="FS60" i="26"/>
  <c r="FU60" i="26" s="1"/>
  <c r="FS61" i="26"/>
  <c r="FU61" i="26" s="1"/>
  <c r="FS62" i="26"/>
  <c r="FU62" i="26" s="1"/>
  <c r="FS63" i="26"/>
  <c r="FU63" i="26" s="1"/>
  <c r="FS64" i="26"/>
  <c r="FU64" i="26" s="1"/>
  <c r="FS65" i="26"/>
  <c r="FU65" i="26" s="1"/>
  <c r="FS66" i="26"/>
  <c r="FU66" i="26" s="1"/>
  <c r="FS67" i="26"/>
  <c r="FU67" i="26" s="1"/>
  <c r="FS68" i="26"/>
  <c r="FU68" i="26" s="1"/>
  <c r="FS69" i="26"/>
  <c r="FU69" i="26" s="1"/>
  <c r="FS70" i="26"/>
  <c r="FU70" i="26" s="1"/>
  <c r="FS71" i="26"/>
  <c r="FU71" i="26" s="1"/>
  <c r="FS8" i="26"/>
  <c r="FU8" i="26" s="1"/>
  <c r="EC18" i="26"/>
  <c r="EC29" i="26"/>
  <c r="EC69" i="26"/>
  <c r="EA9" i="26"/>
  <c r="EC9" i="26" s="1"/>
  <c r="EA10" i="26"/>
  <c r="EC10" i="26" s="1"/>
  <c r="EA11" i="26"/>
  <c r="EC11" i="26" s="1"/>
  <c r="EA12" i="26"/>
  <c r="EC12" i="26" s="1"/>
  <c r="EA13" i="26"/>
  <c r="EC13" i="26" s="1"/>
  <c r="GI8" i="26" s="1"/>
  <c r="EA14" i="26"/>
  <c r="EC14" i="26" s="1"/>
  <c r="EA15" i="26"/>
  <c r="EC15" i="26" s="1"/>
  <c r="EA16" i="26"/>
  <c r="EC16" i="26" s="1"/>
  <c r="EA17" i="26"/>
  <c r="EC17" i="26" s="1"/>
  <c r="EA18" i="26"/>
  <c r="EA19" i="26"/>
  <c r="EC19" i="26" s="1"/>
  <c r="EA20" i="26"/>
  <c r="EC20" i="26" s="1"/>
  <c r="EA21" i="26"/>
  <c r="EC21" i="26" s="1"/>
  <c r="EA22" i="26"/>
  <c r="EC22" i="26" s="1"/>
  <c r="EA23" i="26"/>
  <c r="EC23" i="26" s="1"/>
  <c r="EA24" i="26"/>
  <c r="EC24" i="26" s="1"/>
  <c r="EA25" i="26"/>
  <c r="EC25" i="26" s="1"/>
  <c r="EA26" i="26"/>
  <c r="EC26" i="26" s="1"/>
  <c r="EA27" i="26"/>
  <c r="EC27" i="26" s="1"/>
  <c r="EA28" i="26"/>
  <c r="EC28" i="26" s="1"/>
  <c r="EA29" i="26"/>
  <c r="EA30" i="26"/>
  <c r="EC30" i="26" s="1"/>
  <c r="EA31" i="26"/>
  <c r="EC31" i="26" s="1"/>
  <c r="EA32" i="26"/>
  <c r="EC32" i="26" s="1"/>
  <c r="EA33" i="26"/>
  <c r="EC33" i="26" s="1"/>
  <c r="EA34" i="26"/>
  <c r="EC34" i="26" s="1"/>
  <c r="EA35" i="26"/>
  <c r="EC35" i="26" s="1"/>
  <c r="EA36" i="26"/>
  <c r="EC36" i="26" s="1"/>
  <c r="EA37" i="26"/>
  <c r="EC37" i="26" s="1"/>
  <c r="EA38" i="26"/>
  <c r="EC38" i="26" s="1"/>
  <c r="EA39" i="26"/>
  <c r="EC39" i="26" s="1"/>
  <c r="EA40" i="26"/>
  <c r="EC40" i="26" s="1"/>
  <c r="EA41" i="26"/>
  <c r="EC41" i="26" s="1"/>
  <c r="EA42" i="26"/>
  <c r="EC42" i="26" s="1"/>
  <c r="EA43" i="26"/>
  <c r="EC43" i="26" s="1"/>
  <c r="EA44" i="26"/>
  <c r="EC44" i="26" s="1"/>
  <c r="EA45" i="26"/>
  <c r="EC45" i="26" s="1"/>
  <c r="EA46" i="26"/>
  <c r="EC46" i="26" s="1"/>
  <c r="EA47" i="26"/>
  <c r="EC47" i="26" s="1"/>
  <c r="EA48" i="26"/>
  <c r="EC48" i="26" s="1"/>
  <c r="EA49" i="26"/>
  <c r="EC49" i="26" s="1"/>
  <c r="EA50" i="26"/>
  <c r="EC50" i="26" s="1"/>
  <c r="EA51" i="26"/>
  <c r="EC51" i="26" s="1"/>
  <c r="EA52" i="26"/>
  <c r="EC52" i="26" s="1"/>
  <c r="EA53" i="26"/>
  <c r="EC53" i="26" s="1"/>
  <c r="EA54" i="26"/>
  <c r="EC54" i="26" s="1"/>
  <c r="EA55" i="26"/>
  <c r="EC55" i="26" s="1"/>
  <c r="EA56" i="26"/>
  <c r="EC56" i="26" s="1"/>
  <c r="EA57" i="26"/>
  <c r="EC57" i="26" s="1"/>
  <c r="EA58" i="26"/>
  <c r="EC58" i="26" s="1"/>
  <c r="EA59" i="26"/>
  <c r="EC59" i="26" s="1"/>
  <c r="EA60" i="26"/>
  <c r="EC60" i="26" s="1"/>
  <c r="EA61" i="26"/>
  <c r="EC61" i="26" s="1"/>
  <c r="EA62" i="26"/>
  <c r="EC62" i="26" s="1"/>
  <c r="EA63" i="26"/>
  <c r="EC63" i="26" s="1"/>
  <c r="EA64" i="26"/>
  <c r="EC64" i="26" s="1"/>
  <c r="EA65" i="26"/>
  <c r="EC65" i="26" s="1"/>
  <c r="EA66" i="26"/>
  <c r="EC66" i="26" s="1"/>
  <c r="EA67" i="26"/>
  <c r="EC67" i="26" s="1"/>
  <c r="EA68" i="26"/>
  <c r="EC68" i="26" s="1"/>
  <c r="EA69" i="26"/>
  <c r="EA70" i="26"/>
  <c r="EC70" i="26" s="1"/>
  <c r="EA71" i="26"/>
  <c r="EC71" i="26" s="1"/>
  <c r="EA8" i="26"/>
  <c r="EC8" i="26" s="1"/>
  <c r="GI10" i="26" s="1"/>
  <c r="CI8" i="26"/>
  <c r="CK8" i="26" s="1"/>
  <c r="GH10" i="26" s="1"/>
  <c r="CI9" i="26"/>
  <c r="CK9" i="26" s="1"/>
  <c r="CI10" i="26"/>
  <c r="CK10" i="26" s="1"/>
  <c r="CI11" i="26"/>
  <c r="CK11" i="26" s="1"/>
  <c r="CI12" i="26"/>
  <c r="CK12" i="26" s="1"/>
  <c r="CI13" i="26"/>
  <c r="CK13" i="26" s="1"/>
  <c r="CI14" i="26"/>
  <c r="CK14" i="26" s="1"/>
  <c r="CI15" i="26"/>
  <c r="CK15" i="26" s="1"/>
  <c r="CI16" i="26"/>
  <c r="CK16" i="26" s="1"/>
  <c r="CI17" i="26"/>
  <c r="CK17" i="26" s="1"/>
  <c r="CI18" i="26"/>
  <c r="CK18" i="26" s="1"/>
  <c r="CI19" i="26"/>
  <c r="CK19" i="26" s="1"/>
  <c r="CI20" i="26"/>
  <c r="CK20" i="26" s="1"/>
  <c r="CI21" i="26"/>
  <c r="CK21" i="26" s="1"/>
  <c r="CI22" i="26"/>
  <c r="CK22" i="26" s="1"/>
  <c r="CI23" i="26"/>
  <c r="CK23" i="26" s="1"/>
  <c r="CI24" i="26"/>
  <c r="CK24" i="26" s="1"/>
  <c r="CI25" i="26"/>
  <c r="CK25" i="26" s="1"/>
  <c r="CI26" i="26"/>
  <c r="CK26" i="26" s="1"/>
  <c r="CI27" i="26"/>
  <c r="CK27" i="26" s="1"/>
  <c r="CI28" i="26"/>
  <c r="CK28" i="26" s="1"/>
  <c r="CI29" i="26"/>
  <c r="CK29" i="26" s="1"/>
  <c r="CI30" i="26"/>
  <c r="CK30" i="26" s="1"/>
  <c r="CI31" i="26"/>
  <c r="CK31" i="26" s="1"/>
  <c r="CI32" i="26"/>
  <c r="CK32" i="26" s="1"/>
  <c r="CI33" i="26"/>
  <c r="CK33" i="26" s="1"/>
  <c r="CI34" i="26"/>
  <c r="CK34" i="26" s="1"/>
  <c r="CI35" i="26"/>
  <c r="CK35" i="26" s="1"/>
  <c r="CI36" i="26"/>
  <c r="CK36" i="26" s="1"/>
  <c r="CI37" i="26"/>
  <c r="CK37" i="26" s="1"/>
  <c r="CI38" i="26"/>
  <c r="CK38" i="26" s="1"/>
  <c r="CI39" i="26"/>
  <c r="CK39" i="26" s="1"/>
  <c r="CI40" i="26"/>
  <c r="CK40" i="26" s="1"/>
  <c r="CI41" i="26"/>
  <c r="CK41" i="26" s="1"/>
  <c r="CI42" i="26"/>
  <c r="CK42" i="26" s="1"/>
  <c r="CI43" i="26"/>
  <c r="CK43" i="26" s="1"/>
  <c r="CI44" i="26"/>
  <c r="CK44" i="26" s="1"/>
  <c r="CI45" i="26"/>
  <c r="CK45" i="26" s="1"/>
  <c r="CI46" i="26"/>
  <c r="CK46" i="26" s="1"/>
  <c r="CI47" i="26"/>
  <c r="CK47" i="26" s="1"/>
  <c r="CI48" i="26"/>
  <c r="CK48" i="26" s="1"/>
  <c r="CI49" i="26"/>
  <c r="CK49" i="26" s="1"/>
  <c r="CI50" i="26"/>
  <c r="CK50" i="26" s="1"/>
  <c r="CI51" i="26"/>
  <c r="CK51" i="26" s="1"/>
  <c r="CI52" i="26"/>
  <c r="CK52" i="26" s="1"/>
  <c r="CI53" i="26"/>
  <c r="CK53" i="26" s="1"/>
  <c r="CI54" i="26"/>
  <c r="CK54" i="26" s="1"/>
  <c r="CI55" i="26"/>
  <c r="CK55" i="26" s="1"/>
  <c r="CI56" i="26"/>
  <c r="CK56" i="26" s="1"/>
  <c r="CI57" i="26"/>
  <c r="CK57" i="26" s="1"/>
  <c r="CI58" i="26"/>
  <c r="CK58" i="26" s="1"/>
  <c r="CI59" i="26"/>
  <c r="CK59" i="26" s="1"/>
  <c r="CI60" i="26"/>
  <c r="CK60" i="26" s="1"/>
  <c r="CI61" i="26"/>
  <c r="CK61" i="26" s="1"/>
  <c r="CI62" i="26"/>
  <c r="CK62" i="26" s="1"/>
  <c r="CI63" i="26"/>
  <c r="CK63" i="26" s="1"/>
  <c r="CI64" i="26"/>
  <c r="CK64" i="26" s="1"/>
  <c r="CI65" i="26"/>
  <c r="CK65" i="26" s="1"/>
  <c r="CI66" i="26"/>
  <c r="CK66" i="26" s="1"/>
  <c r="CI67" i="26"/>
  <c r="CK67" i="26" s="1"/>
  <c r="CI68" i="26"/>
  <c r="CK68" i="26" s="1"/>
  <c r="CI69" i="26"/>
  <c r="CK69" i="26" s="1"/>
  <c r="CI70" i="26"/>
  <c r="CK70" i="26" s="1"/>
  <c r="CI71" i="26"/>
  <c r="CK71" i="26" s="1"/>
  <c r="AS11" i="26"/>
  <c r="AS15" i="26"/>
  <c r="AS23" i="26"/>
  <c r="AS27" i="26"/>
  <c r="AS35" i="26"/>
  <c r="AS39" i="26"/>
  <c r="AS43" i="26"/>
  <c r="AS55" i="26"/>
  <c r="AS71" i="26"/>
  <c r="AQ9" i="26"/>
  <c r="AS9" i="26" s="1"/>
  <c r="AQ10" i="26"/>
  <c r="AS10" i="26" s="1"/>
  <c r="AQ11" i="26"/>
  <c r="AQ12" i="26"/>
  <c r="AS12" i="26" s="1"/>
  <c r="AQ13" i="26"/>
  <c r="AS13" i="26" s="1"/>
  <c r="AQ14" i="26"/>
  <c r="AS14" i="26" s="1"/>
  <c r="AQ15" i="26"/>
  <c r="AQ16" i="26"/>
  <c r="AS16" i="26" s="1"/>
  <c r="AQ17" i="26"/>
  <c r="AS17" i="26" s="1"/>
  <c r="AQ18" i="26"/>
  <c r="AS18" i="26" s="1"/>
  <c r="AQ19" i="26"/>
  <c r="AS19" i="26" s="1"/>
  <c r="AQ20" i="26"/>
  <c r="AS20" i="26" s="1"/>
  <c r="AQ21" i="26"/>
  <c r="AS21" i="26" s="1"/>
  <c r="AQ22" i="26"/>
  <c r="AS22" i="26" s="1"/>
  <c r="AQ23" i="26"/>
  <c r="AQ24" i="26"/>
  <c r="AS24" i="26" s="1"/>
  <c r="AQ25" i="26"/>
  <c r="AS25" i="26" s="1"/>
  <c r="AQ26" i="26"/>
  <c r="AS26" i="26" s="1"/>
  <c r="AQ27" i="26"/>
  <c r="AQ28" i="26"/>
  <c r="AS28" i="26" s="1"/>
  <c r="AQ29" i="26"/>
  <c r="AS29" i="26" s="1"/>
  <c r="AQ30" i="26"/>
  <c r="AS30" i="26" s="1"/>
  <c r="AQ31" i="26"/>
  <c r="AS31" i="26" s="1"/>
  <c r="AQ32" i="26"/>
  <c r="AS32" i="26" s="1"/>
  <c r="AQ33" i="26"/>
  <c r="AS33" i="26" s="1"/>
  <c r="AQ34" i="26"/>
  <c r="AS34" i="26" s="1"/>
  <c r="AQ35" i="26"/>
  <c r="AQ36" i="26"/>
  <c r="AS36" i="26" s="1"/>
  <c r="AQ37" i="26"/>
  <c r="AS37" i="26" s="1"/>
  <c r="AQ38" i="26"/>
  <c r="AS38" i="26" s="1"/>
  <c r="AQ39" i="26"/>
  <c r="AQ40" i="26"/>
  <c r="AS40" i="26" s="1"/>
  <c r="AQ41" i="26"/>
  <c r="AS41" i="26" s="1"/>
  <c r="AQ42" i="26"/>
  <c r="AS42" i="26" s="1"/>
  <c r="AQ43" i="26"/>
  <c r="AQ44" i="26"/>
  <c r="AS44" i="26" s="1"/>
  <c r="AQ45" i="26"/>
  <c r="AS45" i="26" s="1"/>
  <c r="AQ46" i="26"/>
  <c r="AS46" i="26" s="1"/>
  <c r="AQ47" i="26"/>
  <c r="AS47" i="26" s="1"/>
  <c r="AQ48" i="26"/>
  <c r="AS48" i="26" s="1"/>
  <c r="AQ49" i="26"/>
  <c r="AS49" i="26" s="1"/>
  <c r="AQ50" i="26"/>
  <c r="AS50" i="26" s="1"/>
  <c r="AQ51" i="26"/>
  <c r="AS51" i="26" s="1"/>
  <c r="AQ52" i="26"/>
  <c r="AS52" i="26" s="1"/>
  <c r="AQ53" i="26"/>
  <c r="AS53" i="26" s="1"/>
  <c r="AQ54" i="26"/>
  <c r="AS54" i="26" s="1"/>
  <c r="AQ55" i="26"/>
  <c r="AQ56" i="26"/>
  <c r="AS56" i="26" s="1"/>
  <c r="AQ57" i="26"/>
  <c r="AS57" i="26" s="1"/>
  <c r="AQ58" i="26"/>
  <c r="AS58" i="26" s="1"/>
  <c r="AQ59" i="26"/>
  <c r="AS59" i="26" s="1"/>
  <c r="AQ60" i="26"/>
  <c r="AS60" i="26" s="1"/>
  <c r="AQ61" i="26"/>
  <c r="AS61" i="26" s="1"/>
  <c r="AQ62" i="26"/>
  <c r="AS62" i="26" s="1"/>
  <c r="AQ63" i="26"/>
  <c r="AS63" i="26" s="1"/>
  <c r="AQ64" i="26"/>
  <c r="AS64" i="26" s="1"/>
  <c r="AQ65" i="26"/>
  <c r="AS65" i="26" s="1"/>
  <c r="AQ66" i="26"/>
  <c r="AS66" i="26" s="1"/>
  <c r="AQ67" i="26"/>
  <c r="AS67" i="26" s="1"/>
  <c r="AQ68" i="26"/>
  <c r="AS68" i="26" s="1"/>
  <c r="AQ69" i="26"/>
  <c r="AS69" i="26" s="1"/>
  <c r="AQ70" i="26"/>
  <c r="AS70" i="26" s="1"/>
  <c r="AQ71" i="26"/>
  <c r="AQ8" i="26"/>
  <c r="AS8" i="26" s="1"/>
  <c r="GH8" i="26" l="1"/>
  <c r="GF8" i="26"/>
  <c r="GF10" i="26"/>
  <c r="GJ8" i="26"/>
  <c r="GD8" i="26"/>
  <c r="GD10" i="26"/>
  <c r="GF9" i="26"/>
  <c r="GE9" i="26"/>
  <c r="GE8" i="26"/>
  <c r="GE10" i="26"/>
  <c r="GI9" i="26"/>
  <c r="GC9" i="26"/>
  <c r="GC10" i="26"/>
  <c r="GD9" i="26"/>
  <c r="GH9" i="26"/>
  <c r="E14" i="16"/>
  <c r="D11" i="32"/>
  <c r="C11" i="32"/>
  <c r="B16" i="33"/>
  <c r="B11" i="32" l="1"/>
  <c r="E13" i="16"/>
  <c r="A11" i="32"/>
  <c r="A24" i="28" l="1"/>
  <c r="A25" i="28" s="1"/>
  <c r="A26" i="28" s="1"/>
  <c r="A27" i="28" s="1"/>
  <c r="A28" i="28" s="1"/>
  <c r="A29" i="28" s="1"/>
  <c r="A30" i="28" s="1"/>
  <c r="A31" i="28" s="1"/>
  <c r="A32" i="28" s="1"/>
  <c r="C9" i="28"/>
  <c r="E16" i="16"/>
  <c r="E15" i="16"/>
  <c r="C11" i="19"/>
  <c r="C6" i="19"/>
  <c r="M6" i="29"/>
  <c r="M5" i="29"/>
  <c r="L6" i="29"/>
  <c r="L5" i="29"/>
  <c r="K6" i="29"/>
  <c r="K5" i="29"/>
  <c r="K7" i="29" s="1"/>
  <c r="G22" i="19" s="1"/>
  <c r="J6" i="29"/>
  <c r="J5" i="29"/>
  <c r="I6" i="29"/>
  <c r="I5" i="29"/>
  <c r="H6" i="29"/>
  <c r="H5" i="29"/>
  <c r="I7" i="29" l="1"/>
  <c r="E22" i="19" s="1"/>
  <c r="N5" i="29"/>
  <c r="N6" i="29"/>
  <c r="H7" i="29"/>
  <c r="D22" i="19" s="1"/>
  <c r="J7" i="29"/>
  <c r="F22" i="19" s="1"/>
  <c r="L7" i="29"/>
  <c r="M7" i="29"/>
  <c r="H22" i="19" l="1"/>
  <c r="D11" i="20" s="1"/>
  <c r="N7" i="29"/>
  <c r="D8" i="20"/>
  <c r="C30" i="19"/>
  <c r="D5" i="19"/>
  <c r="E5" i="19"/>
  <c r="F5" i="19"/>
  <c r="G5" i="19"/>
  <c r="H5" i="19"/>
  <c r="I5" i="19"/>
  <c r="J5" i="19"/>
  <c r="K5" i="19"/>
  <c r="L5" i="19"/>
  <c r="M5" i="19"/>
  <c r="N5" i="19"/>
  <c r="O5" i="19"/>
  <c r="P5" i="19"/>
  <c r="Q5" i="19"/>
  <c r="R5" i="19"/>
  <c r="S5" i="19"/>
  <c r="T5" i="19"/>
  <c r="U5" i="19"/>
  <c r="V5" i="19"/>
  <c r="C5" i="19"/>
  <c r="E19" i="16"/>
  <c r="E18" i="16"/>
  <c r="D54" i="14"/>
  <c r="D55" i="14" s="1"/>
  <c r="C54" i="14"/>
  <c r="C55" i="14" s="1"/>
  <c r="E12" i="16"/>
  <c r="F109" i="25" l="1"/>
  <c r="F108" i="25"/>
  <c r="Q100" i="25"/>
  <c r="O100" i="25"/>
  <c r="M100" i="25"/>
  <c r="K100" i="25"/>
  <c r="BF6" i="25"/>
  <c r="BF7" i="25"/>
  <c r="BF9" i="25"/>
  <c r="BF10" i="25"/>
  <c r="BF11" i="25"/>
  <c r="BF12" i="25"/>
  <c r="BF13" i="25"/>
  <c r="BF14" i="25"/>
  <c r="BF15" i="25"/>
  <c r="BF16" i="25"/>
  <c r="BF17" i="25"/>
  <c r="BF18" i="25"/>
  <c r="BF19" i="25"/>
  <c r="BF21" i="25"/>
  <c r="BF22" i="25"/>
  <c r="BF23" i="25"/>
  <c r="BF24" i="25"/>
  <c r="BF25" i="25"/>
  <c r="BF26" i="25"/>
  <c r="BF27" i="25"/>
  <c r="BF28" i="25"/>
  <c r="BF29" i="25"/>
  <c r="BF30" i="25"/>
  <c r="BF31" i="25"/>
  <c r="BF35" i="25"/>
  <c r="BF36" i="25"/>
  <c r="BF37" i="25"/>
  <c r="BF39" i="25"/>
  <c r="BF40" i="25"/>
  <c r="BF41" i="25"/>
  <c r="BF42" i="25"/>
  <c r="BF43" i="25"/>
  <c r="BF44" i="25"/>
  <c r="BF45" i="25"/>
  <c r="BF46" i="25"/>
  <c r="BF47" i="25"/>
  <c r="BF48" i="25"/>
  <c r="BF50" i="25"/>
  <c r="BF51" i="25"/>
  <c r="BF52" i="25"/>
  <c r="BF53" i="25"/>
  <c r="BF54" i="25"/>
  <c r="BF55" i="25"/>
  <c r="BF56" i="25"/>
  <c r="BF57" i="25"/>
  <c r="BF59" i="25"/>
  <c r="BF60" i="25"/>
  <c r="BF61" i="25"/>
  <c r="BF63" i="25"/>
  <c r="BF64" i="25"/>
  <c r="BF65" i="25"/>
  <c r="BF66" i="25"/>
  <c r="BF67" i="25"/>
  <c r="BF68" i="25"/>
  <c r="BF69" i="25"/>
  <c r="BF32" i="25"/>
  <c r="BF34" i="25"/>
  <c r="BF8" i="25"/>
  <c r="BF33" i="25"/>
  <c r="BF20" i="25"/>
  <c r="BF38" i="25"/>
  <c r="BF49" i="25"/>
  <c r="BF58" i="25"/>
  <c r="BF62" i="25"/>
  <c r="F20" i="20"/>
  <c r="G20" i="20"/>
  <c r="H20" i="20"/>
  <c r="H6" i="25"/>
  <c r="Q6" i="25"/>
  <c r="BI6" i="25" s="1"/>
  <c r="H7" i="25"/>
  <c r="Q7" i="25"/>
  <c r="H9" i="25"/>
  <c r="H10" i="25"/>
  <c r="H11" i="25"/>
  <c r="H12" i="25"/>
  <c r="H13" i="25"/>
  <c r="H14" i="25"/>
  <c r="H15" i="25"/>
  <c r="H16" i="25"/>
  <c r="H17" i="25"/>
  <c r="H18" i="25"/>
  <c r="H19" i="25"/>
  <c r="H21" i="25"/>
  <c r="H22" i="25"/>
  <c r="H23" i="25"/>
  <c r="H24" i="25"/>
  <c r="H25" i="25"/>
  <c r="H26" i="25"/>
  <c r="H27" i="25"/>
  <c r="H28" i="25"/>
  <c r="H29" i="25"/>
  <c r="H30" i="25"/>
  <c r="H31" i="25"/>
  <c r="H35" i="25"/>
  <c r="H36" i="25"/>
  <c r="H37" i="25"/>
  <c r="H39" i="25"/>
  <c r="H40" i="25"/>
  <c r="H41" i="25"/>
  <c r="H42" i="25"/>
  <c r="H43" i="25"/>
  <c r="H44" i="25"/>
  <c r="H45" i="25"/>
  <c r="H46" i="25"/>
  <c r="H47" i="25"/>
  <c r="H48" i="25"/>
  <c r="H50" i="25"/>
  <c r="H51" i="25"/>
  <c r="H52" i="25"/>
  <c r="H53" i="25"/>
  <c r="H54" i="25"/>
  <c r="H55" i="25"/>
  <c r="H56" i="25"/>
  <c r="H57" i="25"/>
  <c r="H59" i="25"/>
  <c r="H60" i="25"/>
  <c r="H61" i="25"/>
  <c r="H63" i="25"/>
  <c r="H64" i="25"/>
  <c r="H65" i="25"/>
  <c r="H66" i="25"/>
  <c r="H67" i="25"/>
  <c r="H68" i="25"/>
  <c r="H69" i="25"/>
  <c r="H32" i="25"/>
  <c r="H34" i="25"/>
  <c r="H8" i="25"/>
  <c r="H33" i="25"/>
  <c r="H20" i="25"/>
  <c r="H38" i="25"/>
  <c r="H49" i="25"/>
  <c r="H58" i="25"/>
  <c r="H62" i="25"/>
  <c r="Q9" i="25"/>
  <c r="Q10" i="25"/>
  <c r="Q11" i="25"/>
  <c r="Q12" i="25"/>
  <c r="Q13" i="25"/>
  <c r="Q14" i="25"/>
  <c r="Q15" i="25"/>
  <c r="Q16" i="25"/>
  <c r="Q17" i="25"/>
  <c r="Q18" i="25"/>
  <c r="Q19" i="25"/>
  <c r="Q21" i="25"/>
  <c r="Q22" i="25"/>
  <c r="Q23" i="25"/>
  <c r="Q24" i="25"/>
  <c r="Q25" i="25"/>
  <c r="Q26" i="25"/>
  <c r="Q27" i="25"/>
  <c r="Q28" i="25"/>
  <c r="Q29" i="25"/>
  <c r="Q30" i="25"/>
  <c r="Q31" i="25"/>
  <c r="Q35" i="25"/>
  <c r="Q36" i="25"/>
  <c r="Q37" i="25"/>
  <c r="Q39" i="25"/>
  <c r="Q40" i="25"/>
  <c r="Q41" i="25"/>
  <c r="Q42" i="25"/>
  <c r="Q43" i="25"/>
  <c r="Q44" i="25"/>
  <c r="Q45" i="25"/>
  <c r="Q46" i="25"/>
  <c r="Q47" i="25"/>
  <c r="Q48" i="25"/>
  <c r="Q50" i="25"/>
  <c r="Q51" i="25"/>
  <c r="Q52" i="25"/>
  <c r="Q53" i="25"/>
  <c r="Q54" i="25"/>
  <c r="Q55" i="25"/>
  <c r="Q56" i="25"/>
  <c r="Q57" i="25"/>
  <c r="Q59" i="25"/>
  <c r="Q60" i="25"/>
  <c r="Q61" i="25"/>
  <c r="Q63" i="25"/>
  <c r="Q64" i="25"/>
  <c r="Q65" i="25"/>
  <c r="Q66" i="25"/>
  <c r="Q67" i="25"/>
  <c r="Q68" i="25"/>
  <c r="Q69" i="25"/>
  <c r="Q32" i="25"/>
  <c r="Q34" i="25"/>
  <c r="Q8" i="25"/>
  <c r="Q33" i="25"/>
  <c r="Q20" i="25"/>
  <c r="Q38" i="25"/>
  <c r="Q49" i="25"/>
  <c r="Q58" i="25"/>
  <c r="Q62" i="25"/>
  <c r="E83" i="25"/>
  <c r="E84" i="25"/>
  <c r="I6" i="25"/>
  <c r="I7" i="25"/>
  <c r="I9" i="25"/>
  <c r="I12" i="25"/>
  <c r="I10" i="25"/>
  <c r="I11" i="25"/>
  <c r="I13" i="25"/>
  <c r="I14" i="25"/>
  <c r="I15" i="25"/>
  <c r="I16" i="25"/>
  <c r="I17" i="25"/>
  <c r="I18" i="25"/>
  <c r="I19" i="25"/>
  <c r="I21" i="25"/>
  <c r="I22" i="25"/>
  <c r="I23" i="25"/>
  <c r="I24" i="25"/>
  <c r="I25" i="25"/>
  <c r="I26" i="25"/>
  <c r="I27" i="25"/>
  <c r="I28" i="25"/>
  <c r="I29" i="25"/>
  <c r="I30" i="25"/>
  <c r="I31" i="25"/>
  <c r="I35" i="25"/>
  <c r="I36" i="25"/>
  <c r="I37" i="25"/>
  <c r="I39" i="25"/>
  <c r="I40" i="25"/>
  <c r="I41" i="25"/>
  <c r="I42" i="25"/>
  <c r="I43" i="25"/>
  <c r="I44" i="25"/>
  <c r="I45" i="25"/>
  <c r="I46" i="25"/>
  <c r="I47" i="25"/>
  <c r="I48" i="25"/>
  <c r="I50" i="25"/>
  <c r="I51" i="25"/>
  <c r="I52" i="25"/>
  <c r="I53" i="25"/>
  <c r="I54" i="25"/>
  <c r="I55" i="25"/>
  <c r="I56" i="25"/>
  <c r="I57" i="25"/>
  <c r="I59" i="25"/>
  <c r="I60" i="25"/>
  <c r="I61" i="25"/>
  <c r="I63" i="25"/>
  <c r="I64" i="25"/>
  <c r="I65" i="25"/>
  <c r="I66" i="25"/>
  <c r="I67" i="25"/>
  <c r="I68" i="25"/>
  <c r="I69" i="25"/>
  <c r="I32" i="25"/>
  <c r="I34" i="25"/>
  <c r="I8" i="25"/>
  <c r="I33" i="25"/>
  <c r="I20" i="25"/>
  <c r="I38" i="25"/>
  <c r="I49" i="25"/>
  <c r="I58" i="25"/>
  <c r="I62" i="25"/>
  <c r="K6" i="25"/>
  <c r="J6" i="25" s="1"/>
  <c r="K7" i="25"/>
  <c r="K9" i="25"/>
  <c r="K12" i="25"/>
  <c r="K10" i="25"/>
  <c r="K11" i="25"/>
  <c r="K13" i="25"/>
  <c r="K14" i="25"/>
  <c r="K15" i="25"/>
  <c r="K16" i="25"/>
  <c r="K17" i="25"/>
  <c r="K18" i="25"/>
  <c r="K19" i="25"/>
  <c r="K21" i="25"/>
  <c r="K22" i="25"/>
  <c r="K23" i="25"/>
  <c r="K24" i="25"/>
  <c r="K25" i="25"/>
  <c r="K26" i="25"/>
  <c r="K27" i="25"/>
  <c r="K28" i="25"/>
  <c r="J28" i="25" s="1"/>
  <c r="K29" i="25"/>
  <c r="K30" i="25"/>
  <c r="K31" i="25"/>
  <c r="K35" i="25"/>
  <c r="K36" i="25"/>
  <c r="K37" i="25"/>
  <c r="K39" i="25"/>
  <c r="J39" i="25" s="1"/>
  <c r="K40" i="25"/>
  <c r="K41" i="25"/>
  <c r="K42" i="25"/>
  <c r="K43" i="25"/>
  <c r="J43" i="25" s="1"/>
  <c r="K44" i="25"/>
  <c r="K45" i="25"/>
  <c r="K46" i="25"/>
  <c r="K47" i="25"/>
  <c r="K48" i="25"/>
  <c r="K50" i="25"/>
  <c r="K51" i="25"/>
  <c r="K52" i="25"/>
  <c r="K53" i="25"/>
  <c r="K54" i="25"/>
  <c r="K55" i="25"/>
  <c r="K56" i="25"/>
  <c r="K57" i="25"/>
  <c r="K59" i="25"/>
  <c r="J59" i="25" s="1"/>
  <c r="K60" i="25"/>
  <c r="J60" i="25" s="1"/>
  <c r="K61" i="25"/>
  <c r="K63" i="25"/>
  <c r="K64" i="25"/>
  <c r="K65" i="25"/>
  <c r="J65" i="25" s="1"/>
  <c r="K66" i="25"/>
  <c r="K67" i="25"/>
  <c r="K68" i="25"/>
  <c r="K69" i="25"/>
  <c r="J69" i="25" s="1"/>
  <c r="K32" i="25"/>
  <c r="K34" i="25"/>
  <c r="K8" i="25"/>
  <c r="K33" i="25"/>
  <c r="J33" i="25" s="1"/>
  <c r="K20" i="25"/>
  <c r="K38" i="25"/>
  <c r="K49" i="25"/>
  <c r="K58" i="25"/>
  <c r="J58" i="25" s="1"/>
  <c r="K62" i="25"/>
  <c r="M6" i="25"/>
  <c r="M7" i="25"/>
  <c r="M9" i="25"/>
  <c r="M12" i="25"/>
  <c r="M10" i="25"/>
  <c r="M11" i="25"/>
  <c r="M13" i="25"/>
  <c r="M14" i="25"/>
  <c r="M15" i="25"/>
  <c r="O16" i="25"/>
  <c r="M17" i="25"/>
  <c r="L17" i="25" s="1"/>
  <c r="M18" i="25"/>
  <c r="M19" i="25"/>
  <c r="L19" i="25" s="1"/>
  <c r="M21" i="25"/>
  <c r="M22" i="25"/>
  <c r="L22" i="25" s="1"/>
  <c r="M23" i="25"/>
  <c r="M24" i="25"/>
  <c r="L24" i="25" s="1"/>
  <c r="M25" i="25"/>
  <c r="M26" i="25"/>
  <c r="L26" i="25" s="1"/>
  <c r="M27" i="25"/>
  <c r="M28" i="25"/>
  <c r="L28" i="25" s="1"/>
  <c r="M29" i="25"/>
  <c r="M30" i="25"/>
  <c r="M31" i="25"/>
  <c r="M35" i="25"/>
  <c r="L35" i="25" s="1"/>
  <c r="M36" i="25"/>
  <c r="M37" i="25"/>
  <c r="M39" i="25"/>
  <c r="M40" i="25"/>
  <c r="M41" i="25"/>
  <c r="M42" i="25"/>
  <c r="M43" i="25"/>
  <c r="M44" i="25"/>
  <c r="M45" i="25"/>
  <c r="M46" i="25"/>
  <c r="M47" i="25"/>
  <c r="M48" i="25"/>
  <c r="L48" i="25" s="1"/>
  <c r="M50" i="25"/>
  <c r="L50" i="25" s="1"/>
  <c r="M51" i="25"/>
  <c r="M52" i="25"/>
  <c r="M53" i="25"/>
  <c r="L53" i="25" s="1"/>
  <c r="M54" i="25"/>
  <c r="M55" i="25"/>
  <c r="M56" i="25"/>
  <c r="M57" i="25"/>
  <c r="L57" i="25" s="1"/>
  <c r="M59" i="25"/>
  <c r="M60" i="25"/>
  <c r="M61" i="25"/>
  <c r="M63" i="25"/>
  <c r="M64" i="25"/>
  <c r="M65" i="25"/>
  <c r="M66" i="25"/>
  <c r="M67" i="25"/>
  <c r="M68" i="25"/>
  <c r="M69" i="25"/>
  <c r="M32" i="25"/>
  <c r="M34" i="25"/>
  <c r="M8" i="25"/>
  <c r="M33" i="25"/>
  <c r="M20" i="25"/>
  <c r="M38" i="25"/>
  <c r="M49" i="25"/>
  <c r="M58" i="25"/>
  <c r="M62" i="25"/>
  <c r="O6" i="25"/>
  <c r="O7" i="25"/>
  <c r="O9" i="25"/>
  <c r="O12" i="25"/>
  <c r="O10" i="25"/>
  <c r="O11" i="25"/>
  <c r="O13" i="25"/>
  <c r="O14" i="25"/>
  <c r="O15" i="25"/>
  <c r="P15" i="25" s="1"/>
  <c r="O17" i="25"/>
  <c r="O18" i="25"/>
  <c r="O19" i="25"/>
  <c r="O21" i="25"/>
  <c r="N21" i="25" s="1"/>
  <c r="O22" i="25"/>
  <c r="O23" i="25"/>
  <c r="O24" i="25"/>
  <c r="O25" i="25"/>
  <c r="O26" i="25"/>
  <c r="O27" i="25"/>
  <c r="O28" i="25"/>
  <c r="O29" i="25"/>
  <c r="N29" i="25" s="1"/>
  <c r="O30" i="25"/>
  <c r="O31" i="25"/>
  <c r="O35" i="25"/>
  <c r="P35" i="25" s="1"/>
  <c r="O36" i="25"/>
  <c r="N36" i="25" s="1"/>
  <c r="O37" i="25"/>
  <c r="O39" i="25"/>
  <c r="O40" i="25"/>
  <c r="O41" i="25"/>
  <c r="N41" i="25" s="1"/>
  <c r="O42" i="25"/>
  <c r="O43" i="25"/>
  <c r="O44" i="25"/>
  <c r="O45" i="25"/>
  <c r="O46" i="25"/>
  <c r="O47" i="25"/>
  <c r="O48" i="25"/>
  <c r="O50" i="25"/>
  <c r="O51" i="25"/>
  <c r="N51" i="25" s="1"/>
  <c r="O52" i="25"/>
  <c r="O53" i="25"/>
  <c r="O54" i="25"/>
  <c r="O55" i="25"/>
  <c r="O56" i="25"/>
  <c r="O57" i="25"/>
  <c r="O59" i="25"/>
  <c r="O60" i="25"/>
  <c r="O61" i="25"/>
  <c r="O63" i="25"/>
  <c r="O64" i="25"/>
  <c r="O65" i="25"/>
  <c r="O66" i="25"/>
  <c r="O67" i="25"/>
  <c r="O68" i="25"/>
  <c r="O69" i="25"/>
  <c r="O32" i="25"/>
  <c r="O34" i="25"/>
  <c r="O8" i="25"/>
  <c r="O33" i="25"/>
  <c r="O20" i="25"/>
  <c r="O38" i="25"/>
  <c r="P38" i="25" s="1"/>
  <c r="O49" i="25"/>
  <c r="N49" i="25" s="1"/>
  <c r="O58" i="25"/>
  <c r="O62" i="25"/>
  <c r="P28" i="25"/>
  <c r="E104" i="25"/>
  <c r="E85" i="25"/>
  <c r="E86" i="25"/>
  <c r="E87" i="25"/>
  <c r="E88" i="25"/>
  <c r="E89" i="25"/>
  <c r="E90" i="25"/>
  <c r="E91" i="25"/>
  <c r="E92" i="25"/>
  <c r="E93" i="25"/>
  <c r="E94" i="25"/>
  <c r="E95" i="25"/>
  <c r="E96" i="25"/>
  <c r="E97" i="25"/>
  <c r="E98" i="25"/>
  <c r="E99" i="25"/>
  <c r="E100" i="25"/>
  <c r="E101" i="25"/>
  <c r="E102" i="25"/>
  <c r="E103" i="25"/>
  <c r="E105" i="25"/>
  <c r="BE78" i="25"/>
  <c r="BD78" i="25"/>
  <c r="BC78" i="25"/>
  <c r="BB78" i="25"/>
  <c r="BA78" i="25"/>
  <c r="AZ78" i="25"/>
  <c r="AY78" i="25"/>
  <c r="AX78" i="25"/>
  <c r="AW78" i="25"/>
  <c r="AV78" i="25"/>
  <c r="AK78" i="25"/>
  <c r="AJ78" i="25"/>
  <c r="AI78" i="25"/>
  <c r="AH78" i="25"/>
  <c r="AG78" i="25"/>
  <c r="AF78" i="25"/>
  <c r="AE78" i="25"/>
  <c r="AD78" i="25"/>
  <c r="AC78" i="25"/>
  <c r="AB78" i="25"/>
  <c r="AA78" i="25"/>
  <c r="Z78" i="25"/>
  <c r="Y78" i="25"/>
  <c r="X78" i="25"/>
  <c r="W78" i="25"/>
  <c r="V78" i="25"/>
  <c r="U78" i="25"/>
  <c r="T78" i="25"/>
  <c r="S78" i="25"/>
  <c r="R78" i="25"/>
  <c r="C78" i="25"/>
  <c r="D77" i="25"/>
  <c r="D76" i="25"/>
  <c r="D75" i="25"/>
  <c r="D74" i="25"/>
  <c r="D73" i="25"/>
  <c r="D72" i="25"/>
  <c r="D71" i="25"/>
  <c r="D62" i="25"/>
  <c r="D58" i="25"/>
  <c r="D49" i="25"/>
  <c r="D38" i="25"/>
  <c r="D20" i="25"/>
  <c r="D33" i="25"/>
  <c r="D8" i="25"/>
  <c r="D34" i="25"/>
  <c r="D32" i="25"/>
  <c r="D69" i="25"/>
  <c r="D68" i="25"/>
  <c r="D67" i="25"/>
  <c r="D66" i="25"/>
  <c r="D65" i="25"/>
  <c r="D64" i="25"/>
  <c r="D63" i="25"/>
  <c r="D61" i="25"/>
  <c r="D60" i="25"/>
  <c r="D59" i="25"/>
  <c r="D57" i="25"/>
  <c r="D56" i="25"/>
  <c r="D55" i="25"/>
  <c r="D54" i="25"/>
  <c r="D53" i="25"/>
  <c r="D52" i="25"/>
  <c r="D51" i="25"/>
  <c r="D50" i="25"/>
  <c r="D48" i="25"/>
  <c r="D47" i="25"/>
  <c r="D46" i="25"/>
  <c r="D45" i="25"/>
  <c r="D44" i="25"/>
  <c r="D43" i="25"/>
  <c r="D42" i="25"/>
  <c r="D41" i="25"/>
  <c r="D40" i="25"/>
  <c r="D39" i="25"/>
  <c r="D37" i="25"/>
  <c r="D36" i="25"/>
  <c r="D35" i="25"/>
  <c r="D31" i="25"/>
  <c r="D30" i="25"/>
  <c r="D29" i="25"/>
  <c r="D28" i="25"/>
  <c r="D27" i="25"/>
  <c r="D26" i="25"/>
  <c r="D25" i="25"/>
  <c r="D24" i="25"/>
  <c r="D23" i="25"/>
  <c r="D22" i="25"/>
  <c r="D21" i="25"/>
  <c r="D19" i="25"/>
  <c r="D18" i="25"/>
  <c r="D17" i="25"/>
  <c r="D16" i="25"/>
  <c r="D15" i="25"/>
  <c r="D14" i="25"/>
  <c r="D13" i="25"/>
  <c r="D12" i="25"/>
  <c r="D11" i="25"/>
  <c r="D10" i="25"/>
  <c r="D9" i="25"/>
  <c r="D7" i="25"/>
  <c r="D6" i="25"/>
  <c r="B41" i="17"/>
  <c r="D11" i="19"/>
  <c r="E11" i="19" s="1"/>
  <c r="F11" i="19" s="1"/>
  <c r="G11" i="19" s="1"/>
  <c r="H11" i="19" s="1"/>
  <c r="I11" i="19" s="1"/>
  <c r="J11" i="19" s="1"/>
  <c r="K11" i="19" s="1"/>
  <c r="L11" i="19" s="1"/>
  <c r="M11" i="19" s="1"/>
  <c r="N11" i="19" s="1"/>
  <c r="O11" i="19" s="1"/>
  <c r="P11" i="19" s="1"/>
  <c r="Q11" i="19" s="1"/>
  <c r="R11" i="19" s="1"/>
  <c r="S11" i="19" s="1"/>
  <c r="T11" i="19" s="1"/>
  <c r="U11" i="19" s="1"/>
  <c r="V11" i="19" s="1"/>
  <c r="D6" i="19"/>
  <c r="E6" i="19" s="1"/>
  <c r="F6" i="19" s="1"/>
  <c r="G6" i="19" s="1"/>
  <c r="H6" i="19" s="1"/>
  <c r="I6" i="19" s="1"/>
  <c r="J6" i="19" s="1"/>
  <c r="K6" i="19" s="1"/>
  <c r="L6" i="19" s="1"/>
  <c r="M6" i="19" s="1"/>
  <c r="N6" i="19" s="1"/>
  <c r="O6" i="19" s="1"/>
  <c r="P6" i="19" s="1"/>
  <c r="Q6" i="19" s="1"/>
  <c r="R6" i="19" s="1"/>
  <c r="S6" i="19" s="1"/>
  <c r="T6" i="19" s="1"/>
  <c r="U6" i="19" s="1"/>
  <c r="V6" i="19" s="1"/>
  <c r="I9" i="16"/>
  <c r="L1" i="20"/>
  <c r="G1" i="14"/>
  <c r="D32" i="16"/>
  <c r="G9" i="16"/>
  <c r="G10" i="16"/>
  <c r="I14" i="16"/>
  <c r="E20" i="14"/>
  <c r="F20" i="14" s="1"/>
  <c r="E19" i="14"/>
  <c r="F19" i="14" s="1"/>
  <c r="E18" i="14"/>
  <c r="F18" i="14" s="1"/>
  <c r="E17" i="14"/>
  <c r="F17" i="14" s="1"/>
  <c r="E16" i="14"/>
  <c r="F16" i="14" s="1"/>
  <c r="E15" i="14"/>
  <c r="F15" i="14" s="1"/>
  <c r="E14" i="14"/>
  <c r="F14" i="14"/>
  <c r="E13" i="14"/>
  <c r="F13" i="14" s="1"/>
  <c r="E12" i="14"/>
  <c r="F12" i="14" s="1"/>
  <c r="E11" i="14"/>
  <c r="E22" i="14"/>
  <c r="E23" i="14"/>
  <c r="F23" i="14" s="1"/>
  <c r="E24" i="14"/>
  <c r="F24" i="14" s="1"/>
  <c r="E25" i="14"/>
  <c r="F25" i="14" s="1"/>
  <c r="E26" i="14"/>
  <c r="F26" i="14" s="1"/>
  <c r="E27" i="14"/>
  <c r="F27" i="14" s="1"/>
  <c r="E28" i="14"/>
  <c r="F28" i="14" s="1"/>
  <c r="E29" i="14"/>
  <c r="F29" i="14" s="1"/>
  <c r="E30" i="14"/>
  <c r="F30" i="14" s="1"/>
  <c r="E31" i="14"/>
  <c r="F31" i="14"/>
  <c r="E32" i="14"/>
  <c r="F32" i="14" s="1"/>
  <c r="E33" i="14"/>
  <c r="F33" i="14"/>
  <c r="E34" i="14"/>
  <c r="F34" i="14" s="1"/>
  <c r="E35" i="14"/>
  <c r="F35" i="14"/>
  <c r="E36" i="14"/>
  <c r="F36" i="14" s="1"/>
  <c r="E37" i="14"/>
  <c r="F37" i="14"/>
  <c r="E38" i="14"/>
  <c r="F38" i="14" s="1"/>
  <c r="E39" i="14"/>
  <c r="F39" i="14" s="1"/>
  <c r="E40" i="14"/>
  <c r="F40" i="14"/>
  <c r="E41" i="14"/>
  <c r="F41" i="14" s="1"/>
  <c r="E42" i="14"/>
  <c r="F42" i="14" s="1"/>
  <c r="E43" i="14"/>
  <c r="F43" i="14" s="1"/>
  <c r="E44" i="14"/>
  <c r="F44" i="14" s="1"/>
  <c r="E45" i="14"/>
  <c r="F45" i="14" s="1"/>
  <c r="E46" i="14"/>
  <c r="F46" i="14" s="1"/>
  <c r="E47" i="14"/>
  <c r="F47" i="14" s="1"/>
  <c r="E48" i="14"/>
  <c r="F48" i="14"/>
  <c r="E49" i="14"/>
  <c r="F49" i="14" s="1"/>
  <c r="E50" i="14"/>
  <c r="F50" i="14" s="1"/>
  <c r="E51" i="14"/>
  <c r="F51" i="14" s="1"/>
  <c r="E52" i="14"/>
  <c r="F52" i="14" s="1"/>
  <c r="E53" i="14"/>
  <c r="F53" i="14" s="1"/>
  <c r="E5" i="14"/>
  <c r="E6" i="14"/>
  <c r="F6" i="14" s="1"/>
  <c r="E7" i="14"/>
  <c r="F7" i="14"/>
  <c r="E8" i="14"/>
  <c r="F8" i="14" s="1"/>
  <c r="E9" i="14"/>
  <c r="F9" i="14"/>
  <c r="E10" i="14"/>
  <c r="F10" i="14" s="1"/>
  <c r="E21" i="14"/>
  <c r="F21" i="14"/>
  <c r="F22" i="14"/>
  <c r="F5" i="14" l="1"/>
  <c r="N52" i="25"/>
  <c r="F11" i="14"/>
  <c r="F54" i="14" s="1"/>
  <c r="E54" i="14"/>
  <c r="E55" i="14" s="1"/>
  <c r="L52" i="25"/>
  <c r="P64" i="25"/>
  <c r="N6" i="25"/>
  <c r="L38" i="25"/>
  <c r="L34" i="25"/>
  <c r="L67" i="25"/>
  <c r="L63" i="25"/>
  <c r="L45" i="25"/>
  <c r="L41" i="25"/>
  <c r="L29" i="25"/>
  <c r="M16" i="25"/>
  <c r="L16" i="25" s="1"/>
  <c r="L11" i="25"/>
  <c r="J49" i="25"/>
  <c r="J64" i="25"/>
  <c r="G13" i="16"/>
  <c r="G15" i="16"/>
  <c r="N62" i="25"/>
  <c r="N13" i="25"/>
  <c r="N9" i="25"/>
  <c r="L58" i="25"/>
  <c r="L65" i="25"/>
  <c r="L60" i="25"/>
  <c r="N66" i="25"/>
  <c r="N33" i="25"/>
  <c r="N69" i="25"/>
  <c r="P55" i="25"/>
  <c r="N30" i="25"/>
  <c r="N22" i="25"/>
  <c r="N17" i="25"/>
  <c r="N11" i="25"/>
  <c r="N7" i="25"/>
  <c r="L59" i="25"/>
  <c r="N47" i="25"/>
  <c r="L27" i="25"/>
  <c r="N20" i="25"/>
  <c r="N63" i="25"/>
  <c r="N57" i="25"/>
  <c r="N53" i="25"/>
  <c r="N48" i="25"/>
  <c r="N44" i="25"/>
  <c r="L12" i="25"/>
  <c r="J57" i="25"/>
  <c r="J53" i="25"/>
  <c r="J48" i="25"/>
  <c r="J44" i="25"/>
  <c r="J40" i="25"/>
  <c r="J35" i="25"/>
  <c r="J25" i="25"/>
  <c r="P49" i="25"/>
  <c r="P8" i="25"/>
  <c r="P54" i="25"/>
  <c r="P25" i="25"/>
  <c r="BH28" i="25"/>
  <c r="N58" i="25"/>
  <c r="N61" i="25"/>
  <c r="J24" i="25"/>
  <c r="J19" i="25"/>
  <c r="J15" i="25"/>
  <c r="J10" i="25"/>
  <c r="P34" i="25"/>
  <c r="P53" i="25"/>
  <c r="P40" i="25"/>
  <c r="P19" i="25"/>
  <c r="P11" i="25"/>
  <c r="N15" i="25"/>
  <c r="L42" i="25"/>
  <c r="L37" i="25"/>
  <c r="L30" i="25"/>
  <c r="L14" i="25"/>
  <c r="L6" i="25"/>
  <c r="J38" i="25"/>
  <c r="J34" i="25"/>
  <c r="J67" i="25"/>
  <c r="J63" i="25"/>
  <c r="BH58" i="25"/>
  <c r="BH69" i="25"/>
  <c r="BH60" i="25"/>
  <c r="BH51" i="25"/>
  <c r="BH42" i="25"/>
  <c r="BH30" i="25"/>
  <c r="BH22" i="25"/>
  <c r="BH13" i="25"/>
  <c r="P45" i="25"/>
  <c r="P36" i="25"/>
  <c r="N35" i="25"/>
  <c r="L7" i="25"/>
  <c r="J55" i="25"/>
  <c r="J51" i="25"/>
  <c r="BH48" i="25"/>
  <c r="N8" i="25"/>
  <c r="N68" i="25"/>
  <c r="N65" i="25"/>
  <c r="N55" i="25"/>
  <c r="N43" i="25"/>
  <c r="N27" i="25"/>
  <c r="N24" i="25"/>
  <c r="L49" i="25"/>
  <c r="L51" i="25"/>
  <c r="L10" i="25"/>
  <c r="J42" i="25"/>
  <c r="J37" i="25"/>
  <c r="J30" i="25"/>
  <c r="P41" i="25"/>
  <c r="P13" i="25"/>
  <c r="J46" i="25"/>
  <c r="BH67" i="25"/>
  <c r="BH11" i="25"/>
  <c r="P67" i="25"/>
  <c r="P9" i="25"/>
  <c r="N38" i="25"/>
  <c r="N59" i="25"/>
  <c r="N54" i="25"/>
  <c r="N50" i="25"/>
  <c r="N37" i="25"/>
  <c r="N18" i="25"/>
  <c r="L33" i="25"/>
  <c r="L69" i="25"/>
  <c r="L44" i="25"/>
  <c r="L40" i="25"/>
  <c r="L21" i="25"/>
  <c r="J41" i="25"/>
  <c r="J26" i="25"/>
  <c r="J22" i="25"/>
  <c r="J17" i="25"/>
  <c r="J13" i="25"/>
  <c r="J9" i="25"/>
  <c r="E12" i="19"/>
  <c r="I12" i="19"/>
  <c r="M12" i="19"/>
  <c r="Q12" i="19"/>
  <c r="U12" i="19"/>
  <c r="K12" i="19"/>
  <c r="S12" i="19"/>
  <c r="D12" i="19"/>
  <c r="L12" i="19"/>
  <c r="T12" i="19"/>
  <c r="F12" i="19"/>
  <c r="J12" i="19"/>
  <c r="N12" i="19"/>
  <c r="R12" i="19"/>
  <c r="V12" i="19"/>
  <c r="G12" i="19"/>
  <c r="O12" i="19"/>
  <c r="C12" i="19"/>
  <c r="H12" i="19"/>
  <c r="P12" i="19"/>
  <c r="F13" i="19"/>
  <c r="J13" i="19"/>
  <c r="N13" i="19"/>
  <c r="R13" i="19"/>
  <c r="V13" i="19"/>
  <c r="D13" i="19"/>
  <c r="H13" i="19"/>
  <c r="P13" i="19"/>
  <c r="E13" i="19"/>
  <c r="E14" i="19" s="1"/>
  <c r="Q13" i="19"/>
  <c r="G13" i="19"/>
  <c r="K13" i="19"/>
  <c r="O13" i="19"/>
  <c r="O14" i="19" s="1"/>
  <c r="S13" i="19"/>
  <c r="C13" i="19"/>
  <c r="L13" i="19"/>
  <c r="T13" i="19"/>
  <c r="I13" i="19"/>
  <c r="M13" i="19"/>
  <c r="U13" i="19"/>
  <c r="G18" i="16"/>
  <c r="G12" i="16"/>
  <c r="P57" i="25"/>
  <c r="P48" i="25"/>
  <c r="N40" i="25"/>
  <c r="N25" i="25"/>
  <c r="N56" i="25"/>
  <c r="N39" i="25"/>
  <c r="L13" i="25"/>
  <c r="J62" i="25"/>
  <c r="J31" i="25"/>
  <c r="BH38" i="25"/>
  <c r="BH57" i="25"/>
  <c r="BH40" i="25"/>
  <c r="BH19" i="25"/>
  <c r="BH6" i="25"/>
  <c r="P6" i="25"/>
  <c r="N60" i="25"/>
  <c r="L55" i="25"/>
  <c r="L20" i="25"/>
  <c r="J32" i="25"/>
  <c r="L66" i="25"/>
  <c r="J61" i="25"/>
  <c r="J27" i="25"/>
  <c r="J23" i="25"/>
  <c r="J68" i="25"/>
  <c r="P62" i="25"/>
  <c r="P20" i="25"/>
  <c r="P32" i="25"/>
  <c r="P66" i="25"/>
  <c r="P61" i="25"/>
  <c r="P56" i="25"/>
  <c r="P52" i="25"/>
  <c r="P47" i="25"/>
  <c r="P43" i="25"/>
  <c r="P39" i="25"/>
  <c r="P31" i="25"/>
  <c r="P27" i="25"/>
  <c r="P23" i="25"/>
  <c r="P18" i="25"/>
  <c r="P14" i="25"/>
  <c r="P10" i="25"/>
  <c r="P7" i="25"/>
  <c r="BH33" i="25"/>
  <c r="BH65" i="25"/>
  <c r="BH55" i="25"/>
  <c r="BH46" i="25"/>
  <c r="BH37" i="25"/>
  <c r="BH26" i="25"/>
  <c r="BH17" i="25"/>
  <c r="BH9" i="25"/>
  <c r="AM78" i="25"/>
  <c r="AQ78" i="25"/>
  <c r="AU78" i="25"/>
  <c r="N34" i="25"/>
  <c r="N42" i="25"/>
  <c r="N10" i="25"/>
  <c r="L68" i="25"/>
  <c r="L46" i="25"/>
  <c r="J56" i="25"/>
  <c r="J52" i="25"/>
  <c r="J47" i="25"/>
  <c r="J18" i="25"/>
  <c r="J14" i="25"/>
  <c r="J12" i="25"/>
  <c r="P17" i="25"/>
  <c r="AN78" i="25"/>
  <c r="P33" i="25"/>
  <c r="P59" i="25"/>
  <c r="P37" i="25"/>
  <c r="P21" i="25"/>
  <c r="N46" i="25"/>
  <c r="N26" i="25"/>
  <c r="J8" i="25"/>
  <c r="J54" i="25"/>
  <c r="P65" i="25"/>
  <c r="P50" i="25"/>
  <c r="P44" i="25"/>
  <c r="P26" i="25"/>
  <c r="N32" i="25"/>
  <c r="N67" i="25"/>
  <c r="N64" i="25"/>
  <c r="N45" i="25"/>
  <c r="N31" i="25"/>
  <c r="N28" i="25"/>
  <c r="N14" i="25"/>
  <c r="L15" i="25"/>
  <c r="J20" i="25"/>
  <c r="J50" i="25"/>
  <c r="J45" i="25"/>
  <c r="J29" i="25"/>
  <c r="J11" i="25"/>
  <c r="BG6" i="25"/>
  <c r="L56" i="25"/>
  <c r="P68" i="25"/>
  <c r="P63" i="25"/>
  <c r="P46" i="25"/>
  <c r="P29" i="25"/>
  <c r="P24" i="25"/>
  <c r="P16" i="25"/>
  <c r="N23" i="25"/>
  <c r="N19" i="25"/>
  <c r="N12" i="25"/>
  <c r="J66" i="25"/>
  <c r="J36" i="25"/>
  <c r="BH49" i="25"/>
  <c r="BH8" i="25"/>
  <c r="BH68" i="25"/>
  <c r="BH64" i="25"/>
  <c r="BH59" i="25"/>
  <c r="BH54" i="25"/>
  <c r="BH50" i="25"/>
  <c r="BH45" i="25"/>
  <c r="BH41" i="25"/>
  <c r="BH36" i="25"/>
  <c r="BH29" i="25"/>
  <c r="BH25" i="25"/>
  <c r="BH21" i="25"/>
  <c r="BH16" i="25"/>
  <c r="BH12" i="25"/>
  <c r="J21" i="25"/>
  <c r="J16" i="25"/>
  <c r="AT78" i="25"/>
  <c r="AP78" i="25"/>
  <c r="AS78" i="25"/>
  <c r="AO78" i="25"/>
  <c r="P12" i="25"/>
  <c r="L62" i="25"/>
  <c r="L8" i="25"/>
  <c r="L32" i="25"/>
  <c r="L64" i="25"/>
  <c r="L61" i="25"/>
  <c r="L54" i="25"/>
  <c r="L47" i="25"/>
  <c r="L43" i="25"/>
  <c r="L39" i="25"/>
  <c r="L36" i="25"/>
  <c r="L31" i="25"/>
  <c r="L25" i="25"/>
  <c r="L23" i="25"/>
  <c r="L18" i="25"/>
  <c r="L9" i="25"/>
  <c r="J7" i="25"/>
  <c r="BG38" i="25"/>
  <c r="BI38" i="25"/>
  <c r="BG34" i="25"/>
  <c r="BI34" i="25"/>
  <c r="BG67" i="25"/>
  <c r="BI67" i="25"/>
  <c r="BG63" i="25"/>
  <c r="BI63" i="25"/>
  <c r="BG57" i="25"/>
  <c r="BI57" i="25"/>
  <c r="BG53" i="25"/>
  <c r="BI53" i="25"/>
  <c r="BG48" i="25"/>
  <c r="BI48" i="25"/>
  <c r="BG44" i="25"/>
  <c r="BI44" i="25"/>
  <c r="BG40" i="25"/>
  <c r="BI40" i="25"/>
  <c r="BG35" i="25"/>
  <c r="BI35" i="25"/>
  <c r="BG28" i="25"/>
  <c r="BI28" i="25"/>
  <c r="BG24" i="25"/>
  <c r="BI24" i="25"/>
  <c r="BG19" i="25"/>
  <c r="BI19" i="25"/>
  <c r="BG15" i="25"/>
  <c r="BI15" i="25"/>
  <c r="BG11" i="25"/>
  <c r="BI11" i="25"/>
  <c r="AL78" i="25"/>
  <c r="AR78" i="25"/>
  <c r="P58" i="25"/>
  <c r="P69" i="25"/>
  <c r="P60" i="25"/>
  <c r="P51" i="25"/>
  <c r="P42" i="25"/>
  <c r="P30" i="25"/>
  <c r="P22" i="25"/>
  <c r="BG62" i="25"/>
  <c r="BH62" i="25"/>
  <c r="BI62" i="25"/>
  <c r="BG20" i="25"/>
  <c r="BH20" i="25"/>
  <c r="BI20" i="25"/>
  <c r="BG32" i="25"/>
  <c r="BH32" i="25"/>
  <c r="BI32" i="25"/>
  <c r="BG66" i="25"/>
  <c r="BH66" i="25"/>
  <c r="BI66" i="25"/>
  <c r="BG61" i="25"/>
  <c r="BH61" i="25"/>
  <c r="BI61" i="25"/>
  <c r="BG56" i="25"/>
  <c r="BH56" i="25"/>
  <c r="BI56" i="25"/>
  <c r="BG52" i="25"/>
  <c r="BH52" i="25"/>
  <c r="BI52" i="25"/>
  <c r="BG47" i="25"/>
  <c r="BH47" i="25"/>
  <c r="BI47" i="25"/>
  <c r="BG43" i="25"/>
  <c r="BH43" i="25"/>
  <c r="BI43" i="25"/>
  <c r="BG39" i="25"/>
  <c r="BH39" i="25"/>
  <c r="BI39" i="25"/>
  <c r="BG31" i="25"/>
  <c r="BH31" i="25"/>
  <c r="BI31" i="25"/>
  <c r="BG27" i="25"/>
  <c r="BH27" i="25"/>
  <c r="BI27" i="25"/>
  <c r="BG23" i="25"/>
  <c r="BH23" i="25"/>
  <c r="BI23" i="25"/>
  <c r="BG18" i="25"/>
  <c r="BH18" i="25"/>
  <c r="BI18" i="25"/>
  <c r="BG14" i="25"/>
  <c r="BH14" i="25"/>
  <c r="BI14" i="25"/>
  <c r="BG10" i="25"/>
  <c r="BH10" i="25"/>
  <c r="BI10" i="25"/>
  <c r="BG7" i="25"/>
  <c r="BH7" i="25"/>
  <c r="BI7" i="25"/>
  <c r="BG58" i="25"/>
  <c r="BI58" i="25"/>
  <c r="BH34" i="25"/>
  <c r="BH63" i="25"/>
  <c r="BH53" i="25"/>
  <c r="BH44" i="25"/>
  <c r="BH35" i="25"/>
  <c r="BH24" i="25"/>
  <c r="BH15" i="25"/>
  <c r="BG33" i="25"/>
  <c r="BG69" i="25"/>
  <c r="BG65" i="25"/>
  <c r="BG60" i="25"/>
  <c r="BG55" i="25"/>
  <c r="BG51" i="25"/>
  <c r="BG46" i="25"/>
  <c r="BG42" i="25"/>
  <c r="BG37" i="25"/>
  <c r="BG30" i="25"/>
  <c r="BG26" i="25"/>
  <c r="BG22" i="25"/>
  <c r="BG17" i="25"/>
  <c r="BG13" i="25"/>
  <c r="BG9" i="25"/>
  <c r="BI49" i="25"/>
  <c r="BI8" i="25"/>
  <c r="BI68" i="25"/>
  <c r="BI64" i="25"/>
  <c r="BI59" i="25"/>
  <c r="BI54" i="25"/>
  <c r="BI50" i="25"/>
  <c r="BI45" i="25"/>
  <c r="BI41" i="25"/>
  <c r="BI36" i="25"/>
  <c r="BI29" i="25"/>
  <c r="BI25" i="25"/>
  <c r="BI21" i="25"/>
  <c r="BI16" i="25"/>
  <c r="BI12" i="25"/>
  <c r="BI33" i="25"/>
  <c r="BI69" i="25"/>
  <c r="BI65" i="25"/>
  <c r="BI60" i="25"/>
  <c r="BI55" i="25"/>
  <c r="BI51" i="25"/>
  <c r="BI46" i="25"/>
  <c r="BI42" i="25"/>
  <c r="BI37" i="25"/>
  <c r="BI30" i="25"/>
  <c r="BI26" i="25"/>
  <c r="BI22" i="25"/>
  <c r="BI17" i="25"/>
  <c r="BI13" i="25"/>
  <c r="BI9" i="25"/>
  <c r="BG49" i="25"/>
  <c r="BG8" i="25"/>
  <c r="BG68" i="25"/>
  <c r="BG64" i="25"/>
  <c r="BG59" i="25"/>
  <c r="BG54" i="25"/>
  <c r="BG50" i="25"/>
  <c r="BG45" i="25"/>
  <c r="BG41" i="25"/>
  <c r="BG36" i="25"/>
  <c r="BG29" i="25"/>
  <c r="BG25" i="25"/>
  <c r="BG21" i="25"/>
  <c r="BG16" i="25"/>
  <c r="BG12" i="25"/>
  <c r="AA70" i="25"/>
  <c r="O78" i="25"/>
  <c r="K78" i="25"/>
  <c r="Q78" i="25"/>
  <c r="F83" i="25" s="1"/>
  <c r="F84" i="25" s="1"/>
  <c r="F85" i="25" s="1"/>
  <c r="V70" i="25"/>
  <c r="M78" i="25"/>
  <c r="I78" i="25"/>
  <c r="I20" i="20"/>
  <c r="G14" i="16"/>
  <c r="G19" i="16"/>
  <c r="G17" i="16"/>
  <c r="B1" i="19"/>
  <c r="F11" i="27" l="1"/>
  <c r="G11" i="27" s="1"/>
  <c r="H11" i="27" s="1"/>
  <c r="N16" i="25"/>
  <c r="F55" i="14"/>
  <c r="R14" i="19"/>
  <c r="U14" i="19"/>
  <c r="L14" i="19"/>
  <c r="N14" i="19"/>
  <c r="S14" i="19"/>
  <c r="G14" i="19"/>
  <c r="C4" i="28"/>
  <c r="C3" i="28"/>
  <c r="E17" i="16" s="1"/>
  <c r="T14" i="19"/>
  <c r="L20" i="27"/>
  <c r="P20" i="27"/>
  <c r="T20" i="27"/>
  <c r="X20" i="27"/>
  <c r="M24" i="27"/>
  <c r="Q24" i="27"/>
  <c r="U24" i="27"/>
  <c r="M20" i="27"/>
  <c r="Q20" i="27"/>
  <c r="U20" i="27"/>
  <c r="J24" i="27"/>
  <c r="N24" i="27"/>
  <c r="R24" i="27"/>
  <c r="V24" i="27"/>
  <c r="J20" i="27"/>
  <c r="N20" i="27"/>
  <c r="R20" i="27"/>
  <c r="V20" i="27"/>
  <c r="K24" i="27"/>
  <c r="O24" i="27"/>
  <c r="S24" i="27"/>
  <c r="W24" i="27"/>
  <c r="K20" i="27"/>
  <c r="O20" i="27"/>
  <c r="S20" i="27"/>
  <c r="W20" i="27"/>
  <c r="L24" i="27"/>
  <c r="P24" i="27"/>
  <c r="T24" i="27"/>
  <c r="X24" i="27"/>
  <c r="J20" i="28"/>
  <c r="G16" i="16"/>
  <c r="Q28" i="27" s="1"/>
  <c r="E10" i="27"/>
  <c r="E9" i="33" s="1"/>
  <c r="I10" i="27"/>
  <c r="I9" i="33" s="1"/>
  <c r="F10" i="27"/>
  <c r="F9" i="33" s="1"/>
  <c r="G10" i="27"/>
  <c r="G9" i="33" s="1"/>
  <c r="H10" i="27"/>
  <c r="H9" i="33" s="1"/>
  <c r="BJ24" i="25"/>
  <c r="I14" i="19"/>
  <c r="K14" i="19"/>
  <c r="M14" i="19"/>
  <c r="BJ57" i="25"/>
  <c r="BJ6" i="25"/>
  <c r="C14" i="19"/>
  <c r="V14" i="19"/>
  <c r="F14" i="19"/>
  <c r="H14" i="19"/>
  <c r="BJ23" i="25"/>
  <c r="BJ39" i="25"/>
  <c r="BJ56" i="25"/>
  <c r="BJ20" i="25"/>
  <c r="BJ38" i="25"/>
  <c r="P14" i="19"/>
  <c r="BJ13" i="25"/>
  <c r="BJ51" i="25"/>
  <c r="BJ69" i="25"/>
  <c r="BJ22" i="25"/>
  <c r="BJ42" i="25"/>
  <c r="BJ60" i="25"/>
  <c r="Q14" i="19"/>
  <c r="M80" i="25"/>
  <c r="D14" i="19"/>
  <c r="J14" i="19"/>
  <c r="I25" i="16"/>
  <c r="BJ11" i="25"/>
  <c r="BJ19" i="25"/>
  <c r="BJ40" i="25"/>
  <c r="BJ67" i="25"/>
  <c r="BJ52" i="25"/>
  <c r="BJ14" i="25"/>
  <c r="BJ31" i="25"/>
  <c r="BJ47" i="25"/>
  <c r="BJ66" i="25"/>
  <c r="K80" i="25"/>
  <c r="I80" i="25"/>
  <c r="N78" i="25"/>
  <c r="BJ58" i="25"/>
  <c r="BJ18" i="25"/>
  <c r="BJ32" i="25"/>
  <c r="BJ25" i="25"/>
  <c r="BJ45" i="25"/>
  <c r="BJ64" i="25"/>
  <c r="BJ17" i="25"/>
  <c r="BJ37" i="25"/>
  <c r="BJ10" i="25"/>
  <c r="BJ27" i="25"/>
  <c r="BJ43" i="25"/>
  <c r="BJ61" i="25"/>
  <c r="BJ62" i="25"/>
  <c r="BJ46" i="25"/>
  <c r="BG70" i="25"/>
  <c r="BJ68" i="25"/>
  <c r="BJ21" i="25"/>
  <c r="BJ41" i="25"/>
  <c r="BJ59" i="25"/>
  <c r="BJ49" i="25"/>
  <c r="BJ26" i="25"/>
  <c r="BJ33" i="25"/>
  <c r="BJ44" i="25"/>
  <c r="O80" i="25"/>
  <c r="BJ35" i="25"/>
  <c r="BJ50" i="25"/>
  <c r="BJ30" i="25"/>
  <c r="BJ65" i="25"/>
  <c r="BJ63" i="25"/>
  <c r="BI70" i="25"/>
  <c r="BI78" i="25" s="1"/>
  <c r="H19" i="20" s="1"/>
  <c r="BJ28" i="25"/>
  <c r="BJ34" i="25"/>
  <c r="J78" i="25"/>
  <c r="P78" i="25"/>
  <c r="BJ53" i="25"/>
  <c r="BJ29" i="25"/>
  <c r="BJ16" i="25"/>
  <c r="BJ36" i="25"/>
  <c r="BJ54" i="25"/>
  <c r="BJ8" i="25"/>
  <c r="BJ9" i="25"/>
  <c r="BJ55" i="25"/>
  <c r="BJ7" i="25"/>
  <c r="BJ15" i="25"/>
  <c r="BJ48" i="25"/>
  <c r="BJ12" i="25"/>
  <c r="L78" i="25"/>
  <c r="BH70" i="25"/>
  <c r="BH78" i="25" s="1"/>
  <c r="G19" i="20" s="1"/>
  <c r="D16" i="20"/>
  <c r="D15" i="20" s="1"/>
  <c r="F86" i="25"/>
  <c r="F87" i="25" s="1"/>
  <c r="F88" i="25" s="1"/>
  <c r="F89" i="25" s="1"/>
  <c r="F90" i="25" s="1"/>
  <c r="F91" i="25" s="1"/>
  <c r="F92" i="25" s="1"/>
  <c r="F93" i="25" s="1"/>
  <c r="F94" i="25" s="1"/>
  <c r="F95" i="25" s="1"/>
  <c r="F96" i="25" s="1"/>
  <c r="F97" i="25" s="1"/>
  <c r="F98" i="25" s="1"/>
  <c r="F99" i="25" s="1"/>
  <c r="F100" i="25" s="1"/>
  <c r="F101" i="25" s="1"/>
  <c r="F102" i="25" s="1"/>
  <c r="F103" i="25" s="1"/>
  <c r="F104" i="25" s="1"/>
  <c r="F105" i="25" s="1"/>
  <c r="BG78" i="25"/>
  <c r="F19" i="20" s="1"/>
  <c r="I11" i="27" l="1"/>
  <c r="J11" i="27" s="1"/>
  <c r="K28" i="27"/>
  <c r="U28" i="27"/>
  <c r="N28" i="27"/>
  <c r="J28" i="27"/>
  <c r="T28" i="27"/>
  <c r="S28" i="27"/>
  <c r="O28" i="27"/>
  <c r="L28" i="27"/>
  <c r="R28" i="27"/>
  <c r="W28" i="27"/>
  <c r="M28" i="27"/>
  <c r="X28" i="27"/>
  <c r="V28" i="27"/>
  <c r="P28" i="27"/>
  <c r="M14" i="33"/>
  <c r="Q14" i="33"/>
  <c r="U14" i="33"/>
  <c r="J14" i="33"/>
  <c r="N14" i="33"/>
  <c r="R14" i="33"/>
  <c r="V14" i="33"/>
  <c r="L14" i="33"/>
  <c r="P14" i="33"/>
  <c r="T14" i="33"/>
  <c r="X14" i="33"/>
  <c r="K14" i="33"/>
  <c r="O14" i="33"/>
  <c r="S14" i="33"/>
  <c r="W14" i="33"/>
  <c r="Q16" i="27"/>
  <c r="T16" i="27"/>
  <c r="N16" i="27"/>
  <c r="X16" i="27"/>
  <c r="O16" i="27"/>
  <c r="R16" i="27"/>
  <c r="P16" i="27"/>
  <c r="W16" i="27"/>
  <c r="J16" i="27"/>
  <c r="S16" i="27"/>
  <c r="M16" i="27"/>
  <c r="L16" i="27"/>
  <c r="K16" i="27"/>
  <c r="V16" i="27"/>
  <c r="U16" i="27"/>
  <c r="F8" i="19"/>
  <c r="E8" i="19"/>
  <c r="D8" i="19"/>
  <c r="G8" i="19"/>
  <c r="C8" i="19"/>
  <c r="E80" i="25"/>
  <c r="BJ70" i="25"/>
  <c r="BJ78" i="25" s="1"/>
  <c r="I19" i="20" s="1"/>
  <c r="O10" i="27" l="1"/>
  <c r="O9" i="33" s="1"/>
  <c r="K10" i="27"/>
  <c r="K9" i="33" s="1"/>
  <c r="X10" i="27"/>
  <c r="X9" i="33" s="1"/>
  <c r="W10" i="27"/>
  <c r="W9" i="33" s="1"/>
  <c r="T10" i="27"/>
  <c r="T9" i="33" s="1"/>
  <c r="V10" i="27"/>
  <c r="V9" i="33" s="1"/>
  <c r="U10" i="27"/>
  <c r="U9" i="33" s="1"/>
  <c r="J10" i="27"/>
  <c r="J9" i="33" s="1"/>
  <c r="P10" i="27"/>
  <c r="P9" i="33" s="1"/>
  <c r="M10" i="27"/>
  <c r="S10" i="27"/>
  <c r="S9" i="33" s="1"/>
  <c r="N10" i="27"/>
  <c r="L10" i="27"/>
  <c r="L9" i="33" s="1"/>
  <c r="R10" i="27"/>
  <c r="Q10" i="27"/>
  <c r="Q9" i="33" s="1"/>
  <c r="H23" i="19"/>
  <c r="F23" i="19"/>
  <c r="D23" i="19"/>
  <c r="E23" i="19"/>
  <c r="G23" i="19"/>
  <c r="M8" i="19" l="1"/>
  <c r="N23" i="19" s="1"/>
  <c r="U8" i="19"/>
  <c r="V23" i="19" s="1"/>
  <c r="S8" i="19"/>
  <c r="T23" i="19" s="1"/>
  <c r="V8" i="19"/>
  <c r="W23" i="19" s="1"/>
  <c r="N8" i="19"/>
  <c r="O23" i="19" s="1"/>
  <c r="O8" i="19"/>
  <c r="P23" i="19" s="1"/>
  <c r="R8" i="19"/>
  <c r="S23" i="19" s="1"/>
  <c r="T8" i="19"/>
  <c r="U23" i="19" s="1"/>
  <c r="H8" i="19"/>
  <c r="I23" i="19" s="1"/>
  <c r="Q8" i="19"/>
  <c r="R23" i="19" s="1"/>
  <c r="P8" i="19"/>
  <c r="Q23" i="19" s="1"/>
  <c r="R9" i="33"/>
  <c r="K8" i="19"/>
  <c r="L23" i="19" s="1"/>
  <c r="M9" i="33"/>
  <c r="L8" i="19"/>
  <c r="M23" i="19" s="1"/>
  <c r="N9" i="33"/>
  <c r="C3" i="27"/>
  <c r="BN21" i="25" s="1"/>
  <c r="J8" i="19"/>
  <c r="I8" i="19"/>
  <c r="C3" i="33" l="1"/>
  <c r="BK53" i="25"/>
  <c r="BN41" i="25"/>
  <c r="BN16" i="25"/>
  <c r="BM33" i="25"/>
  <c r="BK20" i="25"/>
  <c r="BM64" i="25"/>
  <c r="BL21" i="25"/>
  <c r="BK29" i="25"/>
  <c r="BN40" i="25"/>
  <c r="BM39" i="25"/>
  <c r="BN7" i="25"/>
  <c r="BM8" i="25"/>
  <c r="BL62" i="25"/>
  <c r="BL45" i="25"/>
  <c r="BM69" i="25"/>
  <c r="BK32" i="25"/>
  <c r="BM59" i="25"/>
  <c r="BK37" i="25"/>
  <c r="BN51" i="25"/>
  <c r="BM47" i="25"/>
  <c r="BL52" i="25"/>
  <c r="BM65" i="25"/>
  <c r="BM54" i="25"/>
  <c r="BK61" i="25"/>
  <c r="BN64" i="25"/>
  <c r="BL67" i="25"/>
  <c r="BN33" i="25"/>
  <c r="BK48" i="25"/>
  <c r="BN59" i="25"/>
  <c r="BK7" i="25"/>
  <c r="BM29" i="25"/>
  <c r="BK42" i="25"/>
  <c r="BK24" i="25"/>
  <c r="BK15" i="25"/>
  <c r="BN9" i="25"/>
  <c r="BM52" i="25"/>
  <c r="BL55" i="25"/>
  <c r="BN47" i="25"/>
  <c r="BK46" i="25"/>
  <c r="BK47" i="25"/>
  <c r="BN43" i="25"/>
  <c r="BM15" i="25"/>
  <c r="BM24" i="25"/>
  <c r="BM44" i="25"/>
  <c r="BM61" i="25"/>
  <c r="BN24" i="25"/>
  <c r="BN36" i="25"/>
  <c r="BK27" i="25"/>
  <c r="BL23" i="25"/>
  <c r="BN44" i="25"/>
  <c r="BN11" i="25"/>
  <c r="BL33" i="25"/>
  <c r="BL64" i="25"/>
  <c r="BK69" i="25"/>
  <c r="BN8" i="25"/>
  <c r="BN68" i="25"/>
  <c r="BL69" i="25"/>
  <c r="BL59" i="25"/>
  <c r="BK38" i="25"/>
  <c r="BM62" i="25"/>
  <c r="BN42" i="25"/>
  <c r="BM66" i="25"/>
  <c r="BM43" i="25"/>
  <c r="BK62" i="25"/>
  <c r="BM57" i="25"/>
  <c r="BK33" i="25"/>
  <c r="BN45" i="25"/>
  <c r="BM55" i="25"/>
  <c r="BM45" i="25"/>
  <c r="BN69" i="25"/>
  <c r="BL38" i="25"/>
  <c r="BM36" i="25"/>
  <c r="BM51" i="25"/>
  <c r="BM41" i="25"/>
  <c r="BN38" i="25"/>
  <c r="BM11" i="25"/>
  <c r="BM16" i="25"/>
  <c r="BK40" i="25"/>
  <c r="BM18" i="25"/>
  <c r="BK54" i="25"/>
  <c r="BL34" i="25"/>
  <c r="BL18" i="25"/>
  <c r="BL41" i="25"/>
  <c r="BK44" i="25"/>
  <c r="BL51" i="25"/>
  <c r="BN29" i="25"/>
  <c r="BL24" i="25"/>
  <c r="BL47" i="25"/>
  <c r="BM14" i="25"/>
  <c r="BN65" i="25"/>
  <c r="BL35" i="25"/>
  <c r="BL16" i="25"/>
  <c r="BK58" i="25"/>
  <c r="BN32" i="25"/>
  <c r="BL54" i="25"/>
  <c r="BK21" i="25"/>
  <c r="BL9" i="25"/>
  <c r="BL27" i="25"/>
  <c r="BN66" i="25"/>
  <c r="BL63" i="25"/>
  <c r="BK26" i="25"/>
  <c r="BK66" i="25"/>
  <c r="BK50" i="25"/>
  <c r="BN31" i="25"/>
  <c r="BL39" i="25"/>
  <c r="BN57" i="25"/>
  <c r="BL29" i="25"/>
  <c r="BL15" i="25"/>
  <c r="BK16" i="25"/>
  <c r="BK56" i="25"/>
  <c r="BK55" i="25"/>
  <c r="BM20" i="25"/>
  <c r="BM46" i="25"/>
  <c r="BK67" i="25"/>
  <c r="BK52" i="25"/>
  <c r="BK63" i="25"/>
  <c r="BN15" i="25"/>
  <c r="BM26" i="25"/>
  <c r="BN56" i="25"/>
  <c r="BM67" i="25"/>
  <c r="BL48" i="25"/>
  <c r="BK35" i="25"/>
  <c r="BM31" i="25"/>
  <c r="BN20" i="25"/>
  <c r="BK68" i="25"/>
  <c r="BK30" i="25"/>
  <c r="BN26" i="25"/>
  <c r="BM22" i="25"/>
  <c r="BN30" i="25"/>
  <c r="BK23" i="25"/>
  <c r="BN52" i="25"/>
  <c r="BN62" i="25"/>
  <c r="BK36" i="25"/>
  <c r="BM37" i="25"/>
  <c r="BK39" i="25"/>
  <c r="BL40" i="25"/>
  <c r="BK22" i="25"/>
  <c r="BN27" i="25"/>
  <c r="BM25" i="25"/>
  <c r="BL6" i="25"/>
  <c r="BM53" i="25"/>
  <c r="BK19" i="25"/>
  <c r="BN46" i="25"/>
  <c r="BK34" i="25"/>
  <c r="BM40" i="25"/>
  <c r="BM9" i="25"/>
  <c r="BK10" i="25"/>
  <c r="BL8" i="25"/>
  <c r="BK8" i="25"/>
  <c r="BK60" i="25"/>
  <c r="BM30" i="25"/>
  <c r="BN23" i="25"/>
  <c r="BM21" i="25"/>
  <c r="BM63" i="25"/>
  <c r="BN53" i="25"/>
  <c r="BM48" i="25"/>
  <c r="BN61" i="25"/>
  <c r="BK31" i="25"/>
  <c r="BK25" i="25"/>
  <c r="BN12" i="25"/>
  <c r="BL11" i="25"/>
  <c r="BK49" i="25"/>
  <c r="BM50" i="25"/>
  <c r="BL12" i="25"/>
  <c r="BK11" i="25"/>
  <c r="BL43" i="25"/>
  <c r="BN28" i="25"/>
  <c r="BK65" i="25"/>
  <c r="BN14" i="25"/>
  <c r="BL65" i="25"/>
  <c r="BM6" i="25"/>
  <c r="BK9" i="25"/>
  <c r="BL56" i="25"/>
  <c r="BL7" i="25"/>
  <c r="BM58" i="25"/>
  <c r="BM35" i="25"/>
  <c r="BK59" i="25"/>
  <c r="BK64" i="25"/>
  <c r="BN48" i="25"/>
  <c r="BL32" i="25"/>
  <c r="BL37" i="25"/>
  <c r="BN50" i="25"/>
  <c r="BL44" i="25"/>
  <c r="BK28" i="25"/>
  <c r="BN67" i="25"/>
  <c r="BL30" i="25"/>
  <c r="BN55" i="25"/>
  <c r="BL50" i="25"/>
  <c r="BL53" i="25"/>
  <c r="BM60" i="25"/>
  <c r="BK41" i="25"/>
  <c r="BL22" i="25"/>
  <c r="BM68" i="25"/>
  <c r="BM42" i="25"/>
  <c r="BN63" i="25"/>
  <c r="BL14" i="25"/>
  <c r="BN58" i="25"/>
  <c r="BL28" i="25"/>
  <c r="BL61" i="25"/>
  <c r="BN10" i="25"/>
  <c r="BK18" i="25"/>
  <c r="BL20" i="25"/>
  <c r="BN60" i="25"/>
  <c r="BN22" i="25"/>
  <c r="BM7" i="25"/>
  <c r="BK12" i="25"/>
  <c r="BK6" i="25"/>
  <c r="BL46" i="25"/>
  <c r="BL13" i="25"/>
  <c r="BK14" i="25"/>
  <c r="BM10" i="25"/>
  <c r="BN49" i="25"/>
  <c r="BN34" i="25"/>
  <c r="BN13" i="25"/>
  <c r="BN54" i="25"/>
  <c r="BN39" i="25"/>
  <c r="BL36" i="25"/>
  <c r="BK45" i="25"/>
  <c r="BL49" i="25"/>
  <c r="BL19" i="25"/>
  <c r="BM32" i="25"/>
  <c r="BN37" i="25"/>
  <c r="BL66" i="25"/>
  <c r="BL17" i="25"/>
  <c r="BM49" i="25"/>
  <c r="BN19" i="25"/>
  <c r="BK17" i="25"/>
  <c r="BL26" i="25"/>
  <c r="BL31" i="25"/>
  <c r="BN6" i="25"/>
  <c r="BL42" i="25"/>
  <c r="BL68" i="25"/>
  <c r="BK43" i="25"/>
  <c r="BM27" i="25"/>
  <c r="BN35" i="25"/>
  <c r="BM23" i="25"/>
  <c r="BM28" i="25"/>
  <c r="BK57" i="25"/>
  <c r="BM17" i="25"/>
  <c r="BL10" i="25"/>
  <c r="BL25" i="25"/>
  <c r="BN25" i="25"/>
  <c r="BM56" i="25"/>
  <c r="BL57" i="25"/>
  <c r="BM12" i="25"/>
  <c r="BN17" i="25"/>
  <c r="BM38" i="25"/>
  <c r="BL60" i="25"/>
  <c r="BM13" i="25"/>
  <c r="BL58" i="25"/>
  <c r="BK51" i="25"/>
  <c r="BN18" i="25"/>
  <c r="BM19" i="25"/>
  <c r="BK13" i="25"/>
  <c r="BM34" i="25"/>
  <c r="K23" i="19"/>
  <c r="J23" i="19"/>
  <c r="BN70" i="25" l="1"/>
  <c r="BN79" i="25" s="1"/>
  <c r="I24" i="20" s="1"/>
  <c r="I28" i="20" s="1"/>
  <c r="BK70" i="25"/>
  <c r="BK79" i="25" s="1"/>
  <c r="F24" i="20" s="1"/>
  <c r="F28" i="20" s="1"/>
  <c r="BM70" i="25"/>
  <c r="BM79" i="25" s="1"/>
  <c r="H24" i="20" s="1"/>
  <c r="H28" i="20" s="1"/>
  <c r="BL70" i="25"/>
  <c r="BL79" i="25" s="1"/>
  <c r="G24" i="20" s="1"/>
  <c r="G28" i="20" s="1"/>
  <c r="D10" i="20"/>
  <c r="D28" i="20" s="1"/>
  <c r="BL78" i="25" l="1"/>
  <c r="BK78" i="25"/>
  <c r="BM78" i="25"/>
  <c r="BN78" i="25"/>
  <c r="D24" i="20"/>
  <c r="E12" i="27"/>
  <c r="E10" i="33" s="1"/>
  <c r="C7" i="19"/>
  <c r="D21" i="19" s="1"/>
  <c r="D24" i="19" s="1"/>
  <c r="C9" i="19" l="1"/>
  <c r="C17" i="19" s="1"/>
  <c r="D7" i="19"/>
  <c r="F12" i="27"/>
  <c r="F10" i="33" s="1"/>
  <c r="E7" i="19" l="1"/>
  <c r="E9" i="19" s="1"/>
  <c r="E17" i="19" s="1"/>
  <c r="G12" i="27"/>
  <c r="G10" i="33" s="1"/>
  <c r="H12" i="27"/>
  <c r="H10" i="33" s="1"/>
  <c r="F7" i="19"/>
  <c r="D9" i="19"/>
  <c r="D17" i="19" s="1"/>
  <c r="E21" i="19"/>
  <c r="E24" i="19" s="1"/>
  <c r="F21" i="19" l="1"/>
  <c r="F24" i="19" s="1"/>
  <c r="I12" i="27"/>
  <c r="G7" i="19"/>
  <c r="G21" i="19"/>
  <c r="G24" i="19" s="1"/>
  <c r="F9" i="19"/>
  <c r="F17" i="19" s="1"/>
  <c r="K11" i="27" l="1"/>
  <c r="I10" i="33"/>
  <c r="H7" i="19"/>
  <c r="H9" i="19" s="1"/>
  <c r="H17" i="19" s="1"/>
  <c r="J12" i="27"/>
  <c r="J10" i="33" s="1"/>
  <c r="G9" i="19"/>
  <c r="G17" i="19" s="1"/>
  <c r="H21" i="19"/>
  <c r="H24" i="19" s="1"/>
  <c r="K12" i="27" l="1"/>
  <c r="K10" i="33" s="1"/>
  <c r="I7" i="19"/>
  <c r="J21" i="19" s="1"/>
  <c r="J24" i="19" s="1"/>
  <c r="L11" i="27"/>
  <c r="I21" i="19"/>
  <c r="I24" i="19" s="1"/>
  <c r="I9" i="19" l="1"/>
  <c r="I17" i="19" s="1"/>
  <c r="M11" i="27"/>
  <c r="N11" i="27" s="1"/>
  <c r="L7" i="19" s="1"/>
  <c r="L9" i="19" s="1"/>
  <c r="L17" i="19" s="1"/>
  <c r="L12" i="27"/>
  <c r="L10" i="33" s="1"/>
  <c r="J7" i="19"/>
  <c r="J9" i="19" s="1"/>
  <c r="J17" i="19" s="1"/>
  <c r="N12" i="27" l="1"/>
  <c r="N10" i="33" s="1"/>
  <c r="K21" i="19"/>
  <c r="K24" i="19" s="1"/>
  <c r="O11" i="27"/>
  <c r="M7" i="19" s="1"/>
  <c r="M21" i="19"/>
  <c r="M24" i="19" s="1"/>
  <c r="M12" i="27"/>
  <c r="M10" i="33" s="1"/>
  <c r="K7" i="19"/>
  <c r="O12" i="27" l="1"/>
  <c r="O10" i="33" s="1"/>
  <c r="P11" i="27"/>
  <c r="P12" i="27" s="1"/>
  <c r="P10" i="33" s="1"/>
  <c r="K9" i="19"/>
  <c r="K17" i="19" s="1"/>
  <c r="L21" i="19"/>
  <c r="L24" i="19" s="1"/>
  <c r="M9" i="19"/>
  <c r="M17" i="19" s="1"/>
  <c r="N21" i="19"/>
  <c r="N24" i="19" s="1"/>
  <c r="Q11" i="27" l="1"/>
  <c r="R11" i="27" s="1"/>
  <c r="R12" i="27" s="1"/>
  <c r="R10" i="33" s="1"/>
  <c r="N7" i="19"/>
  <c r="O21" i="19" s="1"/>
  <c r="O24" i="19" s="1"/>
  <c r="S11" i="27"/>
  <c r="T11" i="27" s="1"/>
  <c r="U11" i="27" s="1"/>
  <c r="V11" i="27" s="1"/>
  <c r="W11" i="27" s="1"/>
  <c r="X11" i="27" s="1"/>
  <c r="Q12" i="27"/>
  <c r="Q10" i="33" s="1"/>
  <c r="O7" i="19"/>
  <c r="P21" i="19" s="1"/>
  <c r="P24" i="19" s="1"/>
  <c r="P7" i="19" l="1"/>
  <c r="P9" i="19" s="1"/>
  <c r="P17" i="19" s="1"/>
  <c r="N9" i="19"/>
  <c r="N17" i="19" s="1"/>
  <c r="O9" i="19"/>
  <c r="O17" i="19" s="1"/>
  <c r="Q7" i="19"/>
  <c r="R21" i="19" s="1"/>
  <c r="R24" i="19" s="1"/>
  <c r="T12" i="27"/>
  <c r="T10" i="33" s="1"/>
  <c r="S12" i="27"/>
  <c r="S10" i="33" s="1"/>
  <c r="R7" i="19"/>
  <c r="R9" i="19" s="1"/>
  <c r="R17" i="19" s="1"/>
  <c r="Q21" i="19"/>
  <c r="Q24" i="19" s="1"/>
  <c r="U12" i="27"/>
  <c r="U10" i="33" s="1"/>
  <c r="S7" i="19"/>
  <c r="S21" i="19"/>
  <c r="S24" i="19" s="1"/>
  <c r="Q9" i="19" l="1"/>
  <c r="Q17" i="19" s="1"/>
  <c r="T7" i="19"/>
  <c r="V12" i="27"/>
  <c r="V10" i="33" s="1"/>
  <c r="T21" i="19"/>
  <c r="T24" i="19" s="1"/>
  <c r="S9" i="19"/>
  <c r="S17" i="19" s="1"/>
  <c r="W12" i="27" l="1"/>
  <c r="W10" i="33" s="1"/>
  <c r="U7" i="19"/>
  <c r="U21" i="19"/>
  <c r="U24" i="19" s="1"/>
  <c r="T9" i="19"/>
  <c r="T17" i="19" s="1"/>
  <c r="U9" i="19" l="1"/>
  <c r="U17" i="19" s="1"/>
  <c r="V21" i="19"/>
  <c r="V24" i="19" s="1"/>
  <c r="V7" i="19"/>
  <c r="X12" i="27"/>
  <c r="X10" i="33" s="1"/>
  <c r="C4" i="27"/>
  <c r="C4" i="33" l="1"/>
  <c r="C2" i="33"/>
  <c r="C2" i="27"/>
  <c r="C5" i="27"/>
  <c r="V9" i="19"/>
  <c r="V17" i="19" s="1"/>
  <c r="C19" i="19" s="1"/>
  <c r="W21" i="19"/>
  <c r="W24" i="19" s="1"/>
  <c r="C28" i="19" s="1"/>
  <c r="D30" i="16" s="1"/>
  <c r="C26" i="19" l="1"/>
  <c r="D9" i="20" l="1"/>
</calcChain>
</file>

<file path=xl/sharedStrings.xml><?xml version="1.0" encoding="utf-8"?>
<sst xmlns="http://schemas.openxmlformats.org/spreadsheetml/2006/main" count="2143" uniqueCount="773">
  <si>
    <t>Ministry of Finance</t>
  </si>
  <si>
    <t>Ministry</t>
  </si>
  <si>
    <t>Provinsi</t>
  </si>
  <si>
    <t>District</t>
  </si>
  <si>
    <t>City</t>
  </si>
  <si>
    <t>Grand Total</t>
  </si>
  <si>
    <t>Institution</t>
  </si>
  <si>
    <t>Ministry of Foreign affairs</t>
  </si>
  <si>
    <t>Ministry of Health</t>
  </si>
  <si>
    <t>Ministry of Public Works</t>
  </si>
  <si>
    <t>Ministry of Transportation</t>
  </si>
  <si>
    <t>Islands of Riau (P)</t>
  </si>
  <si>
    <t>Badung, Bali (D)</t>
  </si>
  <si>
    <t>Maros (D)</t>
  </si>
  <si>
    <t>Muaro Jambi (D)</t>
  </si>
  <si>
    <t xml:space="preserve">Balikpapan (C) </t>
  </si>
  <si>
    <t xml:space="preserve">Yogyakarta (C) </t>
  </si>
  <si>
    <t>Banggai (D)</t>
  </si>
  <si>
    <t>Banyuasin (D)</t>
  </si>
  <si>
    <t>Dharmasraya (D)</t>
  </si>
  <si>
    <t>Bone Bolango (D)</t>
  </si>
  <si>
    <t>Pasuruan (D)</t>
  </si>
  <si>
    <t>Berau (D)</t>
  </si>
  <si>
    <t>Nusa Tenggara Timur (NTT) (P)</t>
  </si>
  <si>
    <t xml:space="preserve">Tangerang (C) </t>
  </si>
  <si>
    <t>DKI Jakarta (P)</t>
  </si>
  <si>
    <t>Maluku (P)</t>
  </si>
  <si>
    <t>BMKG (I)</t>
  </si>
  <si>
    <t xml:space="preserve">Cimahi (C) </t>
  </si>
  <si>
    <t>Sukabumi (C)</t>
  </si>
  <si>
    <t>Minahasa Utara (D)</t>
  </si>
  <si>
    <t>Solok (D)</t>
  </si>
  <si>
    <t>ITB  (I)</t>
  </si>
  <si>
    <t>Gorontalo (P)</t>
  </si>
  <si>
    <t>Nusa Tenggara Barat (NTB) (P)</t>
  </si>
  <si>
    <t>Sarolangun, Jambi (D)</t>
  </si>
  <si>
    <t>Mamuju (D)</t>
  </si>
  <si>
    <t>Banjar (D)</t>
  </si>
  <si>
    <t xml:space="preserve">Bandung (C) </t>
  </si>
  <si>
    <t xml:space="preserve">Cirebon (C) </t>
  </si>
  <si>
    <t>Gresik (D)</t>
  </si>
  <si>
    <t xml:space="preserve">Jayapura (C) </t>
  </si>
  <si>
    <t>Kalimantan Tengah (P)</t>
  </si>
  <si>
    <t xml:space="preserve">Kediri (C) </t>
  </si>
  <si>
    <t>Lombok Tengah (D)</t>
  </si>
  <si>
    <t>Ogan Komering Ilir (D)</t>
  </si>
  <si>
    <t>Sukabumi (D)</t>
  </si>
  <si>
    <t>Sulawesi Southeast (P)</t>
  </si>
  <si>
    <t>Sumbawa (D)</t>
  </si>
  <si>
    <t>Kepulauan Bangka Belitung (P)</t>
  </si>
  <si>
    <t>Phase 1</t>
  </si>
  <si>
    <t>Phase 2</t>
  </si>
  <si>
    <t>Pilots</t>
  </si>
  <si>
    <t>Grand Total (Rupiah)</t>
  </si>
  <si>
    <t xml:space="preserve">Procurement Spend (2016) </t>
  </si>
  <si>
    <r>
      <rPr>
        <vertAlign val="superscript"/>
        <sz val="8"/>
        <rFont val="Arial"/>
        <family val="2"/>
      </rPr>
      <t>2</t>
    </r>
    <r>
      <rPr>
        <sz val="8"/>
        <rFont val="Arial"/>
        <family val="2"/>
      </rPr>
      <t xml:space="preserve"> This graph was produced by running a simulation of the project's ERR 10,000 times, each of which varied the "Specific Parameters" listed in the table above according to a specified probabilistic distribution. It is meant to illustrate the uncertainty around the final ERR figure presented in this spreadsheet, and to give an idea of how likely higher and lower ERRs given this uncertainty. </t>
    </r>
  </si>
  <si>
    <r>
      <rPr>
        <vertAlign val="superscript"/>
        <sz val="8"/>
        <rFont val="Arial"/>
        <family val="2"/>
      </rPr>
      <t>1</t>
    </r>
    <r>
      <rPr>
        <sz val="8"/>
        <rFont val="Arial"/>
        <family val="2"/>
      </rPr>
      <t xml:space="preserve"> This graph presents the yearly benefits accrued as a result of the project, minus the yearly costs to MCC of implementing the project.</t>
    </r>
  </si>
  <si>
    <t xml:space="preserve">* This is the only ERR figure linked to other spreadsheets. "Original," "Revised," and "Closeout" ERRs are all static for purposes of illustration. </t>
  </si>
  <si>
    <t>Present Value (PV) of MCC Costs:</t>
  </si>
  <si>
    <t>Present Value (PV) of Benefits:</t>
  </si>
  <si>
    <t>Date</t>
  </si>
  <si>
    <t>ERR</t>
  </si>
  <si>
    <t>Closeout</t>
  </si>
  <si>
    <t>Original</t>
  </si>
  <si>
    <t>MCC Estimated ERRs:</t>
  </si>
  <si>
    <t xml:space="preserve">User Generated Economic rate of return (ERR)*: </t>
  </si>
  <si>
    <t>Specific</t>
  </si>
  <si>
    <t>All specific parameters set to initial values?</t>
  </si>
  <si>
    <t>80%-120%</t>
  </si>
  <si>
    <t>Actual benefits as a percentage of estimated benefits</t>
  </si>
  <si>
    <t>Summary</t>
  </si>
  <si>
    <t>Actual costs as a percentage of estimated costs</t>
  </si>
  <si>
    <t>All summary parameters set to initial values?</t>
  </si>
  <si>
    <t xml:space="preserve">Values used in ERR computation </t>
  </si>
  <si>
    <t>Plausible Range</t>
  </si>
  <si>
    <t>MCC Estimate</t>
  </si>
  <si>
    <t>User Input</t>
  </si>
  <si>
    <t>Parameter values</t>
  </si>
  <si>
    <t>Description of key parameters</t>
  </si>
  <si>
    <t>Parameter type</t>
  </si>
  <si>
    <r>
      <t xml:space="preserve">Change the </t>
    </r>
    <r>
      <rPr>
        <sz val="10"/>
        <color rgb="FF0000FF"/>
        <rFont val="Arial"/>
        <family val="2"/>
      </rPr>
      <t>"User Input"</t>
    </r>
    <r>
      <rPr>
        <sz val="10"/>
        <rFont val="Arial"/>
        <family val="2"/>
      </rPr>
      <t xml:space="preserve"> cells in the table below to see the effect on the compact's Economic Rate of Return (ERR) and net benefits (see chart below).  To reset all values to the default MCC estimates, click the </t>
    </r>
    <r>
      <rPr>
        <sz val="10"/>
        <color rgb="FF0000FF"/>
        <rFont val="Arial"/>
        <family val="2"/>
      </rPr>
      <t xml:space="preserve">"Reset Parameters" </t>
    </r>
    <r>
      <rPr>
        <sz val="10"/>
        <rFont val="Arial"/>
        <family val="2"/>
      </rPr>
      <t>button at right.  Be sure to reset all summary parameters to their original values ("MCC Estimate" values) before changing specific parameters.</t>
    </r>
  </si>
  <si>
    <t>ERR and sensitivity analysis</t>
  </si>
  <si>
    <t>Revised Project</t>
  </si>
  <si>
    <t>Original Project</t>
  </si>
  <si>
    <t>Economic Rationale</t>
  </si>
  <si>
    <t>Activity Components</t>
  </si>
  <si>
    <t>Activity Design History</t>
  </si>
  <si>
    <t>This worksheet shows the cost effectiveness of the project broken out into different poverty categories.</t>
  </si>
  <si>
    <t>Poverty Scorecard</t>
  </si>
  <si>
    <t xml:space="preserve">This worksheet shows the key outputs from the ERR calculation done in Crystal Ball. </t>
  </si>
  <si>
    <t>Crystal Ball Report</t>
  </si>
  <si>
    <t>This worksheet presents the aggregated costs and benefits from the project activities year-by-year, calculating a combined ERR</t>
  </si>
  <si>
    <t>Cost-Benefit Summary</t>
  </si>
  <si>
    <t>This worksheet highlights key assumptions and summarizes how the ERR may change due to varying costs and benefits.</t>
  </si>
  <si>
    <t>ERR &amp; Sensitivity Analysis</t>
  </si>
  <si>
    <t>One should read this sheet first, as it offers a summary of the project, a list of components, and states the economic rationale for the project.</t>
  </si>
  <si>
    <t>Project Description</t>
  </si>
  <si>
    <t>Table of Contents</t>
  </si>
  <si>
    <t>ERR estimations and time horizon</t>
  </si>
  <si>
    <t>Costs included in ERR (not borne by MCC)</t>
  </si>
  <si>
    <t>Benefit streams included in ERR</t>
  </si>
  <si>
    <t>Amount of MCC funds</t>
  </si>
  <si>
    <t>Date of ERR</t>
  </si>
  <si>
    <t>Closeout ERR</t>
  </si>
  <si>
    <t>ERR Version</t>
  </si>
  <si>
    <t>Total Local Benefits</t>
  </si>
  <si>
    <t>Total Benefits</t>
  </si>
  <si>
    <t>Total Costs</t>
  </si>
  <si>
    <t>Total Incremental Benefits</t>
  </si>
  <si>
    <t>Net Incremental Benefits</t>
  </si>
  <si>
    <t>Benefits (USD'000)</t>
  </si>
  <si>
    <t>Total Costs (USD'000)</t>
  </si>
  <si>
    <t>Compact Year</t>
  </si>
  <si>
    <r>
      <t xml:space="preserve">1   </t>
    </r>
    <r>
      <rPr>
        <sz val="8"/>
        <rFont val="Arial"/>
        <family val="2"/>
      </rPr>
      <t>The beneficiaries and population living on less than $2 per day include those under $1.25 per day</t>
    </r>
  </si>
  <si>
    <t>NB: all benefits incremental; PVs based on 10% discount rate and exclude MCC costs but net out any local costs</t>
  </si>
  <si>
    <t>Current National Population</t>
  </si>
  <si>
    <r>
      <t xml:space="preserve">GNI per capita </t>
    </r>
    <r>
      <rPr>
        <vertAlign val="superscript"/>
        <sz val="9"/>
        <rFont val="Arial"/>
        <family val="2"/>
      </rPr>
      <t xml:space="preserve">6 </t>
    </r>
    <r>
      <rPr>
        <sz val="9"/>
        <rFont val="Arial"/>
        <family val="2"/>
      </rPr>
      <t>(USD)</t>
    </r>
  </si>
  <si>
    <r>
      <t xml:space="preserve">Percent of Project Participants Who Are Female </t>
    </r>
    <r>
      <rPr>
        <vertAlign val="superscript"/>
        <sz val="9"/>
        <rFont val="Arial"/>
        <family val="2"/>
      </rPr>
      <t>5</t>
    </r>
  </si>
  <si>
    <r>
      <t xml:space="preserve">PV of Benefit Stream/Project Dollar </t>
    </r>
    <r>
      <rPr>
        <sz val="8"/>
        <rFont val="Arial"/>
        <family val="2"/>
      </rPr>
      <t>(USD/USD)</t>
    </r>
  </si>
  <si>
    <t>Cost Effectiveness</t>
  </si>
  <si>
    <t xml:space="preserve">PV of Benefit Stream Per Beneficiary Individual (USD) </t>
  </si>
  <si>
    <t>The Magnitude of the Benefits</t>
  </si>
  <si>
    <r>
      <t xml:space="preserve">National Population by Poverty Level </t>
    </r>
    <r>
      <rPr>
        <vertAlign val="superscript"/>
        <sz val="9"/>
        <rFont val="Arial"/>
        <family val="2"/>
      </rPr>
      <t>4</t>
    </r>
    <r>
      <rPr>
        <sz val="9"/>
        <rFont val="Arial"/>
        <family val="2"/>
      </rPr>
      <t xml:space="preserve"> </t>
    </r>
    <r>
      <rPr>
        <sz val="8"/>
        <rFont val="Arial"/>
        <family val="2"/>
      </rPr>
      <t>(%)</t>
    </r>
  </si>
  <si>
    <r>
      <t xml:space="preserve">Beneficiary Population by Poverty Level </t>
    </r>
    <r>
      <rPr>
        <sz val="8"/>
        <rFont val="Arial"/>
        <family val="2"/>
      </rPr>
      <t xml:space="preserve">(%) </t>
    </r>
    <r>
      <rPr>
        <vertAlign val="superscript"/>
        <sz val="8"/>
        <rFont val="Arial"/>
        <family val="2"/>
      </rPr>
      <t>3</t>
    </r>
  </si>
  <si>
    <t>&gt; $4</t>
  </si>
  <si>
    <t>$2-$4</t>
  </si>
  <si>
    <r>
      <t xml:space="preserve">&lt; $2 </t>
    </r>
    <r>
      <rPr>
        <vertAlign val="superscript"/>
        <sz val="9"/>
        <rFont val="Arial"/>
        <family val="2"/>
      </rPr>
      <t>1</t>
    </r>
    <r>
      <rPr>
        <sz val="9"/>
        <rFont val="Arial"/>
        <family val="2"/>
      </rPr>
      <t xml:space="preserve"> </t>
    </r>
  </si>
  <si>
    <t>&lt; $1.25</t>
  </si>
  <si>
    <t>Total</t>
  </si>
  <si>
    <t>Beneficiaries</t>
  </si>
  <si>
    <t>Consumption per day (PPP $)</t>
  </si>
  <si>
    <t>Present Value (PV) of All Costs (Millions 2005 PPP $)</t>
  </si>
  <si>
    <r>
      <t xml:space="preserve">Present Value </t>
    </r>
    <r>
      <rPr>
        <b/>
        <sz val="8"/>
        <rFont val="Arial"/>
        <family val="2"/>
      </rPr>
      <t>(PV)</t>
    </r>
    <r>
      <rPr>
        <b/>
        <sz val="9"/>
        <rFont val="Arial"/>
        <family val="2"/>
      </rPr>
      <t xml:space="preserve"> of Benefit Stream </t>
    </r>
    <r>
      <rPr>
        <b/>
        <sz val="8"/>
        <rFont val="Arial"/>
        <family val="2"/>
      </rPr>
      <t>(Millions 2005 PPP $)</t>
    </r>
  </si>
  <si>
    <t>20-Year ERR</t>
  </si>
  <si>
    <r>
      <t xml:space="preserve">MCC Cost </t>
    </r>
    <r>
      <rPr>
        <b/>
        <sz val="8"/>
        <rFont val="Arial"/>
        <family val="2"/>
      </rPr>
      <t>(Millions USD)</t>
    </r>
  </si>
  <si>
    <t>Indonesia: Procurement Modernization</t>
  </si>
  <si>
    <t>Activity Name</t>
  </si>
  <si>
    <t>USD</t>
  </si>
  <si>
    <t>None</t>
  </si>
  <si>
    <t>N/A</t>
  </si>
  <si>
    <t>Year</t>
  </si>
  <si>
    <t>Last updated: 07/17/2017</t>
  </si>
  <si>
    <t>ERR Calculation</t>
  </si>
  <si>
    <t>Procurement Professionalization Activity (PSUs, HRD, PMIS &amp; FA/FC)</t>
  </si>
  <si>
    <t>Policy And Procedure Activity (PPP &amp; SPP)</t>
  </si>
  <si>
    <t>Variable</t>
  </si>
  <si>
    <t>Affected Population - Inferred</t>
  </si>
  <si>
    <t>GDP current prices</t>
  </si>
  <si>
    <t>GDP 2010 Prices</t>
  </si>
  <si>
    <t>GDP Growth</t>
  </si>
  <si>
    <t>GDP per cap</t>
  </si>
  <si>
    <t>Units</t>
  </si>
  <si>
    <t>Billion Rupiah</t>
  </si>
  <si>
    <t>%</t>
  </si>
  <si>
    <t>Thousand Rupiah</t>
  </si>
  <si>
    <t>Name</t>
  </si>
  <si>
    <t>Data</t>
  </si>
  <si>
    <t>(Pilot)</t>
  </si>
  <si>
    <t>(Type)</t>
  </si>
  <si>
    <t>(Name)</t>
  </si>
  <si>
    <t>(Prov.)</t>
  </si>
  <si>
    <t>(Local)</t>
  </si>
  <si>
    <t>Kabupaten</t>
  </si>
  <si>
    <t>Badung</t>
  </si>
  <si>
    <t>Bali</t>
  </si>
  <si>
    <t>Kota</t>
  </si>
  <si>
    <t>Balikpapan</t>
  </si>
  <si>
    <t>Kalimantan Timur</t>
  </si>
  <si>
    <t>Banggai</t>
  </si>
  <si>
    <t>Sulawesi Tengah</t>
  </si>
  <si>
    <t>Banjar</t>
  </si>
  <si>
    <t>Kalimantan Selatan</t>
  </si>
  <si>
    <t>Jawa Barat</t>
  </si>
  <si>
    <t>Banyuasin</t>
  </si>
  <si>
    <t>Sumatera Selatan</t>
  </si>
  <si>
    <t>Banyuwangi</t>
  </si>
  <si>
    <t>Jawa Timur</t>
  </si>
  <si>
    <t>Bengkulu</t>
  </si>
  <si>
    <t>Berau</t>
  </si>
  <si>
    <t>Boalemo</t>
  </si>
  <si>
    <t>Gorontalo</t>
  </si>
  <si>
    <t>Bogor</t>
  </si>
  <si>
    <t>Bone Bolango</t>
  </si>
  <si>
    <t>Bontang</t>
  </si>
  <si>
    <t>Cirebon</t>
  </si>
  <si>
    <t>Dharmasraya</t>
  </si>
  <si>
    <t>Sumatera Barat</t>
  </si>
  <si>
    <t>DKI Jakarta</t>
  </si>
  <si>
    <t>Gianyar</t>
  </si>
  <si>
    <t>Gresik</t>
  </si>
  <si>
    <t>Gunung Kidul</t>
  </si>
  <si>
    <t>DI Yogyakarta</t>
  </si>
  <si>
    <t>Jambi</t>
  </si>
  <si>
    <t>Jayapura</t>
  </si>
  <si>
    <t>Papua</t>
  </si>
  <si>
    <t>Kalimantan Barat</t>
  </si>
  <si>
    <t>Kepulauan Riau</t>
  </si>
  <si>
    <t>Kuningan</t>
  </si>
  <si>
    <t>Kutai Timur</t>
  </si>
  <si>
    <t>Maluku</t>
  </si>
  <si>
    <t>Maluku Utara</t>
  </si>
  <si>
    <t>Mamuju</t>
  </si>
  <si>
    <t>Sulawesi Barat</t>
  </si>
  <si>
    <t>Mamuju Utara</t>
  </si>
  <si>
    <t>Maros</t>
  </si>
  <si>
    <t>Sulawesi Selatan</t>
  </si>
  <si>
    <t>Minahasa Selatan</t>
  </si>
  <si>
    <t>Sulawesi Utara</t>
  </si>
  <si>
    <t>Minahasa Utara</t>
  </si>
  <si>
    <t>Muaro Jambi</t>
  </si>
  <si>
    <t>Nusa Tenggara Barat</t>
  </si>
  <si>
    <t>Nusa Tenggara Timur</t>
  </si>
  <si>
    <t>Ogan Komering Ulu</t>
  </si>
  <si>
    <t>Pamekasan</t>
  </si>
  <si>
    <t>Pasuruan</t>
  </si>
  <si>
    <t>Pesisir Selatan</t>
  </si>
  <si>
    <t>Sarolangun</t>
  </si>
  <si>
    <t>Sawah Lunto</t>
  </si>
  <si>
    <t>Sidenreng Rappang</t>
  </si>
  <si>
    <t>Solok</t>
  </si>
  <si>
    <t>Sukabumi</t>
  </si>
  <si>
    <t>Sulawesi Tenggara</t>
  </si>
  <si>
    <t>Tabalong</t>
  </si>
  <si>
    <t>Tabanan</t>
  </si>
  <si>
    <t>Tangerang</t>
  </si>
  <si>
    <t>Banten</t>
  </si>
  <si>
    <t>Tanjung Jabung Barat</t>
  </si>
  <si>
    <t>Tebo</t>
  </si>
  <si>
    <t>Toli-Toli</t>
  </si>
  <si>
    <t>Yogyakarta</t>
  </si>
  <si>
    <t>Kalimantan Tengah</t>
  </si>
  <si>
    <t>Kepulauan Bangka Belitung</t>
  </si>
  <si>
    <t>Bandung</t>
  </si>
  <si>
    <t>Kediri</t>
  </si>
  <si>
    <t>Cimahi</t>
  </si>
  <si>
    <t>Lombok Tengah</t>
  </si>
  <si>
    <t>Ogan Komering Ilir</t>
  </si>
  <si>
    <t>Sumbawa</t>
  </si>
  <si>
    <t>TOTAL, Pilot</t>
  </si>
  <si>
    <t>Average (5-year)</t>
  </si>
  <si>
    <t>Affected Population Forecast:</t>
  </si>
  <si>
    <t>Growth Rate</t>
  </si>
  <si>
    <t>Population</t>
  </si>
  <si>
    <t>Average Population Growth:</t>
  </si>
  <si>
    <t>psuname</t>
  </si>
  <si>
    <t>packagegoods2015</t>
  </si>
  <si>
    <t>packageconstruction2015</t>
  </si>
  <si>
    <t>packageconsulting2015</t>
  </si>
  <si>
    <t>packageotherservices2015</t>
  </si>
  <si>
    <t>selfmanagedamount12015</t>
  </si>
  <si>
    <t>selfmanagedamount22015</t>
  </si>
  <si>
    <t>ceiinggoods2015</t>
  </si>
  <si>
    <t>ceilingconstruction2015</t>
  </si>
  <si>
    <t>ceilingconsulting2015</t>
  </si>
  <si>
    <t>ceilingotherservices2015</t>
  </si>
  <si>
    <t>selfmanagedamount32015</t>
  </si>
  <si>
    <t>selfmanagedamount42015</t>
  </si>
  <si>
    <t>targetb012015</t>
  </si>
  <si>
    <t>targetb022015</t>
  </si>
  <si>
    <t>targetb032015</t>
  </si>
  <si>
    <t>targetb042015</t>
  </si>
  <si>
    <t>targetb052015</t>
  </si>
  <si>
    <t>targetb062015</t>
  </si>
  <si>
    <t>targetb072015</t>
  </si>
  <si>
    <t>targetb082015</t>
  </si>
  <si>
    <t>targetb092015</t>
  </si>
  <si>
    <t>targetb102015</t>
  </si>
  <si>
    <t>targetb112015</t>
  </si>
  <si>
    <t>targetb122015</t>
  </si>
  <si>
    <t>realizationb012015</t>
  </si>
  <si>
    <t>realizationb022015</t>
  </si>
  <si>
    <t>realizationb032015</t>
  </si>
  <si>
    <t>realizationb042015</t>
  </si>
  <si>
    <t>realizationb052015</t>
  </si>
  <si>
    <t>realizationb062015</t>
  </si>
  <si>
    <t>realizationb072015</t>
  </si>
  <si>
    <t>realizationb082015</t>
  </si>
  <si>
    <t>realizationb092015</t>
  </si>
  <si>
    <t>realizationb102015</t>
  </si>
  <si>
    <t>realizationb112015</t>
  </si>
  <si>
    <t>realizationb122015</t>
  </si>
  <si>
    <t>realizationcount2015</t>
  </si>
  <si>
    <t>realiztionmax2015</t>
  </si>
  <si>
    <t>realizationpace2015</t>
  </si>
  <si>
    <t>realizationforecast2015</t>
  </si>
  <si>
    <t>totalnotselfmanaged2015</t>
  </si>
  <si>
    <t>goodsshare2015</t>
  </si>
  <si>
    <t>constructionshare2015</t>
  </si>
  <si>
    <t>consultingandothershare2015</t>
  </si>
  <si>
    <t>packagegoods2016</t>
  </si>
  <si>
    <t>packageconstruction2016</t>
  </si>
  <si>
    <t>packageconsulting2016</t>
  </si>
  <si>
    <t>packageotherservices2016</t>
  </si>
  <si>
    <t>selfmanagedamount12016</t>
  </si>
  <si>
    <t>selfmanagedamount22016</t>
  </si>
  <si>
    <t>ceiinggoods2016</t>
  </si>
  <si>
    <t>ceilingconstruction2016</t>
  </si>
  <si>
    <t>ceilingconsulting2016</t>
  </si>
  <si>
    <t>ceilingotherservices2016</t>
  </si>
  <si>
    <t>selfmanagedamount32016</t>
  </si>
  <si>
    <t>selfmanagedamount42016</t>
  </si>
  <si>
    <t>targetb012016</t>
  </si>
  <si>
    <t>targetb022016</t>
  </si>
  <si>
    <t>targetb032016</t>
  </si>
  <si>
    <t>targetb042016</t>
  </si>
  <si>
    <t>targetb052016</t>
  </si>
  <si>
    <t>targetb062016</t>
  </si>
  <si>
    <t>targetb072016</t>
  </si>
  <si>
    <t>targetb082016</t>
  </si>
  <si>
    <t>targetb092016</t>
  </si>
  <si>
    <t>targetb102016</t>
  </si>
  <si>
    <t>targetb112016</t>
  </si>
  <si>
    <t>targetb122016</t>
  </si>
  <si>
    <t>realizationb012016</t>
  </si>
  <si>
    <t>realizationb022016</t>
  </si>
  <si>
    <t>realizationb032016</t>
  </si>
  <si>
    <t>realizationb042016</t>
  </si>
  <si>
    <t>realizationb052016</t>
  </si>
  <si>
    <t>realizationb062016</t>
  </si>
  <si>
    <t>realizationb072016</t>
  </si>
  <si>
    <t>realizationb082016</t>
  </si>
  <si>
    <t>realizationb092016</t>
  </si>
  <si>
    <t>realizationb102016</t>
  </si>
  <si>
    <t>realizationb112016</t>
  </si>
  <si>
    <t>realizationb122016</t>
  </si>
  <si>
    <t>realizationcount2016</t>
  </si>
  <si>
    <t>realiztionmax2016</t>
  </si>
  <si>
    <t>realizationpace2016</t>
  </si>
  <si>
    <t>realizationforecast2016</t>
  </si>
  <si>
    <t>totalnotselfmanaged2016</t>
  </si>
  <si>
    <t>goodsshare2016</t>
  </si>
  <si>
    <t>constructionshare2016</t>
  </si>
  <si>
    <t>consultingandothershare2016</t>
  </si>
  <si>
    <t>packagegoods2017</t>
  </si>
  <si>
    <t>packageconstruction2017</t>
  </si>
  <si>
    <t>packageconsulting2017</t>
  </si>
  <si>
    <t>packageotherservices2017</t>
  </si>
  <si>
    <t>selfmanagedamount12017</t>
  </si>
  <si>
    <t>selfmanagedamount22017</t>
  </si>
  <si>
    <t>ceiinggoods2017</t>
  </si>
  <si>
    <t>ceilingconstruction2017</t>
  </si>
  <si>
    <t>ceilingconsulting2017</t>
  </si>
  <si>
    <t>ceilingotherservices2017</t>
  </si>
  <si>
    <t>selfmanagedamount32017</t>
  </si>
  <si>
    <t>selfmanagedamount42017</t>
  </si>
  <si>
    <t>targetb012017</t>
  </si>
  <si>
    <t>targetb022017</t>
  </si>
  <si>
    <t>targetb032017</t>
  </si>
  <si>
    <t>targetb042017</t>
  </si>
  <si>
    <t>targetb052017</t>
  </si>
  <si>
    <t>targetb062017</t>
  </si>
  <si>
    <t>targetb072017</t>
  </si>
  <si>
    <t>targetb082017</t>
  </si>
  <si>
    <t>targetb092017</t>
  </si>
  <si>
    <t>targetb102017</t>
  </si>
  <si>
    <t>targetb112017</t>
  </si>
  <si>
    <t>targetb122017</t>
  </si>
  <si>
    <t>realizationb012017</t>
  </si>
  <si>
    <t>realizationb022017</t>
  </si>
  <si>
    <t>realizationb032017</t>
  </si>
  <si>
    <t>realizationb042017</t>
  </si>
  <si>
    <t>realizationb052017</t>
  </si>
  <si>
    <t>realizationb062017</t>
  </si>
  <si>
    <t>realizationb072017</t>
  </si>
  <si>
    <t>realizationb082017</t>
  </si>
  <si>
    <t>realizationb092017</t>
  </si>
  <si>
    <t>realizationb102017</t>
  </si>
  <si>
    <t>realizationb112017</t>
  </si>
  <si>
    <t>realizationb122017</t>
  </si>
  <si>
    <t>realizationcount2017</t>
  </si>
  <si>
    <t>realiztionmax2017</t>
  </si>
  <si>
    <t>realizationpace2017</t>
  </si>
  <si>
    <t>realizationforecast2017</t>
  </si>
  <si>
    <t>totalnotselfmanaged2017</t>
  </si>
  <si>
    <t>goodsshare2017</t>
  </si>
  <si>
    <t>constructionshare2017</t>
  </si>
  <si>
    <t>consultingandothershare2017</t>
  </si>
  <si>
    <t>packagegoods2018</t>
  </si>
  <si>
    <t>packageconstruction2018</t>
  </si>
  <si>
    <t>packageconsulting2018</t>
  </si>
  <si>
    <t>packageotherservices2018</t>
  </si>
  <si>
    <t>selfmanagedamount12018</t>
  </si>
  <si>
    <t>selfmanagedamount22018</t>
  </si>
  <si>
    <t>ceiinggoods2018</t>
  </si>
  <si>
    <t>ceilingconstruction2018</t>
  </si>
  <si>
    <t>ceilingconsulting2018</t>
  </si>
  <si>
    <t>ceilingotherservices2018</t>
  </si>
  <si>
    <t>selfmanagedamount32018</t>
  </si>
  <si>
    <t>selfmanagedamount42018</t>
  </si>
  <si>
    <t>targetb012018</t>
  </si>
  <si>
    <t>targetb022018</t>
  </si>
  <si>
    <t>targetb032018</t>
  </si>
  <si>
    <t>targetb042018</t>
  </si>
  <si>
    <t>targetb052018</t>
  </si>
  <si>
    <t>targetb062018</t>
  </si>
  <si>
    <t>targetb072018</t>
  </si>
  <si>
    <t>targetb082018</t>
  </si>
  <si>
    <t>targetb092018</t>
  </si>
  <si>
    <t>targetb102018</t>
  </si>
  <si>
    <t>targetb112018</t>
  </si>
  <si>
    <t>targetb122018</t>
  </si>
  <si>
    <t>realizationb012018</t>
  </si>
  <si>
    <t>realizationb022018</t>
  </si>
  <si>
    <t>realizationb032018</t>
  </si>
  <si>
    <t>realizationb042018</t>
  </si>
  <si>
    <t>realizationb052018</t>
  </si>
  <si>
    <t>realizationb062018</t>
  </si>
  <si>
    <t>realizationb072018</t>
  </si>
  <si>
    <t>realizationb082018</t>
  </si>
  <si>
    <t>realizationb092018</t>
  </si>
  <si>
    <t>realizationb102018</t>
  </si>
  <si>
    <t>realizationb112018</t>
  </si>
  <si>
    <t>realizationb122018</t>
  </si>
  <si>
    <t>realizationcount2018</t>
  </si>
  <si>
    <t>realiztionmax2018</t>
  </si>
  <si>
    <t>realizationpace2018</t>
  </si>
  <si>
    <t>realizationforecast2018</t>
  </si>
  <si>
    <t>totalnotselfmanaged2018</t>
  </si>
  <si>
    <t>goodsshare2018</t>
  </si>
  <si>
    <t>constructionshare2018</t>
  </si>
  <si>
    <t>consultingandothershare2018</t>
  </si>
  <si>
    <t>Minahasa Seletan</t>
  </si>
  <si>
    <t>Pesisir Seletan</t>
  </si>
  <si>
    <t>Kalimantan Seletan</t>
  </si>
  <si>
    <t>Benefits</t>
  </si>
  <si>
    <t>Costs</t>
  </si>
  <si>
    <t>Net</t>
  </si>
  <si>
    <t>Value for Money, Construction</t>
  </si>
  <si>
    <t>Value for Money, Goods</t>
  </si>
  <si>
    <t>Value for Money, Consulting and Other Services</t>
  </si>
  <si>
    <t>Surplus Value of Marginal Procurements</t>
  </si>
  <si>
    <t>Parameter</t>
  </si>
  <si>
    <t>Value</t>
  </si>
  <si>
    <t>Source</t>
  </si>
  <si>
    <t>Notes</t>
  </si>
  <si>
    <t>level of government</t>
  </si>
  <si>
    <t>Source: http://monev.lkpp.go.id</t>
  </si>
  <si>
    <t>Type</t>
  </si>
  <si>
    <t>Packages</t>
  </si>
  <si>
    <t>Ceiling</t>
  </si>
  <si>
    <t>Goods</t>
  </si>
  <si>
    <t>Construction</t>
  </si>
  <si>
    <t>Consulting</t>
  </si>
  <si>
    <t>Other Service</t>
  </si>
  <si>
    <t>Subtotal</t>
  </si>
  <si>
    <t>Financial Progress</t>
  </si>
  <si>
    <t>Month 1</t>
  </si>
  <si>
    <t>Month 2</t>
  </si>
  <si>
    <t>Month 3</t>
  </si>
  <si>
    <t>Month 4</t>
  </si>
  <si>
    <t>Month 5</t>
  </si>
  <si>
    <t>Month 6</t>
  </si>
  <si>
    <t>Month 7</t>
  </si>
  <si>
    <t>Month 8</t>
  </si>
  <si>
    <t>Month 9</t>
  </si>
  <si>
    <t>Month 10</t>
  </si>
  <si>
    <t>Month 11</t>
  </si>
  <si>
    <t>Month 12</t>
  </si>
  <si>
    <t>Months</t>
  </si>
  <si>
    <t>Detail</t>
  </si>
  <si>
    <t>Spend</t>
  </si>
  <si>
    <t>Target</t>
  </si>
  <si>
    <t>Realized</t>
  </si>
  <si>
    <t>Reported Months</t>
  </si>
  <si>
    <t>Reported Max</t>
  </si>
  <si>
    <t>Monthly Pace</t>
  </si>
  <si>
    <t>End of Year Forecast</t>
  </si>
  <si>
    <t>Total, not Self-managed</t>
  </si>
  <si>
    <t>B Rupiah</t>
  </si>
  <si>
    <t>Spend Share</t>
  </si>
  <si>
    <t>Consulting and Other</t>
  </si>
  <si>
    <t>Procurement Plan</t>
  </si>
  <si>
    <t>Net Benefits, NPV</t>
  </si>
  <si>
    <t>$69.2 million</t>
  </si>
  <si>
    <t>Benefits, NPV @ 10%</t>
  </si>
  <si>
    <t>Costs, NPV @ 10%</t>
  </si>
  <si>
    <r>
      <t xml:space="preserve">Beneficiary Households in Year 6 </t>
    </r>
    <r>
      <rPr>
        <sz val="8"/>
        <rFont val="Arial"/>
        <family val="2"/>
      </rPr>
      <t>(#)</t>
    </r>
  </si>
  <si>
    <r>
      <t xml:space="preserve">Beneficiary Individuals in Year 6 </t>
    </r>
    <r>
      <rPr>
        <sz val="8"/>
        <rFont val="Arial"/>
        <family val="2"/>
      </rPr>
      <t>(#)</t>
    </r>
  </si>
  <si>
    <r>
      <t xml:space="preserve">National Population in Year 6 </t>
    </r>
    <r>
      <rPr>
        <vertAlign val="superscript"/>
        <sz val="9"/>
        <rFont val="Arial"/>
        <family val="2"/>
      </rPr>
      <t>2</t>
    </r>
    <r>
      <rPr>
        <sz val="9"/>
        <rFont val="Arial"/>
        <family val="2"/>
      </rPr>
      <t xml:space="preserve"> </t>
    </r>
    <r>
      <rPr>
        <sz val="8"/>
        <rFont val="Arial"/>
        <family val="2"/>
      </rPr>
      <t>(#)</t>
    </r>
  </si>
  <si>
    <t>Beneficiary Income Distribution:</t>
  </si>
  <si>
    <t>National:</t>
  </si>
  <si>
    <t>Level:</t>
  </si>
  <si>
    <t>% of National</t>
  </si>
  <si>
    <t>Indonesia, 2017</t>
  </si>
  <si>
    <t>National</t>
  </si>
  <si>
    <t>&lt;1.25</t>
  </si>
  <si>
    <t>&lt;$2</t>
  </si>
  <si>
    <t>&gt;$4</t>
  </si>
  <si>
    <t>Beneficiary Count</t>
  </si>
  <si>
    <t>Benefits Share</t>
  </si>
  <si>
    <t>Income Gini</t>
  </si>
  <si>
    <t>Exchange Rate; IDR per USD (2016)</t>
  </si>
  <si>
    <t>WDI</t>
  </si>
  <si>
    <t>GDP, Current IDR</t>
  </si>
  <si>
    <t>Average procurement spend for treated PSUs, USD (excluding ministries)</t>
  </si>
  <si>
    <t>Share of procurement spend in construction (excluding ministries)</t>
  </si>
  <si>
    <t>Decrease in firm profits associated with treatment</t>
  </si>
  <si>
    <t>Endline budget execution, treated PSUs</t>
  </si>
  <si>
    <t>Baseline budget execution, treated PSUs</t>
  </si>
  <si>
    <t>Endline budget execution, comparison PSUs</t>
  </si>
  <si>
    <t>Baseline budget execution, comparison PSUs</t>
  </si>
  <si>
    <t>See Procurement Spend tab</t>
  </si>
  <si>
    <t>See Spend tab</t>
  </si>
  <si>
    <t>http://databank.worldbank.org/data/reports.aspx?source=world-development-indicators</t>
  </si>
  <si>
    <t>S:\_divisions\Economic Analysis\EA Data\Indonesia PM\Brian - Jean\Data cleaning 08172018.xls</t>
  </si>
  <si>
    <t>S:\_divisions\Economic Analysis\EA Data\Indonesia PM\VS\SPSS_Vendor Survey_Final Data Clean_N385_18May2018.xls</t>
  </si>
  <si>
    <t>Share of Budget Execution in Construction, %</t>
  </si>
  <si>
    <t>Exchange Rate, IDR per USD</t>
  </si>
  <si>
    <t>Subtotal, excluding Ministries</t>
  </si>
  <si>
    <t>USD @ 13500 IDR/USD</t>
  </si>
  <si>
    <t>Procurement Spending Affected by treatment, Million USD</t>
  </si>
  <si>
    <t>Rp13,000-16,000</t>
  </si>
  <si>
    <t>General</t>
  </si>
  <si>
    <t>Change in budget execution, attributable to treatment</t>
  </si>
  <si>
    <t>MCC Calculation</t>
  </si>
  <si>
    <t>LKPP/Compact documents</t>
  </si>
  <si>
    <t>Vendor Survey (VS) data</t>
  </si>
  <si>
    <t>IDR/USD</t>
  </si>
  <si>
    <t>Rate of Reform Convergence, Excess Progress of Untreated PSU, %</t>
  </si>
  <si>
    <t>Rate of Reform Convergence per year, Excess Progress of Untreated PSU, %</t>
  </si>
  <si>
    <t>The VfM (i.e. Hedonistic Public Benefit) is measured with the following procedure:</t>
  </si>
  <si>
    <t>·         In each treatment and comparison PSU, focus groups are asked to determine a representative procurement project which is typical of procurements at the PSU.</t>
  </si>
  <si>
    <t>·         The representative procurement is described to each focus group, including the project’s PAGU, or (politically determined) budget allocation.</t>
  </si>
  <si>
    <t>·         With the PAGU as a reference point, and a project description set, the focus group is split into two: the spending unit and the PSU, which are not allowed to interact.</t>
  </si>
  <si>
    <t>·         The spending unit is asked to determine the value of the goods delivered by the project. The Delphi Method is used so that participants can discuss the relative merits of a typical project in their area.</t>
  </si>
  <si>
    <t>·         The PSU is likewise asked to determine the cost of the winning contract to the government.</t>
  </si>
  <si>
    <t>·         The ratio of the value of goods to the cost of the winning contract is an approximate estimate of the VfM of the project</t>
  </si>
  <si>
    <t>·         THIS ASSUMES: (1) the value estimate and cost estimate are unbiased estimates for the typical project AND (2) that the typical project provides an estimate of the average benefit per money spent.</t>
  </si>
  <si>
    <t>The Producer Surplus (area above the supply “Cost per Unit” curve) is measured with the following procedure:</t>
  </si>
  <si>
    <t>·         A listing of procurements initiated from treated and comparison PSUs is obtained.</t>
  </si>
  <si>
    <t>·         Procurements are sampled from the list proportional to the square-root of the value of the contract (so that large contracts are under-sampled) from each PSU, with small PSUs having a minimum sampling quota of 6 contracts.</t>
  </si>
  <si>
    <t>·         Respondents are asked questions from which is determined the profitability of sampled contracts.</t>
  </si>
  <si>
    <r>
      <t xml:space="preserve">2    </t>
    </r>
    <r>
      <rPr>
        <sz val="8"/>
        <rFont val="Arial"/>
        <family val="2"/>
      </rPr>
      <t>Based on estimated 2017 population</t>
    </r>
  </si>
  <si>
    <t>Indonesia</t>
  </si>
  <si>
    <t>Procurement Modernization</t>
  </si>
  <si>
    <r>
      <t xml:space="preserve">3,4 </t>
    </r>
    <r>
      <rPr>
        <sz val="8"/>
        <rFont val="Arial"/>
        <family val="2"/>
      </rPr>
      <t>Based on Povcal data (World Bank), 2017. Interpolated based on local relative income.</t>
    </r>
  </si>
  <si>
    <r>
      <t xml:space="preserve">5,6 </t>
    </r>
    <r>
      <rPr>
        <sz val="8"/>
        <rFont val="Arial"/>
        <family val="2"/>
      </rPr>
      <t>Based on Word Bank WDI, 2017.</t>
    </r>
  </si>
  <si>
    <t>Present Value (PV) of Local Benefits</t>
  </si>
  <si>
    <t>NPV of Net Benefits</t>
  </si>
  <si>
    <t>Present Value (PV) of MCC Costs</t>
  </si>
  <si>
    <t>Summary View</t>
  </si>
  <si>
    <t/>
  </si>
  <si>
    <t>Project Code</t>
  </si>
  <si>
    <t>Activity Description</t>
  </si>
  <si>
    <t>Total Amount</t>
  </si>
  <si>
    <t>PRO_MDRNTN</t>
  </si>
  <si>
    <t>Procurement Professionalization Activity</t>
  </si>
  <si>
    <t>Policy and Procedure Activity</t>
  </si>
  <si>
    <t>Total Disbursements Prior to January 1, 2015</t>
  </si>
  <si>
    <t>Total Disbursements During CY 2015</t>
  </si>
  <si>
    <t>Total Disbursements During CY 2016</t>
  </si>
  <si>
    <t>Total Dibursements During CY 2017</t>
  </si>
  <si>
    <t>Total Dibursements During CY 2018</t>
  </si>
  <si>
    <t>Professionalization</t>
  </si>
  <si>
    <t>Policy and Procedure</t>
  </si>
  <si>
    <t>Pilot</t>
  </si>
  <si>
    <t>% Total:</t>
  </si>
  <si>
    <t>$s Per:</t>
  </si>
  <si>
    <t>MCC Investment</t>
  </si>
  <si>
    <t>Assumption: annual cost to maintain procurement skills</t>
  </si>
  <si>
    <t>1.5% is a common assumption on M&amp;E costs; 3% is typical maintenace assumption on physical infra (sets upper bound)</t>
  </si>
  <si>
    <t>Annual procurement upkeep costs, % investment</t>
  </si>
  <si>
    <t>2014*</t>
  </si>
  <si>
    <t>*: CY 2015 ends March 2015, so that 75% of CY 2015 corresponds to 2014 in ERR model</t>
  </si>
  <si>
    <t>&lt; Delta-VfM</t>
  </si>
  <si>
    <t>Decrease in Firm Profits attributed to the project, %</t>
  </si>
  <si>
    <t>Increase in VfM-construction associated with treatment</t>
  </si>
  <si>
    <t>Increase in VfM-goods associated with treatment</t>
  </si>
  <si>
    <t>Increase in VfM-consulting associated with treatment</t>
  </si>
  <si>
    <t>Share of procurement spend in goods (excluding ministries)</t>
  </si>
  <si>
    <t>Share of procurement spend in consulting and other services (excluding ministries)</t>
  </si>
  <si>
    <t>Focus Group Discussion (FGD) data</t>
  </si>
  <si>
    <t>Key Informant Interviews (IDI) data</t>
  </si>
  <si>
    <t>Additional Notes:</t>
  </si>
  <si>
    <r>
      <t>% (L Bound)</t>
    </r>
    <r>
      <rPr>
        <vertAlign val="superscript"/>
        <sz val="10"/>
        <color theme="1"/>
        <rFont val="Calibri"/>
        <family val="2"/>
        <scheme val="minor"/>
      </rPr>
      <t>1</t>
    </r>
  </si>
  <si>
    <r>
      <t>% (Error +/-)</t>
    </r>
    <r>
      <rPr>
        <vertAlign val="superscript"/>
        <sz val="10"/>
        <color theme="1"/>
        <rFont val="Calibri"/>
        <family val="2"/>
        <scheme val="minor"/>
      </rPr>
      <t>2</t>
    </r>
  </si>
  <si>
    <t>"L Bound" is an assumption for the risk profile of the parameter. The central estimate is assumed to be the lowest reasonable estimate. The sensitivity analysis will consider more pessimistic cases only. This assumption is reasonable if the analysis is not considered sensitive to this parameter, so it only applies to the worst case scenario.</t>
  </si>
  <si>
    <t>"Error +/-" is an assumption for the risk profile of the parameter. These parameters are distributed normally.</t>
  </si>
  <si>
    <r>
      <t>Error</t>
    </r>
    <r>
      <rPr>
        <b/>
        <vertAlign val="superscript"/>
        <sz val="10"/>
        <color theme="0"/>
        <rFont val="Calibri"/>
        <family val="2"/>
        <scheme val="minor"/>
      </rPr>
      <t>3</t>
    </r>
  </si>
  <si>
    <t>Standard Error, unless otherwise specified.</t>
  </si>
  <si>
    <t>LKPP/MONEV - Procurement Plans 2017</t>
  </si>
  <si>
    <t>Marginal benefit of improved fiscal space (applies to ministries), %</t>
  </si>
  <si>
    <t>Applies only to the extent that actual expenditure has net decreased after accounting for changes in budget execution, implying improved fiscal space</t>
  </si>
  <si>
    <r>
      <t>MCC Assumption</t>
    </r>
    <r>
      <rPr>
        <vertAlign val="superscript"/>
        <sz val="10"/>
        <color theme="1"/>
        <rFont val="Calibri"/>
        <family val="2"/>
        <scheme val="minor"/>
      </rPr>
      <t>4</t>
    </r>
  </si>
  <si>
    <t>Effective Marginal Tax Rate, assumed</t>
  </si>
  <si>
    <t>50%-65%</t>
  </si>
  <si>
    <r>
      <t>%'</t>
    </r>
    <r>
      <rPr>
        <vertAlign val="superscript"/>
        <sz val="10"/>
        <color theme="1"/>
        <rFont val="Calibri"/>
        <family val="2"/>
        <scheme val="minor"/>
      </rPr>
      <t xml:space="preserve"> 5</t>
    </r>
  </si>
  <si>
    <t>The model is primarily sensitive to construction procurements, so that, for simplicity, goods and consultant procurements are assumed to split the remaining budget at a constant ratio.</t>
  </si>
  <si>
    <t>Increase in Value for Money for construction projects (Delta-VfM) attributed to the project, %</t>
  </si>
  <si>
    <t>Average procurement spend for treated PSUS, USD (ministries only)</t>
  </si>
  <si>
    <t>Increase in budget execution attributed to project, %</t>
  </si>
  <si>
    <t>ERR-Professionalization</t>
  </si>
  <si>
    <t>NOTE: Costs and Benefits Attributed to Professionalization Activity Only</t>
  </si>
  <si>
    <t>B$1.5-B$2 US</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</si>
  <si>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</si>
  <si>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</si>
  <si>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</si>
  <si>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</si>
  <si>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</si>
  <si>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</si>
  <si>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</si>
  <si>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</si>
  <si>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</si>
  <si>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</si>
  <si>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</si>
  <si>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</si>
  <si>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eb07da6c-ca33-42a6-b1ed-06f9e67787ad</t>
  </si>
  <si>
    <t>CB_Block_0</t>
  </si>
  <si>
    <t>㜸〱敤㕣㕢㙣ㅣ搷㜹摥戳攴㉥㜷㤶愴㐸㡢昲㐵㡥㘳㌳㜱㝣愵㐲㡢戲㔵摢㘹ㄴ㠶ㄷ㔱㘲㐲㠹戴㐸挹㜶散㤴ㅥ敥捥㠸㈳敤捣搲㌳戳㤴攸戸戵㥣㑢ㄳ昷ㅡㄸ㈸㔲㈷㙥㙣㈷㑦〱搲〲〵ㅡ挷㐶搳ㄶ㐱㕡㈴〸ㅣ㈰て挹㐳㠰㍥戸㐱搱㍥戴㈸〴昴㈵て㈹摡敦晢捦捣敥散㤲㍢愴搷㜶㑢ㄷ㍣昶晥㍣昳㥦换㥣换㝦㍢晦㝦㐶ㄹ㤵挹㘴晥ㅢ㠹㝦㤹扡㤹戹㘹㜱㈳〸㉤㜷㜴慡㕡愹㔸愵搰愹㝡挱攸㠴敦㥢ㅢ㜳㑥㄰㜶愱㐲㝥搹㐱㜹㤰㕢づ㥣愷慣挲昲扡攵〷愸㤴换㘴ち〵㈳㡢㜲㜶挲摦㘰晣㘰戰㔵㕦㌷挰搲搴攴晣捡〵昴扡ㄸ㔶㝤敢搰昰㌹摤昶搸搸搸攸搸攸㝤㘳㠷て㡦ㅥ㍥㌴㍣㔵慢㠴㌵摦㍡收㔹戵搰㌷㉢㠷㠶ㄷ㙡㉢ㄵ愷昴㐹㙢㘳愹㝡搱昲㡥㔹㉢㠷敦㕤㌱敦㝢㘰散扥愳㐷敤〷ㅦ㝣愰て慦捥㥣㥥㥡㕣昰㉤㍢㜸㠷晡捣㜱挸昷㑤㕢㈵㠷㜳戳㉣摦昱捥㡦㑥㑤攲晦挴昸昱㜴晦攸攲慡㘵㠵㝣戵攵㕢㕥挹ちっ㌴散㜵㈷㠲愰收慥㜱昱っ㜷〶㔳㉤㤹㐱㤸㜳愷慣㑡挵㜰攳㕥ぢ敥㍣搶慥㘲㙥昴戹㡢㤶ㄷ㌸愱戳敥㠴ㅢ㜹㜷〹ㅤ㤵晢摤戳㠱㜵挶昴捥㕢愷㑤搷捡戹㈷㙡㑥戹㕢愷㑣搷ㅤ㜱ㄷ挹㠱挹昴㐷㈷〲㜷㙡搵昴㘵㐴〱ㄷ㈶愵敥㡣㕦㙡慥㝢㙢晢㝥㌹㜴㜹〳晢扣慤㝤㍤㤴㥣㌳晤㝡捤㤱昶㌵愳挹㌷㡦攰㥥昶昵ㄳ㙢搴摣收慥昶㙤㘴㈹㥢㙢慢摥㠸扥㘵㐵㌱ㄹ㈳㑦搰㐳㔰㈰攰〶ㅡ㐵㠲㕥㠲㍥〰搵晤㥦攰㤲㘴㐳ㄶ㘵㤷捤散昲㑡㜶戹㤴㕤㉥㘷㤷慤散戲㥤㕤㍥㥦㕤㕥捤㉥㍢搹攵ぢ搹攵㡢愸ㄳ愷㐲㑦㑦㌶㑡㝦昵㔱㜵敦㤷㥥晤慦㠹慦摦晥㠸昵摣㡦扥㍢摦户て㤵ㅥ㡡〶㌵敤㥢㤷㐰㙡つ㉡㍥㌲ち㥥搸〹㔷㠰㈹散愳昶晤昶搸㔸昹攸㘱昳㕥㌳挷㘹愵㙣㝥ㄳ愱っ愲㙥㥦晤戰攳㤵慢㤷㘴敦㙥㥡㌴〳慢戱㜰㈳㔱搹㘴戵收㤵㠳昷㙤㕤戸ㄸ㥡愱㜵㘳㙢㔹愳㤳㑤捤ㄶ挱㔶㔶㈰敦扢戹戵搹㌹戳㔲戳㈶㉥㍢扡昸晤㉤挵敥㠲㕦㕤㘹㕦㍡攳㕢㑦搶㑢㌷㡤㘸〲㐲㙤㕤晡摥㌴㑢㕤愴挷㌵㍣戵㕡つ㉣㑦㠶㌷攲㉥㌸愵㡢㤶扦㘸㔱㈴㕡㘵㤹敡戵㉣㡡戸㝥㘴摥挳㐴挱慤攵て㈶戱昶昱换㈱㤸搹㉡㘳扣㙢㤶ㅦ㙥㉣㤹㉢ㄵ敢扡愶㉡晡㥤㈸㌸搸㠴㥥愹㤶㙡挱㔴搵ぢ晤㙡愵戹㘴愲扣㙥㐲搲㤴㑦㔵换㔶㜷㜷㐶㠴〲〴㙥㔷㤷㔲㤹扢摢昳㠲㙣㐴㘲㡢挹挸㌷㌴㤳摤攸ㄹ捣づ戳愸㔸愴挹散㠷戶改㡣攳ㄵㄹ㤳挲㠱㠹㌹㔱㝦昰愵㜷㙥搳㙤㝤攷摥摤捡搹散㔰㌴晢攳敢㤶ㄷ㥥㌴扤㜲挵昲㔳戵㥦攲㠸㡣〱㠰摣㔵〸㠴戶慢㐷㔵愷㉥慢㡤摣㈵愷ㅣ慥收㔷㉤攷晣㙡〸ㅣ㌴㘴愱挰愵摤㤴㡣㙢㠰㌲昶ㄳっ〱ㄴ㡢㤹晣〱㔶捡ㄷ㤱㌲㌹㑡愷ㄴ㕥㙥ㄲ攴㙣搷挴换㝤昶㡣㔳〹㉤㉤㤴〷㙣散㠸搶㙡戲㝤晤㈴㔱摦㉣㘹㠵㜱挰㥥〲㤵㥡㡥ㄷ㙥㌴昸㜶ㄳ㤷㘸㈲摡㤳〵扢㑥ㄶ㔰ㄴ㌴换㠳ㄴ㕥〳搱戴㐸㠳昴捡〹㈲㈲ㅢ愴㘸㜶昴摣㑣㘴慣㥦㈲㈳㔰㍦㐹㠴慣㝤戸扤㡣㈰戱㙦㈶㔲㌶㙡换㡦㝢搲㙣㉢㕢㕥㑢戳㙢戱㜰挶㜵〴搷ㄳ摣㐰㜰㄰㐰晤ぢ㈴ㅣ愵ㅣ昲捤挹㜸ㅦ㥥㡤㥢〸摥て〰昹㘴㔰收㐴愲㡡㌶搴㑥散㐸搶敢㠷㥤㉣㐶戱ㄶ㐵戴㡣敢㜶㘶扦㉢ㅢㅤ㔹㥤扢㐳搷㜶㡢㡥扤扤㍤㙤㈶愷㐳㡡㑣愹㥡㥣敢㌶㔵㤳ぢ挱慡ㅤ敡慤㕢搰搴ㄸ㈶昸〰㐰搱昸㈰㈱㤴ぢつ摥㥤㔹昴㌴㈹摦ㄳ㘶㤱㌶㠶㍡㔴昰ㄱ㈱昳〸㤰㈲攴㌶ㅤ㕦昶㙣㘸㥡㠳㈳昶㝢摥㠶㍥搴㥥扦愳㑤㙦搱㥢㝢㝡㠷晥愲户㘸㐵摦ち昶㔲晦搸㔶挷摣㠶㘲攳㜶㠲㍢〰㕡㜴っ㑦摦㙦搵㔳㈰㘶戱㥢搸戹晤昴扡㠸㤵扢戴戱㘶㠹〶敡戳㤷㑣晦扣ㄵ挲㠳㌱㍢つ㕢戸敡晢㔶〵㠷摡戲㈰㜸㝥戹扥ㄹㄹ捣昸㔵㤷昸㍤ㅢ㌹㜸㑦㈸㠶敥敥㙣㔷愶挵㐶㑥戱㌵ㄳ㍥愷〴攵㔰〷摦摢㕥㐸㈴ㅡ㌵㤳ㄷ摢愵㥦㉦昷㈴㐹〷㤲攴㉥㉣慢㜱㌷〰愴㠴晡㜹㕢㠹㜲㠸搵㍥㉣搵㥡㉤㔶㝡昸㔲㑥㈷㉤㍥挴㑤㜲愴㔷㍢㙣㈷攱㍦〸晡摤㐵挷慤ぢ㡢㕥㜷挱昲㑢昰㉤㌸ㄵ慢愸摤戲ㄴ㌵㝢戲攲㍤㈲㉢扡扡㌶㥤愷㔳晣㙢㐲㈷㉤㔲㈲㤵摢㔳ぢ㔳捥攲つ愲愲ㅢ㤲㐲㈵挵㌵㔴㤷㐰愴㍣搶摤ㄳ㌱ㅤ㠸㤸㝢戰㜰挶㘱㠲㌱㠲㈳〰戹㥦㐰搲散㜴攱ㄹづ敢㔹愷㑢㝢㜹㌹㔳攰㌶㠸㡢昰㡤戶挲敡㈸㕦昳ㅢ〴昷〳戴㤸㍦㜴㐰愶㄰愲㙣㜹㠲㄰㈵㡣㘱㥦㜳慣㑢愴㠱㝤㌶〲㑢㔳戵㈰慣扡㡣㉣昵摢搳搵搳搵㜰摡〹搶㄰㠹ㅡ戲愳捣挳慢㤶〷敡昲㘱晢戴攰慡㙢㙢㔶搹戰ㄷ慢㌵㠸戶搹改摤㜰㌰挷㜲挰㤶㤴戳㜹㔶㈱㜵㜶㍥㐶ㄷち㉢㉤晥㔶㝡㘳㜷攴晤收愱㙦愰戱愲㑢㑥㔸戱㝡㙤捤㜴捣ㄷ㙣慣㈲㈲〷攵ㅥ㝢㘹搵户慣改㝥晢㠴敦㤴㉢㡥㘷㜱㌳㘰㘳㌲㔸㌷㘷㥤㐷㤴㘰愱捡ㄸ㘰搵敢户㤷㝣搳ぢ搶㑣〶ㄴ㌷昶㌷㍤㐹㔸㈴㘷㑦㍡㕥㠰搷挸㉥㌲㍦㘰㉦慥㔶㉦㈱㘲㕢㜳扤ㄳ收㕡戰㉢㜶㠵㐴慦㤳㙣㡤捡慡㙣㔶ㄵ戲㠵㑥昷㠷〷昲㑣㠶扣搷㑤㈰㝢㤵挹搱㘷㥥愲扤㘹搷㐷㌱ㅡ摡改ㅣ㔳ㅦ愲㐷㜵㘴㔷慡ㄴ㈶愷ㅡて戲捤㐷〰㍥㜱攲散㙣㈳㌲昷戶㘲搶㌹㝡昹㔳㘴扣㤰㐵㍤㄰㐲ㅦ摤㍥㑤㉡挴㤱㜲挰㠱搸㜱㍥戵㤲㕦搱㤶㍡愴扥㝤㡤散っ㈲㐹㝤昶㥣戹㘲㔵㄰㡦㜶捤㜰㥦㝥愰ㄹ敢㥡㤵㈰㉡㥢慡扡慥㐹搲㈲㔹㉥㤶㑣㔲昰㐴㉤慣㥥㜲㍣挳〶㄰晡㡢㔰收㘵愰捣换㠲敡戳捦㌰㌴㈸㜹昶㔵㍤㙦晡㑥戸敡㍡愵〲ㅦㄸ扥摢ㄵ㌴〹㈶愷攴㡤㔳㉣㌳㠶㕢慣昹戳㌰搹㠲㔱㙣昷㈸攴㈸㤷㡥摢て捡捤慡㍣晥㔳ㅤ㍡㤶㈰㘰挴㔳㙡㝣ㄴ扤攵攴㜶〴㐴㡥愴慢昱ㅤ㡣慢捦〰愳㠵㄰㜷㍤㠵㐴攰ㄵ㑣〸㜹扡戸昳昶㔹捦〹戱㝢摣戱ㄹ㈷㥣づ戰攵〰挸捡昱昶㐶搹搵㐴愳㤱扡㔶戸㘵㜳㔱㤳㥡戸㜹㜳㜹㔲㙦㝣㘸㡢㘲慤㔱ㄲ㡡㘴扢㑡愲㔹戶ㄸ攳㙥㔲㌵㑡ㄴ㜷慣㙤㔴㥡摢戴戱敥㤴㈲㙦㐳㌱〹捤㘴㡣㡦〹愱㈰搰ㅢ改㈸晡散搳挹㈳ㄱ戱愱つ㔰愴㥥搲戸晥㈸㈴㌸㡢㙢㈷㘵慢ㄸ㍤㠱扦昷㐵搹昹㕡搸㔴㘲㕥ㅥ㡡㑡㈶㉡㤵㜹て㔶㐲挹昴换扢㠴愵㌱㌷慤㘱㠴㍢㍢搵晥㝡㜹ㄳ㡣ㄸ戱㈱挳㈲㈹㝥㘰戰㈱㤸㉢ㄱ㔱愵㜵搶捦愵慥愳ぢ㝣㍡㘵㤹㥥散挰㘲㔸㥥戶搶挵っ㙢㔸昲㐳搲愰㝥㕡ㄴ㌹㙡搸ㄳ㉢〱㔴㝡㐸㌹ㅥ攵㠴挱つ晢っ摤㔲戸挴〰戱ㅢ攵ㄶ㑡㈱㐲扢昵づ㜸㌲搸㍤扢㠳ㄵ搱愱ㄳ㕡㘷㤴愰昹ㄴ挲㙤㥥〴㜹愷挳ㅤ㠵㈰戵㈵晤挷戸晡敡ぢ㑣摦ㅡ捦挴㤹㠸㠹ㄸ敥㑡戱ㅥ戰戹挹挸㈴戹㘸㈸づ㤸㙢挹㈶㐲慢㉦挶搱挴攸愷挹攷㠷戸挵挳㔸搶〰搹愶㠲㝢㙥愱〳㙤㕡搹搸㘷捦㝡愵㑡慤㙣㠹㉡㡥㘵戵㘸攴㕤戱㕦㜲〵㔰㜳㔳捡扡㐴㡢㌲㡢愳ㄴ愷捣㑤敡摣敥㌶挶搱㕣㠴ㅣ晡搰慡㡦〱挸ㄴ户㥣〴挴㌶摤㔳愰㝤戸扦㜱㠱㐱㉥捦㐱愴㙤㐲㔱㤶捤攱㍥㕥㍤㡡㉣摣㤶愸㌶㔷㥤慢搲㘶㑦愰㑥㍡ㅡ戵㉢昶〸昳搴〲㉦㥦㠷㌱搲㈱㜷戰㤳捣搵㈸扡㝢昵ㄹ㜹捣㕣挵㔶挸づ㈸挶㜸㜹ち捡㘰㔵挱㐸㌴戸戳つ慢㕢㌱晡㑢换摢㤸〰㔰っ〳搳愰㐵㑤㙤攰㑣㈱扦扤㠱㜳ぢ㙡愵㐴㐸㤳挱㔴挶㈸㠷攰戰挷愶㠱㥢㜸㤰㕥慡㐲〹㠵〷攴㘲㔸㝣㌷㜱挴挵ㄱ愸敡㕦搷㠲㕣㌰㐳㕣㝦昱づ戶愰㈷捡㘵㥡扢昰捦敤㡡㕤挵搵つ㙤㡥ㅥ㘸戹㤴㈵㜳愲㝤㜷㙢㑢㐱㜴㔹昰挸昴攸㐹㌳㉣慤㉥㠶ㅢ晡攲㔶㠷㈴愱㜲摦㠳㍦㘲换户搳㘶敥昶㜸ㄱ㜵㥤㙢㕦扣攸㔵㉦㜹㌲慥㕣挰㕢㝦愰㄰㕣愱散攱㈰㡢㔷慥㘴㈲慡捡㘶㜲㝦㡤ㅥ㜷㌲㙣㜶搰㜰㤰戰ㅦ㐹㐵㘳〶㝦ㄹ愴ㅥ挶摦ㄴ㕡㠱晤㕥扦㌹㐰㕡㌹搰㐲㉢㈲っ昶㠸挵㍢晦㑥ㄱ㑢㐶扤㡥慤㈵挱ㄴ㜹㠵ㅣ㑢㡥㤴捤愸搷昰挰㑤㤷攷愲㌱㡢扦摣扥て攰㙦捡昶㠹㐰㡦慥㝡昰㘲挸晦㥦㥤㡡戹㝡㑢戶晡摦㘰敡㔷戱ㄹ戲㑤搸㤳挶㌶㝤愷㜹㥢收昴㌶㈹㕥〹ㄱ㕥㍥㠵㑣㥣㜲っ搵扥愵愰㌸攷戵㜷ㄸ㝤搷㉦晦晥ㅦㅥ㐶攷㈳攲㄰㝢つ㘱户摢昰㕣㌷ㄷ扡㌶㤹ぢっ攴㡢戹戰㠰㡣㘲㐴㕦㥢ぢ㤱㍦攴っ㄰摢㥢ぢ㡣昳愵ㄸ㠵㠹戰㙢挲挵挱搳搸㜵㉥㝤㘵㈷㜱〹搷ち㄰摢㠷〲ぢ愶攰㥤扡㝥㌳㝡挱昴㑤昷愰攰㑦昸ㄶㄴ㥢扦㠴㕢摤搲㠴㉤㙥摣戲㐴ㅡ㙤攱户㠸㍤敥㝢扥㤵㥤摤㘵挷㑥改愴㕤昹慡愰昲㙦挳㙢愲㜸㠶挸㝣收挰㕦㥣昸愷愷㍥㍦捥㥢㙢ㄱ慤收ㄸ㉡敥㈴㝣㑦扢〲〱摥挴愵㤱㙢昹㤱捥㈹㝣慥攴慣㔵慣㐹搳ㄷ㡢㈸㌰摣㌸慢〹㉦㐱㤸㥡昸㜶㠳戹㠹㍢㄰摡摣ㅣ㙤㜱㝤捡㐷㑥攲㉥ㅣ㑤っ㕣晣㝢㜱〸㔱戵㔵㘶ㅤ㕡㥥戹㍦㠷㍡㝡㡢〳㘹戶ㄸ㜹〲㘵㔲敡摢戱扥搳㠸㑣收㈸㌴㥡㍥㔶㉡㕥〱㠸愵ㄴ㘲ㄱ愴㤰攴愱㠶㤷〳㐴㑡㥤㐵㈶㜷て㐰㑡㤴慤㌵摣㑢摦挰㥥㄰戰敡ㄷ〰㍢晣愰〵慢㠸㕤㡣晤昲㥤㥥㙥改ち㠸㔵ㄳ挳戶㘲搳㥣㐳㐶づ㌲㐴㡣挵搸㈶㑢攷〸戰㍢㜶㑤昱㈵晤慥づ挲㘹挶捥戹昴扢ㄵ摤攳㕥つ户㐰愰㘷昲愲㌰扣晤㐴攳㜰㉡昱㍡㕤戵愸㔱㠴〳㍡㕢㙦搴ㅢㄵ㐱㘷㜹〷㜱㐲㐵㈰㤰㕦つ戱㝣愴搱昵戵慤㈵搴㜱㕥て㈶挸ㅦ散慦㥢㔳ㄸㅢ㙦㈵挷㐰挲敥愸㔶㐱㕦ㄵ㝦〴㑤㌸改㡣㌲ㅡ㔹㜹㔶㡣㔷挷㥣搵㤵摤愴晦ㄹ挹ㄶ捥㝡㤴慤ㄹ搲㙥搲晦㡦〱戱慤晥㔷て戲㉤㝥挶攳㔱㠶て㌹挶㔲戶つ摦㜰㐵攰攵㐶㈰㐷づ挹㠶㘴ㄹ晥搶戹㐵㝣挸慡㡢㐵㠲挳〷搶摤㝡㑤愲摥㤶戶㙤㙦㕢〱挸㌸㔱敥㥢㄰㐱㙤摢㌷换慤昸愴㥢晦㉤㌴㍣㜰捡㈹昹搵愰㙡㠷挳㡢〸〰て昳㍢㌴ㅢ㌶捦㠴㝡愵㔵愸摤㡡㤵攸㝢〲㙤㑥捦㐳㘰㥦戶挲㜷㉡㉥挹㈸挳捥愲ㅡ晣㈶㘹㌰ㄱ㙡愲㜶〸慥戱ㅦ慡㤹ㄵ㝣挶㍡て扦㘷㐸搴慥㔰㜶摡晢摣㝡㕢㠳㑢㠷晢㕡㥦㠴㙦挸慡㡣㈲㔰㈶㔳㜸散搳㕣搷搶㌵㘸慥ㅢ捤㉤㘰捤捥晣㙦挵摣㑢搸搳㥤扤愵㤹㘴昸㑥㝥㥤㕣㌴㔶〸㜱戸ㅥ挷摦㥤㍢㙢搹摢㄰攸㍣晡戸㥢㑥戱㤱ち㕣㘹㍢㠸㠴㤷搰㔴㑤㄰攰㘷㤴愳っㅦㄴ㍤㝥㘴㐵昵㌵㑣㡢っ㠰㍣捥㠰〰敤愹晡〵㔴搳ㅥ〴㔶㐶㈲㔵慢ㄹ㘴愴晦㔵㘴㘸户昱愷攸㐸㄰慣㤳挴昲摣㉡搸ぢ〹散㘰㉣搲ㄵ㑦㈹㈴攸愲晡ㄳ扣敡㈵晣昴挲㔵㠸挳愹㐵㑥㈳挸ㅢ㜱ぢ攴㌳㡡愷ㄱ㤹捡昳㘸㔰㥦㑡ㄵ搸昶㔳昹㌲慡㙥㥥ち敤〸ㄹ㕥戲晦挱㔸てㄹ㍥㡡㡤㠰㈰㈴愸〱っ㔰戰㔲㕡攵㜵愰攲㜵敥㉤搲㑦愳扦㙦㡥晦攴つ愶㝦ㅦ㔷㈲㑡㔱搴㍣㜸㡡㔲ㄹ晣㜳挹挱㕦〶戶晤攰扦戸搵攰〷ㅦ㐷ㅢ㡥挴㜸ち愰扦㑢㤱摡㘴㌲㥦㐱㠶敢挸㥦㉡挵搸愶㈹㤲㌴愴敤㙦㈳搳摦㌵挸慤愴㕦挷昸ㅤ㠲㘷〸慥㄰㍣㑢昰㔹㠲捦〱昴㘷〷戹扢㔲昱昳㐴㝥㠱攰㜷〹扥㐸昰㈵㠲攷〰㔰㤱ㅢ㉥ㄵ㝦㡦挸摦㈷昸〳㠲㍦㈴昸㈳㠲㍦〶攸捦㉡敥戵っ晢换挸挴挳捥㜱改㔳扥㔲ㄲ攳㡥㌷㍡昹㡡扣昶㉡攷戵㑡㉦戸㤱㍢㜹㔷〸㌶㑣㠹㥦晤戶搵㐷昹づ慦㉡愸㙡㑣ㄳ㈷㑦㐶捥㍣㜸昷敡㌴愹㘳〴㈴㕤㉥愴昲攲捡㝦昹㙡挳挷㠴〲㈴㄰慥慥㑣ㄲ㤷捡㙥㕣昹〸㍥㉦㤳㍡攸㔹愷㌷攳捡㘴〵愹㕣㠹㉢晦摢㤱㠳昵捡㌱ぢ攸㥥㜳愴捦ㄴ㐳㕤㡥㉥㠹㑦捤〷㔰㍤㘷㔳昹昷摡ㅡ㑤戱㉦㌱昰㡡愸晦㍥摣㙡昱昱戱昷ㅣ㉥㘹攱㉥ぢ㌴㠴晥㌷ㅦ㘶㜱㜹㙢摡っ㑤㝣换扤㡥愸戹㙦挸ㄳㅢ攷敤㜹ㅦ㠸ㅥ㝢㌶挰㠱戰扣慢㐸〴戶㑣户㕥摦㙤愲ぢ㈹㜶㙦㘳㍤攲㘸㕦㤶㤷㘱㍡搳㝣ㄲ㈱敡㔶ㄷ攲㥤捤㈴攲〵挶㔷戰㌹㄰捣㠰捣ㄸ㝦ち愸㈳㑡扣㜶㥤ㄹ愴攸ㄱ戹昲㔵ㄶ㝣㡤攰㐵㠰愲愲㥣㈱ㅤ攴晦っ㘰㈰晥ㄷ㌷㠶搷挵搹㤳㔵㉢昱换㤲㘴㘴扣挴〶㉦〳㜴挱晦慣㈲㈲㉣ㅡ慦〰㤳㜸㘹㡥㌲敢㌷摢ㅢ搳㍣㉢挷晦ち〰攲愲㑤㥦晢ㅦ挷攷晢ㅢ散戸ぢ晦㝡㐹㑥㉣晦敥散㐷㍡敢㡢㠴㐶愳㕤㝥㥦挶㠴摥㐶㍦㕣攰㐶戸㠵㍤㔲㌲ㄶㄵ㈵㌳愷慢ㅥ㐷晦㝣〷㙤晡愲扡ㄲ愳ㅦ㡢搰扣㝢㔲㔴捦挶攸㑦㐵㘸㕥㤵㈸慡捦挶攸㐷㈳昴㥤㠲愶㠴㤷扥ㅦ㠹搰㜷〹㥡㠲㕥搰て㐷㘸㍤㤲㉦挴攸㜳ㄱ㕡㡦㠴捡㐰㙡㥦㡤搰㝡㈴㔴て㠲㕥㡡搰㝡㈴㔴ㄸ㠲㕥㡣搰㝡㈴㔴㈱㠲㍥ㄳ愱昵㐸愸㐹〴晤㔰㠴搶㈳愱㙥ㄱ昴㐲㠴搶㈳愱戶ㄱ昴㝣㠴搶㈳愱晥ㄱ昴改〸慤㐷㐲㡤㈴攸㔳ㄱ㕡㡦㠴㍡㑡搰㜳ㄱ㕡㐶㌲㐸㔵㈵㘴晥ㅤ㘴㡣㔷〹扥ぢ㔰捣㝤〵㜰挷㝣捡㑤敥搰搰㝢つ㑤ㄵ㤹㡦㝤ㄸ慦㐷ㄹ㍥㈸㜲㥥っ㜹㈶ㅡ㌲慤㡤㐲㌶慦挸㡤㔲㜰㍣㉡㌸㈶〵㑡㤱㐳愵㘰㍡㉡ㄸ〷挲昸ㅢ〰㐵づ攴㥣㡣扦攵搳㉢〴㝣晡扢㈸㈳㉦攴ㅡ㐸昳㡦户扣㤰敢㈲〵攳㉤㉦攴㕡㐹挱挷㤲㉦晣〱㍢㤵㠹㈱搳㘴㌴つ㜲㠲戲摥晦㠰㑣㝦搷〰挷昶㌰㝥搹换慡昴㐴昹㠹㈷㝥㌵搰㍤㝣㘳昷㈳ㅦ敦㝢攱捤ㅦ晦昲昹㥦㍤㝥散㕦㝦晤攲㡢㍦晢攷攷摦昸昵昷㔶㡥晤昰ㅢ摦昸晢㑦扣昴挶㉦昷摢㉦㘷㕦晤搵摣换㑦㡦㕤㝣晡㐹晢散摤㈷㥥㝥昴挲㐳㘳ぢ搷㡣㜴㜵昵昴摣㌱昴愳ㅢ敥ㅣ扣昲攴㙢敡晢扦戸摥㔳㌲㕤扣愰㜹ㄸ㥣戶っ攳㠷挸㘰ㄸㅣ昱扢㍡っ㑥㔷ㄶ敡㠱㘸愱㈶㠱㈸挰〶攷〰愴攰晥收㠲摥晦〱戳扢㔷㈵</t>
  </si>
  <si>
    <t>Decisioneering:7.0.0.0</t>
  </si>
  <si>
    <t>Upkeep Cost of Procurement Skills, % of MCC investment</t>
  </si>
  <si>
    <t>1.5%-3%</t>
  </si>
  <si>
    <t>7a9953af-a798-44e8-ae4e-7480b723f921</t>
  </si>
  <si>
    <t>3.5%-10%</t>
  </si>
  <si>
    <t>Crystal Ball Report - Full</t>
  </si>
  <si>
    <t>Run preferences:</t>
  </si>
  <si>
    <t>Number of trials run</t>
  </si>
  <si>
    <t>Monte Carlo</t>
  </si>
  <si>
    <t>Random seed</t>
  </si>
  <si>
    <t>Precision control on</t>
  </si>
  <si>
    <t xml:space="preserve">   Confidence level</t>
  </si>
  <si>
    <t>Run statistics:</t>
  </si>
  <si>
    <t>Total running time (sec)</t>
  </si>
  <si>
    <t>Trials/second (average)</t>
  </si>
  <si>
    <t>Random numbers per sec</t>
  </si>
  <si>
    <t>Crystal Ball data:</t>
  </si>
  <si>
    <t>Assumptions</t>
  </si>
  <si>
    <t xml:space="preserve">   Correlations</t>
  </si>
  <si>
    <t xml:space="preserve">   Correlation matrices</t>
  </si>
  <si>
    <t>Decision variables</t>
  </si>
  <si>
    <t>Forecasts</t>
  </si>
  <si>
    <t>Forecast: Economic rate of return (ERR)*:</t>
  </si>
  <si>
    <t>Summary:</t>
  </si>
  <si>
    <t>Certainty range is from 10.0% to Infinity</t>
  </si>
  <si>
    <t>Statistics:</t>
  </si>
  <si>
    <t>Forecast values</t>
  </si>
  <si>
    <t>Trials</t>
  </si>
  <si>
    <t>Base Case</t>
  </si>
  <si>
    <t>Mean</t>
  </si>
  <si>
    <t>Median</t>
  </si>
  <si>
    <t>Mode</t>
  </si>
  <si>
    <t>---</t>
  </si>
  <si>
    <t>Standard Deviation</t>
  </si>
  <si>
    <t>Variance</t>
  </si>
  <si>
    <t>Skewness</t>
  </si>
  <si>
    <t>Kurtosis</t>
  </si>
  <si>
    <t>Coeff. of Variation</t>
  </si>
  <si>
    <t>Minimum</t>
  </si>
  <si>
    <t>Maximum</t>
  </si>
  <si>
    <t>Range Width</t>
  </si>
  <si>
    <t>Mean Std. Error</t>
  </si>
  <si>
    <t>Cell Errors</t>
  </si>
  <si>
    <t>Forecast: Economic rate of return (ERR)*: (cont'd)</t>
  </si>
  <si>
    <t>Percentiles:</t>
  </si>
  <si>
    <t>0%</t>
  </si>
  <si>
    <t>10%</t>
  </si>
  <si>
    <t>20%</t>
  </si>
  <si>
    <t>30%</t>
  </si>
  <si>
    <t>40%</t>
  </si>
  <si>
    <t>50%</t>
  </si>
  <si>
    <t>60%</t>
  </si>
  <si>
    <t>70%</t>
  </si>
  <si>
    <t>80%</t>
  </si>
  <si>
    <t>90%</t>
  </si>
  <si>
    <t>100%</t>
  </si>
  <si>
    <t>End of Forecasts</t>
  </si>
  <si>
    <t>Assumption: Decrease in Firm Profits attributed to the project, %</t>
  </si>
  <si>
    <t>Cell: D16</t>
  </si>
  <si>
    <t>Normal distribution with parameters:</t>
  </si>
  <si>
    <t>Std. Dev.</t>
  </si>
  <si>
    <t>Assumption: Increase in budget execution attributed to project, %</t>
  </si>
  <si>
    <t>Cell: D18</t>
  </si>
  <si>
    <t>Assumption: Increase in Value for Money for construction projects (Delta-VfM) attributed to the project, %</t>
  </si>
  <si>
    <t>Cell: D15</t>
  </si>
  <si>
    <t>Cell: D19</t>
  </si>
  <si>
    <t>Triangular distribution with parameters:</t>
  </si>
  <si>
    <t>Likeliest</t>
  </si>
  <si>
    <t>Assumption: Rate of Reform Convergence per year, Excess Progress of Untreated PSU, %</t>
  </si>
  <si>
    <t>Assumption: Share of Budget Execution in Construction, %</t>
  </si>
  <si>
    <t>Cell: D14</t>
  </si>
  <si>
    <t>Uniform distribution with parameters:</t>
  </si>
  <si>
    <t>Assumption: Upkeep Cost of Procurement Skills, % of MCC investment</t>
  </si>
  <si>
    <t>Cell: D13</t>
  </si>
  <si>
    <t>End of Assumptions</t>
  </si>
  <si>
    <t>Benefit of Tax Savings</t>
  </si>
  <si>
    <t>Net Benefit, with Tax Savings Included</t>
  </si>
  <si>
    <t xml:space="preserve">Net </t>
  </si>
  <si>
    <t>Net Benefits, NPV @ 10%</t>
  </si>
  <si>
    <r>
      <rPr>
        <b/>
        <sz val="10"/>
        <color theme="1"/>
        <rFont val="Calibri"/>
        <family val="2"/>
        <scheme val="minor"/>
      </rPr>
      <t>NB</t>
    </r>
    <r>
      <rPr>
        <sz val="10"/>
        <color theme="1"/>
        <rFont val="Calibri"/>
        <family val="2"/>
        <scheme val="minor"/>
      </rPr>
      <t>: the following is a back-of-the-envelope estimate of the effect of benefit of tax savings as a result of lower prices to the government for comparable procurements.</t>
    </r>
  </si>
  <si>
    <t>0%-10%</t>
  </si>
  <si>
    <t>Effective Marginal Tax Rate, %</t>
  </si>
  <si>
    <t>Assumption</t>
  </si>
  <si>
    <t>MCC Range</t>
  </si>
  <si>
    <t>Sensitivity</t>
  </si>
  <si>
    <t>c68f2492-8fd8-48fb-862f-ab51dcd8f0e7</t>
  </si>
  <si>
    <t>0-25%</t>
  </si>
  <si>
    <t>ERR w/ Fiscal Space</t>
  </si>
  <si>
    <t>a60f20f4-c52f-4d07-aefb-8ef3e57e1e6e</t>
  </si>
  <si>
    <t>Simulation started on 11/7/2018 at 8:23 AM</t>
  </si>
  <si>
    <t>Simulation stopped on 11/7/2018 at 8:23 AM</t>
  </si>
  <si>
    <t>Worksheet: [IndoPM ERR Final-WithSens 20181106.xlsm]ERR &amp; Sensitivity Analysis</t>
  </si>
  <si>
    <t>Cell: D23</t>
  </si>
  <si>
    <t>Certainty level is 84.53%</t>
  </si>
  <si>
    <t>Entire range is from -24.6% to 92.6%</t>
  </si>
  <si>
    <t>Base case is 10.7%</t>
  </si>
  <si>
    <t>After 6,037 trials, the std. error of the mean is 0.3%</t>
  </si>
  <si>
    <t>Worksheet: [IndoPM ERR Final-WithSens 20181106.xlsm]Fiscal Space</t>
  </si>
  <si>
    <t>Forecast: ERR w/ Fiscal Space</t>
  </si>
  <si>
    <t>Cell: C2</t>
  </si>
  <si>
    <t>Certainty level is 89.15%</t>
  </si>
  <si>
    <t>Entire range is from -19.3% to 111.0%</t>
  </si>
  <si>
    <t>Base case is 14.2%</t>
  </si>
  <si>
    <t>After 5,566 trials, the std. error of the mean is 0.3%</t>
  </si>
  <si>
    <t>Forecast: ERR w/ Fiscal Space (cont'd)</t>
  </si>
  <si>
    <t>Exponential distribution with parameters:</t>
  </si>
  <si>
    <t>Rate</t>
  </si>
  <si>
    <t>Assumption: 0-30%</t>
  </si>
  <si>
    <t>Cell: B18</t>
  </si>
  <si>
    <t>Parameters</t>
  </si>
  <si>
    <t>This worksheet presents the central parameter estimates used in the baseline calculation of the model.</t>
  </si>
  <si>
    <t>ERR Theory</t>
  </si>
  <si>
    <t>This worksheet presents the basic theoretical underpinning behind the model.</t>
  </si>
  <si>
    <t>Program Costs</t>
  </si>
  <si>
    <t>This worksheet presents MCC's investment in the procurement modernization project, broken down by year and activity.</t>
  </si>
  <si>
    <t>This worksheet calculates the primary economic costs and benefits of the project for the Procurement Professionalization Activity.</t>
  </si>
  <si>
    <t>Procurement Spend</t>
  </si>
  <si>
    <t>This worksheet summarizes the procurement planning and actual financial progress of procurements in project-affected and comparison areas.</t>
  </si>
  <si>
    <t>This worksheet summarizes the procurement spending in project-affected PSUs in 2016.</t>
  </si>
  <si>
    <t>Fiscal Space</t>
  </si>
  <si>
    <t>This worksheet examines the hypothesis that significant economic benefits result from cost savings (i.e. reduced pressure to tax or issue debt) to the government.</t>
  </si>
  <si>
    <t>VfM</t>
  </si>
  <si>
    <t>This worksheet includes the background results from the Value-for-Money benefit calculation.</t>
  </si>
  <si>
    <t>Producers</t>
  </si>
  <si>
    <t>This worksheet includes the background results from the Producer (Vendor) Surplus benefit calculation.</t>
  </si>
  <si>
    <t>Demographics</t>
  </si>
  <si>
    <t xml:space="preserve">This worksheet shows demographic details and calculations used in the beneficiary analysis. </t>
  </si>
  <si>
    <t>Project</t>
  </si>
  <si>
    <t>non-Pilot</t>
  </si>
  <si>
    <t>Pilot, All</t>
  </si>
  <si>
    <t>Pilot, Phase 1</t>
  </si>
  <si>
    <t>Pilot, Phase 2</t>
  </si>
  <si>
    <t>Weighted Average Forecast Spend, %</t>
  </si>
  <si>
    <t>Unweighted Average Forecast Spend, %</t>
  </si>
  <si>
    <t>% of Target</t>
  </si>
  <si>
    <t>SD</t>
  </si>
  <si>
    <t>Average</t>
  </si>
  <si>
    <t>LKPP/MONEV, 2017</t>
  </si>
  <si>
    <t>LKPP/MONEV, 2015</t>
  </si>
  <si>
    <t>0%-30%</t>
  </si>
  <si>
    <t>The Procurement Modernization Project aimed to establish procurement service units (PSUs) in a diverse set of government entities throughout Indonesia and to provide extensive training and support to nurture their professional and organizational development.</t>
  </si>
  <si>
    <t>MCC Assumption given extreme uncertainty</t>
  </si>
  <si>
    <t>• MCC investment
• Upkeep cost of human capital</t>
  </si>
  <si>
    <t>• Improved Value-for-Money in procurement, especially infrastructure
• More procurements from process efficiency improvements at PSUs</t>
  </si>
  <si>
    <t>11.5% over 20 years</t>
  </si>
  <si>
    <t>The second component of Institutional Structure and Professionalization of PSUs Sub- Activity focused on creating a cadre of 500 procurement professionals in Indonesia capable of conducting strategic, complex, and high value projects within ministries and at the regional and district level. The procurement skills training program adopted a competency-based training approach focused on building the skills and knowledge necessary to perform the duties of a procurement professional.</t>
  </si>
  <si>
    <t>The PPP sub-activity contributed to the revision of PPP regulations by taking part in an inter-ministerial process to modernize the PPP framework. These contracting agencies had projects in water supply, airport infrastructure, waste-to-energy, and street lighting, which the project assisted to transparently reach out to the market and gauge interest and understand possible constraints in order to adequately prepare the projects for the two stage procurement PPP process.</t>
  </si>
  <si>
    <t>The Policy and Procedure Activity also aimed to conduct research that would lead to environmentally and socially sustainable procurement practices. The policy recommendations came from original research into approaches adopted by other jurisdictions. The Activity also provided funds to establish a knowledge and communications center in Indonesia to sustain and scale up procurement modernization beyond the compact term.</t>
  </si>
  <si>
    <t>As the Procurement Modernization Project entered Phase II, the focus shifted to ensuring replicability and sustainability of the activities. There was a desire by both the procurement regulator (LKPP) and MCC to ensure that Phase II PSUs were strategic and aligned with Indonesian President Widodo’s desire to improve spending for high priority social and physical infrastructure. As a result of this orientation, MCA-Indonesia requested $1.5 million to develop and mentor participants in specialized training modules for the Ministries of Public Works, Transportation, and Finance under the Procurement Professionalization Activity. Due to their large procurement spending (over $10 billion in 2016), these three ministries provided the Procurement Modernization Project with an opportunity to improve the procurement of infrastructure that underpins the GOI’s national economic development objectives. An additional $4 million was provided to support increased training and logistical costs for Phase II PSUs.</t>
  </si>
  <si>
    <t>1. PSUs: Establish 44 permanent, independant PSUs serving national and local governments.
2. HRD: Create a cadre of 500 procurement professionals and an additional 500 professionals working in areas closely aligned with procurement, such as auditors.
3. PMIS: Build a Procurement Management information system (hardware and software) to automate procurement processes.
4. FA/FC: Develop the capacity to realize framework agreements to support an E-catalogue information system.</t>
  </si>
  <si>
    <t>The public procurement of goods and services in Indonesia accounts for $45 billion of expenditures (2016 figures), or 30 percent of the national budget. During the time of compact development in 2010-2011, Indonesia’s Corruption Eradication Commission concluded that up to 40 percent of public procure¬ment value was misused. While not backed by rigorous research and analysis, if any¬thing close to this percentage were true, it would mean that the Indonesian public was losing the equivalent of over $15 billion annually in diminished quality and availability of public services. Savings were expected to lead to greater provision of goods and services to the economy and positively impact economic growth. The constraints analysis noted that weak governance and institutions as well as inadequate and poor quality infrastructure were major constraints to economic growth in Indonesia. The weakness of the public procurement system was noted in particular as it is at the heart of the efficient delivery of public services and development of quality infra¬structure.</t>
  </si>
  <si>
    <t>1. PPP: Develop capacity for local governments to procure projects as PPPs. Partnered with 4 government agencies to develop model bidding documents based on PPP pilot projects - which recieved compact technical support, but were not funded through the compact - in water supply, airport infrastructure, waste-to-energy, and street lighting.
2. SPP: Conduct research into environmentally and socially sustainable procurement practices.</t>
  </si>
  <si>
    <t>While the project developed model bidding documents for pilot PPP projects in the areas of water supply, airport infrastructure, waste-to-energy, and street lighting, these pilot PPPs had not been tendered at the time of compact closeout. The model bidding documents, which are the primary project outputs, are therefore treated as stranded assets with additional investment required to complete the work.</t>
  </si>
  <si>
    <t xml:space="preserve">The Procurement Professionalization Activity supported the establishment of 44 permanent, independent PSUs serving national and local governments. At the time of compact development, a recent regulatory decree had mandated that over 600 PSUs would need to be established in central ministries, regional offices, provinces, districts, cities, and public institutions across Indonesia. </t>
  </si>
  <si>
    <t>To complement the formal training program, the project also supported a mentoring and peer-to-peer learning program. During monthly visits to the pilot PSUs, the mentors assisted the PSU staff in applying their newly acquired skills and knowledge in their work activity and also assessed whether the participants demonstrated competency in the targets skills and knowledge defined in the competency framework.</t>
  </si>
  <si>
    <t>The second part of the Procurement Professionalization Activity was the Procurement Management Information System (PMIS) Sub-Activity which consisted of: 1) the acquisition of hardware and software to set up a modern cloud based e-procurement system, and 2) development of policies, procedures, and capacity to realize framework agreements to support a new E-Catalog system. The PMIS sub-activity funded the building of a modern, sophisticated PMIS that automates procurement processes, collects data, generates reports, and sends alerts of possible fraudulent activity.</t>
  </si>
  <si>
    <t>To make maximum use of the new electronic catalog system, the Procurement Modernization Project supported developing policies and procedures that modernized the business transaction between government and suppliers. Most important among these tools were procurement procedures and standard bidding documents for framework contracting, a form of indefinite quantity, indefinite delivery procurement transaction.</t>
  </si>
  <si>
    <t>Approximately $6.2 million in additional funds were used to expand the reach of the PSU mentoring, framework contracting, and procurement management information system (PMIS) sub-activities. Following the successful integration of fraud filters into the PMIS, LKPP requested an additional $1 million to expand the roll out of fraud filters nationwide. Under the Policy and Procedure Development Activity, an additional six pilot model bidding documents were developed for PPPs. The reallocation provided $1.5 million to establish a knowledge and communications center in LKPP to sustain and scale up procurement modernization in Indonesia beyond the compact term. These changes aimed to deepen the Procurement Modernization Project’s engagement with critical GOI entities to expend more of their budget, with greater efficiency, and deliver key public services of greater quality.</t>
  </si>
  <si>
    <t>Additional funds of $7.7 million were made available in June 2016 to the Procurement Professionalization Activity. Approximately $1.6 million was provided to fund additional workshops to expand socialization of key concepts as well as the development of a competency-based professional certification program. Another $1.6 million was used to improve the security infrastructure of the e tendering platform and related service centers. Finally, MCA-Indonesia’s implementation experience showed that logistics costs for the Procurement Modernization Project exceeded estimates, and an additional $4 million was used to continue human resources development training.</t>
  </si>
  <si>
    <t>At the time of compact development, professional procurement was not yet a recognized function in government. Procurement was largely seen as an administrative function, performed on an ad hoc basis by government personnel temporarily assigned to the task. Staff members were not trained adequately in procurement and did not view themselves as members of a recognized, highly-valued profession. Staff performing procurement functions operated in a context of weak or absent controls, presenting an enormous vulnerability to the efficient use of public resources. A recent regulatory decree had mandated that over 600 PSUs would need to be established in central ministries, regional offices, provinces, districts, cities, and public institutions across Indonesia. However, there was no vision for organizational standards, expected roles and responsibilities of the PSUs, nor a requirement that PSU staff be permanent and dedicated to the procurement function.</t>
  </si>
  <si>
    <t>The public procurement of goods and services in Indonesia accounts for $45 billion of expenditures (2016 figures), or 30 percent of the national budget. During the time of compact development in 2010-2011, Indonesia’s Corruption Eradication Commission concluded that up to 40 percent of public procurement value was misused. While not backed by rigorous research and analysis, if anything close to this percentage were true, it would mean that the Indonesian public was losing the equivalent of over $15 billion annually in diminished quality and availability of public services. Savings were expected to lead to greater provision of goods and services to the economy and positively impact economic growth. The constraints analysis noted that weak governance and institutions as well as inadequate and poor quality infrastructure were major constraints to economic growth in Indonesia. The weakness of the public procurement system was noted in particular as it is at the heart of the efficient delivery of public services and development of quality infrastructure.</t>
  </si>
  <si>
    <t>Improvements in the procurement process may lead to improvements in value-for-money in government procurement, improving the quality of government services per rupiah spent which may come at the expense of lower profitability for firm. Benefits for procurement reform are therefore measured as value-for-money net of vendor profitability. Efficiency improvements at PSUs may also be possible, which could allow for additional procurement spending  to occur on the margin. Taken together these benefits also imply potential tax savings associated with the lower costs net of additional procurements, but hypothesized tax savings benefits were estimated to be small and highly uncertain.</t>
  </si>
  <si>
    <t>The Policy and Procedure Activity aimed to 1) develop procurement policies and procedures to improve the outcomes for PPPs and 2) to conduct research that would lead to environmentally and socially sustainable procurement practices.</t>
  </si>
  <si>
    <t>The PPP sub-activity was designed to address these problems with the goal of accelerating infrastructure development, especially in locations most harmed by the lack of procedures and capacity. In addition to supporting the development of procurement regulations for PPPs and developing and delivering a PPP training program at basic and advanced levels, the PPP sub activity also partnered with four government contracting agencies to assist them with developing model bidding documents based on the two-step procurement process.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</si>
</sst>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quot;$&quot;#,##0"/>
    <numFmt numFmtId="168" formatCode="0,,"/>
    <numFmt numFmtId="169" formatCode="0.0,,"/>
    <numFmt numFmtId="170" formatCode="&quot;$&quot;#,##0.00"/>
    <numFmt numFmtId="171" formatCode="&quot;$&quot;#,##0.0"/>
    <numFmt numFmtId="172" formatCode="[$IDR]\ #,##0"/>
    <numFmt numFmtId="173" formatCode="[$IDR]\ #,##0_);\([$IDR]\ #,##0\)"/>
    <numFmt numFmtId="174" formatCode="[$M$]\ #,##0_);\([$M$]\ #,##0\)"/>
    <numFmt numFmtId="175" formatCode="[$-10409]&quot;$&quot;#,##0.00;\(&quot;$&quot;#,##0.00\)"/>
    <numFmt numFmtId="176" formatCode="0.0000"/>
  </numFmts>
  <fonts count="62"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0"/>
      <name val="Arial"/>
      <family val="2"/>
    </font>
    <font>
      <sz val="8"/>
      <name val="Arial"/>
      <family val="2"/>
    </font>
    <font>
      <vertAlign val="superscript"/>
      <sz val="8"/>
      <name val="Arial"/>
      <family val="2"/>
    </font>
    <font>
      <b/>
      <sz val="10"/>
      <name val="Arial"/>
      <family val="2"/>
    </font>
    <font>
      <sz val="10"/>
      <color theme="0" tint="-0.34998626667073579"/>
      <name val="Arial"/>
      <family val="2"/>
    </font>
    <font>
      <b/>
      <sz val="10"/>
      <color theme="0" tint="-0.34998626667073579"/>
      <name val="Arial"/>
      <family val="2"/>
    </font>
    <font>
      <b/>
      <sz val="10"/>
      <color indexed="9"/>
      <name val="Arial"/>
      <family val="2"/>
    </font>
    <font>
      <b/>
      <sz val="10"/>
      <color theme="0"/>
      <name val="Arial"/>
      <family val="2"/>
    </font>
    <font>
      <sz val="9"/>
      <color indexed="55"/>
      <name val="Arial"/>
      <family val="2"/>
    </font>
    <font>
      <b/>
      <sz val="10"/>
      <color indexed="12"/>
      <name val="Arial"/>
      <family val="2"/>
    </font>
    <font>
      <b/>
      <sz val="10"/>
      <color indexed="55"/>
      <name val="Arial"/>
      <family val="2"/>
    </font>
    <font>
      <sz val="10"/>
      <color indexed="23"/>
      <name val="Arial"/>
      <family val="2"/>
    </font>
    <font>
      <b/>
      <sz val="12"/>
      <name val="Arial"/>
      <family val="2"/>
    </font>
    <font>
      <sz val="10"/>
      <color rgb="FF0000FF"/>
      <name val="Arial"/>
      <family val="2"/>
    </font>
    <font>
      <sz val="8"/>
      <color indexed="17"/>
      <name val="Arial"/>
      <family val="2"/>
    </font>
    <font>
      <sz val="14"/>
      <name val="Arial"/>
      <family val="2"/>
    </font>
    <font>
      <b/>
      <sz val="14"/>
      <name val="Arial"/>
      <family val="2"/>
    </font>
    <font>
      <b/>
      <sz val="16"/>
      <name val="Arial"/>
      <family val="2"/>
    </font>
    <font>
      <sz val="8"/>
      <color rgb="FF008000"/>
      <name val="Arial"/>
      <family val="2"/>
    </font>
    <font>
      <b/>
      <sz val="10"/>
      <color rgb="FF0000FF"/>
      <name val="Arial"/>
      <family val="2"/>
    </font>
    <font>
      <u/>
      <sz val="10"/>
      <name val="Arial"/>
      <family val="2"/>
    </font>
    <font>
      <b/>
      <u/>
      <sz val="10"/>
      <name val="Arial"/>
      <family val="2"/>
    </font>
    <font>
      <u/>
      <sz val="10"/>
      <color indexed="12"/>
      <name val="Times New Roman"/>
      <family val="1"/>
    </font>
    <font>
      <u/>
      <sz val="10"/>
      <color indexed="12"/>
      <name val="Arial"/>
      <family val="2"/>
    </font>
    <font>
      <sz val="10"/>
      <name val="Times New Roman"/>
      <family val="1"/>
    </font>
    <font>
      <sz val="10"/>
      <color theme="1"/>
      <name val="Arial"/>
      <family val="2"/>
    </font>
    <font>
      <i/>
      <sz val="10"/>
      <name val="Arial"/>
      <family val="2"/>
    </font>
    <font>
      <sz val="9"/>
      <name val="Arial"/>
      <family val="2"/>
    </font>
    <font>
      <vertAlign val="superscript"/>
      <sz val="9"/>
      <name val="Arial"/>
      <family val="2"/>
    </font>
    <font>
      <b/>
      <sz val="9"/>
      <name val="Arial"/>
      <family val="2"/>
    </font>
    <font>
      <sz val="9"/>
      <color indexed="12"/>
      <name val="Arial"/>
      <family val="2"/>
    </font>
    <font>
      <sz val="10"/>
      <color indexed="9"/>
      <name val="Arial"/>
      <family val="2"/>
    </font>
    <font>
      <b/>
      <sz val="8"/>
      <name val="Arial"/>
      <family val="2"/>
    </font>
    <font>
      <b/>
      <sz val="11"/>
      <name val="Arial"/>
      <family val="2"/>
    </font>
    <font>
      <sz val="10"/>
      <color indexed="42"/>
      <name val="Arial"/>
      <family val="2"/>
    </font>
    <font>
      <b/>
      <sz val="12"/>
      <color indexed="12"/>
      <name val="Arial"/>
      <family val="2"/>
    </font>
    <font>
      <b/>
      <sz val="11"/>
      <color theme="0"/>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sz val="11"/>
      <color theme="4" tint="-0.249977111117893"/>
      <name val="Calibri"/>
      <family val="2"/>
      <scheme val="minor"/>
    </font>
    <font>
      <u/>
      <sz val="10"/>
      <color indexed="12"/>
      <name val="Calibri"/>
      <family val="2"/>
      <scheme val="minor"/>
    </font>
    <font>
      <b/>
      <sz val="10"/>
      <color theme="0"/>
      <name val="Calibri"/>
      <family val="2"/>
      <scheme val="minor"/>
    </font>
    <font>
      <sz val="11"/>
      <name val="Calibri"/>
      <family val="2"/>
    </font>
    <font>
      <b/>
      <sz val="8"/>
      <color rgb="FF000000"/>
      <name val="Arial"/>
      <family val="2"/>
    </font>
    <font>
      <sz val="8"/>
      <color rgb="FF000000"/>
      <name val="Arial"/>
      <family val="2"/>
    </font>
    <font>
      <b/>
      <sz val="8"/>
      <color theme="0"/>
      <name val="Arial"/>
      <family val="2"/>
    </font>
    <font>
      <b/>
      <sz val="9"/>
      <color theme="0"/>
      <name val="Arial"/>
      <family val="2"/>
    </font>
    <font>
      <sz val="11"/>
      <color theme="0"/>
      <name val="Calibri"/>
      <family val="2"/>
    </font>
    <font>
      <sz val="10"/>
      <color theme="0"/>
      <name val="Arial"/>
      <family val="2"/>
    </font>
    <font>
      <b/>
      <sz val="11"/>
      <color theme="0"/>
      <name val="Calibri"/>
      <family val="2"/>
    </font>
    <font>
      <b/>
      <sz val="11"/>
      <name val="Calibri"/>
      <family val="2"/>
    </font>
    <font>
      <vertAlign val="superscript"/>
      <sz val="10"/>
      <color theme="1"/>
      <name val="Calibri"/>
      <family val="2"/>
      <scheme val="minor"/>
    </font>
    <font>
      <b/>
      <vertAlign val="superscript"/>
      <sz val="10"/>
      <color theme="0"/>
      <name val="Calibri"/>
      <family val="2"/>
      <scheme val="minor"/>
    </font>
    <font>
      <b/>
      <sz val="10"/>
      <name val="MS Sans Serif"/>
    </font>
    <font>
      <b/>
      <sz val="10"/>
      <color rgb="FFFF0000"/>
      <name val="Arial"/>
      <family val="2"/>
    </font>
  </fonts>
  <fills count="24">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7" tint="0.39997558519241921"/>
        <bgColor indexed="64"/>
      </patternFill>
    </fill>
    <fill>
      <patternFill patternType="solid">
        <fgColor theme="3" tint="0.79998168889431442"/>
        <bgColor theme="4" tint="0.79998168889431442"/>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249977111117893"/>
        <bgColor indexed="64"/>
      </patternFill>
    </fill>
    <fill>
      <patternFill patternType="solid">
        <fgColor theme="2" tint="-0.499984740745262"/>
        <bgColor indexed="64"/>
      </patternFill>
    </fill>
    <fill>
      <patternFill patternType="solid">
        <fgColor rgb="FFFFC000"/>
        <bgColor indexed="64"/>
      </patternFill>
    </fill>
    <fill>
      <patternFill patternType="solid">
        <fgColor theme="4" tint="-0.249977111117893"/>
        <bgColor theme="4" tint="0.79998168889431442"/>
      </patternFill>
    </fill>
    <fill>
      <patternFill patternType="solid">
        <fgColor theme="3" tint="0.59999389629810485"/>
        <bgColor rgb="FFD3D3D3"/>
      </patternFill>
    </fill>
    <fill>
      <patternFill patternType="solid">
        <fgColor theme="3" tint="0.59999389629810485"/>
        <bgColor indexed="64"/>
      </patternFill>
    </fill>
    <fill>
      <patternFill patternType="solid">
        <fgColor theme="3" tint="-0.249977111117893"/>
        <bgColor rgb="FFD3D3D3"/>
      </patternFill>
    </fill>
    <fill>
      <patternFill patternType="solid">
        <fgColor theme="3" tint="-0.249977111117893"/>
        <bgColor indexed="64"/>
      </patternFill>
    </fill>
    <fill>
      <patternFill patternType="solid">
        <fgColor theme="3" tint="-0.249977111117893"/>
        <bgColor rgb="FFAFEEEE"/>
      </patternFill>
    </fill>
    <fill>
      <patternFill patternType="solid">
        <fgColor theme="4" tint="-0.499984740745262"/>
        <bgColor indexed="64"/>
      </patternFill>
    </fill>
    <fill>
      <patternFill patternType="solid">
        <fgColor rgb="FFFFFF99"/>
        <bgColor indexed="64"/>
      </patternFill>
    </fill>
    <fill>
      <patternFill patternType="solid">
        <fgColor rgb="FFFF0000"/>
        <bgColor indexed="64"/>
      </patternFill>
    </fill>
    <fill>
      <patternFill patternType="solid">
        <fgColor theme="0" tint="-4.9989318521683403E-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medium">
        <color indexed="12"/>
      </right>
      <top/>
      <bottom style="medium">
        <color indexed="12"/>
      </bottom>
      <diagonal/>
    </border>
    <border>
      <left/>
      <right/>
      <top/>
      <bottom style="medium">
        <color indexed="12"/>
      </bottom>
      <diagonal/>
    </border>
    <border>
      <left style="medium">
        <color indexed="12"/>
      </left>
      <right/>
      <top/>
      <bottom style="medium">
        <color indexed="12"/>
      </bottom>
      <diagonal/>
    </border>
    <border>
      <left/>
      <right style="medium">
        <color indexed="12"/>
      </right>
      <top/>
      <bottom/>
      <diagonal/>
    </border>
    <border>
      <left style="medium">
        <color indexed="12"/>
      </left>
      <right/>
      <top/>
      <bottom/>
      <diagonal/>
    </border>
    <border>
      <left/>
      <right/>
      <top style="thin">
        <color indexed="12"/>
      </top>
      <bottom/>
      <diagonal/>
    </border>
    <border>
      <left/>
      <right/>
      <top/>
      <bottom style="thin">
        <color indexed="12"/>
      </bottom>
      <diagonal/>
    </border>
    <border>
      <left/>
      <right/>
      <top style="thin">
        <color indexed="39"/>
      </top>
      <bottom/>
      <diagonal/>
    </border>
    <border>
      <left/>
      <right/>
      <top/>
      <bottom style="thin">
        <color indexed="39"/>
      </bottom>
      <diagonal/>
    </border>
    <border>
      <left/>
      <right style="medium">
        <color indexed="12"/>
      </right>
      <top style="medium">
        <color indexed="12"/>
      </top>
      <bottom/>
      <diagonal/>
    </border>
    <border>
      <left/>
      <right/>
      <top style="medium">
        <color indexed="12"/>
      </top>
      <bottom/>
      <diagonal/>
    </border>
    <border>
      <left style="medium">
        <color indexed="12"/>
      </left>
      <right/>
      <top style="medium">
        <color indexed="1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D3D3D3"/>
      </left>
      <right style="thin">
        <color theme="0" tint="-0.3499862666707357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s>
  <cellStyleXfs count="15">
    <xf numFmtId="0" fontId="0" fillId="0" borderId="0"/>
    <xf numFmtId="44" fontId="3"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26" fillId="0" borderId="0" applyNumberFormat="0" applyFill="0" applyBorder="0" applyAlignment="0" applyProtection="0">
      <alignment vertical="top"/>
      <protection locked="0"/>
    </xf>
    <xf numFmtId="0" fontId="28" fillId="0" borderId="0"/>
    <xf numFmtId="0" fontId="3" fillId="0" borderId="0"/>
    <xf numFmtId="9" fontId="4" fillId="0" borderId="0" applyFont="0" applyFill="0" applyBorder="0" applyAlignment="0" applyProtection="0"/>
    <xf numFmtId="43" fontId="4" fillId="0" borderId="0" applyFont="0" applyFill="0" applyBorder="0" applyAlignment="0" applyProtection="0"/>
  </cellStyleXfs>
  <cellXfs count="448">
    <xf numFmtId="0" fontId="0" fillId="0" borderId="0" xfId="0"/>
    <xf numFmtId="0" fontId="4" fillId="0" borderId="0" xfId="2"/>
    <xf numFmtId="0" fontId="5" fillId="0" borderId="0" xfId="2" applyFont="1"/>
    <xf numFmtId="0" fontId="4" fillId="0" borderId="0" xfId="2" applyFill="1"/>
    <xf numFmtId="165" fontId="7" fillId="0" borderId="1" xfId="3" applyNumberFormat="1" applyFont="1" applyFill="1" applyBorder="1"/>
    <xf numFmtId="0" fontId="7" fillId="0" borderId="0" xfId="4" applyFont="1" applyFill="1" applyAlignment="1">
      <alignment horizontal="right"/>
    </xf>
    <xf numFmtId="165" fontId="7" fillId="0" borderId="0" xfId="3" applyNumberFormat="1" applyFont="1" applyFill="1"/>
    <xf numFmtId="14" fontId="7" fillId="0" borderId="1" xfId="5" applyNumberFormat="1" applyFont="1" applyFill="1" applyBorder="1" applyAlignment="1">
      <alignment horizontal="center" vertical="center" wrapText="1"/>
    </xf>
    <xf numFmtId="14" fontId="8" fillId="0" borderId="1" xfId="5" applyNumberFormat="1" applyFont="1" applyBorder="1" applyAlignment="1">
      <alignment horizontal="center" vertical="center" wrapText="1"/>
    </xf>
    <xf numFmtId="0" fontId="7" fillId="0" borderId="1" xfId="2" applyFont="1" applyBorder="1"/>
    <xf numFmtId="9" fontId="8" fillId="0" borderId="1" xfId="2" applyNumberFormat="1" applyFont="1" applyBorder="1" applyAlignment="1">
      <alignment horizontal="center"/>
    </xf>
    <xf numFmtId="0" fontId="7" fillId="0" borderId="0" xfId="2" applyFont="1" applyAlignment="1">
      <alignment horizontal="right"/>
    </xf>
    <xf numFmtId="0" fontId="7" fillId="0" borderId="1" xfId="2" applyFont="1" applyBorder="1" applyAlignment="1">
      <alignment horizontal="center"/>
    </xf>
    <xf numFmtId="0" fontId="9" fillId="0" borderId="1" xfId="2" applyFont="1" applyBorder="1" applyAlignment="1">
      <alignment horizontal="center"/>
    </xf>
    <xf numFmtId="0" fontId="4" fillId="0" borderId="1" xfId="2" applyFont="1" applyBorder="1"/>
    <xf numFmtId="166" fontId="10" fillId="0" borderId="0" xfId="6" applyNumberFormat="1" applyFont="1" applyFill="1" applyBorder="1" applyAlignment="1">
      <alignment horizontal="center"/>
    </xf>
    <xf numFmtId="6" fontId="7" fillId="0" borderId="0" xfId="2" applyNumberFormat="1" applyFont="1" applyFill="1" applyBorder="1" applyAlignment="1">
      <alignment horizontal="center" vertical="center"/>
    </xf>
    <xf numFmtId="0" fontId="7" fillId="0" borderId="0" xfId="2" applyFont="1" applyFill="1" applyAlignment="1">
      <alignment horizontal="left" vertical="center" wrapText="1"/>
    </xf>
    <xf numFmtId="0" fontId="4" fillId="0" borderId="12" xfId="2" applyBorder="1" applyAlignment="1">
      <alignment vertical="center"/>
    </xf>
    <xf numFmtId="0" fontId="4" fillId="0" borderId="16" xfId="2" applyBorder="1" applyAlignment="1">
      <alignment vertical="center"/>
    </xf>
    <xf numFmtId="0" fontId="14" fillId="0" borderId="12" xfId="2" applyFont="1" applyFill="1" applyBorder="1" applyAlignment="1">
      <alignment horizontal="center" vertical="center" wrapText="1"/>
    </xf>
    <xf numFmtId="0" fontId="15" fillId="0" borderId="18" xfId="2" applyFont="1" applyBorder="1" applyAlignment="1">
      <alignment horizontal="center" vertical="center" wrapText="1"/>
    </xf>
    <xf numFmtId="0" fontId="7" fillId="0" borderId="21" xfId="2" applyFont="1" applyFill="1" applyBorder="1" applyAlignment="1">
      <alignment vertical="center" wrapText="1"/>
    </xf>
    <xf numFmtId="9" fontId="4" fillId="2" borderId="12" xfId="2" applyNumberFormat="1" applyFont="1" applyFill="1" applyBorder="1" applyAlignment="1">
      <alignment horizontal="center" vertical="center"/>
    </xf>
    <xf numFmtId="9" fontId="0" fillId="0" borderId="13" xfId="6" applyFont="1" applyBorder="1" applyAlignment="1">
      <alignment horizontal="center" vertical="center"/>
    </xf>
    <xf numFmtId="9" fontId="4" fillId="0" borderId="12" xfId="2" applyNumberFormat="1" applyBorder="1" applyAlignment="1">
      <alignment horizontal="center" vertical="center"/>
    </xf>
    <xf numFmtId="9" fontId="13" fillId="4" borderId="14" xfId="2" applyNumberFormat="1" applyFont="1" applyFill="1" applyBorder="1" applyAlignment="1">
      <alignment horizontal="center" vertical="center"/>
    </xf>
    <xf numFmtId="0" fontId="4" fillId="0" borderId="15" xfId="2" applyBorder="1" applyAlignment="1">
      <alignment vertical="center" wrapText="1"/>
    </xf>
    <xf numFmtId="0" fontId="4" fillId="0" borderId="12" xfId="2" applyFill="1" applyBorder="1" applyAlignment="1">
      <alignment vertical="center"/>
    </xf>
    <xf numFmtId="9" fontId="4" fillId="2" borderId="16" xfId="2" applyNumberFormat="1" applyFont="1" applyFill="1" applyBorder="1" applyAlignment="1">
      <alignment horizontal="center" vertical="center"/>
    </xf>
    <xf numFmtId="9" fontId="0" fillId="0" borderId="17" xfId="6" applyFont="1" applyBorder="1" applyAlignment="1">
      <alignment horizontal="center" vertical="center"/>
    </xf>
    <xf numFmtId="9" fontId="4" fillId="0" borderId="16" xfId="2" applyNumberFormat="1" applyBorder="1" applyAlignment="1">
      <alignment horizontal="center" vertical="center"/>
    </xf>
    <xf numFmtId="9" fontId="13" fillId="4" borderId="11" xfId="2" applyNumberFormat="1" applyFont="1" applyFill="1" applyBorder="1" applyAlignment="1">
      <alignment horizontal="center" vertical="center"/>
    </xf>
    <xf numFmtId="0" fontId="4" fillId="0" borderId="0" xfId="2" applyBorder="1" applyAlignment="1">
      <alignment vertical="center" wrapText="1"/>
    </xf>
    <xf numFmtId="0" fontId="4" fillId="0" borderId="16" xfId="2" applyFill="1" applyBorder="1" applyAlignment="1">
      <alignment vertical="center"/>
    </xf>
    <xf numFmtId="0" fontId="16" fillId="0" borderId="0" xfId="2" applyFont="1"/>
    <xf numFmtId="0" fontId="4" fillId="0" borderId="0" xfId="2" applyFont="1"/>
    <xf numFmtId="0" fontId="4" fillId="0" borderId="5" xfId="2" applyFont="1" applyBorder="1" applyAlignment="1">
      <alignment horizontal="center" vertical="center" wrapText="1"/>
    </xf>
    <xf numFmtId="0" fontId="4" fillId="0" borderId="22" xfId="2" applyFont="1" applyBorder="1" applyAlignment="1">
      <alignment horizontal="center" vertical="center" wrapText="1"/>
    </xf>
    <xf numFmtId="0" fontId="13" fillId="0" borderId="5" xfId="2" applyFont="1" applyBorder="1" applyAlignment="1">
      <alignment horizontal="center" vertical="center" wrapText="1"/>
    </xf>
    <xf numFmtId="14" fontId="18" fillId="0" borderId="0" xfId="9" applyNumberFormat="1" applyFont="1" applyAlignment="1">
      <alignment horizontal="right" vertical="top"/>
    </xf>
    <xf numFmtId="0" fontId="4" fillId="0" borderId="0" xfId="9"/>
    <xf numFmtId="0" fontId="19" fillId="0" borderId="0" xfId="9" applyFont="1"/>
    <xf numFmtId="0" fontId="18" fillId="0" borderId="0" xfId="9" applyFont="1" applyAlignment="1">
      <alignment horizontal="right" vertical="top"/>
    </xf>
    <xf numFmtId="0" fontId="21" fillId="0" borderId="0" xfId="5" applyFont="1" applyBorder="1" applyAlignment="1"/>
    <xf numFmtId="0" fontId="4" fillId="0" borderId="0" xfId="5"/>
    <xf numFmtId="0" fontId="18" fillId="0" borderId="0" xfId="5" applyFont="1" applyAlignment="1"/>
    <xf numFmtId="0" fontId="4" fillId="0" borderId="0" xfId="5" applyBorder="1"/>
    <xf numFmtId="14" fontId="18" fillId="0" borderId="0" xfId="5" applyNumberFormat="1" applyFont="1" applyBorder="1" applyAlignment="1">
      <alignment horizontal="right" vertical="top"/>
    </xf>
    <xf numFmtId="0" fontId="4" fillId="0" borderId="0" xfId="5" applyBorder="1" applyAlignment="1">
      <alignment vertical="center"/>
    </xf>
    <xf numFmtId="0" fontId="7" fillId="0" borderId="0" xfId="5" applyNumberFormat="1" applyFont="1" applyFill="1" applyBorder="1" applyAlignment="1">
      <alignment horizontal="justify" vertical="center" wrapText="1"/>
    </xf>
    <xf numFmtId="0" fontId="4" fillId="0" borderId="0" xfId="5" applyBorder="1" applyAlignment="1">
      <alignment horizontal="left" vertical="center"/>
    </xf>
    <xf numFmtId="0" fontId="4" fillId="0" borderId="0" xfId="5" applyFont="1" applyBorder="1" applyAlignment="1">
      <alignment horizontal="justify" vertical="center" wrapText="1"/>
    </xf>
    <xf numFmtId="0" fontId="4" fillId="0" borderId="0" xfId="5" applyBorder="1" applyAlignment="1">
      <alignment horizontal="left" vertical="top"/>
    </xf>
    <xf numFmtId="0" fontId="7" fillId="0" borderId="0" xfId="5" applyNumberFormat="1" applyFont="1" applyFill="1" applyBorder="1" applyAlignment="1">
      <alignment horizontal="left" vertical="center" wrapText="1"/>
    </xf>
    <xf numFmtId="0" fontId="4" fillId="0" borderId="0" xfId="5" applyFont="1" applyBorder="1" applyAlignment="1">
      <alignment horizontal="justify" vertical="top" wrapText="1"/>
    </xf>
    <xf numFmtId="0" fontId="24" fillId="0" borderId="0" xfId="5" applyFont="1" applyBorder="1" applyAlignment="1">
      <alignment vertical="center"/>
    </xf>
    <xf numFmtId="0" fontId="7" fillId="0" borderId="0" xfId="5" applyFont="1" applyBorder="1" applyAlignment="1">
      <alignment vertical="center"/>
    </xf>
    <xf numFmtId="0" fontId="25" fillId="0" borderId="0" xfId="5" applyFont="1" applyBorder="1" applyAlignment="1">
      <alignment horizontal="justify" vertical="top" wrapText="1"/>
    </xf>
    <xf numFmtId="0" fontId="4" fillId="0" borderId="0" xfId="5" applyNumberFormat="1" applyFont="1" applyFill="1" applyBorder="1" applyAlignment="1">
      <alignment horizontal="justify" vertical="top" wrapText="1"/>
    </xf>
    <xf numFmtId="0" fontId="25" fillId="0" borderId="0" xfId="5" applyNumberFormat="1" applyFont="1" applyFill="1" applyBorder="1" applyAlignment="1">
      <alignment horizontal="justify" vertical="top" wrapText="1"/>
    </xf>
    <xf numFmtId="0" fontId="4" fillId="0" borderId="0" xfId="5" applyBorder="1" applyAlignment="1">
      <alignment vertical="top"/>
    </xf>
    <xf numFmtId="0" fontId="25" fillId="0" borderId="0" xfId="5" applyFont="1" applyBorder="1"/>
    <xf numFmtId="0" fontId="19" fillId="0" borderId="0" xfId="5" applyFont="1" applyBorder="1"/>
    <xf numFmtId="0" fontId="19" fillId="0" borderId="0" xfId="5" applyFont="1" applyBorder="1" applyAlignment="1">
      <alignment horizontal="left"/>
    </xf>
    <xf numFmtId="0" fontId="4" fillId="0" borderId="0" xfId="5" applyFont="1" applyBorder="1"/>
    <xf numFmtId="0" fontId="7" fillId="0" borderId="0" xfId="5" applyFont="1" applyBorder="1" applyAlignment="1"/>
    <xf numFmtId="0" fontId="4" fillId="0" borderId="0" xfId="5" applyFont="1" applyAlignment="1">
      <alignment wrapText="1"/>
    </xf>
    <xf numFmtId="0" fontId="4" fillId="0" borderId="0" xfId="5" applyFont="1" applyBorder="1" applyAlignment="1">
      <alignment horizontal="left" wrapText="1"/>
    </xf>
    <xf numFmtId="0" fontId="27" fillId="0" borderId="0" xfId="10" applyFont="1" applyBorder="1" applyAlignment="1" applyProtection="1">
      <alignment horizontal="left" wrapText="1"/>
    </xf>
    <xf numFmtId="0" fontId="4" fillId="0" borderId="0" xfId="5" applyAlignment="1">
      <alignment wrapText="1"/>
    </xf>
    <xf numFmtId="0" fontId="4" fillId="0" borderId="0" xfId="5" applyBorder="1" applyAlignment="1">
      <alignment wrapText="1"/>
    </xf>
    <xf numFmtId="0" fontId="4" fillId="0" borderId="0" xfId="5" applyFont="1" applyBorder="1" applyAlignment="1">
      <alignment wrapText="1"/>
    </xf>
    <xf numFmtId="0" fontId="4" fillId="0" borderId="0" xfId="5" applyFont="1" applyFill="1" applyBorder="1" applyAlignment="1">
      <alignment vertical="top" wrapText="1"/>
    </xf>
    <xf numFmtId="0" fontId="4" fillId="0" borderId="0" xfId="11" applyFont="1" applyBorder="1" applyAlignment="1">
      <alignment horizontal="left" wrapText="1"/>
    </xf>
    <xf numFmtId="0" fontId="27" fillId="0" borderId="0" xfId="10" applyNumberFormat="1" applyFont="1" applyBorder="1" applyAlignment="1" applyProtection="1">
      <alignment horizontal="left" wrapText="1"/>
    </xf>
    <xf numFmtId="0" fontId="27" fillId="0" borderId="0" xfId="10" applyFont="1" applyFill="1" applyBorder="1" applyAlignment="1" applyProtection="1">
      <alignment horizontal="left" vertical="top" wrapText="1"/>
    </xf>
    <xf numFmtId="0" fontId="4" fillId="0" borderId="0" xfId="5" applyFont="1"/>
    <xf numFmtId="0" fontId="4" fillId="0" borderId="0" xfId="5" applyFont="1" applyBorder="1" applyAlignment="1">
      <alignment horizontal="left"/>
    </xf>
    <xf numFmtId="0" fontId="4" fillId="0" borderId="0" xfId="11" applyFont="1" applyBorder="1" applyAlignment="1">
      <alignment horizontal="left" vertical="top" wrapText="1"/>
    </xf>
    <xf numFmtId="0" fontId="27" fillId="0" borderId="0" xfId="10" applyFont="1" applyBorder="1" applyAlignment="1" applyProtection="1">
      <alignment horizontal="left" vertical="top" wrapText="1"/>
    </xf>
    <xf numFmtId="0" fontId="7" fillId="0" borderId="0" xfId="4" applyFont="1" applyBorder="1" applyAlignment="1">
      <alignment horizontal="left" wrapText="1"/>
    </xf>
    <xf numFmtId="0" fontId="4" fillId="0" borderId="0" xfId="5" applyFont="1" applyFill="1" applyBorder="1" applyAlignment="1">
      <alignment horizontal="left" vertical="center" wrapText="1"/>
    </xf>
    <xf numFmtId="9" fontId="4" fillId="0" borderId="0" xfId="5" applyNumberFormat="1" applyFont="1" applyBorder="1" applyAlignment="1">
      <alignment horizontal="left" vertical="center" wrapText="1"/>
    </xf>
    <xf numFmtId="0" fontId="7" fillId="0" borderId="27" xfId="4" applyFont="1" applyBorder="1"/>
    <xf numFmtId="0" fontId="7" fillId="0" borderId="28" xfId="5" applyFont="1" applyBorder="1" applyAlignment="1">
      <alignment horizontal="left" vertical="center" wrapText="1"/>
    </xf>
    <xf numFmtId="0" fontId="7" fillId="0" borderId="29" xfId="5" applyFont="1" applyBorder="1" applyAlignment="1">
      <alignment vertical="center" wrapText="1"/>
    </xf>
    <xf numFmtId="0" fontId="7" fillId="0" borderId="29" xfId="4" applyFont="1" applyBorder="1" applyAlignment="1">
      <alignment vertical="center"/>
    </xf>
    <xf numFmtId="0" fontId="4" fillId="0" borderId="0" xfId="5" applyAlignment="1">
      <alignment vertical="center"/>
    </xf>
    <xf numFmtId="0" fontId="7" fillId="0" borderId="0" xfId="5" applyFont="1" applyAlignment="1">
      <alignment vertical="center"/>
    </xf>
    <xf numFmtId="0" fontId="7" fillId="0" borderId="31" xfId="5" applyFont="1" applyBorder="1" applyAlignment="1">
      <alignment horizontal="left" vertical="center" wrapText="1"/>
    </xf>
    <xf numFmtId="0" fontId="22" fillId="0" borderId="0" xfId="5" applyFont="1" applyAlignment="1">
      <alignment horizontal="left"/>
    </xf>
    <xf numFmtId="0" fontId="22" fillId="0" borderId="0" xfId="5" applyFont="1" applyAlignment="1">
      <alignment horizontal="right"/>
    </xf>
    <xf numFmtId="0" fontId="4" fillId="5" borderId="0" xfId="4" applyFill="1"/>
    <xf numFmtId="0" fontId="3" fillId="5" borderId="32" xfId="12" applyFill="1" applyBorder="1"/>
    <xf numFmtId="0" fontId="3" fillId="5" borderId="33" xfId="12" applyFill="1" applyBorder="1"/>
    <xf numFmtId="0" fontId="6" fillId="5" borderId="33" xfId="12" applyFont="1" applyFill="1" applyBorder="1"/>
    <xf numFmtId="0" fontId="3" fillId="5" borderId="34" xfId="12" applyFill="1" applyBorder="1"/>
    <xf numFmtId="0" fontId="3" fillId="5" borderId="0" xfId="12" applyFill="1" applyBorder="1"/>
    <xf numFmtId="0" fontId="3" fillId="5" borderId="35" xfId="12" applyFill="1" applyBorder="1"/>
    <xf numFmtId="0" fontId="3" fillId="5" borderId="36" xfId="12" applyFill="1" applyBorder="1"/>
    <xf numFmtId="0" fontId="3" fillId="5" borderId="0" xfId="12" applyFill="1"/>
    <xf numFmtId="0" fontId="31" fillId="5" borderId="0" xfId="12" applyFont="1" applyFill="1" applyBorder="1"/>
    <xf numFmtId="167" fontId="31" fillId="5" borderId="37" xfId="12" applyNumberFormat="1" applyFont="1" applyFill="1" applyBorder="1" applyAlignment="1">
      <alignment horizontal="right" wrapText="1"/>
    </xf>
    <xf numFmtId="0" fontId="31" fillId="5" borderId="0" xfId="12" applyFont="1" applyFill="1" applyBorder="1" applyAlignment="1">
      <alignment wrapText="1"/>
    </xf>
    <xf numFmtId="0" fontId="31" fillId="5" borderId="38" xfId="12" applyFont="1" applyFill="1" applyBorder="1"/>
    <xf numFmtId="0" fontId="31" fillId="5" borderId="38" xfId="12" applyFont="1" applyFill="1" applyBorder="1" applyAlignment="1">
      <alignment wrapText="1"/>
    </xf>
    <xf numFmtId="7" fontId="31" fillId="5" borderId="0" xfId="3" applyNumberFormat="1" applyFont="1" applyFill="1" applyBorder="1" applyAlignment="1">
      <alignment horizontal="right" wrapText="1" indent="1"/>
    </xf>
    <xf numFmtId="44" fontId="31" fillId="5" borderId="0" xfId="3" applyFont="1" applyFill="1" applyBorder="1" applyAlignment="1">
      <alignment horizontal="right" indent="2"/>
    </xf>
    <xf numFmtId="7" fontId="31" fillId="5" borderId="0" xfId="3" applyNumberFormat="1" applyFont="1" applyFill="1" applyBorder="1" applyAlignment="1">
      <alignment horizontal="center"/>
    </xf>
    <xf numFmtId="0" fontId="33" fillId="5" borderId="0" xfId="12" applyFont="1" applyFill="1" applyBorder="1" applyAlignment="1">
      <alignment wrapText="1"/>
    </xf>
    <xf numFmtId="9" fontId="34" fillId="5" borderId="39" xfId="12" applyNumberFormat="1" applyFont="1" applyFill="1" applyBorder="1" applyAlignment="1">
      <alignment horizontal="right" indent="1"/>
    </xf>
    <xf numFmtId="0" fontId="34" fillId="5" borderId="39" xfId="12" applyFont="1" applyFill="1" applyBorder="1" applyAlignment="1">
      <alignment horizontal="right" indent="2"/>
    </xf>
    <xf numFmtId="0" fontId="34" fillId="5" borderId="39" xfId="12" applyFont="1" applyFill="1" applyBorder="1" applyAlignment="1">
      <alignment horizontal="center"/>
    </xf>
    <xf numFmtId="0" fontId="31" fillId="5" borderId="39" xfId="12" applyFont="1" applyFill="1" applyBorder="1" applyAlignment="1">
      <alignment wrapText="1"/>
    </xf>
    <xf numFmtId="0" fontId="31" fillId="5" borderId="40" xfId="12" applyFont="1" applyFill="1" applyBorder="1" applyAlignment="1">
      <alignment wrapText="1"/>
    </xf>
    <xf numFmtId="0" fontId="34" fillId="5" borderId="0" xfId="12" applyFont="1" applyFill="1" applyBorder="1" applyAlignment="1">
      <alignment horizontal="center"/>
    </xf>
    <xf numFmtId="0" fontId="34" fillId="5" borderId="0" xfId="12" applyFont="1" applyFill="1" applyBorder="1" applyAlignment="1">
      <alignment horizontal="right" indent="2"/>
    </xf>
    <xf numFmtId="0" fontId="33" fillId="5" borderId="0" xfId="12" applyFont="1" applyFill="1" applyBorder="1" applyAlignment="1"/>
    <xf numFmtId="0" fontId="34" fillId="5" borderId="40" xfId="12" applyFont="1" applyFill="1" applyBorder="1" applyAlignment="1">
      <alignment horizontal="center"/>
    </xf>
    <xf numFmtId="0" fontId="34" fillId="5" borderId="40" xfId="12" applyFont="1" applyFill="1" applyBorder="1" applyAlignment="1">
      <alignment horizontal="right" indent="2"/>
    </xf>
    <xf numFmtId="0" fontId="33" fillId="5" borderId="40" xfId="12" applyFont="1" applyFill="1" applyBorder="1" applyAlignment="1"/>
    <xf numFmtId="9" fontId="34" fillId="5" borderId="39" xfId="12" applyNumberFormat="1" applyFont="1" applyFill="1" applyBorder="1" applyAlignment="1">
      <alignment horizontal="center"/>
    </xf>
    <xf numFmtId="0" fontId="31" fillId="6" borderId="0" xfId="12" applyFont="1" applyFill="1" applyBorder="1" applyAlignment="1">
      <alignment horizontal="left" vertical="center" indent="2"/>
    </xf>
    <xf numFmtId="0" fontId="33" fillId="5" borderId="39" xfId="12" applyFont="1" applyFill="1" applyBorder="1" applyAlignment="1">
      <alignment horizontal="center"/>
    </xf>
    <xf numFmtId="0" fontId="33" fillId="5" borderId="39" xfId="12" applyFont="1" applyFill="1" applyBorder="1" applyAlignment="1">
      <alignment horizontal="right"/>
    </xf>
    <xf numFmtId="0" fontId="33" fillId="5" borderId="39" xfId="12" applyFont="1" applyFill="1" applyBorder="1" applyAlignment="1"/>
    <xf numFmtId="0" fontId="33" fillId="5" borderId="40" xfId="12" applyFont="1" applyFill="1" applyBorder="1" applyAlignment="1">
      <alignment horizontal="center"/>
    </xf>
    <xf numFmtId="0" fontId="33" fillId="5" borderId="40" xfId="12" applyFont="1" applyFill="1" applyBorder="1" applyAlignment="1">
      <alignment horizontal="right"/>
    </xf>
    <xf numFmtId="9" fontId="34" fillId="5" borderId="39" xfId="13" applyFont="1" applyFill="1" applyBorder="1" applyAlignment="1">
      <alignment horizontal="center"/>
    </xf>
    <xf numFmtId="0" fontId="31" fillId="5" borderId="39" xfId="12" applyFont="1" applyFill="1" applyBorder="1"/>
    <xf numFmtId="0" fontId="35" fillId="5" borderId="36" xfId="12" applyFont="1" applyFill="1" applyBorder="1"/>
    <xf numFmtId="0" fontId="31" fillId="5" borderId="40" xfId="12" applyFont="1" applyFill="1" applyBorder="1" applyAlignment="1">
      <alignment horizontal="right" indent="2"/>
    </xf>
    <xf numFmtId="0" fontId="31" fillId="5" borderId="40" xfId="12" applyFont="1" applyFill="1" applyBorder="1" applyAlignment="1">
      <alignment horizontal="center"/>
    </xf>
    <xf numFmtId="0" fontId="31" fillId="5" borderId="0" xfId="12" applyFont="1" applyFill="1" applyBorder="1" applyAlignment="1">
      <alignment horizontal="right" indent="2"/>
    </xf>
    <xf numFmtId="0" fontId="31" fillId="5" borderId="0" xfId="12" applyFont="1" applyFill="1" applyBorder="1" applyAlignment="1">
      <alignment horizontal="center"/>
    </xf>
    <xf numFmtId="3" fontId="31" fillId="5" borderId="0" xfId="12" applyNumberFormat="1" applyFont="1" applyFill="1" applyBorder="1" applyAlignment="1">
      <alignment horizontal="center"/>
    </xf>
    <xf numFmtId="164" fontId="31" fillId="5" borderId="0" xfId="14" applyNumberFormat="1" applyFont="1" applyFill="1" applyBorder="1" applyAlignment="1">
      <alignment horizontal="center" wrapText="1"/>
    </xf>
    <xf numFmtId="0" fontId="33" fillId="5" borderId="0" xfId="12" applyFont="1" applyFill="1" applyBorder="1" applyAlignment="1">
      <alignment horizontal="center" wrapText="1"/>
    </xf>
    <xf numFmtId="168" fontId="33" fillId="5" borderId="0" xfId="12" applyNumberFormat="1" applyFont="1" applyFill="1" applyBorder="1" applyAlignment="1">
      <alignment horizontal="center"/>
    </xf>
    <xf numFmtId="169" fontId="33" fillId="5" borderId="0" xfId="12" applyNumberFormat="1" applyFont="1" applyFill="1" applyBorder="1" applyAlignment="1">
      <alignment horizontal="center" wrapText="1"/>
    </xf>
    <xf numFmtId="0" fontId="3" fillId="5" borderId="41" xfId="12" applyFill="1" applyBorder="1"/>
    <xf numFmtId="0" fontId="4" fillId="5" borderId="42" xfId="12" applyFont="1" applyFill="1" applyBorder="1"/>
    <xf numFmtId="167" fontId="31" fillId="5" borderId="42" xfId="12" applyNumberFormat="1" applyFont="1" applyFill="1" applyBorder="1" applyAlignment="1">
      <alignment horizontal="right" wrapText="1"/>
    </xf>
    <xf numFmtId="0" fontId="31" fillId="5" borderId="42" xfId="12" applyFont="1" applyFill="1" applyBorder="1" applyAlignment="1">
      <alignment wrapText="1"/>
    </xf>
    <xf numFmtId="0" fontId="3" fillId="5" borderId="43" xfId="12" applyFill="1" applyBorder="1"/>
    <xf numFmtId="0" fontId="37" fillId="5" borderId="0" xfId="12" applyFont="1" applyFill="1" applyBorder="1" applyAlignment="1">
      <alignment horizontal="right"/>
    </xf>
    <xf numFmtId="0" fontId="4" fillId="5" borderId="0" xfId="12" applyFont="1" applyFill="1" applyBorder="1"/>
    <xf numFmtId="0" fontId="38" fillId="5" borderId="0" xfId="12" applyFont="1" applyFill="1" applyBorder="1"/>
    <xf numFmtId="0" fontId="39" fillId="5" borderId="0" xfId="12" applyFont="1" applyFill="1" applyBorder="1" applyAlignment="1"/>
    <xf numFmtId="0" fontId="4" fillId="5" borderId="0" xfId="4" applyFont="1" applyFill="1"/>
    <xf numFmtId="0" fontId="22" fillId="5" borderId="0" xfId="5" applyFont="1" applyFill="1" applyAlignment="1">
      <alignment horizontal="right"/>
    </xf>
    <xf numFmtId="0" fontId="22" fillId="5" borderId="0" xfId="5" applyFont="1" applyFill="1"/>
    <xf numFmtId="0" fontId="22" fillId="5" borderId="0" xfId="5" applyFont="1" applyFill="1" applyBorder="1" applyAlignment="1"/>
    <xf numFmtId="0" fontId="4" fillId="5" borderId="0" xfId="4" applyFont="1" applyFill="1" applyBorder="1" applyAlignment="1">
      <alignment horizontal="left"/>
    </xf>
    <xf numFmtId="0" fontId="21" fillId="5" borderId="0" xfId="5" applyFont="1" applyFill="1" applyBorder="1" applyAlignment="1"/>
    <xf numFmtId="0" fontId="7" fillId="5" borderId="0" xfId="4" applyFont="1" applyFill="1" applyAlignment="1">
      <alignment horizontal="left" vertical="center" wrapText="1"/>
    </xf>
    <xf numFmtId="0" fontId="4" fillId="5" borderId="0" xfId="4" applyFont="1" applyFill="1" applyBorder="1"/>
    <xf numFmtId="0" fontId="22" fillId="5" borderId="0" xfId="5" applyFont="1" applyFill="1" applyAlignment="1">
      <alignment horizontal="left"/>
    </xf>
    <xf numFmtId="0" fontId="4" fillId="5" borderId="0" xfId="5" applyFill="1"/>
    <xf numFmtId="0" fontId="7" fillId="5" borderId="0" xfId="4" applyFont="1" applyFill="1"/>
    <xf numFmtId="0" fontId="7" fillId="5" borderId="15" xfId="4" applyFont="1" applyFill="1" applyBorder="1"/>
    <xf numFmtId="0" fontId="7" fillId="5" borderId="0" xfId="4" applyFont="1" applyFill="1" applyBorder="1"/>
    <xf numFmtId="1" fontId="4" fillId="5" borderId="0" xfId="4" applyNumberFormat="1" applyFont="1" applyFill="1"/>
    <xf numFmtId="0" fontId="30" fillId="5" borderId="0" xfId="4" applyFont="1" applyFill="1"/>
    <xf numFmtId="1" fontId="30" fillId="5" borderId="0" xfId="4" applyNumberFormat="1" applyFont="1" applyFill="1"/>
    <xf numFmtId="9" fontId="7" fillId="5" borderId="0" xfId="4" applyNumberFormat="1" applyFont="1" applyFill="1"/>
    <xf numFmtId="0" fontId="4" fillId="5" borderId="0" xfId="4" applyFill="1" applyBorder="1" applyAlignment="1">
      <alignment vertical="center" wrapText="1"/>
    </xf>
    <xf numFmtId="164" fontId="4" fillId="5" borderId="0" xfId="4" applyNumberFormat="1" applyFill="1"/>
    <xf numFmtId="0" fontId="7" fillId="5" borderId="15" xfId="4" applyFont="1" applyFill="1" applyBorder="1" applyAlignment="1">
      <alignment wrapText="1"/>
    </xf>
    <xf numFmtId="0" fontId="20" fillId="5" borderId="0" xfId="4" applyFont="1" applyFill="1"/>
    <xf numFmtId="0" fontId="0" fillId="5" borderId="0" xfId="0" applyFill="1"/>
    <xf numFmtId="0" fontId="0" fillId="5" borderId="0" xfId="0" applyFill="1" applyAlignment="1">
      <alignment horizontal="center" wrapText="1"/>
    </xf>
    <xf numFmtId="0" fontId="1" fillId="5" borderId="0" xfId="0" applyFont="1" applyFill="1"/>
    <xf numFmtId="0" fontId="0" fillId="5" borderId="2" xfId="0" applyFill="1" applyBorder="1" applyAlignment="1">
      <alignment horizontal="left" indent="1"/>
    </xf>
    <xf numFmtId="164" fontId="0" fillId="5" borderId="1" xfId="0" applyNumberFormat="1" applyFill="1" applyBorder="1" applyAlignment="1">
      <alignment horizontal="center"/>
    </xf>
    <xf numFmtId="164" fontId="0" fillId="5" borderId="1" xfId="0" applyNumberFormat="1" applyFont="1" applyFill="1" applyBorder="1" applyAlignment="1">
      <alignment horizontal="center"/>
    </xf>
    <xf numFmtId="165" fontId="0" fillId="5" borderId="3" xfId="1" applyNumberFormat="1" applyFont="1" applyFill="1" applyBorder="1"/>
    <xf numFmtId="0" fontId="1" fillId="7" borderId="2" xfId="0" applyFont="1" applyFill="1" applyBorder="1"/>
    <xf numFmtId="0" fontId="1" fillId="7" borderId="1" xfId="0" applyFont="1" applyFill="1" applyBorder="1" applyAlignment="1">
      <alignment horizontal="center"/>
    </xf>
    <xf numFmtId="0" fontId="1" fillId="8" borderId="3" xfId="0" applyFont="1" applyFill="1" applyBorder="1" applyAlignment="1">
      <alignment horizontal="center" wrapText="1"/>
    </xf>
    <xf numFmtId="0" fontId="1" fillId="9" borderId="2" xfId="0" applyFont="1" applyFill="1" applyBorder="1" applyAlignment="1">
      <alignment horizontal="left"/>
    </xf>
    <xf numFmtId="164" fontId="1" fillId="9" borderId="1" xfId="0" applyNumberFormat="1" applyFont="1" applyFill="1" applyBorder="1" applyAlignment="1">
      <alignment horizontal="center"/>
    </xf>
    <xf numFmtId="165" fontId="1" fillId="9" borderId="3" xfId="1" applyNumberFormat="1" applyFont="1" applyFill="1" applyBorder="1"/>
    <xf numFmtId="0" fontId="0" fillId="0" borderId="0" xfId="0" applyAlignment="1">
      <alignment wrapText="1"/>
    </xf>
    <xf numFmtId="0" fontId="0" fillId="0" borderId="0" xfId="0" applyAlignment="1">
      <alignment horizontal="center" wrapText="1"/>
    </xf>
    <xf numFmtId="0" fontId="0" fillId="0" borderId="0" xfId="0" applyAlignment="1">
      <alignment horizontal="left"/>
    </xf>
    <xf numFmtId="0" fontId="0" fillId="0" borderId="0" xfId="0" applyAlignment="1">
      <alignment vertical="center"/>
    </xf>
    <xf numFmtId="3" fontId="0" fillId="0" borderId="0" xfId="0" applyNumberFormat="1"/>
    <xf numFmtId="10" fontId="0" fillId="0" borderId="0" xfId="0" applyNumberFormat="1"/>
    <xf numFmtId="0" fontId="0" fillId="0" borderId="0" xfId="0" applyAlignment="1"/>
    <xf numFmtId="10" fontId="0" fillId="0" borderId="0" xfId="0" applyNumberFormat="1" applyAlignment="1"/>
    <xf numFmtId="0" fontId="0" fillId="0" borderId="0" xfId="0" applyAlignment="1">
      <alignment horizontal="right"/>
    </xf>
    <xf numFmtId="0" fontId="0" fillId="0" borderId="47" xfId="0" applyBorder="1" applyAlignment="1">
      <alignment horizontal="right"/>
    </xf>
    <xf numFmtId="0" fontId="0" fillId="0" borderId="0" xfId="0" applyBorder="1"/>
    <xf numFmtId="10" fontId="0" fillId="0" borderId="0" xfId="0" applyNumberFormat="1" applyBorder="1"/>
    <xf numFmtId="3" fontId="0" fillId="0" borderId="48" xfId="0" applyNumberFormat="1" applyBorder="1"/>
    <xf numFmtId="0" fontId="0" fillId="0" borderId="49" xfId="0" applyBorder="1" applyAlignment="1">
      <alignment horizontal="right"/>
    </xf>
    <xf numFmtId="0" fontId="0" fillId="0" borderId="23" xfId="0" applyBorder="1"/>
    <xf numFmtId="10" fontId="0" fillId="0" borderId="23" xfId="0" applyNumberFormat="1" applyBorder="1"/>
    <xf numFmtId="3" fontId="0" fillId="0" borderId="50" xfId="0" applyNumberFormat="1" applyBorder="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42" fillId="0" borderId="0" xfId="0" applyFont="1"/>
    <xf numFmtId="0" fontId="43" fillId="0" borderId="0" xfId="0" applyFont="1" applyAlignment="1">
      <alignment horizontal="center"/>
    </xf>
    <xf numFmtId="0" fontId="43" fillId="0" borderId="0" xfId="0" applyFont="1"/>
    <xf numFmtId="0" fontId="44" fillId="10" borderId="1" xfId="0" applyFont="1" applyFill="1" applyBorder="1"/>
    <xf numFmtId="0" fontId="42" fillId="10" borderId="1" xfId="0" applyFont="1" applyFill="1" applyBorder="1" applyAlignment="1">
      <alignment horizontal="center"/>
    </xf>
    <xf numFmtId="0" fontId="44" fillId="9" borderId="1" xfId="0" applyFont="1" applyFill="1" applyBorder="1"/>
    <xf numFmtId="0" fontId="42" fillId="10" borderId="1" xfId="0" applyFont="1" applyFill="1" applyBorder="1"/>
    <xf numFmtId="0" fontId="42" fillId="9" borderId="1" xfId="0" applyFont="1" applyFill="1" applyBorder="1"/>
    <xf numFmtId="0" fontId="43" fillId="0" borderId="1" xfId="0" applyFont="1" applyBorder="1"/>
    <xf numFmtId="0" fontId="45" fillId="0" borderId="1" xfId="0" applyFont="1" applyBorder="1"/>
    <xf numFmtId="0" fontId="1" fillId="0" borderId="0" xfId="0" applyFont="1"/>
    <xf numFmtId="0" fontId="1" fillId="0" borderId="0" xfId="0" applyFont="1" applyAlignment="1">
      <alignment horizontal="right"/>
    </xf>
    <xf numFmtId="0" fontId="46" fillId="11" borderId="0" xfId="0" applyFont="1" applyFill="1"/>
    <xf numFmtId="0" fontId="40" fillId="11" borderId="0" xfId="0" applyFont="1" applyFill="1" applyAlignment="1">
      <alignment horizontal="center" wrapText="1"/>
    </xf>
    <xf numFmtId="0" fontId="40" fillId="11" borderId="0" xfId="0" applyFont="1" applyFill="1" applyAlignment="1">
      <alignment horizontal="center"/>
    </xf>
    <xf numFmtId="0" fontId="40" fillId="11" borderId="0" xfId="0" applyFont="1" applyFill="1" applyAlignment="1">
      <alignment horizontal="right"/>
    </xf>
    <xf numFmtId="0" fontId="41" fillId="11" borderId="0" xfId="0" applyFont="1" applyFill="1" applyAlignment="1">
      <alignment horizontal="center"/>
    </xf>
    <xf numFmtId="0" fontId="0" fillId="12" borderId="47" xfId="0" applyFill="1" applyBorder="1" applyAlignment="1">
      <alignment horizontal="right"/>
    </xf>
    <xf numFmtId="0" fontId="0" fillId="12" borderId="0" xfId="0" applyFill="1" applyBorder="1"/>
    <xf numFmtId="10" fontId="0" fillId="12" borderId="0" xfId="0" applyNumberFormat="1" applyFill="1" applyBorder="1"/>
    <xf numFmtId="3" fontId="0" fillId="12" borderId="48" xfId="0" applyNumberFormat="1" applyFill="1" applyBorder="1"/>
    <xf numFmtId="166" fontId="33" fillId="5" borderId="0" xfId="13" applyNumberFormat="1" applyFont="1" applyFill="1" applyBorder="1" applyAlignment="1">
      <alignment horizontal="center" wrapText="1"/>
    </xf>
    <xf numFmtId="0" fontId="42" fillId="13" borderId="51" xfId="0" applyFont="1" applyFill="1" applyBorder="1"/>
    <xf numFmtId="0" fontId="44" fillId="13" borderId="51" xfId="0" applyFont="1" applyFill="1" applyBorder="1"/>
    <xf numFmtId="166" fontId="45" fillId="13" borderId="51" xfId="0" applyNumberFormat="1" applyFont="1" applyFill="1" applyBorder="1" applyAlignment="1">
      <alignment horizontal="center"/>
    </xf>
    <xf numFmtId="166" fontId="31" fillId="5" borderId="40" xfId="12" applyNumberFormat="1" applyFont="1" applyFill="1" applyBorder="1" applyAlignment="1">
      <alignment horizontal="center" wrapText="1"/>
    </xf>
    <xf numFmtId="3" fontId="1" fillId="0" borderId="0" xfId="0" applyNumberFormat="1" applyFont="1"/>
    <xf numFmtId="166" fontId="0" fillId="0" borderId="0" xfId="0" applyNumberFormat="1"/>
    <xf numFmtId="166" fontId="31" fillId="5" borderId="0" xfId="12" applyNumberFormat="1" applyFont="1" applyFill="1" applyBorder="1" applyAlignment="1">
      <alignment horizontal="center" wrapText="1"/>
    </xf>
    <xf numFmtId="3" fontId="31" fillId="5" borderId="0" xfId="12" applyNumberFormat="1" applyFont="1" applyFill="1" applyBorder="1" applyAlignment="1">
      <alignment horizontal="center" wrapText="1"/>
    </xf>
    <xf numFmtId="170" fontId="31" fillId="5" borderId="0" xfId="12" applyNumberFormat="1" applyFont="1" applyFill="1" applyBorder="1" applyAlignment="1">
      <alignment horizontal="center" vertical="center"/>
    </xf>
    <xf numFmtId="170" fontId="31" fillId="6" borderId="0" xfId="12" applyNumberFormat="1" applyFont="1" applyFill="1" applyBorder="1" applyAlignment="1">
      <alignment horizontal="center" vertical="center"/>
    </xf>
    <xf numFmtId="167" fontId="31" fillId="5" borderId="0" xfId="12" applyNumberFormat="1" applyFont="1" applyFill="1" applyBorder="1" applyAlignment="1">
      <alignment horizontal="center" wrapText="1"/>
    </xf>
    <xf numFmtId="171" fontId="33" fillId="5" borderId="0" xfId="12" applyNumberFormat="1" applyFont="1" applyFill="1" applyBorder="1" applyAlignment="1">
      <alignment horizontal="center" wrapText="1"/>
    </xf>
    <xf numFmtId="0" fontId="1" fillId="0" borderId="0" xfId="0" applyFont="1" applyFill="1"/>
    <xf numFmtId="0" fontId="1" fillId="0" borderId="0" xfId="0" applyFont="1" applyFill="1" applyAlignment="1">
      <alignment horizontal="right"/>
    </xf>
    <xf numFmtId="167" fontId="0" fillId="0" borderId="0" xfId="0" applyNumberFormat="1"/>
    <xf numFmtId="0" fontId="47" fillId="0" borderId="1" xfId="10" applyFont="1" applyBorder="1" applyAlignment="1" applyProtection="1"/>
    <xf numFmtId="0" fontId="7" fillId="0" borderId="10" xfId="2" applyFont="1" applyFill="1" applyBorder="1" applyAlignment="1">
      <alignment vertical="center" wrapText="1"/>
    </xf>
    <xf numFmtId="0" fontId="4" fillId="0" borderId="20" xfId="2" applyBorder="1" applyAlignment="1">
      <alignment vertical="center"/>
    </xf>
    <xf numFmtId="0" fontId="4" fillId="0" borderId="11" xfId="2" applyBorder="1" applyAlignment="1">
      <alignment vertical="center"/>
    </xf>
    <xf numFmtId="0" fontId="4" fillId="5" borderId="0" xfId="8" applyFont="1" applyFill="1" applyBorder="1" applyAlignment="1">
      <alignment vertical="center" wrapText="1"/>
    </xf>
    <xf numFmtId="0" fontId="4" fillId="5" borderId="18" xfId="8" applyFont="1" applyFill="1" applyBorder="1" applyAlignment="1">
      <alignment vertical="center" wrapText="1"/>
    </xf>
    <xf numFmtId="9" fontId="0" fillId="5" borderId="18" xfId="6" applyFont="1" applyFill="1" applyBorder="1" applyAlignment="1">
      <alignment horizontal="center" vertical="center"/>
    </xf>
    <xf numFmtId="0" fontId="4" fillId="5" borderId="16" xfId="8" applyFont="1" applyFill="1" applyBorder="1" applyAlignment="1">
      <alignment vertical="center" wrapText="1"/>
    </xf>
    <xf numFmtId="9" fontId="0" fillId="5" borderId="16" xfId="6" applyFont="1" applyFill="1" applyBorder="1" applyAlignment="1">
      <alignment horizontal="center" vertical="center"/>
    </xf>
    <xf numFmtId="173" fontId="13" fillId="4" borderId="18" xfId="6" applyNumberFormat="1" applyFont="1" applyFill="1" applyBorder="1" applyAlignment="1">
      <alignment horizontal="center" vertical="center"/>
    </xf>
    <xf numFmtId="173" fontId="4" fillId="3" borderId="18" xfId="6" applyNumberFormat="1" applyFont="1" applyFill="1" applyBorder="1" applyAlignment="1">
      <alignment horizontal="center" vertical="center"/>
    </xf>
    <xf numFmtId="166" fontId="4" fillId="2" borderId="17" xfId="7" applyNumberFormat="1" applyFont="1" applyFill="1" applyBorder="1" applyAlignment="1">
      <alignment horizontal="center" vertical="center"/>
    </xf>
    <xf numFmtId="166" fontId="4" fillId="3" borderId="16" xfId="6" applyNumberFormat="1" applyFont="1" applyFill="1" applyBorder="1" applyAlignment="1">
      <alignment horizontal="center" vertical="center"/>
    </xf>
    <xf numFmtId="0" fontId="48" fillId="10" borderId="1" xfId="0" applyFont="1" applyFill="1" applyBorder="1"/>
    <xf numFmtId="172" fontId="43" fillId="0" borderId="1" xfId="0" applyNumberFormat="1" applyFont="1" applyBorder="1"/>
    <xf numFmtId="0" fontId="0" fillId="5" borderId="52" xfId="0" applyFill="1" applyBorder="1" applyAlignment="1">
      <alignment horizontal="left" indent="1"/>
    </xf>
    <xf numFmtId="164" fontId="0" fillId="5" borderId="18" xfId="0" applyNumberFormat="1" applyFill="1" applyBorder="1" applyAlignment="1">
      <alignment horizontal="center"/>
    </xf>
    <xf numFmtId="164" fontId="0" fillId="5" borderId="18" xfId="0" applyNumberFormat="1" applyFont="1" applyFill="1" applyBorder="1" applyAlignment="1">
      <alignment horizontal="center"/>
    </xf>
    <xf numFmtId="165" fontId="0" fillId="5" borderId="53" xfId="1" applyNumberFormat="1" applyFont="1" applyFill="1" applyBorder="1"/>
    <xf numFmtId="0" fontId="40" fillId="14" borderId="4" xfId="0" applyFont="1" applyFill="1" applyBorder="1" applyAlignment="1">
      <alignment horizontal="left"/>
    </xf>
    <xf numFmtId="164" fontId="40" fillId="14" borderId="5" xfId="0" applyNumberFormat="1" applyFont="1" applyFill="1" applyBorder="1" applyAlignment="1">
      <alignment horizontal="center"/>
    </xf>
    <xf numFmtId="165" fontId="40" fillId="11" borderId="6" xfId="1" applyNumberFormat="1" applyFont="1" applyFill="1" applyBorder="1"/>
    <xf numFmtId="0" fontId="40" fillId="11" borderId="54" xfId="0" applyFont="1" applyFill="1" applyBorder="1" applyAlignment="1">
      <alignment horizontal="right" indent="1"/>
    </xf>
    <xf numFmtId="164" fontId="40" fillId="11" borderId="55" xfId="0" applyNumberFormat="1" applyFont="1" applyFill="1" applyBorder="1" applyAlignment="1">
      <alignment horizontal="center"/>
    </xf>
    <xf numFmtId="165" fontId="40" fillId="11" borderId="56" xfId="1" applyNumberFormat="1" applyFont="1" applyFill="1" applyBorder="1"/>
    <xf numFmtId="9" fontId="0" fillId="5" borderId="17" xfId="8" applyNumberFormat="1" applyFont="1" applyFill="1" applyBorder="1" applyAlignment="1">
      <alignment horizontal="center" vertical="center"/>
    </xf>
    <xf numFmtId="167" fontId="43" fillId="0" borderId="1" xfId="0" applyNumberFormat="1" applyFont="1" applyBorder="1"/>
    <xf numFmtId="174" fontId="4" fillId="3" borderId="16" xfId="6" applyNumberFormat="1" applyFont="1" applyFill="1" applyBorder="1" applyAlignment="1">
      <alignment horizontal="center" vertical="center"/>
    </xf>
    <xf numFmtId="174" fontId="4" fillId="2" borderId="16" xfId="7" applyNumberFormat="1" applyFont="1" applyFill="1" applyBorder="1" applyAlignment="1">
      <alignment horizontal="center" vertical="center"/>
    </xf>
    <xf numFmtId="10" fontId="4" fillId="3" borderId="16" xfId="6" applyNumberFormat="1" applyFont="1" applyFill="1" applyBorder="1" applyAlignment="1">
      <alignment horizontal="center" vertical="center"/>
    </xf>
    <xf numFmtId="10" fontId="43" fillId="0" borderId="1" xfId="0" applyNumberFormat="1" applyFont="1" applyBorder="1"/>
    <xf numFmtId="10" fontId="4" fillId="2" borderId="16" xfId="6" applyNumberFormat="1" applyFont="1" applyFill="1" applyBorder="1" applyAlignment="1">
      <alignment horizontal="center" vertical="center"/>
    </xf>
    <xf numFmtId="0" fontId="4" fillId="5" borderId="15" xfId="2" applyFont="1" applyFill="1" applyBorder="1" applyAlignment="1">
      <alignment vertical="center" wrapText="1"/>
    </xf>
    <xf numFmtId="49" fontId="0" fillId="5" borderId="13" xfId="2" applyNumberFormat="1" applyFont="1" applyFill="1" applyBorder="1" applyAlignment="1">
      <alignment horizontal="center" vertical="center"/>
    </xf>
    <xf numFmtId="0" fontId="1" fillId="0" borderId="0" xfId="0" applyFont="1"/>
    <xf numFmtId="0" fontId="0" fillId="5" borderId="0" xfId="0" applyFill="1"/>
    <xf numFmtId="0" fontId="4" fillId="0" borderId="0" xfId="5" applyNumberFormat="1" applyFont="1" applyBorder="1" applyAlignment="1">
      <alignment horizontal="left" wrapText="1"/>
    </xf>
    <xf numFmtId="0" fontId="27" fillId="0" borderId="0" xfId="10" applyFont="1" applyBorder="1" applyAlignment="1" applyProtection="1">
      <alignment horizontal="left" wrapText="1"/>
    </xf>
    <xf numFmtId="0" fontId="4" fillId="0" borderId="0" xfId="11" applyFont="1" applyBorder="1" applyAlignment="1">
      <alignment horizontal="left" wrapText="1"/>
    </xf>
    <xf numFmtId="0" fontId="0" fillId="5" borderId="0" xfId="0" applyFill="1" applyAlignment="1">
      <alignment horizontal="center"/>
    </xf>
    <xf numFmtId="0" fontId="0" fillId="5" borderId="0" xfId="0" applyFill="1" applyAlignment="1">
      <alignment wrapText="1"/>
    </xf>
    <xf numFmtId="0" fontId="5" fillId="5" borderId="0" xfId="12" applyFont="1" applyFill="1" applyBorder="1" applyAlignment="1"/>
    <xf numFmtId="0" fontId="31" fillId="5" borderId="0" xfId="12" applyFont="1" applyFill="1" applyBorder="1" applyAlignment="1"/>
    <xf numFmtId="9" fontId="31" fillId="5" borderId="0" xfId="12" applyNumberFormat="1" applyFont="1" applyFill="1" applyBorder="1" applyAlignment="1">
      <alignment wrapText="1"/>
    </xf>
    <xf numFmtId="0" fontId="6" fillId="5" borderId="0" xfId="12" applyFont="1" applyFill="1" applyBorder="1" applyAlignment="1">
      <alignment horizontal="left"/>
    </xf>
    <xf numFmtId="0" fontId="6" fillId="5" borderId="0" xfId="12" applyFont="1" applyFill="1" applyBorder="1"/>
    <xf numFmtId="0" fontId="49" fillId="5" borderId="0" xfId="0" applyFont="1" applyFill="1" applyBorder="1"/>
    <xf numFmtId="0" fontId="51" fillId="5" borderId="58" xfId="0" applyNumberFormat="1" applyFont="1" applyFill="1" applyBorder="1" applyAlignment="1">
      <alignment vertical="top" wrapText="1" readingOrder="1"/>
    </xf>
    <xf numFmtId="175" fontId="51" fillId="5" borderId="58" xfId="0" applyNumberFormat="1" applyFont="1" applyFill="1" applyBorder="1" applyAlignment="1">
      <alignment vertical="top" wrapText="1" readingOrder="1"/>
    </xf>
    <xf numFmtId="0" fontId="52" fillId="19" borderId="58" xfId="0" applyNumberFormat="1" applyFont="1" applyFill="1" applyBorder="1" applyAlignment="1">
      <alignment horizontal="center" vertical="top" wrapText="1" readingOrder="1"/>
    </xf>
    <xf numFmtId="0" fontId="55" fillId="17" borderId="58" xfId="0" applyNumberFormat="1" applyFont="1" applyFill="1" applyBorder="1" applyAlignment="1">
      <alignment vertical="top" wrapText="1" readingOrder="1"/>
    </xf>
    <xf numFmtId="175" fontId="50" fillId="15" borderId="58" xfId="0" applyNumberFormat="1" applyFont="1" applyFill="1" applyBorder="1" applyAlignment="1">
      <alignment vertical="top" wrapText="1" readingOrder="1"/>
    </xf>
    <xf numFmtId="0" fontId="56" fillId="20" borderId="0" xfId="0" applyFont="1" applyFill="1" applyBorder="1" applyAlignment="1">
      <alignment horizontal="center"/>
    </xf>
    <xf numFmtId="0" fontId="49" fillId="5" borderId="66" xfId="0" applyFont="1" applyFill="1" applyBorder="1"/>
    <xf numFmtId="42" fontId="49" fillId="5" borderId="62" xfId="0" applyNumberFormat="1" applyFont="1" applyFill="1" applyBorder="1"/>
    <xf numFmtId="42" fontId="49" fillId="5" borderId="61" xfId="0" applyNumberFormat="1" applyFont="1" applyFill="1" applyBorder="1"/>
    <xf numFmtId="42" fontId="49" fillId="5" borderId="60" xfId="0" applyNumberFormat="1" applyFont="1" applyFill="1" applyBorder="1"/>
    <xf numFmtId="42" fontId="49" fillId="5" borderId="64" xfId="0" applyNumberFormat="1" applyFont="1" applyFill="1" applyBorder="1"/>
    <xf numFmtId="42" fontId="57" fillId="5" borderId="64" xfId="0" applyNumberFormat="1" applyFont="1" applyFill="1" applyBorder="1"/>
    <xf numFmtId="42" fontId="57" fillId="5" borderId="63" xfId="0" applyNumberFormat="1" applyFont="1" applyFill="1" applyBorder="1"/>
    <xf numFmtId="3" fontId="43" fillId="0" borderId="1" xfId="0" applyNumberFormat="1" applyFont="1" applyBorder="1" applyAlignment="1">
      <alignment horizontal="center"/>
    </xf>
    <xf numFmtId="42" fontId="45" fillId="13" borderId="51" xfId="0" applyNumberFormat="1" applyFont="1" applyFill="1" applyBorder="1" applyAlignment="1">
      <alignment horizontal="center"/>
    </xf>
    <xf numFmtId="42" fontId="43" fillId="13" borderId="51" xfId="0" applyNumberFormat="1" applyFont="1" applyFill="1" applyBorder="1" applyAlignment="1">
      <alignment horizontal="center"/>
    </xf>
    <xf numFmtId="0" fontId="40" fillId="11" borderId="0" xfId="0" applyFont="1" applyFill="1" applyAlignment="1">
      <alignment horizontal="center" textRotation="90" wrapText="1"/>
    </xf>
    <xf numFmtId="0" fontId="0" fillId="12" borderId="0" xfId="0" applyFill="1"/>
    <xf numFmtId="3" fontId="0" fillId="12" borderId="0" xfId="0" applyNumberFormat="1" applyFill="1"/>
    <xf numFmtId="10" fontId="0" fillId="12" borderId="0" xfId="0" applyNumberFormat="1" applyFill="1"/>
    <xf numFmtId="0" fontId="1" fillId="12" borderId="0" xfId="0" applyFont="1" applyFill="1"/>
    <xf numFmtId="0" fontId="40" fillId="18" borderId="28" xfId="0" applyFont="1" applyFill="1" applyBorder="1" applyAlignment="1">
      <alignment horizontal="right"/>
    </xf>
    <xf numFmtId="10" fontId="41" fillId="18" borderId="1" xfId="0" applyNumberFormat="1" applyFont="1" applyFill="1" applyBorder="1"/>
    <xf numFmtId="0" fontId="40" fillId="18" borderId="1" xfId="0" applyFont="1" applyFill="1" applyBorder="1" applyAlignment="1">
      <alignment horizontal="right"/>
    </xf>
    <xf numFmtId="170" fontId="41" fillId="18" borderId="1" xfId="0" applyNumberFormat="1" applyFont="1" applyFill="1" applyBorder="1"/>
    <xf numFmtId="3" fontId="0" fillId="12" borderId="0" xfId="0" applyNumberFormat="1" applyFill="1" applyBorder="1"/>
    <xf numFmtId="167" fontId="0" fillId="12" borderId="0" xfId="0" applyNumberFormat="1" applyFill="1" applyBorder="1"/>
    <xf numFmtId="9" fontId="31" fillId="6" borderId="40" xfId="3" applyNumberFormat="1" applyFont="1" applyFill="1" applyBorder="1" applyAlignment="1">
      <alignment horizontal="center"/>
    </xf>
    <xf numFmtId="9" fontId="31" fillId="6" borderId="40" xfId="3" applyNumberFormat="1" applyFont="1" applyFill="1" applyBorder="1" applyAlignment="1">
      <alignment horizontal="right" indent="2"/>
    </xf>
    <xf numFmtId="9" fontId="31" fillId="5" borderId="40" xfId="3" applyNumberFormat="1" applyFont="1" applyFill="1" applyBorder="1" applyAlignment="1">
      <alignment horizontal="center" wrapText="1"/>
    </xf>
    <xf numFmtId="166" fontId="31" fillId="5" borderId="40" xfId="3" applyNumberFormat="1" applyFont="1" applyFill="1" applyBorder="1" applyAlignment="1">
      <alignment horizontal="center" wrapText="1"/>
    </xf>
    <xf numFmtId="166" fontId="31" fillId="5" borderId="0" xfId="13" applyNumberFormat="1" applyFont="1" applyFill="1" applyBorder="1" applyAlignment="1">
      <alignment horizontal="center"/>
    </xf>
    <xf numFmtId="0" fontId="43" fillId="0" borderId="1" xfId="0" applyFont="1" applyBorder="1" applyAlignment="1">
      <alignment horizontal="left"/>
    </xf>
    <xf numFmtId="10" fontId="43" fillId="0" borderId="1" xfId="0" applyNumberFormat="1" applyFont="1" applyBorder="1" applyAlignment="1">
      <alignment horizontal="left"/>
    </xf>
    <xf numFmtId="10" fontId="49" fillId="5" borderId="0" xfId="0" applyNumberFormat="1" applyFont="1" applyFill="1" applyBorder="1"/>
    <xf numFmtId="166" fontId="7" fillId="0" borderId="1" xfId="2" applyNumberFormat="1" applyFont="1" applyBorder="1" applyAlignment="1">
      <alignment horizontal="center"/>
    </xf>
    <xf numFmtId="9" fontId="0" fillId="5" borderId="17" xfId="6" applyFont="1" applyFill="1" applyBorder="1" applyAlignment="1">
      <alignment horizontal="center" vertical="center"/>
    </xf>
    <xf numFmtId="0" fontId="14" fillId="0" borderId="0" xfId="2" applyFont="1" applyFill="1" applyBorder="1" applyAlignment="1">
      <alignment horizontal="center" vertical="center" wrapText="1"/>
    </xf>
    <xf numFmtId="166" fontId="0" fillId="5" borderId="17" xfId="6" applyNumberFormat="1" applyFont="1" applyFill="1" applyBorder="1" applyAlignment="1">
      <alignment horizontal="center" vertical="center"/>
    </xf>
    <xf numFmtId="172" fontId="4" fillId="2" borderId="17" xfId="7" applyNumberFormat="1" applyFont="1" applyFill="1" applyBorder="1" applyAlignment="1">
      <alignment horizontal="center" vertical="center"/>
    </xf>
    <xf numFmtId="10" fontId="4" fillId="2" borderId="17" xfId="7" applyNumberFormat="1" applyFont="1" applyFill="1" applyBorder="1" applyAlignment="1">
      <alignment horizontal="center" vertical="center"/>
    </xf>
    <xf numFmtId="10" fontId="4" fillId="3" borderId="12" xfId="7" applyNumberFormat="1" applyFont="1" applyFill="1" applyBorder="1" applyAlignment="1">
      <alignment horizontal="center" vertical="center"/>
    </xf>
    <xf numFmtId="10" fontId="4" fillId="2" borderId="12" xfId="7" applyNumberFormat="1" applyFont="1" applyFill="1" applyBorder="1" applyAlignment="1">
      <alignment horizontal="center" vertical="center"/>
    </xf>
    <xf numFmtId="0" fontId="0" fillId="0" borderId="0" xfId="0" quotePrefix="1"/>
    <xf numFmtId="0" fontId="15" fillId="0" borderId="16" xfId="2" applyFont="1" applyBorder="1" applyAlignment="1">
      <alignment horizontal="center" vertical="center" wrapText="1"/>
    </xf>
    <xf numFmtId="7" fontId="0" fillId="5" borderId="0" xfId="0" applyNumberFormat="1" applyFill="1"/>
    <xf numFmtId="0" fontId="60" fillId="5" borderId="0" xfId="0" applyFont="1" applyFill="1" applyAlignment="1">
      <alignment horizontal="center"/>
    </xf>
    <xf numFmtId="0" fontId="0" fillId="5" borderId="0" xfId="0" applyFill="1" applyAlignment="1">
      <alignment horizontal="right" vertical="top"/>
    </xf>
    <xf numFmtId="3" fontId="0" fillId="5" borderId="0" xfId="0" applyNumberFormat="1" applyFill="1"/>
    <xf numFmtId="10" fontId="0" fillId="5" borderId="0" xfId="0" applyNumberFormat="1" applyFill="1"/>
    <xf numFmtId="2" fontId="0" fillId="5" borderId="0" xfId="0" applyNumberFormat="1" applyFill="1"/>
    <xf numFmtId="0" fontId="60" fillId="5" borderId="0" xfId="0" applyFont="1" applyFill="1"/>
    <xf numFmtId="0" fontId="60" fillId="5" borderId="0" xfId="0" applyFont="1" applyFill="1" applyAlignment="1">
      <alignment horizontal="right" vertical="top"/>
    </xf>
    <xf numFmtId="0" fontId="0" fillId="5" borderId="0" xfId="0" applyFill="1" applyAlignment="1">
      <alignment horizontal="right"/>
    </xf>
    <xf numFmtId="166" fontId="0" fillId="5" borderId="0" xfId="0" applyNumberFormat="1" applyFill="1"/>
    <xf numFmtId="166" fontId="0" fillId="5" borderId="0" xfId="0" applyNumberFormat="1" applyFill="1" applyAlignment="1">
      <alignment horizontal="right"/>
    </xf>
    <xf numFmtId="176" fontId="0" fillId="5" borderId="0" xfId="0" applyNumberFormat="1" applyFill="1"/>
    <xf numFmtId="4" fontId="0" fillId="5" borderId="0" xfId="0" applyNumberFormat="1" applyFill="1"/>
    <xf numFmtId="1" fontId="0" fillId="5" borderId="0" xfId="0" applyNumberFormat="1" applyFill="1"/>
    <xf numFmtId="10" fontId="0" fillId="5" borderId="0" xfId="0" applyNumberFormat="1" applyFill="1" applyAlignment="1">
      <alignment horizontal="right"/>
    </xf>
    <xf numFmtId="10" fontId="1" fillId="5" borderId="0" xfId="0" applyNumberFormat="1" applyFont="1" applyFill="1"/>
    <xf numFmtId="0" fontId="1" fillId="0" borderId="0" xfId="0" applyFont="1"/>
    <xf numFmtId="166" fontId="7" fillId="0" borderId="0" xfId="4" applyNumberFormat="1" applyFont="1" applyFill="1"/>
    <xf numFmtId="166" fontId="13" fillId="21" borderId="16" xfId="6" applyNumberFormat="1" applyFont="1" applyFill="1" applyBorder="1" applyAlignment="1">
      <alignment horizontal="center" vertical="center"/>
    </xf>
    <xf numFmtId="10" fontId="13" fillId="21" borderId="11" xfId="6" applyNumberFormat="1" applyFont="1" applyFill="1" applyBorder="1" applyAlignment="1">
      <alignment horizontal="center" vertical="center"/>
    </xf>
    <xf numFmtId="174" fontId="13" fillId="21" borderId="11" xfId="6" applyNumberFormat="1" applyFont="1" applyFill="1" applyBorder="1" applyAlignment="1">
      <alignment horizontal="center" vertical="center"/>
    </xf>
    <xf numFmtId="10" fontId="13" fillId="21" borderId="14" xfId="7" applyNumberFormat="1" applyFont="1" applyFill="1" applyBorder="1" applyAlignment="1">
      <alignment horizontal="center" vertical="center"/>
    </xf>
    <xf numFmtId="166" fontId="11" fillId="22" borderId="1" xfId="6" applyNumberFormat="1" applyFont="1" applyFill="1" applyBorder="1" applyAlignment="1">
      <alignment horizontal="center" vertical="center"/>
    </xf>
    <xf numFmtId="0" fontId="0" fillId="13" borderId="70" xfId="0" applyFill="1" applyBorder="1" applyAlignment="1">
      <alignment wrapText="1"/>
    </xf>
    <xf numFmtId="0" fontId="0" fillId="13" borderId="71" xfId="0" applyFill="1" applyBorder="1"/>
    <xf numFmtId="9" fontId="0" fillId="13" borderId="2" xfId="0" applyNumberFormat="1" applyFill="1" applyBorder="1"/>
    <xf numFmtId="0" fontId="0" fillId="13" borderId="3" xfId="0" applyFill="1" applyBorder="1"/>
    <xf numFmtId="0" fontId="0" fillId="13" borderId="2" xfId="0" applyFill="1" applyBorder="1" applyAlignment="1">
      <alignment horizontal="right"/>
    </xf>
    <xf numFmtId="166" fontId="0" fillId="13" borderId="4" xfId="0" applyNumberFormat="1" applyFill="1" applyBorder="1"/>
    <xf numFmtId="0" fontId="0" fillId="13" borderId="6" xfId="0" applyFill="1" applyBorder="1"/>
    <xf numFmtId="0" fontId="44" fillId="13" borderId="70" xfId="0" applyFont="1" applyFill="1" applyBorder="1"/>
    <xf numFmtId="166" fontId="45" fillId="13" borderId="71" xfId="0" applyNumberFormat="1" applyFont="1" applyFill="1" applyBorder="1" applyAlignment="1">
      <alignment horizontal="center"/>
    </xf>
    <xf numFmtId="0" fontId="44" fillId="13" borderId="2" xfId="0" applyFont="1" applyFill="1" applyBorder="1"/>
    <xf numFmtId="6" fontId="43" fillId="13" borderId="3" xfId="0" applyNumberFormat="1" applyFont="1" applyFill="1" applyBorder="1" applyAlignment="1">
      <alignment horizontal="center"/>
    </xf>
    <xf numFmtId="0" fontId="42" fillId="13" borderId="4" xfId="0" applyFont="1" applyFill="1" applyBorder="1"/>
    <xf numFmtId="6" fontId="43" fillId="13" borderId="6" xfId="0" applyNumberFormat="1" applyFont="1" applyFill="1" applyBorder="1" applyAlignment="1">
      <alignment horizontal="center"/>
    </xf>
    <xf numFmtId="0" fontId="4" fillId="0" borderId="0" xfId="5" applyBorder="1" applyAlignment="1">
      <alignment horizontal="left" vertical="top"/>
    </xf>
    <xf numFmtId="176" fontId="0" fillId="0" borderId="0" xfId="0" applyNumberFormat="1"/>
    <xf numFmtId="2" fontId="0" fillId="0" borderId="0" xfId="0" applyNumberFormat="1"/>
    <xf numFmtId="0" fontId="40" fillId="11" borderId="0" xfId="0" applyFont="1" applyFill="1"/>
    <xf numFmtId="42" fontId="49" fillId="23" borderId="62" xfId="0" applyNumberFormat="1" applyFont="1" applyFill="1" applyBorder="1"/>
    <xf numFmtId="42" fontId="49" fillId="23" borderId="64" xfId="0" applyNumberFormat="1" applyFont="1" applyFill="1" applyBorder="1"/>
    <xf numFmtId="14" fontId="4" fillId="23" borderId="72" xfId="5" applyNumberFormat="1" applyFont="1" applyFill="1" applyBorder="1" applyAlignment="1">
      <alignment horizontal="left" vertical="center" wrapText="1"/>
    </xf>
    <xf numFmtId="6" fontId="4" fillId="23" borderId="72" xfId="5" applyNumberFormat="1" applyFont="1" applyFill="1" applyBorder="1" applyAlignment="1">
      <alignment horizontal="left" vertical="center" wrapText="1"/>
    </xf>
    <xf numFmtId="0" fontId="4" fillId="23" borderId="73" xfId="5" applyFont="1" applyFill="1" applyBorder="1" applyAlignment="1">
      <alignment horizontal="left" vertical="center" wrapText="1"/>
    </xf>
    <xf numFmtId="0" fontId="7" fillId="0" borderId="30" xfId="4" applyFont="1" applyBorder="1"/>
    <xf numFmtId="49" fontId="29" fillId="5" borderId="1" xfId="5" applyNumberFormat="1" applyFont="1" applyFill="1" applyBorder="1" applyAlignment="1">
      <alignment horizontal="left" vertical="center" wrapText="1"/>
    </xf>
    <xf numFmtId="0" fontId="29" fillId="5" borderId="1" xfId="5" applyFont="1" applyFill="1" applyBorder="1" applyAlignment="1">
      <alignment vertical="center" wrapText="1"/>
    </xf>
    <xf numFmtId="0" fontId="29" fillId="23" borderId="72" xfId="5" applyFont="1" applyFill="1" applyBorder="1" applyAlignment="1">
      <alignment horizontal="left" vertical="center" wrapText="1"/>
    </xf>
    <xf numFmtId="42" fontId="57" fillId="23" borderId="64" xfId="0" applyNumberFormat="1" applyFont="1" applyFill="1" applyBorder="1"/>
    <xf numFmtId="0" fontId="4" fillId="5" borderId="0" xfId="5" applyNumberFormat="1" applyFont="1" applyFill="1" applyBorder="1" applyAlignment="1">
      <alignment horizontal="justify" vertical="top" wrapText="1"/>
    </xf>
    <xf numFmtId="0" fontId="4" fillId="5" borderId="0" xfId="5" applyFont="1" applyFill="1" applyBorder="1" applyAlignment="1">
      <alignment horizontal="justify" vertical="center" wrapText="1"/>
    </xf>
    <xf numFmtId="0" fontId="4" fillId="0" borderId="0" xfId="5" applyNumberFormat="1" applyFont="1" applyFill="1" applyBorder="1" applyAlignment="1">
      <alignment horizontal="left" vertical="center" wrapText="1"/>
    </xf>
    <xf numFmtId="0" fontId="4" fillId="0" borderId="0" xfId="5" applyNumberFormat="1" applyFont="1" applyFill="1" applyBorder="1" applyAlignment="1">
      <alignment horizontal="justify" vertical="center" wrapText="1"/>
    </xf>
    <xf numFmtId="0" fontId="21" fillId="0" borderId="0" xfId="5" applyFont="1" applyAlignment="1">
      <alignment vertical="center"/>
    </xf>
    <xf numFmtId="0" fontId="19" fillId="0" borderId="0" xfId="5" applyFont="1" applyBorder="1" applyAlignment="1"/>
    <xf numFmtId="0" fontId="21" fillId="0" borderId="0" xfId="5" applyFont="1" applyAlignment="1">
      <alignment horizontal="center" vertical="center"/>
    </xf>
    <xf numFmtId="0" fontId="4" fillId="0" borderId="0" xfId="5" applyNumberFormat="1" applyFont="1" applyBorder="1" applyAlignment="1">
      <alignment horizontal="left" wrapText="1"/>
    </xf>
    <xf numFmtId="0" fontId="27" fillId="0" borderId="0" xfId="10" applyFont="1" applyBorder="1" applyAlignment="1" applyProtection="1">
      <alignment horizontal="left" wrapText="1"/>
    </xf>
    <xf numFmtId="0" fontId="4" fillId="0" borderId="0" xfId="11" applyFont="1" applyBorder="1" applyAlignment="1">
      <alignment horizontal="left" vertical="top" wrapText="1"/>
    </xf>
    <xf numFmtId="0" fontId="4" fillId="0" borderId="0" xfId="11" applyFont="1" applyBorder="1" applyAlignment="1">
      <alignment horizontal="left" wrapText="1"/>
    </xf>
    <xf numFmtId="0" fontId="4" fillId="0" borderId="0" xfId="11" applyNumberFormat="1" applyFont="1" applyBorder="1" applyAlignment="1">
      <alignment horizontal="left" wrapText="1"/>
    </xf>
    <xf numFmtId="0" fontId="4" fillId="0" borderId="0" xfId="5" applyBorder="1" applyAlignment="1">
      <alignment horizontal="left" vertical="top"/>
    </xf>
    <xf numFmtId="0" fontId="4" fillId="0" borderId="0" xfId="2" applyFont="1" applyAlignment="1">
      <alignment horizontal="left" wrapText="1"/>
    </xf>
    <xf numFmtId="0" fontId="4" fillId="0" borderId="0" xfId="2" applyAlignment="1">
      <alignment horizontal="left" wrapText="1"/>
    </xf>
    <xf numFmtId="0" fontId="61" fillId="22" borderId="0" xfId="2" applyFont="1" applyFill="1" applyAlignment="1">
      <alignment horizontal="left" vertical="center" wrapText="1"/>
    </xf>
    <xf numFmtId="0" fontId="4" fillId="0" borderId="10" xfId="2" applyBorder="1" applyAlignment="1">
      <alignment horizontal="center"/>
    </xf>
    <xf numFmtId="0" fontId="12" fillId="0" borderId="11" xfId="2" applyFont="1" applyBorder="1" applyAlignment="1">
      <alignment horizontal="center" vertical="center" wrapText="1"/>
    </xf>
    <xf numFmtId="0" fontId="16" fillId="0" borderId="19" xfId="2" applyFont="1" applyBorder="1" applyAlignment="1">
      <alignment vertical="center"/>
    </xf>
    <xf numFmtId="0" fontId="16" fillId="0" borderId="23" xfId="2" applyFont="1" applyBorder="1" applyAlignment="1">
      <alignment vertical="center"/>
    </xf>
    <xf numFmtId="0" fontId="16" fillId="0" borderId="26" xfId="2" applyFont="1" applyBorder="1" applyAlignment="1">
      <alignment horizontal="center"/>
    </xf>
    <xf numFmtId="0" fontId="16" fillId="0" borderId="21" xfId="2" applyFont="1" applyBorder="1" applyAlignment="1">
      <alignment horizontal="center"/>
    </xf>
    <xf numFmtId="0" fontId="16" fillId="0" borderId="25" xfId="2" applyFont="1" applyBorder="1" applyAlignment="1">
      <alignment horizontal="center"/>
    </xf>
    <xf numFmtId="0" fontId="7" fillId="0" borderId="18" xfId="2" applyFont="1" applyFill="1" applyBorder="1" applyAlignment="1">
      <alignment horizontal="left" vertical="center"/>
    </xf>
    <xf numFmtId="0" fontId="7" fillId="0" borderId="24" xfId="2" applyFont="1" applyFill="1" applyBorder="1" applyAlignment="1">
      <alignment horizontal="left" vertical="center"/>
    </xf>
    <xf numFmtId="0" fontId="5" fillId="0" borderId="0" xfId="2" applyFont="1" applyAlignment="1">
      <alignment horizontal="left" vertical="top" wrapText="1"/>
    </xf>
    <xf numFmtId="0" fontId="7" fillId="5" borderId="0" xfId="4" applyFont="1" applyFill="1" applyAlignment="1">
      <alignment horizontal="left" vertical="center" wrapText="1"/>
    </xf>
    <xf numFmtId="165" fontId="4" fillId="5" borderId="0" xfId="3" applyNumberFormat="1" applyFont="1" applyFill="1"/>
    <xf numFmtId="8" fontId="4" fillId="5" borderId="0" xfId="4" applyNumberFormat="1" applyFont="1" applyFill="1"/>
    <xf numFmtId="0" fontId="42" fillId="13" borderId="67" xfId="0" applyFont="1" applyFill="1" applyBorder="1" applyAlignment="1">
      <alignment horizontal="center"/>
    </xf>
    <xf numFmtId="0" fontId="42" fillId="13" borderId="68" xfId="0" applyFont="1" applyFill="1" applyBorder="1" applyAlignment="1">
      <alignment horizontal="center"/>
    </xf>
    <xf numFmtId="0" fontId="42" fillId="13" borderId="69" xfId="0" applyFont="1" applyFill="1" applyBorder="1" applyAlignment="1">
      <alignment horizontal="center"/>
    </xf>
    <xf numFmtId="0" fontId="48" fillId="10" borderId="26" xfId="0" applyFont="1" applyFill="1" applyBorder="1"/>
    <xf numFmtId="0" fontId="48" fillId="10" borderId="21" xfId="0" applyFont="1" applyFill="1" applyBorder="1"/>
    <xf numFmtId="0" fontId="48" fillId="10" borderId="25" xfId="0" applyFont="1" applyFill="1" applyBorder="1"/>
    <xf numFmtId="0" fontId="43" fillId="0" borderId="1" xfId="0" applyFont="1" applyBorder="1"/>
    <xf numFmtId="0" fontId="1" fillId="5" borderId="0" xfId="0" applyFont="1" applyFill="1" applyAlignment="1">
      <alignment horizontal="left"/>
    </xf>
    <xf numFmtId="0" fontId="0" fillId="5" borderId="0" xfId="0" applyFill="1" applyAlignment="1">
      <alignment horizontal="left" wrapText="1"/>
    </xf>
    <xf numFmtId="0" fontId="1" fillId="5" borderId="0" xfId="0" applyFont="1" applyFill="1" applyAlignment="1">
      <alignment horizontal="left" wrapText="1"/>
    </xf>
    <xf numFmtId="0" fontId="49" fillId="5" borderId="63" xfId="0" applyFont="1" applyFill="1" applyBorder="1" applyAlignment="1">
      <alignment horizontal="right"/>
    </xf>
    <xf numFmtId="0" fontId="49" fillId="5" borderId="65" xfId="0" applyFont="1" applyFill="1" applyBorder="1" applyAlignment="1">
      <alignment horizontal="right"/>
    </xf>
    <xf numFmtId="0" fontId="49" fillId="5" borderId="0" xfId="0" applyFont="1" applyFill="1" applyBorder="1" applyAlignment="1">
      <alignment horizontal="right"/>
    </xf>
    <xf numFmtId="0" fontId="57" fillId="5" borderId="63" xfId="0" applyFont="1" applyFill="1" applyBorder="1" applyAlignment="1">
      <alignment horizontal="right"/>
    </xf>
    <xf numFmtId="0" fontId="57" fillId="5" borderId="65" xfId="0" applyFont="1" applyFill="1" applyBorder="1" applyAlignment="1">
      <alignment horizontal="right"/>
    </xf>
    <xf numFmtId="0" fontId="49" fillId="5" borderId="0" xfId="0" applyFont="1" applyFill="1" applyBorder="1" applyAlignment="1">
      <alignment wrapText="1"/>
    </xf>
    <xf numFmtId="0" fontId="51" fillId="5" borderId="58" xfId="0" applyNumberFormat="1" applyFont="1" applyFill="1" applyBorder="1" applyAlignment="1">
      <alignment vertical="top" wrapText="1" readingOrder="1"/>
    </xf>
    <xf numFmtId="0" fontId="49" fillId="5" borderId="59" xfId="0" applyNumberFormat="1" applyFont="1" applyFill="1" applyBorder="1" applyAlignment="1">
      <alignment vertical="top" wrapText="1"/>
    </xf>
    <xf numFmtId="0" fontId="50" fillId="15" borderId="58" xfId="0" applyNumberFormat="1" applyFont="1" applyFill="1" applyBorder="1" applyAlignment="1">
      <alignment horizontal="center" vertical="top" wrapText="1" readingOrder="1"/>
    </xf>
    <xf numFmtId="0" fontId="49" fillId="16" borderId="57" xfId="0" applyNumberFormat="1" applyFont="1" applyFill="1" applyBorder="1" applyAlignment="1">
      <alignment vertical="top" wrapText="1"/>
    </xf>
    <xf numFmtId="0" fontId="53" fillId="17" borderId="0" xfId="0" applyNumberFormat="1" applyFont="1" applyFill="1" applyBorder="1" applyAlignment="1">
      <alignment vertical="top" wrapText="1" readingOrder="1"/>
    </xf>
    <xf numFmtId="0" fontId="54" fillId="18" borderId="0" xfId="0" applyFont="1" applyFill="1" applyBorder="1"/>
    <xf numFmtId="0" fontId="40" fillId="11" borderId="0" xfId="0" applyFont="1" applyFill="1" applyAlignment="1">
      <alignment horizontal="center"/>
    </xf>
    <xf numFmtId="0" fontId="2" fillId="5" borderId="7" xfId="0" applyFont="1" applyFill="1" applyBorder="1" applyAlignment="1">
      <alignment horizontal="center" wrapText="1"/>
    </xf>
    <xf numFmtId="0" fontId="2" fillId="5" borderId="8" xfId="0" applyFont="1" applyFill="1" applyBorder="1" applyAlignment="1">
      <alignment horizontal="center" wrapText="1"/>
    </xf>
    <xf numFmtId="0" fontId="2" fillId="5" borderId="9" xfId="0" applyFont="1" applyFill="1" applyBorder="1" applyAlignment="1">
      <alignment horizontal="center" wrapText="1"/>
    </xf>
    <xf numFmtId="0" fontId="43" fillId="0" borderId="0" xfId="0" applyFont="1" applyAlignment="1">
      <alignment horizontal="left" wrapText="1"/>
    </xf>
    <xf numFmtId="0" fontId="1" fillId="0" borderId="44"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37" fillId="5" borderId="0" xfId="12" applyFont="1" applyFill="1" applyBorder="1" applyAlignment="1">
      <alignment horizontal="center" vertical="center"/>
    </xf>
    <xf numFmtId="0" fontId="33" fillId="5" borderId="0" xfId="12" applyFont="1" applyFill="1" applyBorder="1" applyAlignment="1">
      <alignment horizontal="left" shrinkToFit="1"/>
    </xf>
    <xf numFmtId="0" fontId="33" fillId="5" borderId="40" xfId="12" applyFont="1" applyFill="1" applyBorder="1" applyAlignment="1">
      <alignment horizontal="center" wrapText="1"/>
    </xf>
    <xf numFmtId="0" fontId="21" fillId="5" borderId="0" xfId="12" applyFont="1" applyFill="1" applyBorder="1" applyAlignment="1">
      <alignment horizontal="right"/>
    </xf>
    <xf numFmtId="0" fontId="16" fillId="5" borderId="0" xfId="12" applyFont="1" applyFill="1" applyBorder="1" applyAlignment="1">
      <alignment horizontal="center"/>
    </xf>
    <xf numFmtId="0" fontId="16" fillId="5" borderId="0" xfId="12" applyFont="1" applyFill="1" applyBorder="1" applyAlignment="1">
      <alignment horizontal="center" vertical="center"/>
    </xf>
  </cellXfs>
  <cellStyles count="15">
    <cellStyle name="Comma 2" xfId="7"/>
    <cellStyle name="Comma 2 2" xfId="14"/>
    <cellStyle name="Currency" xfId="1" builtinId="4"/>
    <cellStyle name="Currency 2" xfId="3"/>
    <cellStyle name="Hyperlink" xfId="10" builtinId="8"/>
    <cellStyle name="Normal" xfId="0" builtinId="0"/>
    <cellStyle name="Normal 2" xfId="4"/>
    <cellStyle name="Normal 2 2" xfId="12"/>
    <cellStyle name="Normal_ConsolidatedAg_IM_Clean" xfId="5"/>
    <cellStyle name="Normal_ConsolidatedAg_IM_Clean - v3" xfId="9"/>
    <cellStyle name="Normal_FeederRoadAnalysis_IM_Clean - v4" xfId="11"/>
    <cellStyle name="Normal_Mongolia Health ERR.IM Cleaned - v15" xfId="2"/>
    <cellStyle name="Normal_Mongolia Rail ERR.IM Cleaned" xfId="8"/>
    <cellStyle name="Percent 2" xfId="6"/>
    <cellStyle name="Percent 2 2" xfId="13"/>
  </cellStyles>
  <dxfs count="4">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theme" Target="theme/theme1.xml"/><Relationship Id="rId35"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Undiscounted Net Annual Benefits of Procurement Modernization Project</a:t>
            </a:r>
            <a:r>
              <a:rPr lang="en-US" sz="1800" b="1" i="0" u="none" strike="noStrike" baseline="30000">
                <a:solidFill>
                  <a:srgbClr val="000000"/>
                </a:solidFill>
                <a:latin typeface="Calibri"/>
                <a:cs typeface="Calibri"/>
              </a:rPr>
              <a:t>1</a:t>
            </a:r>
            <a:endParaRPr lang="en-US" baseline="30000"/>
          </a:p>
        </c:rich>
      </c:tx>
      <c:layout>
        <c:manualLayout>
          <c:xMode val="edge"/>
          <c:yMode val="edge"/>
          <c:x val="8.7563827248866619E-2"/>
          <c:y val="1.9048749369492329E-2"/>
        </c:manualLayout>
      </c:layout>
      <c:overlay val="0"/>
    </c:title>
    <c:autoTitleDeleted val="0"/>
    <c:plotArea>
      <c:layout>
        <c:manualLayout>
          <c:layoutTarget val="inner"/>
          <c:xMode val="edge"/>
          <c:yMode val="edge"/>
          <c:x val="7.829986181734766E-2"/>
          <c:y val="0.20895522388059701"/>
          <c:w val="0.89261842471776331"/>
          <c:h val="0.62089552238805967"/>
        </c:manualLayout>
      </c:layout>
      <c:areaChart>
        <c:grouping val="standard"/>
        <c:varyColors val="0"/>
        <c:ser>
          <c:idx val="0"/>
          <c:order val="0"/>
          <c:val>
            <c:numRef>
              <c:f>'Cost-Benefit Summary'!$C$17:$V$17</c:f>
              <c:numCache>
                <c:formatCode>0</c:formatCode>
                <c:ptCount val="20"/>
                <c:pt idx="0">
                  <c:v>-2942.2581224999999</c:v>
                </c:pt>
                <c:pt idx="1">
                  <c:v>-7769.3948350999999</c:v>
                </c:pt>
                <c:pt idx="2">
                  <c:v>-15200.174599414</c:v>
                </c:pt>
                <c:pt idx="3">
                  <c:v>-22350.027002030209</c:v>
                </c:pt>
                <c:pt idx="4">
                  <c:v>-18249.365098473165</c:v>
                </c:pt>
                <c:pt idx="5">
                  <c:v>8559.4870693292723</c:v>
                </c:pt>
                <c:pt idx="6">
                  <c:v>5769.5669831783925</c:v>
                </c:pt>
                <c:pt idx="7">
                  <c:v>12373.185606372752</c:v>
                </c:pt>
                <c:pt idx="8">
                  <c:v>12358.411645165024</c:v>
                </c:pt>
                <c:pt idx="9">
                  <c:v>12343.416074539182</c:v>
                </c:pt>
                <c:pt idx="10">
                  <c:v>12328.195570353952</c:v>
                </c:pt>
                <c:pt idx="11">
                  <c:v>12312.746758605943</c:v>
                </c:pt>
                <c:pt idx="12">
                  <c:v>12297.066214681714</c:v>
                </c:pt>
                <c:pt idx="13">
                  <c:v>12281.150462598622</c:v>
                </c:pt>
                <c:pt idx="14">
                  <c:v>12264.995974234283</c:v>
                </c:pt>
                <c:pt idx="15">
                  <c:v>12248.599168544479</c:v>
                </c:pt>
                <c:pt idx="16">
                  <c:v>12231.95641076933</c:v>
                </c:pt>
                <c:pt idx="17">
                  <c:v>12215.06401162755</c:v>
                </c:pt>
                <c:pt idx="18">
                  <c:v>12197.918226498647</c:v>
                </c:pt>
                <c:pt idx="19">
                  <c:v>12180.515254592809</c:v>
                </c:pt>
              </c:numCache>
            </c:numRef>
          </c:val>
        </c:ser>
        <c:dLbls>
          <c:showLegendKey val="0"/>
          <c:showVal val="0"/>
          <c:showCatName val="0"/>
          <c:showSerName val="0"/>
          <c:showPercent val="0"/>
          <c:showBubbleSize val="0"/>
        </c:dLbls>
        <c:axId val="466919640"/>
        <c:axId val="466920032"/>
      </c:areaChart>
      <c:catAx>
        <c:axId val="46691964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US"/>
                  <a:t>Year</a:t>
                </a:r>
              </a:p>
            </c:rich>
          </c:tx>
          <c:layout>
            <c:manualLayout>
              <c:xMode val="edge"/>
              <c:yMode val="edge"/>
              <c:x val="0.50223765211166782"/>
              <c:y val="0.86865671641791042"/>
            </c:manualLayout>
          </c:layout>
          <c:overlay val="0"/>
        </c:title>
        <c:numFmt formatCode="General" sourceLinked="1"/>
        <c:majorTickMark val="cross"/>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6920032"/>
        <c:crosses val="autoZero"/>
        <c:auto val="1"/>
        <c:lblAlgn val="ctr"/>
        <c:lblOffset val="100"/>
        <c:tickLblSkip val="1"/>
        <c:tickMarkSkip val="1"/>
        <c:noMultiLvlLbl val="0"/>
      </c:catAx>
      <c:valAx>
        <c:axId val="46692003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US$ (millions)</a:t>
                </a:r>
              </a:p>
            </c:rich>
          </c:tx>
          <c:layout>
            <c:manualLayout>
              <c:xMode val="edge"/>
              <c:yMode val="edge"/>
              <c:x val="1.7897041278931044E-2"/>
              <c:y val="0.35522388059701493"/>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6919640"/>
        <c:crosses val="autoZero"/>
        <c:crossBetween val="midCat"/>
        <c:dispUnits>
          <c:builtInUnit val="thousands"/>
        </c:dispUnits>
      </c:valAx>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horizontalDpi="200"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Demographics!$G$80</c:f>
              <c:strCache>
                <c:ptCount val="1"/>
                <c:pt idx="0">
                  <c:v>Average Population Growth:</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forward val="2"/>
            <c:dispRSqr val="1"/>
            <c:dispEq val="1"/>
            <c:trendlineLbl>
              <c:layout>
                <c:manualLayout>
                  <c:x val="7.8680883639545063E-2"/>
                  <c:y val="-0.2723691309419655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Demographics!$I$4:$O$4</c:f>
              <c:numCache>
                <c:formatCode>General</c:formatCode>
                <c:ptCount val="4"/>
                <c:pt idx="0">
                  <c:v>2012</c:v>
                </c:pt>
                <c:pt idx="1">
                  <c:v>2013</c:v>
                </c:pt>
                <c:pt idx="2">
                  <c:v>2014</c:v>
                </c:pt>
                <c:pt idx="3">
                  <c:v>2015</c:v>
                </c:pt>
              </c:numCache>
            </c:numRef>
          </c:xVal>
          <c:yVal>
            <c:numRef>
              <c:f>Demographics!$I$80:$O$80</c:f>
              <c:numCache>
                <c:formatCode>0.00%</c:formatCode>
                <c:ptCount val="4"/>
                <c:pt idx="0">
                  <c:v>1.5151420605466979E-2</c:v>
                </c:pt>
                <c:pt idx="1">
                  <c:v>1.466940029335363E-2</c:v>
                </c:pt>
                <c:pt idx="2">
                  <c:v>1.4382464125786028E-2</c:v>
                </c:pt>
                <c:pt idx="3">
                  <c:v>1.391576604127763E-2</c:v>
                </c:pt>
              </c:numCache>
            </c:numRef>
          </c:yVal>
          <c:smooth val="0"/>
        </c:ser>
        <c:dLbls>
          <c:showLegendKey val="0"/>
          <c:showVal val="0"/>
          <c:showCatName val="0"/>
          <c:showSerName val="0"/>
          <c:showPercent val="0"/>
          <c:showBubbleSize val="0"/>
        </c:dLbls>
        <c:axId val="466921208"/>
        <c:axId val="403749904"/>
      </c:scatterChart>
      <c:valAx>
        <c:axId val="4669212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749904"/>
        <c:crosses val="autoZero"/>
        <c:crossBetween val="midCat"/>
        <c:majorUnit val="1"/>
        <c:minorUnit val="8.3000000000000018E-2"/>
      </c:valAx>
      <c:valAx>
        <c:axId val="4037499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69212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11" Type="http://schemas.openxmlformats.org/officeDocument/2006/relationships/image" Target="../media/image18.png"/><Relationship Id="rId5" Type="http://schemas.openxmlformats.org/officeDocument/2006/relationships/image" Target="../media/image12.png"/><Relationship Id="rId10" Type="http://schemas.openxmlformats.org/officeDocument/2006/relationships/image" Target="../media/image17.png"/><Relationship Id="rId4" Type="http://schemas.openxmlformats.org/officeDocument/2006/relationships/image" Target="../media/image11.png"/><Relationship Id="rId9"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oneCellAnchor>
    <xdr:from>
      <xdr:col>1</xdr:col>
      <xdr:colOff>1217083</xdr:colOff>
      <xdr:row>1</xdr:row>
      <xdr:rowOff>28575</xdr:rowOff>
    </xdr:from>
    <xdr:ext cx="2654300" cy="896408"/>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5666" y="187325"/>
          <a:ext cx="2654300" cy="8964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571500</xdr:colOff>
      <xdr:row>1</xdr:row>
      <xdr:rowOff>38100</xdr:rowOff>
    </xdr:from>
    <xdr:ext cx="2295525" cy="921800"/>
    <xdr:pic>
      <xdr:nvPicPr>
        <xdr:cNvPr id="2" name="Picture 1" descr="content-branding-logo-horz"/>
        <xdr:cNvPicPr>
          <a:picLocks noChangeAspect="1" noChangeArrowheads="1"/>
        </xdr:cNvPicPr>
      </xdr:nvPicPr>
      <xdr:blipFill>
        <a:blip xmlns:r="http://schemas.openxmlformats.org/officeDocument/2006/relationships" r:embed="rId1" cstate="print"/>
        <a:srcRect/>
        <a:stretch>
          <a:fillRect/>
        </a:stretch>
      </xdr:blipFill>
      <xdr:spPr bwMode="auto">
        <a:xfrm>
          <a:off x="571500" y="200025"/>
          <a:ext cx="2295525" cy="92180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43</xdr:row>
      <xdr:rowOff>19050</xdr:rowOff>
    </xdr:from>
    <xdr:ext cx="2171700" cy="152400"/>
    <xdr:pic>
      <xdr:nvPicPr>
        <xdr:cNvPr id="2" name="Picture 1"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1649075"/>
          <a:ext cx="2171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28575</xdr:colOff>
      <xdr:row>40</xdr:row>
      <xdr:rowOff>19050</xdr:rowOff>
    </xdr:from>
    <xdr:ext cx="2171700" cy="152400"/>
    <xdr:pic>
      <xdr:nvPicPr>
        <xdr:cNvPr id="2" name="Picture 1"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6010275"/>
          <a:ext cx="2171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552450</xdr:colOff>
      <xdr:row>35</xdr:row>
      <xdr:rowOff>10584</xdr:rowOff>
    </xdr:from>
    <xdr:to>
      <xdr:col>6</xdr:col>
      <xdr:colOff>361950</xdr:colOff>
      <xdr:row>55</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8</xdr:col>
          <xdr:colOff>0</xdr:colOff>
          <xdr:row>4</xdr:row>
          <xdr:rowOff>0</xdr:rowOff>
        </xdr:from>
        <xdr:to>
          <xdr:col>8</xdr:col>
          <xdr:colOff>1371600</xdr:colOff>
          <xdr:row>5</xdr:row>
          <xdr:rowOff>95250</xdr:rowOff>
        </xdr:to>
        <xdr:sp macro="" textlink="">
          <xdr:nvSpPr>
            <xdr:cNvPr id="3075" name="Button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FF"/>
                  </a:solidFill>
                  <a:latin typeface="Arial"/>
                  <a:cs typeface="Arial"/>
                </a:rPr>
                <a:t>Reset</a:t>
              </a:r>
            </a:p>
            <a:p>
              <a:pPr algn="ctr" rtl="0">
                <a:defRPr sz="1000"/>
              </a:pPr>
              <a:r>
                <a:rPr lang="en-US" sz="1000" b="1" i="0" u="none" strike="noStrike" baseline="0">
                  <a:solidFill>
                    <a:srgbClr val="0000FF"/>
                  </a:solidFill>
                  <a:latin typeface="Arial"/>
                  <a:cs typeface="Arial"/>
                </a:rPr>
                <a:t>Parameters</a:t>
              </a:r>
            </a:p>
          </xdr:txBody>
        </xdr:sp>
        <xdr:clientData fPrintsWithSheet="0"/>
      </xdr:twoCellAnchor>
    </mc:Choice>
    <mc:Fallback/>
  </mc:AlternateContent>
  <xdr:oneCellAnchor>
    <xdr:from>
      <xdr:col>4</xdr:col>
      <xdr:colOff>903816</xdr:colOff>
      <xdr:row>1</xdr:row>
      <xdr:rowOff>1058</xdr:rowOff>
    </xdr:from>
    <xdr:ext cx="2165350" cy="152400"/>
    <xdr:pic>
      <xdr:nvPicPr>
        <xdr:cNvPr id="4" name="Picture 3" descr="MCC horizonta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6941" y="162983"/>
          <a:ext cx="21653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59</xdr:row>
      <xdr:rowOff>0</xdr:rowOff>
    </xdr:from>
    <xdr:to>
      <xdr:col>5</xdr:col>
      <xdr:colOff>113476</xdr:colOff>
      <xdr:row>81</xdr:row>
      <xdr:rowOff>428119</xdr:rowOff>
    </xdr:to>
    <xdr:pic>
      <xdr:nvPicPr>
        <xdr:cNvPr id="3" name="Picture 2"/>
        <xdr:cNvPicPr>
          <a:picLocks noChangeAspect="1"/>
        </xdr:cNvPicPr>
      </xdr:nvPicPr>
      <xdr:blipFill>
        <a:blip xmlns:r="http://schemas.openxmlformats.org/officeDocument/2006/relationships" r:embed="rId3"/>
        <a:stretch>
          <a:fillRect/>
        </a:stretch>
      </xdr:blipFill>
      <xdr:spPr>
        <a:xfrm>
          <a:off x="1471083" y="13938250"/>
          <a:ext cx="6590476" cy="4047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329141</xdr:colOff>
      <xdr:row>1</xdr:row>
      <xdr:rowOff>6350</xdr:rowOff>
    </xdr:from>
    <xdr:ext cx="2162175" cy="161925"/>
    <xdr:pic>
      <xdr:nvPicPr>
        <xdr:cNvPr id="2" name="Picture 4"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2308" y="165100"/>
          <a:ext cx="21621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10</xdr:col>
      <xdr:colOff>766</xdr:colOff>
      <xdr:row>27</xdr:row>
      <xdr:rowOff>105348</xdr:rowOff>
    </xdr:to>
    <xdr:pic>
      <xdr:nvPicPr>
        <xdr:cNvPr id="446" name="Picture 445"/>
        <xdr:cNvPicPr>
          <a:picLocks noChangeAspect="1"/>
        </xdr:cNvPicPr>
      </xdr:nvPicPr>
      <xdr:blipFill>
        <a:blip xmlns:r="http://schemas.openxmlformats.org/officeDocument/2006/relationships" r:embed="rId1"/>
        <a:stretch>
          <a:fillRect/>
        </a:stretch>
      </xdr:blipFill>
      <xdr:spPr>
        <a:xfrm>
          <a:off x="609600" y="1143000"/>
          <a:ext cx="5487166" cy="4105848"/>
        </a:xfrm>
        <a:prstGeom prst="rect">
          <a:avLst/>
        </a:prstGeom>
      </xdr:spPr>
    </xdr:pic>
    <xdr:clientData/>
  </xdr:twoCellAnchor>
  <xdr:twoCellAnchor editAs="oneCell">
    <xdr:from>
      <xdr:col>11</xdr:col>
      <xdr:colOff>0</xdr:colOff>
      <xdr:row>6</xdr:row>
      <xdr:rowOff>0</xdr:rowOff>
    </xdr:from>
    <xdr:to>
      <xdr:col>20</xdr:col>
      <xdr:colOff>766</xdr:colOff>
      <xdr:row>27</xdr:row>
      <xdr:rowOff>105348</xdr:rowOff>
    </xdr:to>
    <xdr:pic>
      <xdr:nvPicPr>
        <xdr:cNvPr id="451" name="Picture 450"/>
        <xdr:cNvPicPr>
          <a:picLocks noChangeAspect="1"/>
        </xdr:cNvPicPr>
      </xdr:nvPicPr>
      <xdr:blipFill>
        <a:blip xmlns:r="http://schemas.openxmlformats.org/officeDocument/2006/relationships" r:embed="rId2"/>
        <a:stretch>
          <a:fillRect/>
        </a:stretch>
      </xdr:blipFill>
      <xdr:spPr>
        <a:xfrm>
          <a:off x="6705600" y="1143000"/>
          <a:ext cx="5487166" cy="4105848"/>
        </a:xfrm>
        <a:prstGeom prst="rect">
          <a:avLst/>
        </a:prstGeom>
      </xdr:spPr>
    </xdr:pic>
    <xdr:clientData/>
  </xdr:twoCellAnchor>
  <xdr:twoCellAnchor editAs="oneCell">
    <xdr:from>
      <xdr:col>1</xdr:col>
      <xdr:colOff>0</xdr:colOff>
      <xdr:row>28</xdr:row>
      <xdr:rowOff>0</xdr:rowOff>
    </xdr:from>
    <xdr:to>
      <xdr:col>10</xdr:col>
      <xdr:colOff>766</xdr:colOff>
      <xdr:row>41</xdr:row>
      <xdr:rowOff>105348</xdr:rowOff>
    </xdr:to>
    <xdr:pic>
      <xdr:nvPicPr>
        <xdr:cNvPr id="453" name="Picture 452"/>
        <xdr:cNvPicPr>
          <a:picLocks noChangeAspect="1"/>
        </xdr:cNvPicPr>
      </xdr:nvPicPr>
      <xdr:blipFill>
        <a:blip xmlns:r="http://schemas.openxmlformats.org/officeDocument/2006/relationships" r:embed="rId3"/>
        <a:stretch>
          <a:fillRect/>
        </a:stretch>
      </xdr:blipFill>
      <xdr:spPr>
        <a:xfrm>
          <a:off x="609600" y="5334000"/>
          <a:ext cx="5487166" cy="41058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104775</xdr:colOff>
      <xdr:row>15</xdr:row>
      <xdr:rowOff>142875</xdr:rowOff>
    </xdr:from>
    <xdr:to>
      <xdr:col>9</xdr:col>
      <xdr:colOff>562741</xdr:colOff>
      <xdr:row>37</xdr:row>
      <xdr:rowOff>48198</xdr:rowOff>
    </xdr:to>
    <xdr:pic>
      <xdr:nvPicPr>
        <xdr:cNvPr id="80" name="Picture 79"/>
        <xdr:cNvPicPr>
          <a:picLocks noChangeAspect="1"/>
        </xdr:cNvPicPr>
      </xdr:nvPicPr>
      <xdr:blipFill>
        <a:blip xmlns:r="http://schemas.openxmlformats.org/officeDocument/2006/relationships" r:embed="rId1"/>
        <a:stretch>
          <a:fillRect/>
        </a:stretch>
      </xdr:blipFill>
      <xdr:spPr>
        <a:xfrm>
          <a:off x="1666875" y="2933700"/>
          <a:ext cx="5487166" cy="41058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4762</xdr:colOff>
      <xdr:row>80</xdr:row>
      <xdr:rowOff>6</xdr:rowOff>
    </xdr:from>
    <xdr:to>
      <xdr:col>18</xdr:col>
      <xdr:colOff>157162</xdr:colOff>
      <xdr:row>94</xdr:row>
      <xdr:rowOff>76206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200026</xdr:colOff>
      <xdr:row>37</xdr:row>
      <xdr:rowOff>155575</xdr:rowOff>
    </xdr:from>
    <xdr:to>
      <xdr:col>9</xdr:col>
      <xdr:colOff>561397</xdr:colOff>
      <xdr:row>50</xdr:row>
      <xdr:rowOff>174313</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1" y="6146800"/>
          <a:ext cx="4628571" cy="2495238"/>
        </a:xfrm>
        <a:prstGeom prst="rect">
          <a:avLst/>
        </a:prstGeom>
      </xdr:spPr>
    </xdr:pic>
    <xdr:clientData/>
  </xdr:twoCellAnchor>
  <xdr:twoCellAnchor editAs="oneCell">
    <xdr:from>
      <xdr:col>7</xdr:col>
      <xdr:colOff>34926</xdr:colOff>
      <xdr:row>140</xdr:row>
      <xdr:rowOff>1</xdr:rowOff>
    </xdr:from>
    <xdr:to>
      <xdr:col>10</xdr:col>
      <xdr:colOff>53745</xdr:colOff>
      <xdr:row>145</xdr:row>
      <xdr:rowOff>70154</xdr:rowOff>
    </xdr:to>
    <xdr:pic>
      <xdr:nvPicPr>
        <xdr:cNvPr id="7" name="Picture 6"/>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6801" y="22669501"/>
          <a:ext cx="1847619" cy="1022653"/>
        </a:xfrm>
        <a:prstGeom prst="rect">
          <a:avLst/>
        </a:prstGeom>
      </xdr:spPr>
    </xdr:pic>
    <xdr:clientData/>
  </xdr:twoCellAnchor>
  <xdr:twoCellAnchor editAs="oneCell">
    <xdr:from>
      <xdr:col>2</xdr:col>
      <xdr:colOff>200026</xdr:colOff>
      <xdr:row>37</xdr:row>
      <xdr:rowOff>155575</xdr:rowOff>
    </xdr:from>
    <xdr:to>
      <xdr:col>9</xdr:col>
      <xdr:colOff>561397</xdr:colOff>
      <xdr:row>50</xdr:row>
      <xdr:rowOff>174313</xdr:rowOff>
    </xdr:to>
    <xdr:pic>
      <xdr:nvPicPr>
        <xdr:cNvPr id="19" name="Picture 18"/>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7201" y="6146800"/>
          <a:ext cx="4628571" cy="2495238"/>
        </a:xfrm>
        <a:prstGeom prst="rect">
          <a:avLst/>
        </a:prstGeom>
      </xdr:spPr>
    </xdr:pic>
    <xdr:clientData/>
  </xdr:twoCellAnchor>
  <xdr:twoCellAnchor editAs="oneCell">
    <xdr:from>
      <xdr:col>2</xdr:col>
      <xdr:colOff>200026</xdr:colOff>
      <xdr:row>98</xdr:row>
      <xdr:rowOff>158750</xdr:rowOff>
    </xdr:from>
    <xdr:to>
      <xdr:col>9</xdr:col>
      <xdr:colOff>561397</xdr:colOff>
      <xdr:row>109</xdr:row>
      <xdr:rowOff>187060</xdr:rowOff>
    </xdr:to>
    <xdr:pic>
      <xdr:nvPicPr>
        <xdr:cNvPr id="20" name="Picture 19"/>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7201" y="16027400"/>
          <a:ext cx="4628571" cy="2123810"/>
        </a:xfrm>
        <a:prstGeom prst="rect">
          <a:avLst/>
        </a:prstGeom>
      </xdr:spPr>
    </xdr:pic>
    <xdr:clientData/>
  </xdr:twoCellAnchor>
  <xdr:twoCellAnchor editAs="oneCell">
    <xdr:from>
      <xdr:col>7</xdr:col>
      <xdr:colOff>34926</xdr:colOff>
      <xdr:row>154</xdr:row>
      <xdr:rowOff>158751</xdr:rowOff>
    </xdr:from>
    <xdr:to>
      <xdr:col>10</xdr:col>
      <xdr:colOff>53745</xdr:colOff>
      <xdr:row>160</xdr:row>
      <xdr:rowOff>38404</xdr:rowOff>
    </xdr:to>
    <xdr:pic>
      <xdr:nvPicPr>
        <xdr:cNvPr id="21" name="Picture 20"/>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06801" y="25095201"/>
          <a:ext cx="1847619" cy="1022653"/>
        </a:xfrm>
        <a:prstGeom prst="rect">
          <a:avLst/>
        </a:prstGeom>
      </xdr:spPr>
    </xdr:pic>
    <xdr:clientData/>
  </xdr:twoCellAnchor>
  <xdr:twoCellAnchor editAs="oneCell">
    <xdr:from>
      <xdr:col>7</xdr:col>
      <xdr:colOff>34926</xdr:colOff>
      <xdr:row>165</xdr:row>
      <xdr:rowOff>155576</xdr:rowOff>
    </xdr:from>
    <xdr:to>
      <xdr:col>10</xdr:col>
      <xdr:colOff>53745</xdr:colOff>
      <xdr:row>171</xdr:row>
      <xdr:rowOff>35229</xdr:rowOff>
    </xdr:to>
    <xdr:pic>
      <xdr:nvPicPr>
        <xdr:cNvPr id="22" name="Picture 21"/>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6801" y="26873201"/>
          <a:ext cx="1847619" cy="1022653"/>
        </a:xfrm>
        <a:prstGeom prst="rect">
          <a:avLst/>
        </a:prstGeom>
      </xdr:spPr>
    </xdr:pic>
    <xdr:clientData/>
  </xdr:twoCellAnchor>
  <xdr:twoCellAnchor editAs="oneCell">
    <xdr:from>
      <xdr:col>7</xdr:col>
      <xdr:colOff>34926</xdr:colOff>
      <xdr:row>177</xdr:row>
      <xdr:rowOff>3176</xdr:rowOff>
    </xdr:from>
    <xdr:to>
      <xdr:col>10</xdr:col>
      <xdr:colOff>53745</xdr:colOff>
      <xdr:row>182</xdr:row>
      <xdr:rowOff>73329</xdr:rowOff>
    </xdr:to>
    <xdr:pic>
      <xdr:nvPicPr>
        <xdr:cNvPr id="23" name="Picture 22"/>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606801" y="28663901"/>
          <a:ext cx="1847619" cy="1022653"/>
        </a:xfrm>
        <a:prstGeom prst="rect">
          <a:avLst/>
        </a:prstGeom>
      </xdr:spPr>
    </xdr:pic>
    <xdr:clientData/>
  </xdr:twoCellAnchor>
  <xdr:twoCellAnchor editAs="oneCell">
    <xdr:from>
      <xdr:col>6</xdr:col>
      <xdr:colOff>158751</xdr:colOff>
      <xdr:row>186</xdr:row>
      <xdr:rowOff>95251</xdr:rowOff>
    </xdr:from>
    <xdr:to>
      <xdr:col>10</xdr:col>
      <xdr:colOff>1190625</xdr:colOff>
      <xdr:row>195</xdr:row>
      <xdr:rowOff>0</xdr:rowOff>
    </xdr:to>
    <xdr:pic>
      <xdr:nvPicPr>
        <xdr:cNvPr id="24" name="Picture 23"/>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816351" y="35528251"/>
          <a:ext cx="3470274" cy="1619249"/>
        </a:xfrm>
        <a:prstGeom prst="rect">
          <a:avLst/>
        </a:prstGeom>
      </xdr:spPr>
    </xdr:pic>
    <xdr:clientData/>
  </xdr:twoCellAnchor>
  <xdr:twoCellAnchor editAs="oneCell">
    <xdr:from>
      <xdr:col>7</xdr:col>
      <xdr:colOff>34926</xdr:colOff>
      <xdr:row>198</xdr:row>
      <xdr:rowOff>158751</xdr:rowOff>
    </xdr:from>
    <xdr:to>
      <xdr:col>10</xdr:col>
      <xdr:colOff>53745</xdr:colOff>
      <xdr:row>204</xdr:row>
      <xdr:rowOff>38404</xdr:rowOff>
    </xdr:to>
    <xdr:pic>
      <xdr:nvPicPr>
        <xdr:cNvPr id="25" name="Picture 24"/>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606801" y="32219901"/>
          <a:ext cx="1847619" cy="1022653"/>
        </a:xfrm>
        <a:prstGeom prst="rect">
          <a:avLst/>
        </a:prstGeom>
      </xdr:spPr>
    </xdr:pic>
    <xdr:clientData/>
  </xdr:twoCellAnchor>
  <xdr:twoCellAnchor editAs="oneCell">
    <xdr:from>
      <xdr:col>7</xdr:col>
      <xdr:colOff>34926</xdr:colOff>
      <xdr:row>210</xdr:row>
      <xdr:rowOff>6351</xdr:rowOff>
    </xdr:from>
    <xdr:to>
      <xdr:col>10</xdr:col>
      <xdr:colOff>53745</xdr:colOff>
      <xdr:row>215</xdr:row>
      <xdr:rowOff>76504</xdr:rowOff>
    </xdr:to>
    <xdr:pic>
      <xdr:nvPicPr>
        <xdr:cNvPr id="26" name="Picture 25"/>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606801" y="34010601"/>
          <a:ext cx="1847619" cy="1022653"/>
        </a:xfrm>
        <a:prstGeom prst="rect">
          <a:avLst/>
        </a:prstGeom>
      </xdr:spPr>
    </xdr:pic>
    <xdr:clientData/>
  </xdr:twoCellAnchor>
  <xdr:twoCellAnchor editAs="oneCell">
    <xdr:from>
      <xdr:col>7</xdr:col>
      <xdr:colOff>34926</xdr:colOff>
      <xdr:row>222</xdr:row>
      <xdr:rowOff>158751</xdr:rowOff>
    </xdr:from>
    <xdr:to>
      <xdr:col>10</xdr:col>
      <xdr:colOff>53745</xdr:colOff>
      <xdr:row>228</xdr:row>
      <xdr:rowOff>38404</xdr:rowOff>
    </xdr:to>
    <xdr:pic>
      <xdr:nvPicPr>
        <xdr:cNvPr id="27" name="Picture 26"/>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606801" y="36106101"/>
          <a:ext cx="1847619" cy="10226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Energy%20Zanziba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Documents%20and%20Settings\DOY25040\Desktop\MCC\Energy%20ERR%20Template%20modified%2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lestikowgs/Local%20Settings/Temporary%20Internet%20Files/Content.Outlook/Z0MPFWC4/Centralized%20ERR%20Data/ERR%20Spreadsheets%20for%20All%20Compact%20Countries/Ghana/Web%20Versions/CoolChainAssessment3_IM_Clea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cc.gov/Tanzania/Economic%20Analysis/Roads/Roads-Transport%20ERR%20Tanga_Horohoro%20ED%20AR%20BND%20final%20report%20cos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Office_Shares\_divisions\Economic%20Analysis\ERR%20Spreadsheets\Web%20Dissemination\Ongoing%20Work\Namibia\47_Schools_ERR_wrk%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cc.gov\root\home\dennisbn\Country%20TTs\Vanuatu\ERR%20spreadsheet\Copy%20of%20Econ%20Model%20-%20Revised%20-%20April%20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Tanzania\Roads-Transport%20ERR%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pleybs/Documents/CBA/template%20-%20ERR.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ROJECTS\234171%20CLP%20Gasification\Work\Model\CLP%20model%20-%20Draft%20v5%2023.03.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lestikowgs/Local%20Settings/Temporary%20Internet%20Files/Content.Outlook/Z0MPFWC4/Centralized%20ERR%20Data/ERR%20Spreadsheets%20for%20All%20Compact%20Countries/Ghana/Web%20Versions/FeederRoadAnalysis_IM_Clean%20-%20v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lestikowgs/Local%20Settings/Temporary%20Internet%20Files/Content.Outlook/Z0MPFWC4/Web%20Dissemination/Ongoing%20Work/Mongolia/Mongolia%20Health%20ERR.IM%20Cleaned%20-%20v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Water%20&amp;%20Sanitation%20-%20v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mcc.gov/DOCUME~1/BREITB~1/LOCALS~1/Temp/Temporary%20Directory%203%20for%20Tanzania%20Compact%20ERR.zip/Water-Sanitation%20Zanzibar%20Rural%20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ERR &amp; Sensitivity Analysis"/>
      <sheetName val="Results"/>
      <sheetName val="Assumptions"/>
      <sheetName val="ERR Calculations"/>
      <sheetName val="Planting"/>
      <sheetName val="Annex III"/>
      <sheetName val="LRMC"/>
      <sheetName val="gas option"/>
      <sheetName val="Social and Environmental"/>
      <sheetName val="Alt economic analysis"/>
    </sheetNames>
    <sheetDataSet>
      <sheetData sheetId="0" refreshError="1"/>
      <sheetData sheetId="1" refreshError="1"/>
      <sheetData sheetId="2" refreshError="1"/>
      <sheetData sheetId="3" refreshError="1"/>
      <sheetData sheetId="4">
        <row r="7">
          <cell r="W7" t="str">
            <v>Type</v>
          </cell>
          <cell r="X7" t="str">
            <v>cable1</v>
          </cell>
          <cell r="Y7" t="str">
            <v>cable2</v>
          </cell>
          <cell r="Z7" t="str">
            <v>cable3</v>
          </cell>
          <cell r="AA7" t="str">
            <v>wind</v>
          </cell>
          <cell r="AB7" t="str">
            <v>diesel</v>
          </cell>
        </row>
        <row r="8">
          <cell r="M8">
            <v>1</v>
          </cell>
          <cell r="N8">
            <v>0</v>
          </cell>
          <cell r="O8">
            <v>0</v>
          </cell>
          <cell r="W8" t="str">
            <v>Capex $/kW</v>
          </cell>
          <cell r="X8">
            <v>500</v>
          </cell>
          <cell r="Y8">
            <v>0</v>
          </cell>
          <cell r="Z8">
            <v>483</v>
          </cell>
          <cell r="AA8">
            <v>2700</v>
          </cell>
          <cell r="AB8">
            <v>1500</v>
          </cell>
        </row>
        <row r="9">
          <cell r="L9">
            <v>2007</v>
          </cell>
          <cell r="M9">
            <v>10</v>
          </cell>
          <cell r="N9">
            <v>5</v>
          </cell>
          <cell r="O9">
            <v>5</v>
          </cell>
          <cell r="P9">
            <v>10</v>
          </cell>
          <cell r="W9" t="str">
            <v>Opex $/kW/p.a.</v>
          </cell>
          <cell r="X9">
            <v>39</v>
          </cell>
          <cell r="Y9">
            <v>39</v>
          </cell>
          <cell r="Z9">
            <v>39</v>
          </cell>
          <cell r="AA9">
            <v>35</v>
          </cell>
          <cell r="AB9">
            <v>70</v>
          </cell>
        </row>
        <row r="10">
          <cell r="L10">
            <v>2008</v>
          </cell>
          <cell r="M10">
            <v>10</v>
          </cell>
          <cell r="N10">
            <v>5</v>
          </cell>
          <cell r="O10">
            <v>50</v>
          </cell>
          <cell r="P10">
            <v>10</v>
          </cell>
          <cell r="W10" t="str">
            <v>Opex $/kWh</v>
          </cell>
          <cell r="X10">
            <v>0</v>
          </cell>
          <cell r="Y10">
            <v>0</v>
          </cell>
          <cell r="Z10">
            <v>0</v>
          </cell>
          <cell r="AA10">
            <v>0</v>
          </cell>
          <cell r="AB10">
            <v>6.0000000000000001E-3</v>
          </cell>
        </row>
        <row r="11">
          <cell r="L11">
            <v>2009</v>
          </cell>
          <cell r="M11">
            <v>10</v>
          </cell>
          <cell r="N11">
            <v>20</v>
          </cell>
          <cell r="O11">
            <v>80</v>
          </cell>
          <cell r="P11">
            <v>10</v>
          </cell>
          <cell r="W11" t="str">
            <v>fuel $/kWh</v>
          </cell>
          <cell r="X11">
            <v>0.03</v>
          </cell>
          <cell r="Y11">
            <v>0.03</v>
          </cell>
          <cell r="Z11">
            <v>0.04</v>
          </cell>
          <cell r="AA11">
            <v>0</v>
          </cell>
          <cell r="AB11">
            <v>9.9322500000000008E-2</v>
          </cell>
        </row>
        <row r="12">
          <cell r="G12">
            <v>0.56000000000000005</v>
          </cell>
          <cell r="H12">
            <v>0.57999999999999996</v>
          </cell>
          <cell r="I12">
            <v>0.6</v>
          </cell>
          <cell r="L12">
            <v>2010</v>
          </cell>
          <cell r="M12">
            <v>10</v>
          </cell>
          <cell r="N12">
            <v>30</v>
          </cell>
          <cell r="O12">
            <v>20</v>
          </cell>
          <cell r="P12">
            <v>10</v>
          </cell>
          <cell r="W12" t="str">
            <v>Life</v>
          </cell>
          <cell r="X12">
            <v>34</v>
          </cell>
          <cell r="Y12">
            <v>6</v>
          </cell>
          <cell r="Z12">
            <v>40</v>
          </cell>
          <cell r="AA12">
            <v>20</v>
          </cell>
          <cell r="AB12">
            <v>20</v>
          </cell>
        </row>
        <row r="13">
          <cell r="H13">
            <v>0.98</v>
          </cell>
          <cell r="L13">
            <v>2011</v>
          </cell>
          <cell r="M13">
            <v>2</v>
          </cell>
          <cell r="N13">
            <v>30</v>
          </cell>
          <cell r="O13">
            <v>0</v>
          </cell>
          <cell r="P13">
            <v>2</v>
          </cell>
          <cell r="W13" t="str">
            <v>Load factor</v>
          </cell>
          <cell r="X13">
            <v>0.56000000000000005</v>
          </cell>
          <cell r="Y13">
            <v>0.8</v>
          </cell>
          <cell r="Z13">
            <v>0.61</v>
          </cell>
          <cell r="AA13">
            <v>0.34</v>
          </cell>
          <cell r="AB13">
            <v>0</v>
          </cell>
        </row>
        <row r="14">
          <cell r="L14">
            <v>2012</v>
          </cell>
          <cell r="M14">
            <v>2</v>
          </cell>
          <cell r="N14">
            <v>0</v>
          </cell>
          <cell r="O14">
            <v>0</v>
          </cell>
          <cell r="P14">
            <v>2</v>
          </cell>
        </row>
        <row r="15">
          <cell r="L15">
            <v>2013</v>
          </cell>
          <cell r="M15">
            <v>2</v>
          </cell>
          <cell r="N15">
            <v>0</v>
          </cell>
          <cell r="O15">
            <v>0</v>
          </cell>
          <cell r="P15">
            <v>2</v>
          </cell>
        </row>
        <row r="16">
          <cell r="L16">
            <v>2014</v>
          </cell>
          <cell r="M16">
            <v>2</v>
          </cell>
          <cell r="N16">
            <v>0</v>
          </cell>
          <cell r="O16">
            <v>0</v>
          </cell>
          <cell r="P16">
            <v>2</v>
          </cell>
        </row>
        <row r="17">
          <cell r="L17">
            <v>2015</v>
          </cell>
          <cell r="M17">
            <v>2</v>
          </cell>
          <cell r="N17">
            <v>0</v>
          </cell>
          <cell r="O17">
            <v>0</v>
          </cell>
          <cell r="P17">
            <v>2</v>
          </cell>
        </row>
        <row r="18">
          <cell r="L18">
            <v>2016</v>
          </cell>
          <cell r="M18">
            <v>2</v>
          </cell>
          <cell r="N18">
            <v>0</v>
          </cell>
          <cell r="O18">
            <v>0</v>
          </cell>
          <cell r="P18">
            <v>2</v>
          </cell>
        </row>
        <row r="19">
          <cell r="L19">
            <v>2017</v>
          </cell>
          <cell r="M19">
            <v>2</v>
          </cell>
          <cell r="N19">
            <v>0</v>
          </cell>
          <cell r="O19">
            <v>0</v>
          </cell>
          <cell r="P19">
            <v>2</v>
          </cell>
        </row>
        <row r="20">
          <cell r="L20">
            <v>2018</v>
          </cell>
          <cell r="M20">
            <v>2</v>
          </cell>
          <cell r="N20">
            <v>0</v>
          </cell>
          <cell r="O20">
            <v>0</v>
          </cell>
          <cell r="P20">
            <v>2</v>
          </cell>
        </row>
        <row r="21">
          <cell r="L21">
            <v>2019</v>
          </cell>
          <cell r="M21">
            <v>2</v>
          </cell>
          <cell r="N21">
            <v>0</v>
          </cell>
          <cell r="O21">
            <v>0</v>
          </cell>
          <cell r="P21">
            <v>2</v>
          </cell>
        </row>
        <row r="22">
          <cell r="L22">
            <v>2020</v>
          </cell>
          <cell r="M22">
            <v>2</v>
          </cell>
          <cell r="N22">
            <v>0</v>
          </cell>
          <cell r="O22">
            <v>0</v>
          </cell>
          <cell r="P22">
            <v>2</v>
          </cell>
        </row>
        <row r="23">
          <cell r="L23">
            <v>2021</v>
          </cell>
          <cell r="M23">
            <v>2</v>
          </cell>
          <cell r="N23">
            <v>0</v>
          </cell>
          <cell r="O23">
            <v>0</v>
          </cell>
          <cell r="P23">
            <v>2</v>
          </cell>
        </row>
        <row r="24">
          <cell r="L24">
            <v>2022</v>
          </cell>
          <cell r="M24">
            <v>2</v>
          </cell>
          <cell r="N24">
            <v>0</v>
          </cell>
          <cell r="O24">
            <v>0</v>
          </cell>
          <cell r="P24">
            <v>2</v>
          </cell>
        </row>
        <row r="25">
          <cell r="L25">
            <v>2023</v>
          </cell>
          <cell r="M25">
            <v>2</v>
          </cell>
          <cell r="N25">
            <v>0</v>
          </cell>
          <cell r="O25">
            <v>0</v>
          </cell>
          <cell r="P25">
            <v>2</v>
          </cell>
        </row>
        <row r="26">
          <cell r="L26">
            <v>2024</v>
          </cell>
          <cell r="M26">
            <v>2</v>
          </cell>
          <cell r="N26">
            <v>0</v>
          </cell>
          <cell r="O26">
            <v>0</v>
          </cell>
          <cell r="P26">
            <v>2</v>
          </cell>
        </row>
        <row r="27">
          <cell r="L27">
            <v>2025</v>
          </cell>
          <cell r="M27">
            <v>2</v>
          </cell>
          <cell r="N27">
            <v>0</v>
          </cell>
          <cell r="O27">
            <v>0</v>
          </cell>
          <cell r="P27">
            <v>2</v>
          </cell>
        </row>
        <row r="28">
          <cell r="L28">
            <v>2026</v>
          </cell>
          <cell r="M28">
            <v>2</v>
          </cell>
          <cell r="N28">
            <v>0</v>
          </cell>
          <cell r="O28">
            <v>0</v>
          </cell>
          <cell r="P28">
            <v>2</v>
          </cell>
        </row>
        <row r="29">
          <cell r="H29">
            <v>40</v>
          </cell>
          <cell r="L29">
            <v>2027</v>
          </cell>
          <cell r="M29">
            <v>2</v>
          </cell>
          <cell r="N29">
            <v>0</v>
          </cell>
          <cell r="O29">
            <v>0</v>
          </cell>
          <cell r="P29">
            <v>2</v>
          </cell>
        </row>
        <row r="30">
          <cell r="H30">
            <v>0.5</v>
          </cell>
          <cell r="L30">
            <v>2028</v>
          </cell>
          <cell r="M30">
            <v>2</v>
          </cell>
          <cell r="N30">
            <v>0</v>
          </cell>
          <cell r="O30">
            <v>0</v>
          </cell>
          <cell r="P30">
            <v>2</v>
          </cell>
        </row>
        <row r="31">
          <cell r="H31">
            <v>195</v>
          </cell>
          <cell r="L31">
            <v>2029</v>
          </cell>
          <cell r="M31">
            <v>2</v>
          </cell>
          <cell r="N31">
            <v>0</v>
          </cell>
          <cell r="O31">
            <v>0</v>
          </cell>
          <cell r="P31">
            <v>2</v>
          </cell>
        </row>
        <row r="32">
          <cell r="L32">
            <v>2030</v>
          </cell>
          <cell r="M32">
            <v>2</v>
          </cell>
          <cell r="N32">
            <v>0</v>
          </cell>
          <cell r="O32">
            <v>0</v>
          </cell>
          <cell r="P32">
            <v>2</v>
          </cell>
        </row>
        <row r="33">
          <cell r="L33">
            <v>2031</v>
          </cell>
          <cell r="M33">
            <v>2</v>
          </cell>
          <cell r="N33">
            <v>0</v>
          </cell>
          <cell r="O33">
            <v>0</v>
          </cell>
          <cell r="P33">
            <v>2</v>
          </cell>
        </row>
        <row r="34">
          <cell r="L34">
            <v>2032</v>
          </cell>
          <cell r="M34">
            <v>2</v>
          </cell>
          <cell r="N34">
            <v>0</v>
          </cell>
          <cell r="O34">
            <v>0</v>
          </cell>
          <cell r="P34">
            <v>2</v>
          </cell>
        </row>
        <row r="35">
          <cell r="H35">
            <v>0.02</v>
          </cell>
          <cell r="L35">
            <v>2033</v>
          </cell>
          <cell r="M35">
            <v>2</v>
          </cell>
          <cell r="N35">
            <v>0</v>
          </cell>
          <cell r="O35">
            <v>0</v>
          </cell>
          <cell r="P35">
            <v>2</v>
          </cell>
        </row>
        <row r="36">
          <cell r="H36">
            <v>2011</v>
          </cell>
        </row>
        <row r="47">
          <cell r="H47">
            <v>0</v>
          </cell>
        </row>
        <row r="49">
          <cell r="H49">
            <v>0</v>
          </cell>
        </row>
      </sheetData>
      <sheetData sheetId="5" refreshError="1"/>
      <sheetData sheetId="6">
        <row r="4">
          <cell r="F4" t="str">
            <v>1980cable1</v>
          </cell>
          <cell r="G4" t="str">
            <v>2014cable2</v>
          </cell>
          <cell r="H4" t="str">
            <v>2020cable3</v>
          </cell>
          <cell r="I4" t="str">
            <v>2009diesel</v>
          </cell>
          <cell r="J4" t="str">
            <v>2011diesel</v>
          </cell>
          <cell r="K4" t="str">
            <v>2016diesel</v>
          </cell>
          <cell r="L4" t="str">
            <v>2028diesel</v>
          </cell>
          <cell r="M4" t="str">
            <v>2029diesel</v>
          </cell>
          <cell r="N4" t="str">
            <v>2031diesel</v>
          </cell>
          <cell r="O4" t="str">
            <v>2029diesel</v>
          </cell>
          <cell r="P4" t="str">
            <v>2031diesel</v>
          </cell>
          <cell r="Q4" t="str">
            <v>2010wind</v>
          </cell>
          <cell r="R4" t="str">
            <v>2030wind</v>
          </cell>
        </row>
        <row r="5">
          <cell r="Q5">
            <v>15</v>
          </cell>
          <cell r="R5">
            <v>30</v>
          </cell>
        </row>
        <row r="6">
          <cell r="F6">
            <v>45</v>
          </cell>
          <cell r="G6">
            <v>45</v>
          </cell>
          <cell r="H6">
            <v>100</v>
          </cell>
          <cell r="I6">
            <v>14</v>
          </cell>
          <cell r="J6">
            <v>28</v>
          </cell>
          <cell r="K6">
            <v>28</v>
          </cell>
          <cell r="L6">
            <v>28</v>
          </cell>
          <cell r="M6">
            <v>14</v>
          </cell>
          <cell r="N6">
            <v>56</v>
          </cell>
          <cell r="O6">
            <v>0</v>
          </cell>
          <cell r="P6">
            <v>0</v>
          </cell>
          <cell r="Q6">
            <v>0</v>
          </cell>
          <cell r="R6">
            <v>0</v>
          </cell>
        </row>
        <row r="7">
          <cell r="F7">
            <v>1980</v>
          </cell>
          <cell r="G7">
            <v>2014</v>
          </cell>
          <cell r="H7">
            <v>2020</v>
          </cell>
          <cell r="I7">
            <v>2009</v>
          </cell>
          <cell r="J7">
            <v>2011</v>
          </cell>
          <cell r="K7">
            <v>2016</v>
          </cell>
          <cell r="L7">
            <v>2028</v>
          </cell>
          <cell r="M7">
            <v>2029</v>
          </cell>
          <cell r="N7">
            <v>2031</v>
          </cell>
          <cell r="O7">
            <v>2029</v>
          </cell>
          <cell r="P7">
            <v>2031</v>
          </cell>
          <cell r="Q7">
            <v>2010</v>
          </cell>
          <cell r="R7">
            <v>2030</v>
          </cell>
        </row>
        <row r="8">
          <cell r="F8" t="str">
            <v>cable1</v>
          </cell>
          <cell r="G8" t="str">
            <v>cable2</v>
          </cell>
          <cell r="H8" t="str">
            <v>cable3</v>
          </cell>
          <cell r="I8" t="str">
            <v>diesel</v>
          </cell>
          <cell r="J8" t="str">
            <v>diesel</v>
          </cell>
          <cell r="K8" t="str">
            <v>diesel</v>
          </cell>
          <cell r="L8" t="str">
            <v>diesel</v>
          </cell>
          <cell r="M8" t="str">
            <v>diesel</v>
          </cell>
          <cell r="N8" t="str">
            <v>diesel</v>
          </cell>
          <cell r="O8" t="str">
            <v>diesel</v>
          </cell>
          <cell r="P8" t="str">
            <v>diesel</v>
          </cell>
          <cell r="Q8" t="str">
            <v>wind</v>
          </cell>
          <cell r="R8" t="str">
            <v>wind</v>
          </cell>
        </row>
        <row r="9">
          <cell r="F9">
            <v>22.5</v>
          </cell>
          <cell r="G9">
            <v>0</v>
          </cell>
          <cell r="H9">
            <v>48.3</v>
          </cell>
          <cell r="I9">
            <v>21</v>
          </cell>
          <cell r="J9">
            <v>42</v>
          </cell>
          <cell r="K9">
            <v>42</v>
          </cell>
          <cell r="L9">
            <v>42</v>
          </cell>
          <cell r="M9">
            <v>21</v>
          </cell>
          <cell r="N9">
            <v>84</v>
          </cell>
          <cell r="O9">
            <v>0</v>
          </cell>
          <cell r="P9">
            <v>0</v>
          </cell>
          <cell r="Q9">
            <v>0</v>
          </cell>
          <cell r="R9">
            <v>0</v>
          </cell>
        </row>
        <row r="10">
          <cell r="F10">
            <v>34</v>
          </cell>
          <cell r="G10">
            <v>6</v>
          </cell>
          <cell r="H10">
            <v>40</v>
          </cell>
          <cell r="I10">
            <v>20</v>
          </cell>
          <cell r="J10">
            <v>20</v>
          </cell>
          <cell r="K10">
            <v>20</v>
          </cell>
          <cell r="L10">
            <v>20</v>
          </cell>
          <cell r="M10">
            <v>20</v>
          </cell>
          <cell r="N10">
            <v>20</v>
          </cell>
          <cell r="O10">
            <v>20</v>
          </cell>
          <cell r="P10">
            <v>20</v>
          </cell>
          <cell r="Q10">
            <v>20</v>
          </cell>
          <cell r="R10">
            <v>20</v>
          </cell>
        </row>
      </sheetData>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ummary"/>
      <sheetName val="Basics"/>
      <sheetName val="WTP"/>
      <sheetName val="Quality-Improvement"/>
      <sheetName val="LRMC"/>
      <sheetName val="social &amp; environmental benefits"/>
      <sheetName val="Induced Production"/>
      <sheetName val="Benefit Profile"/>
      <sheetName val="Kigoma"/>
      <sheetName val="Mbeya"/>
      <sheetName val="Morogoro"/>
      <sheetName val="Mwanza"/>
      <sheetName val="Tanga"/>
      <sheetName val="Zanzibar"/>
    </sheetNames>
    <sheetDataSet>
      <sheetData sheetId="0"/>
      <sheetData sheetId="1"/>
      <sheetData sheetId="2">
        <row r="8">
          <cell r="G8">
            <v>1300</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C15">
            <v>75</v>
          </cell>
        </row>
      </sheetData>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Key Assumptions"/>
      <sheetName val="TH Sum"/>
      <sheetName val="TH1"/>
      <sheetName val="TH2"/>
      <sheetName val="TH4"/>
      <sheetName val="TanIRI"/>
    </sheetNames>
    <sheetDataSet>
      <sheetData sheetId="0"/>
      <sheetData sheetId="1">
        <row r="41">
          <cell r="H41">
            <v>0.04</v>
          </cell>
        </row>
      </sheetData>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User's Guide"/>
      <sheetName val="Activity Description"/>
      <sheetName val="ERR &amp; Sensitivity Analysis"/>
      <sheetName val="ERR Calculation"/>
      <sheetName val="Enrollment dynamics"/>
      <sheetName val="Key Assumptions"/>
      <sheetName val="Detailed enrollment"/>
    </sheetNames>
    <sheetDataSet>
      <sheetData sheetId="0"/>
      <sheetData sheetId="1">
        <row r="12">
          <cell r="C12" t="str">
            <v>Education Project</v>
          </cell>
        </row>
        <row r="13">
          <cell r="C13" t="str">
            <v>Upgrading and Constructing up to 47 Primary and Secondary Schools</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s"/>
      <sheetName val="Intro"/>
      <sheetName val="Main"/>
      <sheetName val="Summary"/>
      <sheetName val="LU"/>
      <sheetName val="Prob"/>
      <sheetName val="Distrib"/>
      <sheetName val="AMAMA1"/>
      <sheetName val="AMAMA2"/>
      <sheetName val="APEPE1"/>
      <sheetName val="ASASA1"/>
      <sheetName val="ASASA2"/>
      <sheetName val="ASHEF1"/>
      <sheetName val="ATATA1"/>
      <sheetName val="BPEAM1"/>
      <sheetName val="BSAEP1"/>
      <sheetName val="BSAML1"/>
      <sheetName val="BVARI1"/>
      <sheetName val="Meet"/>
      <sheetName val="VANRIS"/>
    </sheetNames>
    <sheetDataSet>
      <sheetData sheetId="0"/>
      <sheetData sheetId="1"/>
      <sheetData sheetId="2"/>
      <sheetData sheetId="3" refreshError="1">
        <row r="6">
          <cell r="A6" t="str">
            <v>AMAMA1</v>
          </cell>
          <cell r="B6" t="str">
            <v>Lits Lits - Norsup Road Sealing</v>
          </cell>
          <cell r="D6" t="str">
            <v>Malekula</v>
          </cell>
          <cell r="E6" t="str">
            <v>Malampa</v>
          </cell>
          <cell r="F6">
            <v>189.60480000000001</v>
          </cell>
          <cell r="G6">
            <v>1.7556</v>
          </cell>
          <cell r="H6">
            <v>2.0555555555555527</v>
          </cell>
          <cell r="I6">
            <v>1.9032921810699561E-2</v>
          </cell>
          <cell r="J6">
            <v>0.22462370197905585</v>
          </cell>
          <cell r="K6">
            <v>159.72431508259623</v>
          </cell>
          <cell r="L6">
            <v>2.0643322529748724</v>
          </cell>
          <cell r="M6">
            <v>0.18788677288242828</v>
          </cell>
          <cell r="N6">
            <v>0.18029281080962259</v>
          </cell>
          <cell r="O6">
            <v>0.27176594642684698</v>
          </cell>
          <cell r="P6">
            <v>0.12571622655559045</v>
          </cell>
          <cell r="Q6">
            <v>1</v>
          </cell>
          <cell r="R6">
            <v>1</v>
          </cell>
          <cell r="S6">
            <v>2007</v>
          </cell>
        </row>
        <row r="7">
          <cell r="A7" t="str">
            <v>AMAMA2</v>
          </cell>
          <cell r="B7" t="str">
            <v>South-West Bay Airstrip Upgrading</v>
          </cell>
          <cell r="D7" t="str">
            <v>Malekula</v>
          </cell>
          <cell r="E7" t="str">
            <v>Malampa</v>
          </cell>
          <cell r="F7">
            <v>65.08</v>
          </cell>
          <cell r="G7">
            <v>0.60259259259259257</v>
          </cell>
          <cell r="H7">
            <v>0</v>
          </cell>
          <cell r="I7">
            <v>0</v>
          </cell>
          <cell r="J7">
            <v>0.11364998061127222</v>
          </cell>
          <cell r="K7">
            <v>4.8669713136717592</v>
          </cell>
          <cell r="L7">
            <v>1.0914032036645314</v>
          </cell>
          <cell r="M7">
            <v>8.6199929420376672E-2</v>
          </cell>
          <cell r="N7">
            <v>8.0545631873867957E-2</v>
          </cell>
          <cell r="O7">
            <v>0.14917191258480131</v>
          </cell>
          <cell r="P7">
            <v>4.585583610297489E-2</v>
          </cell>
          <cell r="Q7">
            <v>1</v>
          </cell>
          <cell r="R7">
            <v>1</v>
          </cell>
          <cell r="S7">
            <v>2007</v>
          </cell>
        </row>
        <row r="8">
          <cell r="A8" t="str">
            <v>APEPE1</v>
          </cell>
          <cell r="B8" t="str">
            <v>Loltong Wharf and N-S Road</v>
          </cell>
          <cell r="D8" t="str">
            <v>Pentecost</v>
          </cell>
          <cell r="E8" t="str">
            <v>Penama</v>
          </cell>
          <cell r="F8">
            <v>247.654</v>
          </cell>
          <cell r="G8">
            <v>2.2930925925925925</v>
          </cell>
          <cell r="H8">
            <v>3.6999999999999993</v>
          </cell>
          <cell r="I8">
            <v>3.4259259259259253E-2</v>
          </cell>
          <cell r="J8">
            <v>0.15606943163381698</v>
          </cell>
          <cell r="K8">
            <v>79.083471624762012</v>
          </cell>
          <cell r="L8">
            <v>1.346935096185802</v>
          </cell>
          <cell r="M8">
            <v>0.12016075318448843</v>
          </cell>
          <cell r="N8">
            <v>0.11283654648106228</v>
          </cell>
          <cell r="O8">
            <v>1.6089379885231746E-2</v>
          </cell>
          <cell r="P8">
            <v>6.7136633368479748E-2</v>
          </cell>
          <cell r="Q8">
            <v>1</v>
          </cell>
          <cell r="R8">
            <v>1</v>
          </cell>
          <cell r="S8">
            <v>2007</v>
          </cell>
        </row>
        <row r="9">
          <cell r="A9" t="str">
            <v>ASASA1</v>
          </cell>
          <cell r="B9" t="str">
            <v>Port Olry Road Upgrading</v>
          </cell>
          <cell r="D9" t="str">
            <v>Santo</v>
          </cell>
          <cell r="E9" t="str">
            <v>Sanma</v>
          </cell>
          <cell r="F9">
            <v>1863.9288000000001</v>
          </cell>
          <cell r="G9">
            <v>17.258600000000001</v>
          </cell>
          <cell r="H9">
            <v>40.94444444444445</v>
          </cell>
          <cell r="I9">
            <v>0.3791152263374486</v>
          </cell>
          <cell r="J9">
            <v>0.33786431307382958</v>
          </cell>
          <cell r="K9">
            <v>4425.8390368603514</v>
          </cell>
          <cell r="L9">
            <v>3.6616796658483661</v>
          </cell>
          <cell r="M9">
            <v>0.29106356187309074</v>
          </cell>
          <cell r="N9">
            <v>0.28150155877118105</v>
          </cell>
          <cell r="O9">
            <v>0.39892725896301917</v>
          </cell>
          <cell r="P9">
            <v>0.20370814266007911</v>
          </cell>
          <cell r="Q9">
            <v>1</v>
          </cell>
          <cell r="R9">
            <v>1</v>
          </cell>
          <cell r="S9">
            <v>2007</v>
          </cell>
        </row>
        <row r="10">
          <cell r="A10" t="str">
            <v>ASASA2</v>
          </cell>
          <cell r="B10" t="str">
            <v>South Coast Bridges and Culverts</v>
          </cell>
          <cell r="D10" t="str">
            <v>Santo</v>
          </cell>
          <cell r="E10" t="str">
            <v>Sanma</v>
          </cell>
          <cell r="F10">
            <v>202.82399999999998</v>
          </cell>
          <cell r="G10">
            <v>1.8779999999999999</v>
          </cell>
          <cell r="H10">
            <v>0</v>
          </cell>
          <cell r="I10">
            <v>0</v>
          </cell>
          <cell r="J10">
            <v>0.24276840985467887</v>
          </cell>
          <cell r="K10">
            <v>174.0999826086306</v>
          </cell>
          <cell r="L10">
            <v>2.0491306138956471</v>
          </cell>
          <cell r="M10">
            <v>0.19700424159358113</v>
          </cell>
          <cell r="N10">
            <v>0.18789673951715924</v>
          </cell>
          <cell r="O10">
            <v>0.3057487982976323</v>
          </cell>
          <cell r="P10">
            <v>0.12686653484309338</v>
          </cell>
          <cell r="Q10">
            <v>1</v>
          </cell>
          <cell r="R10">
            <v>1</v>
          </cell>
          <cell r="S10">
            <v>2007</v>
          </cell>
        </row>
        <row r="11">
          <cell r="A11" t="str">
            <v>ASHEF1</v>
          </cell>
          <cell r="B11" t="str">
            <v>Round-Island Road Upgrading</v>
          </cell>
          <cell r="D11" t="str">
            <v>Efate</v>
          </cell>
          <cell r="E11" t="str">
            <v>Shefa</v>
          </cell>
          <cell r="F11">
            <v>2520.6120000000001</v>
          </cell>
          <cell r="G11">
            <v>23.339000000000002</v>
          </cell>
          <cell r="H11">
            <v>52.5</v>
          </cell>
          <cell r="I11">
            <v>0.4861111111111111</v>
          </cell>
          <cell r="J11">
            <v>0.20550479502577151</v>
          </cell>
          <cell r="K11">
            <v>1885.7291621038769</v>
          </cell>
          <cell r="L11">
            <v>1.8423788997682973</v>
          </cell>
          <cell r="M11">
            <v>0.16988037798308492</v>
          </cell>
          <cell r="N11">
            <v>0.16249056620484598</v>
          </cell>
          <cell r="O11">
            <v>0.25098920223897309</v>
          </cell>
          <cell r="P11">
            <v>0.11008159066260667</v>
          </cell>
          <cell r="Q11">
            <v>1</v>
          </cell>
          <cell r="R11">
            <v>1</v>
          </cell>
          <cell r="S11">
            <v>2007</v>
          </cell>
        </row>
        <row r="12">
          <cell r="A12" t="str">
            <v>ATATA1</v>
          </cell>
          <cell r="B12" t="str">
            <v>Whitesands Road Upgrading</v>
          </cell>
          <cell r="D12" t="str">
            <v>Tanna</v>
          </cell>
          <cell r="E12" t="str">
            <v>Tafea</v>
          </cell>
          <cell r="F12">
            <v>403.00199999999995</v>
          </cell>
          <cell r="G12">
            <v>3.7314999999999996</v>
          </cell>
          <cell r="H12">
            <v>0</v>
          </cell>
          <cell r="I12">
            <v>0</v>
          </cell>
          <cell r="J12">
            <v>0.17657184537773801</v>
          </cell>
          <cell r="K12">
            <v>204.41274323363672</v>
          </cell>
          <cell r="L12">
            <v>1.619941829781381</v>
          </cell>
          <cell r="M12">
            <v>0.14456524340112237</v>
          </cell>
          <cell r="N12">
            <v>0.13797068071259416</v>
          </cell>
          <cell r="O12">
            <v>0.21779276825660171</v>
          </cell>
          <cell r="P12">
            <v>9.3930340569284801E-2</v>
          </cell>
          <cell r="Q12">
            <v>1</v>
          </cell>
          <cell r="R12">
            <v>1</v>
          </cell>
          <cell r="S12">
            <v>2007</v>
          </cell>
        </row>
        <row r="13">
          <cell r="A13" t="str">
            <v>BPEAM1</v>
          </cell>
          <cell r="B13" t="str">
            <v>Ambae Creek Crossings Reinstatement</v>
          </cell>
          <cell r="D13" t="str">
            <v>Ambae</v>
          </cell>
          <cell r="E13" t="str">
            <v>Penama</v>
          </cell>
          <cell r="F13">
            <v>132.47200000000001</v>
          </cell>
          <cell r="G13">
            <v>1.2265925925925927</v>
          </cell>
          <cell r="H13">
            <v>0</v>
          </cell>
          <cell r="I13">
            <v>0</v>
          </cell>
          <cell r="J13">
            <v>0.12314963811312898</v>
          </cell>
          <cell r="K13">
            <v>16.066209299402473</v>
          </cell>
          <cell r="L13">
            <v>1.1482311585286173</v>
          </cell>
          <cell r="M13">
            <v>9.3151298776611227E-2</v>
          </cell>
          <cell r="N13">
            <v>8.701571493564024E-2</v>
          </cell>
          <cell r="O13">
            <v>0.16248784418636669</v>
          </cell>
          <cell r="P13">
            <v>5.031998681090321E-2</v>
          </cell>
          <cell r="Q13">
            <v>1</v>
          </cell>
          <cell r="R13">
            <v>1</v>
          </cell>
          <cell r="S13">
            <v>2007</v>
          </cell>
        </row>
        <row r="14">
          <cell r="A14" t="str">
            <v>BSAEP1</v>
          </cell>
          <cell r="B14" t="str">
            <v>Lamen Bay Wharf Reinstatement</v>
          </cell>
          <cell r="D14" t="str">
            <v>Epi</v>
          </cell>
          <cell r="E14" t="str">
            <v>Shefa</v>
          </cell>
          <cell r="F14">
            <v>122.536</v>
          </cell>
          <cell r="G14">
            <v>1.1345925925925926</v>
          </cell>
          <cell r="H14">
            <v>0</v>
          </cell>
          <cell r="I14">
            <v>0</v>
          </cell>
          <cell r="J14">
            <v>0.10091447210991594</v>
          </cell>
          <cell r="K14">
            <v>0.58512073757047434</v>
          </cell>
          <cell r="L14">
            <v>1.0058362241964951</v>
          </cell>
          <cell r="M14">
            <v>7.4141625794993518E-2</v>
          </cell>
          <cell r="N14">
            <v>6.8619757407542378E-2</v>
          </cell>
          <cell r="O14">
            <v>0.13547536346423877</v>
          </cell>
          <cell r="P14">
            <v>3.5685163178576916E-2</v>
          </cell>
          <cell r="Q14">
            <v>1</v>
          </cell>
          <cell r="R14">
            <v>1</v>
          </cell>
          <cell r="S14">
            <v>2007</v>
          </cell>
        </row>
        <row r="15">
          <cell r="A15" t="str">
            <v>BSAML1</v>
          </cell>
          <cell r="B15" t="str">
            <v>Malo Roads Upgrading</v>
          </cell>
          <cell r="D15" t="str">
            <v>Malo</v>
          </cell>
          <cell r="E15" t="str">
            <v>Sanma</v>
          </cell>
          <cell r="F15">
            <v>115.40800000000002</v>
          </cell>
          <cell r="G15">
            <v>1.0685925925925928</v>
          </cell>
          <cell r="H15">
            <v>4</v>
          </cell>
          <cell r="I15">
            <v>3.7037037037037035E-2</v>
          </cell>
          <cell r="J15">
            <v>0.16838748695577699</v>
          </cell>
          <cell r="K15">
            <v>45.992161706502642</v>
          </cell>
          <cell r="L15">
            <v>1.3776013836392784</v>
          </cell>
          <cell r="M15">
            <v>0.12734818413458404</v>
          </cell>
          <cell r="N15">
            <v>0.11897501062329664</v>
          </cell>
          <cell r="O15">
            <v>0.22286032753779406</v>
          </cell>
          <cell r="P15">
            <v>6.6553615221133275E-2</v>
          </cell>
          <cell r="Q15">
            <v>1</v>
          </cell>
          <cell r="R15">
            <v>1</v>
          </cell>
          <cell r="S15">
            <v>2007</v>
          </cell>
        </row>
        <row r="16">
          <cell r="A16" t="str">
            <v>BVARI1</v>
          </cell>
          <cell r="B16" t="str">
            <v>Technical assistance to PWD</v>
          </cell>
          <cell r="D16" t="str">
            <v>Country</v>
          </cell>
          <cell r="E16" t="str">
            <v>Country</v>
          </cell>
          <cell r="F16">
            <v>1347.6000000000001</v>
          </cell>
          <cell r="G16">
            <v>12.47777777777778</v>
          </cell>
          <cell r="H16">
            <v>0</v>
          </cell>
          <cell r="I16">
            <v>0</v>
          </cell>
          <cell r="J16">
            <v>0.16058552903336543</v>
          </cell>
          <cell r="K16">
            <v>262.48883072070845</v>
          </cell>
          <cell r="L16">
            <v>1.2854617768249781</v>
          </cell>
          <cell r="M16">
            <v>0.1151492708742208</v>
          </cell>
          <cell r="N16">
            <v>0.10604506949655668</v>
          </cell>
          <cell r="O16">
            <v>0.22244484054528116</v>
          </cell>
          <cell r="P16">
            <v>5.6611990677413307E-2</v>
          </cell>
          <cell r="Q16">
            <v>1</v>
          </cell>
          <cell r="R16">
            <v>1</v>
          </cell>
          <cell r="S16">
            <v>2007</v>
          </cell>
        </row>
      </sheetData>
      <sheetData sheetId="4" refreshError="1">
        <row r="3">
          <cell r="A3" t="str">
            <v>AMAMA1</v>
          </cell>
          <cell r="B3" t="str">
            <v>Malampa</v>
          </cell>
          <cell r="C3" t="str">
            <v>Malekula</v>
          </cell>
          <cell r="D3" t="str">
            <v>Lits Lits - Norsup Road Sealing</v>
          </cell>
          <cell r="E3">
            <v>3127.71</v>
          </cell>
          <cell r="F3">
            <v>168</v>
          </cell>
          <cell r="R3">
            <v>189.60480000000001</v>
          </cell>
          <cell r="S3">
            <v>2.2999999999999998</v>
          </cell>
          <cell r="T3">
            <v>8.8000000000000007</v>
          </cell>
          <cell r="U3">
            <v>7</v>
          </cell>
        </row>
        <row r="4">
          <cell r="A4" t="str">
            <v>AMAMA2</v>
          </cell>
          <cell r="B4" t="str">
            <v>Malampa</v>
          </cell>
          <cell r="C4" t="str">
            <v>Malekula</v>
          </cell>
          <cell r="D4" t="str">
            <v>South-West Bay Airstrip Upgrading</v>
          </cell>
          <cell r="E4">
            <v>2510.8599999999997</v>
          </cell>
          <cell r="Q4">
            <v>104</v>
          </cell>
          <cell r="R4">
            <v>65.08</v>
          </cell>
          <cell r="S4">
            <v>1</v>
          </cell>
          <cell r="T4">
            <v>1</v>
          </cell>
        </row>
        <row r="5">
          <cell r="A5" t="str">
            <v>APEPE1</v>
          </cell>
          <cell r="B5" t="str">
            <v>Penama</v>
          </cell>
          <cell r="C5" t="str">
            <v>Pentecost</v>
          </cell>
          <cell r="D5" t="str">
            <v>Loltong Wharf and N-S Road</v>
          </cell>
          <cell r="E5">
            <v>3074.7299999999996</v>
          </cell>
          <cell r="F5">
            <v>31</v>
          </cell>
          <cell r="R5">
            <v>83.71</v>
          </cell>
          <cell r="S5">
            <v>4.3</v>
          </cell>
          <cell r="T5">
            <v>2.1</v>
          </cell>
        </row>
        <row r="6">
          <cell r="A6" t="str">
            <v>APEPE2</v>
          </cell>
          <cell r="B6" t="str">
            <v>Penama</v>
          </cell>
          <cell r="C6" t="str">
            <v>Pentecost</v>
          </cell>
          <cell r="D6" t="str">
            <v>Loltong Wharf and N-S Road</v>
          </cell>
          <cell r="E6">
            <v>4783.29</v>
          </cell>
          <cell r="H6">
            <v>80</v>
          </cell>
          <cell r="I6">
            <v>1000</v>
          </cell>
          <cell r="J6">
            <v>16</v>
          </cell>
          <cell r="K6">
            <v>1</v>
          </cell>
          <cell r="L6">
            <v>1000</v>
          </cell>
          <cell r="N6">
            <v>2017</v>
          </cell>
          <cell r="O6">
            <v>25.212499999999999</v>
          </cell>
          <cell r="P6">
            <v>290.48700000000002</v>
          </cell>
          <cell r="R6">
            <v>163.94399999999999</v>
          </cell>
          <cell r="S6">
            <v>1.5</v>
          </cell>
          <cell r="T6">
            <v>0</v>
          </cell>
        </row>
        <row r="8">
          <cell r="A8" t="str">
            <v>ASASA1</v>
          </cell>
          <cell r="B8" t="str">
            <v>Sanma</v>
          </cell>
          <cell r="C8" t="str">
            <v>Santo</v>
          </cell>
          <cell r="D8" t="str">
            <v>Port Olry Road Upgrading</v>
          </cell>
          <cell r="E8">
            <v>7403.7599999999993</v>
          </cell>
          <cell r="F8">
            <v>200</v>
          </cell>
          <cell r="R8">
            <v>1863.9288000000001</v>
          </cell>
          <cell r="S8">
            <v>17.5</v>
          </cell>
          <cell r="T8">
            <v>31</v>
          </cell>
          <cell r="U8">
            <v>7</v>
          </cell>
          <cell r="AF8">
            <v>0.9</v>
          </cell>
        </row>
        <row r="9">
          <cell r="A9" t="str">
            <v>ASASA2</v>
          </cell>
          <cell r="B9" t="str">
            <v>Sanma</v>
          </cell>
          <cell r="C9" t="str">
            <v>Santo</v>
          </cell>
          <cell r="D9" t="str">
            <v>South Coast Bridges and Culverts</v>
          </cell>
          <cell r="E9">
            <v>7152.9</v>
          </cell>
          <cell r="F9">
            <v>33</v>
          </cell>
          <cell r="R9">
            <v>202.82399999999998</v>
          </cell>
          <cell r="S9">
            <v>17.600000000000001</v>
          </cell>
          <cell r="T9">
            <v>17.600000000000001</v>
          </cell>
        </row>
        <row r="10">
          <cell r="A10" t="str">
            <v>ASHEF1</v>
          </cell>
          <cell r="B10" t="str">
            <v>Shefa</v>
          </cell>
          <cell r="C10" t="str">
            <v>Efate</v>
          </cell>
          <cell r="D10" t="str">
            <v>Round-Island Road Upgrading</v>
          </cell>
          <cell r="E10">
            <v>13914.819999999998</v>
          </cell>
          <cell r="F10">
            <v>60</v>
          </cell>
          <cell r="R10">
            <v>2520.6120000000001</v>
          </cell>
          <cell r="S10">
            <v>22.5</v>
          </cell>
          <cell r="T10">
            <v>40</v>
          </cell>
          <cell r="U10">
            <v>7</v>
          </cell>
        </row>
        <row r="11">
          <cell r="A11" t="str">
            <v>ATATA1</v>
          </cell>
          <cell r="B11" t="str">
            <v>Tafea</v>
          </cell>
          <cell r="C11" t="str">
            <v>Tanna</v>
          </cell>
          <cell r="D11" t="str">
            <v>Whitesands Road Upgrading</v>
          </cell>
          <cell r="E11">
            <v>5675.9100000000008</v>
          </cell>
          <cell r="F11">
            <v>100</v>
          </cell>
          <cell r="R11">
            <v>403.00200000000001</v>
          </cell>
          <cell r="S11">
            <v>10.5</v>
          </cell>
          <cell r="T11">
            <v>10.5</v>
          </cell>
        </row>
        <row r="12">
          <cell r="A12" t="str">
            <v>ATATA2</v>
          </cell>
          <cell r="B12" t="str">
            <v>Tafea</v>
          </cell>
          <cell r="C12" t="str">
            <v>Tanna</v>
          </cell>
          <cell r="D12" t="str">
            <v>South Coast Road Upgrading</v>
          </cell>
          <cell r="E12">
            <v>1823.82</v>
          </cell>
          <cell r="F12">
            <v>10</v>
          </cell>
          <cell r="R12">
            <v>0</v>
          </cell>
          <cell r="S12">
            <v>0</v>
          </cell>
          <cell r="T12">
            <v>0</v>
          </cell>
        </row>
        <row r="13">
          <cell r="A13" t="str">
            <v>BPEAM1</v>
          </cell>
          <cell r="B13" t="str">
            <v>Penama</v>
          </cell>
          <cell r="C13" t="str">
            <v>Ambae</v>
          </cell>
          <cell r="D13" t="str">
            <v>Ambae Creek Crossings Reinstatement</v>
          </cell>
          <cell r="E13">
            <v>1534.4</v>
          </cell>
          <cell r="F13">
            <v>10</v>
          </cell>
          <cell r="R13">
            <v>132.47200000000001</v>
          </cell>
          <cell r="S13">
            <v>1</v>
          </cell>
          <cell r="T13">
            <v>1</v>
          </cell>
        </row>
        <row r="15">
          <cell r="A15" t="str">
            <v>BSAEP1</v>
          </cell>
          <cell r="B15" t="str">
            <v>Shefa</v>
          </cell>
          <cell r="C15" t="str">
            <v>Epi</v>
          </cell>
          <cell r="D15" t="str">
            <v>Lamen Bay Wharf Reinstatement</v>
          </cell>
          <cell r="E15">
            <v>1865.94</v>
          </cell>
          <cell r="H15">
            <v>400</v>
          </cell>
          <cell r="I15">
            <v>500</v>
          </cell>
          <cell r="J15">
            <v>0</v>
          </cell>
          <cell r="L15">
            <v>250</v>
          </cell>
          <cell r="M15">
            <v>420</v>
          </cell>
          <cell r="N15">
            <v>1170</v>
          </cell>
          <cell r="O15">
            <v>2.9249999999999998</v>
          </cell>
          <cell r="P15">
            <v>149.5</v>
          </cell>
          <cell r="R15">
            <v>122.536</v>
          </cell>
          <cell r="S15">
            <v>1.6</v>
          </cell>
          <cell r="T15">
            <v>1.6</v>
          </cell>
        </row>
        <row r="16">
          <cell r="A16" t="str">
            <v>BSAML1</v>
          </cell>
          <cell r="B16" t="str">
            <v>Sanma</v>
          </cell>
          <cell r="C16" t="str">
            <v>Malo</v>
          </cell>
          <cell r="D16" t="str">
            <v>Malo Roads Upgrading</v>
          </cell>
          <cell r="E16">
            <v>1645.3700000000001</v>
          </cell>
          <cell r="F16">
            <v>30</v>
          </cell>
          <cell r="R16">
            <v>115.40800000000002</v>
          </cell>
          <cell r="S16">
            <v>8</v>
          </cell>
          <cell r="T16">
            <v>4</v>
          </cell>
        </row>
        <row r="18">
          <cell r="A18" t="str">
            <v>BVARI1</v>
          </cell>
          <cell r="B18" t="str">
            <v>Country</v>
          </cell>
          <cell r="C18" t="str">
            <v>Country</v>
          </cell>
          <cell r="D18" t="str">
            <v>Technical assistance to PWD</v>
          </cell>
          <cell r="E18">
            <v>0</v>
          </cell>
          <cell r="R18">
            <v>1212.8400000000001</v>
          </cell>
        </row>
        <row r="39">
          <cell r="D39" t="str">
            <v>Total: Manually selected subprojects</v>
          </cell>
          <cell r="E39">
            <v>54513.510000000009</v>
          </cell>
          <cell r="I39">
            <v>1500</v>
          </cell>
          <cell r="J39">
            <v>16</v>
          </cell>
          <cell r="K39">
            <v>1</v>
          </cell>
          <cell r="L39">
            <v>1250</v>
          </cell>
          <cell r="M39">
            <v>420</v>
          </cell>
          <cell r="N39">
            <v>3187</v>
          </cell>
          <cell r="O39">
            <v>28.137499999999999</v>
          </cell>
          <cell r="P39">
            <v>439.98700000000002</v>
          </cell>
          <cell r="Q39">
            <v>104</v>
          </cell>
          <cell r="R39">
            <v>7075.9616000000015</v>
          </cell>
          <cell r="S39">
            <v>87.8</v>
          </cell>
          <cell r="T39">
            <v>117.6</v>
          </cell>
        </row>
        <row r="40">
          <cell r="R40" t="str">
            <v>= US$ 65.5 M</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Key Assumptions"/>
      <sheetName val="IRIs"/>
      <sheetName val="RUC Calculations"/>
      <sheetName val="Health"/>
      <sheetName val="Education"/>
      <sheetName val="ERR"/>
      <sheetName val="Scenario"/>
      <sheetName val="Probability"/>
    </sheetNames>
    <sheetDataSet>
      <sheetData sheetId="0" refreshError="1"/>
      <sheetData sheetId="1" refreshError="1">
        <row r="9">
          <cell r="G9">
            <v>0.68310000000000015</v>
          </cell>
        </row>
        <row r="24">
          <cell r="G24">
            <v>365</v>
          </cell>
        </row>
        <row r="37">
          <cell r="G37">
            <v>0.5</v>
          </cell>
        </row>
        <row r="38">
          <cell r="G38">
            <v>3.1899999999999998E-2</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roject Description"/>
      <sheetName val="CB_DATA_"/>
      <sheetName val="ERR &amp; Sensitivity Analysis"/>
      <sheetName val="Cost-Benefit Summary"/>
      <sheetName val="Background Sheet 1"/>
      <sheetName val="Background Sheet 2"/>
      <sheetName val="Crystal Ball Report"/>
      <sheetName val="HDM-4 Vehicle Fleet"/>
      <sheetName val="HDM-4 Cost Streams"/>
      <sheetName val="HDM-4 AADT"/>
      <sheetName val="PS"/>
    </sheetNames>
    <sheetDataSet>
      <sheetData sheetId="0"/>
      <sheetData sheetId="1"/>
      <sheetData sheetId="2"/>
      <sheetData sheetId="3"/>
      <sheetData sheetId="4"/>
      <sheetData sheetId="5">
        <row r="7">
          <cell r="C7">
            <v>0.3</v>
          </cell>
        </row>
      </sheetData>
      <sheetData sheetId="6">
        <row r="10">
          <cell r="C10">
            <v>0.06</v>
          </cell>
        </row>
        <row r="14">
          <cell r="C14">
            <v>0.06</v>
          </cell>
        </row>
        <row r="15">
          <cell r="C15">
            <v>0.85</v>
          </cell>
        </row>
        <row r="17">
          <cell r="C17">
            <v>15</v>
          </cell>
        </row>
        <row r="18">
          <cell r="C18">
            <v>3400</v>
          </cell>
        </row>
        <row r="25">
          <cell r="D25">
            <v>30</v>
          </cell>
        </row>
        <row r="26">
          <cell r="D26">
            <v>12</v>
          </cell>
        </row>
      </sheetData>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Results"/>
      <sheetName val="Assumptions"/>
      <sheetName val="Outages"/>
      <sheetName val="Cash Flow"/>
      <sheetName val="Taxation"/>
      <sheetName val="Debt Repay"/>
      <sheetName val="Drawdown"/>
      <sheetName val="Fin Calcs"/>
      <sheetName val="Escalation"/>
      <sheetName val="Work Area"/>
    </sheetNames>
    <sheetDataSet>
      <sheetData sheetId="0" refreshError="1"/>
      <sheetData sheetId="1" refreshError="1"/>
      <sheetData sheetId="2">
        <row r="125">
          <cell r="D125">
            <v>0.11219999999999999</v>
          </cell>
        </row>
        <row r="127">
          <cell r="D127">
            <v>10</v>
          </cell>
        </row>
        <row r="129">
          <cell r="D129">
            <v>0.33660000000000001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CB_DATA_"/>
      <sheetName val="ERR &amp; Sensitivity Analysis"/>
      <sheetName val="AllFeederRoads"/>
      <sheetName val="Gravel"/>
      <sheetName val="Costs"/>
      <sheetName val="Benefits"/>
      <sheetName val="Incremental"/>
    </sheetNames>
    <sheetDataSet>
      <sheetData sheetId="0" refreshError="1"/>
      <sheetData sheetId="1" refreshError="1"/>
      <sheetData sheetId="2" refreshError="1"/>
      <sheetData sheetId="3" refreshError="1"/>
      <sheetData sheetId="4" refreshError="1"/>
      <sheetData sheetId="5" refreshError="1"/>
      <sheetData sheetId="6">
        <row r="8">
          <cell r="C8">
            <v>1200</v>
          </cell>
        </row>
        <row r="9">
          <cell r="C9">
            <v>15000</v>
          </cell>
        </row>
      </sheetData>
      <sheetData sheetId="7">
        <row r="10">
          <cell r="C10">
            <v>1.4999999999999999E-2</v>
          </cell>
        </row>
        <row r="11">
          <cell r="C11">
            <v>0.03</v>
          </cell>
        </row>
        <row r="12">
          <cell r="C12">
            <v>1</v>
          </cell>
        </row>
        <row r="13">
          <cell r="C13">
            <v>5</v>
          </cell>
        </row>
        <row r="14">
          <cell r="C14">
            <v>10</v>
          </cell>
        </row>
        <row r="15">
          <cell r="C15">
            <v>10</v>
          </cell>
        </row>
      </sheetData>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 val="Mongolia Health ERR"/>
    </sheetNames>
    <sheetDataSet>
      <sheetData sheetId="0" refreshError="1"/>
      <sheetData sheetId="1" refreshError="1"/>
      <sheetData sheetId="2" refreshError="1"/>
      <sheetData sheetId="3"/>
      <sheetData sheetId="4" refreshError="1"/>
      <sheetData sheetId="5">
        <row r="5">
          <cell r="C5">
            <v>1.4999999999999999E-2</v>
          </cell>
        </row>
        <row r="6">
          <cell r="E6">
            <v>955.44908060203898</v>
          </cell>
        </row>
        <row r="27">
          <cell r="C27">
            <v>0.33</v>
          </cell>
        </row>
        <row r="28">
          <cell r="C28">
            <v>0.2</v>
          </cell>
        </row>
        <row r="32">
          <cell r="E32">
            <v>0.14285714285714285</v>
          </cell>
          <cell r="J32">
            <v>0.02</v>
          </cell>
        </row>
        <row r="33">
          <cell r="E33">
            <v>0.2</v>
          </cell>
          <cell r="J33">
            <v>0.04</v>
          </cell>
        </row>
        <row r="34">
          <cell r="E34">
            <v>0.33333333333333331</v>
          </cell>
          <cell r="J34">
            <v>0.06</v>
          </cell>
        </row>
        <row r="82">
          <cell r="J82">
            <v>0.02</v>
          </cell>
        </row>
        <row r="83">
          <cell r="J83">
            <v>0.04</v>
          </cell>
        </row>
        <row r="84">
          <cell r="J84">
            <v>0.06</v>
          </cell>
        </row>
      </sheetData>
      <sheetData sheetId="6">
        <row r="25">
          <cell r="C25">
            <v>0.2</v>
          </cell>
        </row>
        <row r="26">
          <cell r="C26">
            <v>0.1</v>
          </cell>
        </row>
        <row r="31">
          <cell r="E31">
            <v>0.25</v>
          </cell>
        </row>
      </sheetData>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ERR &amp; Sensitivity Analysis"/>
      <sheetName val="Summary"/>
      <sheetName val="Assumptions"/>
      <sheetName val="Dar Ruvu"/>
      <sheetName val="Dar NRW"/>
      <sheetName val="Morogoro"/>
      <sheetName val="Annex III"/>
    </sheetNames>
    <sheetDataSet>
      <sheetData sheetId="0" refreshError="1"/>
      <sheetData sheetId="1" refreshError="1"/>
      <sheetData sheetId="2" refreshError="1"/>
      <sheetData sheetId="3" refreshError="1"/>
      <sheetData sheetId="4">
        <row r="6">
          <cell r="F6">
            <v>20</v>
          </cell>
        </row>
        <row r="9">
          <cell r="F9">
            <v>7.0000000000000007E-2</v>
          </cell>
        </row>
        <row r="14">
          <cell r="E14" t="str">
            <v>A</v>
          </cell>
        </row>
        <row r="15">
          <cell r="E15" t="str">
            <v>B</v>
          </cell>
        </row>
        <row r="16">
          <cell r="E16" t="str">
            <v>C</v>
          </cell>
        </row>
      </sheetData>
      <sheetData sheetId="5" refreshError="1"/>
      <sheetData sheetId="6" refreshError="1"/>
      <sheetData sheetId="7"/>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ummary"/>
      <sheetName val="Assumptions"/>
      <sheetName val="Dunga Tunguu-U"/>
      <sheetName val="Ndagoni"/>
      <sheetName val="Kambini"/>
      <sheetName val="Machui-U"/>
      <sheetName val="Mizingani"/>
      <sheetName val="Vitongoji"/>
      <sheetName val="Wanbaa"/>
      <sheetName val="Nungwi-U"/>
      <sheetName val="Matemwe-U"/>
      <sheetName val="Notes"/>
    </sheetNames>
    <sheetDataSet>
      <sheetData sheetId="0"/>
      <sheetData sheetId="1"/>
      <sheetData sheetId="2">
        <row r="5">
          <cell r="F5">
            <v>2007</v>
          </cell>
        </row>
        <row r="7">
          <cell r="F7">
            <v>1353</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hyperlink" Target="http://databank.worldbank.org/data/reports.aspx?source=world-development-indicator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E61"/>
  <sheetViews>
    <sheetView showGridLines="0" topLeftCell="B1" zoomScale="90" zoomScaleNormal="90" workbookViewId="0">
      <selection activeCell="C12" sqref="C12"/>
    </sheetView>
  </sheetViews>
  <sheetFormatPr defaultColWidth="9.140625" defaultRowHeight="12.75" x14ac:dyDescent="0.2"/>
  <cols>
    <col min="1" max="1" width="7.7109375" style="45" customWidth="1"/>
    <col min="2" max="2" width="48.140625" style="45" customWidth="1"/>
    <col min="3" max="3" width="114.85546875" style="45" customWidth="1"/>
    <col min="4" max="5" width="36.7109375" style="45" customWidth="1"/>
    <col min="6" max="16384" width="9.140625" style="45"/>
  </cols>
  <sheetData>
    <row r="1" spans="2:5" ht="13.15" x14ac:dyDescent="0.25">
      <c r="D1" s="46"/>
      <c r="E1" s="91" t="s">
        <v>141</v>
      </c>
    </row>
    <row r="2" spans="2:5" ht="12.75" customHeight="1" x14ac:dyDescent="0.2">
      <c r="C2" s="389" t="s">
        <v>135</v>
      </c>
      <c r="D2" s="387"/>
      <c r="E2" s="387"/>
    </row>
    <row r="3" spans="2:5" ht="12.75" customHeight="1" x14ac:dyDescent="0.2">
      <c r="C3" s="389"/>
      <c r="D3" s="387"/>
      <c r="E3" s="387"/>
    </row>
    <row r="4" spans="2:5" ht="12.75" customHeight="1" x14ac:dyDescent="0.2">
      <c r="C4" s="389"/>
      <c r="D4" s="387"/>
      <c r="E4" s="387"/>
    </row>
    <row r="5" spans="2:5" ht="12.75" customHeight="1" x14ac:dyDescent="0.2">
      <c r="C5" s="389"/>
      <c r="D5" s="387"/>
      <c r="E5" s="387"/>
    </row>
    <row r="6" spans="2:5" ht="12.75" customHeight="1" x14ac:dyDescent="0.2">
      <c r="C6" s="389"/>
      <c r="D6" s="387"/>
      <c r="E6" s="387"/>
    </row>
    <row r="7" spans="2:5" ht="25.5" customHeight="1" x14ac:dyDescent="0.25">
      <c r="C7" s="389"/>
      <c r="D7" s="388"/>
      <c r="E7" s="388"/>
    </row>
    <row r="8" spans="2:5" ht="13.9" thickBot="1" x14ac:dyDescent="0.3"/>
    <row r="9" spans="2:5" s="88" customFormat="1" ht="18" customHeight="1" thickTop="1" x14ac:dyDescent="0.25">
      <c r="B9" s="90" t="s">
        <v>104</v>
      </c>
      <c r="C9" s="378" t="s">
        <v>103</v>
      </c>
      <c r="D9" s="89"/>
    </row>
    <row r="10" spans="2:5" s="88" customFormat="1" ht="18" customHeight="1" x14ac:dyDescent="0.3">
      <c r="B10" s="85" t="s">
        <v>102</v>
      </c>
      <c r="C10" s="375">
        <v>43788</v>
      </c>
    </row>
    <row r="11" spans="2:5" s="88" customFormat="1" ht="18" customHeight="1" x14ac:dyDescent="0.3">
      <c r="B11" s="85" t="s">
        <v>101</v>
      </c>
      <c r="C11" s="376" t="s">
        <v>473</v>
      </c>
    </row>
    <row r="12" spans="2:5" ht="54" customHeight="1" x14ac:dyDescent="0.25">
      <c r="B12" s="87" t="s">
        <v>96</v>
      </c>
      <c r="C12" s="381" t="s">
        <v>749</v>
      </c>
    </row>
    <row r="13" spans="2:5" ht="47.25" customHeight="1" x14ac:dyDescent="0.2">
      <c r="B13" s="86" t="s">
        <v>100</v>
      </c>
      <c r="C13" s="379" t="s">
        <v>752</v>
      </c>
    </row>
    <row r="14" spans="2:5" ht="38.25" customHeight="1" x14ac:dyDescent="0.2">
      <c r="B14" s="85" t="s">
        <v>99</v>
      </c>
      <c r="C14" s="380" t="s">
        <v>751</v>
      </c>
    </row>
    <row r="15" spans="2:5" ht="18" customHeight="1" thickBot="1" x14ac:dyDescent="0.3">
      <c r="B15" s="84" t="s">
        <v>98</v>
      </c>
      <c r="C15" s="377" t="s">
        <v>753</v>
      </c>
    </row>
    <row r="16" spans="2:5" ht="18" customHeight="1" thickTop="1" x14ac:dyDescent="0.25">
      <c r="B16" s="82"/>
      <c r="C16" s="83"/>
      <c r="D16" s="82"/>
    </row>
    <row r="17" spans="2:5" ht="12.75" customHeight="1" x14ac:dyDescent="0.25">
      <c r="B17" s="81" t="s">
        <v>97</v>
      </c>
      <c r="C17" s="79"/>
      <c r="D17" s="79"/>
    </row>
    <row r="18" spans="2:5" ht="13.15" x14ac:dyDescent="0.25">
      <c r="B18" s="80" t="s">
        <v>96</v>
      </c>
      <c r="C18" s="80"/>
      <c r="D18" s="78"/>
      <c r="E18" s="77"/>
    </row>
    <row r="19" spans="2:5" ht="12.75" customHeight="1" x14ac:dyDescent="0.25">
      <c r="B19" s="392" t="s">
        <v>95</v>
      </c>
      <c r="C19" s="392"/>
      <c r="D19" s="392"/>
      <c r="E19" s="392"/>
    </row>
    <row r="20" spans="2:5" ht="13.15" x14ac:dyDescent="0.25">
      <c r="B20" s="79"/>
      <c r="C20" s="79"/>
      <c r="D20" s="78"/>
      <c r="E20" s="77"/>
    </row>
    <row r="21" spans="2:5" s="70" customFormat="1" ht="13.15" x14ac:dyDescent="0.25">
      <c r="B21" s="76" t="s">
        <v>94</v>
      </c>
      <c r="C21" s="76"/>
      <c r="D21" s="68"/>
      <c r="E21" s="67"/>
    </row>
    <row r="22" spans="2:5" s="70" customFormat="1" ht="12.75" customHeight="1" x14ac:dyDescent="0.25">
      <c r="B22" s="393" t="s">
        <v>93</v>
      </c>
      <c r="C22" s="393"/>
      <c r="D22" s="393"/>
      <c r="E22" s="393"/>
    </row>
    <row r="23" spans="2:5" s="70" customFormat="1" ht="13.15" x14ac:dyDescent="0.25">
      <c r="B23" s="74"/>
      <c r="C23" s="74"/>
      <c r="D23" s="68"/>
      <c r="E23" s="67"/>
    </row>
    <row r="24" spans="2:5" s="70" customFormat="1" ht="13.15" x14ac:dyDescent="0.25">
      <c r="B24" s="69" t="s">
        <v>92</v>
      </c>
      <c r="C24" s="69"/>
      <c r="D24" s="68"/>
      <c r="E24" s="67"/>
    </row>
    <row r="25" spans="2:5" s="70" customFormat="1" ht="12.75" customHeight="1" x14ac:dyDescent="0.25">
      <c r="B25" s="394" t="s">
        <v>91</v>
      </c>
      <c r="C25" s="394"/>
      <c r="D25" s="394"/>
      <c r="E25" s="394"/>
    </row>
    <row r="26" spans="2:5" s="70" customFormat="1" ht="13.15" x14ac:dyDescent="0.25"/>
    <row r="27" spans="2:5" s="70" customFormat="1" ht="13.15" x14ac:dyDescent="0.25">
      <c r="B27" s="75" t="s">
        <v>142</v>
      </c>
      <c r="C27" s="75"/>
      <c r="D27" s="68"/>
      <c r="E27" s="67"/>
    </row>
    <row r="28" spans="2:5" s="70" customFormat="1" ht="13.15" x14ac:dyDescent="0.25">
      <c r="B28" s="394" t="s">
        <v>724</v>
      </c>
      <c r="C28" s="394"/>
      <c r="D28" s="394"/>
      <c r="E28" s="394"/>
    </row>
    <row r="29" spans="2:5" s="70" customFormat="1" ht="13.15" x14ac:dyDescent="0.25">
      <c r="B29" s="74"/>
      <c r="C29" s="74"/>
      <c r="D29" s="68"/>
      <c r="E29" s="67"/>
    </row>
    <row r="30" spans="2:5" s="70" customFormat="1" ht="13.15" x14ac:dyDescent="0.25">
      <c r="B30" s="278" t="s">
        <v>718</v>
      </c>
      <c r="C30" s="69"/>
      <c r="D30" s="68"/>
      <c r="E30" s="67"/>
    </row>
    <row r="31" spans="2:5" s="70" customFormat="1" ht="13.15" x14ac:dyDescent="0.25">
      <c r="B31" s="390" t="s">
        <v>719</v>
      </c>
      <c r="C31" s="390"/>
      <c r="D31" s="390"/>
      <c r="E31" s="390"/>
    </row>
    <row r="32" spans="2:5" s="70" customFormat="1" ht="13.15" x14ac:dyDescent="0.25">
      <c r="B32" s="279"/>
      <c r="C32" s="279"/>
      <c r="D32" s="68"/>
      <c r="E32" s="67"/>
    </row>
    <row r="33" spans="2:5" s="70" customFormat="1" ht="13.15" x14ac:dyDescent="0.25">
      <c r="B33" s="278" t="s">
        <v>720</v>
      </c>
      <c r="C33" s="278"/>
      <c r="D33" s="68"/>
      <c r="E33" s="67"/>
    </row>
    <row r="34" spans="2:5" s="70" customFormat="1" ht="13.15" x14ac:dyDescent="0.25">
      <c r="B34" s="390" t="s">
        <v>721</v>
      </c>
      <c r="C34" s="390"/>
      <c r="D34" s="390"/>
      <c r="E34" s="390"/>
    </row>
    <row r="35" spans="2:5" s="70" customFormat="1" ht="13.15" x14ac:dyDescent="0.25">
      <c r="B35" s="279"/>
      <c r="C35" s="279"/>
      <c r="D35" s="68"/>
      <c r="E35" s="67"/>
    </row>
    <row r="36" spans="2:5" s="70" customFormat="1" ht="13.15" x14ac:dyDescent="0.25">
      <c r="B36" s="278" t="s">
        <v>722</v>
      </c>
      <c r="C36" s="278"/>
      <c r="D36" s="68"/>
      <c r="E36" s="67"/>
    </row>
    <row r="37" spans="2:5" s="70" customFormat="1" ht="13.15" x14ac:dyDescent="0.25">
      <c r="B37" s="390" t="s">
        <v>723</v>
      </c>
      <c r="C37" s="390"/>
      <c r="D37" s="390"/>
      <c r="E37" s="390"/>
    </row>
    <row r="38" spans="2:5" s="70" customFormat="1" ht="13.15" x14ac:dyDescent="0.25">
      <c r="B38" s="279"/>
      <c r="C38" s="279"/>
      <c r="D38" s="68"/>
      <c r="E38" s="67"/>
    </row>
    <row r="39" spans="2:5" s="70" customFormat="1" ht="13.15" x14ac:dyDescent="0.25">
      <c r="B39" s="278" t="s">
        <v>725</v>
      </c>
      <c r="C39" s="278"/>
      <c r="D39" s="68"/>
      <c r="E39" s="67"/>
    </row>
    <row r="40" spans="2:5" s="70" customFormat="1" ht="13.15" x14ac:dyDescent="0.25">
      <c r="B40" s="390" t="s">
        <v>726</v>
      </c>
      <c r="C40" s="390"/>
      <c r="D40" s="390"/>
      <c r="E40" s="390"/>
    </row>
    <row r="41" spans="2:5" s="70" customFormat="1" ht="13.15" x14ac:dyDescent="0.25">
      <c r="B41" s="277"/>
      <c r="C41" s="277"/>
      <c r="D41" s="277"/>
      <c r="E41" s="277"/>
    </row>
    <row r="42" spans="2:5" s="70" customFormat="1" ht="13.15" x14ac:dyDescent="0.25">
      <c r="B42" s="391" t="s">
        <v>460</v>
      </c>
      <c r="C42" s="391"/>
      <c r="D42" s="391"/>
      <c r="E42" s="391"/>
    </row>
    <row r="43" spans="2:5" s="70" customFormat="1" ht="12.75" customHeight="1" x14ac:dyDescent="0.25">
      <c r="B43" s="390" t="s">
        <v>727</v>
      </c>
      <c r="C43" s="390"/>
      <c r="D43" s="390"/>
      <c r="E43" s="390"/>
    </row>
    <row r="44" spans="2:5" s="70" customFormat="1" ht="13.15" x14ac:dyDescent="0.25">
      <c r="B44" s="73"/>
      <c r="C44" s="72"/>
      <c r="D44" s="72"/>
      <c r="E44" s="71"/>
    </row>
    <row r="45" spans="2:5" s="70" customFormat="1" ht="13.15" x14ac:dyDescent="0.25">
      <c r="B45" s="391" t="s">
        <v>728</v>
      </c>
      <c r="C45" s="391"/>
      <c r="D45" s="391"/>
      <c r="E45" s="391"/>
    </row>
    <row r="46" spans="2:5" s="70" customFormat="1" ht="12.75" customHeight="1" x14ac:dyDescent="0.25">
      <c r="B46" s="390" t="s">
        <v>729</v>
      </c>
      <c r="C46" s="390"/>
      <c r="D46" s="390"/>
      <c r="E46" s="390"/>
    </row>
    <row r="47" spans="2:5" s="70" customFormat="1" ht="13.15" x14ac:dyDescent="0.25">
      <c r="B47" s="73"/>
      <c r="C47" s="72"/>
      <c r="D47" s="72"/>
      <c r="E47" s="71"/>
    </row>
    <row r="48" spans="2:5" s="70" customFormat="1" ht="13.15" x14ac:dyDescent="0.25">
      <c r="B48" s="391" t="s">
        <v>730</v>
      </c>
      <c r="C48" s="391"/>
      <c r="D48" s="391"/>
      <c r="E48" s="391"/>
    </row>
    <row r="49" spans="2:5" s="70" customFormat="1" ht="12.75" customHeight="1" x14ac:dyDescent="0.25">
      <c r="B49" s="390" t="s">
        <v>731</v>
      </c>
      <c r="C49" s="390"/>
      <c r="D49" s="390"/>
      <c r="E49" s="390"/>
    </row>
    <row r="50" spans="2:5" s="70" customFormat="1" ht="13.15" x14ac:dyDescent="0.25">
      <c r="B50" s="73"/>
      <c r="C50" s="72"/>
      <c r="D50" s="72"/>
      <c r="E50" s="71"/>
    </row>
    <row r="51" spans="2:5" s="70" customFormat="1" ht="13.15" x14ac:dyDescent="0.25">
      <c r="B51" s="391" t="s">
        <v>732</v>
      </c>
      <c r="C51" s="391"/>
      <c r="D51" s="391"/>
      <c r="E51" s="391"/>
    </row>
    <row r="52" spans="2:5" s="70" customFormat="1" ht="12.75" customHeight="1" x14ac:dyDescent="0.25">
      <c r="B52" s="390" t="s">
        <v>733</v>
      </c>
      <c r="C52" s="390"/>
      <c r="D52" s="390"/>
      <c r="E52" s="390"/>
    </row>
    <row r="53" spans="2:5" s="70" customFormat="1" ht="13.15" x14ac:dyDescent="0.25">
      <c r="B53" s="73"/>
      <c r="C53" s="72"/>
      <c r="D53" s="72"/>
      <c r="E53" s="71"/>
    </row>
    <row r="54" spans="2:5" s="70" customFormat="1" ht="13.15" x14ac:dyDescent="0.25">
      <c r="B54" s="391" t="s">
        <v>734</v>
      </c>
      <c r="C54" s="391"/>
      <c r="D54" s="391"/>
      <c r="E54" s="391"/>
    </row>
    <row r="55" spans="2:5" s="70" customFormat="1" ht="12.75" customHeight="1" x14ac:dyDescent="0.25">
      <c r="B55" s="390" t="s">
        <v>735</v>
      </c>
      <c r="C55" s="390"/>
      <c r="D55" s="390"/>
      <c r="E55" s="390"/>
    </row>
    <row r="56" spans="2:5" s="70" customFormat="1" ht="13.15" x14ac:dyDescent="0.25">
      <c r="B56" s="73"/>
      <c r="C56" s="72"/>
      <c r="D56" s="72"/>
      <c r="E56" s="71"/>
    </row>
    <row r="57" spans="2:5" s="70" customFormat="1" ht="13.15" x14ac:dyDescent="0.25">
      <c r="B57" s="391" t="s">
        <v>90</v>
      </c>
      <c r="C57" s="391"/>
      <c r="D57" s="391"/>
      <c r="E57" s="391"/>
    </row>
    <row r="58" spans="2:5" s="70" customFormat="1" ht="12.75" customHeight="1" x14ac:dyDescent="0.25">
      <c r="B58" s="390" t="s">
        <v>89</v>
      </c>
      <c r="C58" s="390"/>
      <c r="D58" s="390"/>
      <c r="E58" s="390"/>
    </row>
    <row r="59" spans="2:5" s="70" customFormat="1" ht="13.15" x14ac:dyDescent="0.25">
      <c r="B59" s="73"/>
      <c r="C59" s="72"/>
      <c r="D59" s="72"/>
      <c r="E59" s="71"/>
    </row>
    <row r="60" spans="2:5" ht="13.15" x14ac:dyDescent="0.25">
      <c r="B60" s="69" t="s">
        <v>88</v>
      </c>
      <c r="C60" s="69"/>
      <c r="D60" s="68"/>
      <c r="E60" s="67"/>
    </row>
    <row r="61" spans="2:5" ht="13.15" x14ac:dyDescent="0.25">
      <c r="B61" s="390" t="s">
        <v>87</v>
      </c>
      <c r="C61" s="390"/>
      <c r="D61" s="390"/>
      <c r="E61" s="390"/>
    </row>
  </sheetData>
  <mergeCells count="22">
    <mergeCell ref="B58:E58"/>
    <mergeCell ref="B49:E49"/>
    <mergeCell ref="B54:E54"/>
    <mergeCell ref="B55:E55"/>
    <mergeCell ref="B51:E51"/>
    <mergeCell ref="B52:E52"/>
    <mergeCell ref="C2:C7"/>
    <mergeCell ref="B61:E61"/>
    <mergeCell ref="B43:E43"/>
    <mergeCell ref="B42:E42"/>
    <mergeCell ref="B19:E19"/>
    <mergeCell ref="B22:E22"/>
    <mergeCell ref="B25:E25"/>
    <mergeCell ref="B28:E28"/>
    <mergeCell ref="B31:E31"/>
    <mergeCell ref="B40:E40"/>
    <mergeCell ref="B37:E37"/>
    <mergeCell ref="B34:E34"/>
    <mergeCell ref="B45:E45"/>
    <mergeCell ref="B46:E46"/>
    <mergeCell ref="B48:E48"/>
    <mergeCell ref="B57:E57"/>
  </mergeCells>
  <hyperlinks>
    <hyperlink ref="B21" location="'ERR &amp; Sensitivity Analysis'!A1" display="ERR &amp; Sensitivity Analysis"/>
    <hyperlink ref="B27" location="'ERR Calculation'!A1" display="ERR Calculation"/>
    <hyperlink ref="B18" location="'Project Description'!A1" display="Project Description"/>
    <hyperlink ref="B30" location="Parameters!A1" display="Parameters"/>
    <hyperlink ref="B24" location="'Cost-Benefit Summary'!A1" display="Cost-Benefit Summary"/>
    <hyperlink ref="B60" location="PS!A1" display="Poverty Scorecard"/>
    <hyperlink ref="B42:E42" location="Spend!A1" display="Spend"/>
    <hyperlink ref="B39" location="'Procurement Spend'!A1" display="Procurement Spend"/>
    <hyperlink ref="B36" location="'Program Costs'!A1" display="Program Costs"/>
    <hyperlink ref="B33" location="'ERR Theory'!A1" display="ERR Theory"/>
    <hyperlink ref="B45:E45" location="'Fiscal Space'!A1" display="Fiscal Space"/>
    <hyperlink ref="B48:E48" location="VfM!A1" display="VfM"/>
    <hyperlink ref="B54:E54" location="Demographics!A1" display="Demographics"/>
    <hyperlink ref="B51:E51" location="Producers!A1" display="Producers"/>
    <hyperlink ref="B57:E57" location="'Crystal Ball Report'!A1" display="Crystal Ball Report"/>
  </hyperlinks>
  <pageMargins left="1.46" right="0.75" top="0.49" bottom="0.49" header="0.5" footer="0.5"/>
  <pageSetup scale="7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N23"/>
  <sheetViews>
    <sheetView topLeftCell="D1" workbookViewId="0">
      <selection activeCell="G10" sqref="G10"/>
    </sheetView>
  </sheetViews>
  <sheetFormatPr defaultColWidth="9.140625" defaultRowHeight="15" x14ac:dyDescent="0.25"/>
  <cols>
    <col min="1" max="1" width="2.7109375" style="287" customWidth="1"/>
    <col min="2" max="2" width="12.7109375" style="287" customWidth="1"/>
    <col min="3" max="3" width="32.7109375" style="287" customWidth="1"/>
    <col min="4" max="4" width="12.7109375" style="287" customWidth="1"/>
    <col min="5" max="5" width="1.7109375" style="287" customWidth="1"/>
    <col min="6" max="13" width="12.7109375" style="287" customWidth="1"/>
    <col min="14" max="14" width="14.7109375" style="287" customWidth="1"/>
    <col min="15" max="16384" width="9.140625" style="287"/>
  </cols>
  <sheetData>
    <row r="3" spans="2:14" x14ac:dyDescent="0.25">
      <c r="B3" s="432" t="s">
        <v>540</v>
      </c>
      <c r="C3" s="433"/>
      <c r="D3" s="291" t="s">
        <v>541</v>
      </c>
      <c r="H3" s="293"/>
      <c r="I3" s="293"/>
      <c r="J3" s="293"/>
      <c r="K3" s="293"/>
      <c r="L3" s="293"/>
      <c r="M3" s="293"/>
      <c r="N3" s="293"/>
    </row>
    <row r="4" spans="2:14" x14ac:dyDescent="0.25">
      <c r="B4" s="290" t="s">
        <v>542</v>
      </c>
      <c r="C4" s="290" t="s">
        <v>543</v>
      </c>
      <c r="D4" s="290" t="s">
        <v>544</v>
      </c>
      <c r="H4" s="293">
        <v>2013</v>
      </c>
      <c r="I4" s="293" t="s">
        <v>562</v>
      </c>
      <c r="J4" s="293">
        <v>2015</v>
      </c>
      <c r="K4" s="293">
        <v>2016</v>
      </c>
      <c r="L4" s="293">
        <v>2017</v>
      </c>
      <c r="M4" s="293">
        <v>2018</v>
      </c>
      <c r="N4" s="293" t="s">
        <v>128</v>
      </c>
    </row>
    <row r="5" spans="2:14" x14ac:dyDescent="0.25">
      <c r="B5" s="428" t="s">
        <v>545</v>
      </c>
      <c r="C5" s="288" t="s">
        <v>546</v>
      </c>
      <c r="D5" s="289">
        <v>3371921.12</v>
      </c>
      <c r="F5" s="422" t="s">
        <v>553</v>
      </c>
      <c r="G5" s="423"/>
      <c r="H5" s="295">
        <f>0.75*$D$5</f>
        <v>2528940.84</v>
      </c>
      <c r="I5" s="296">
        <f>0.75*$D$9+0.25*$D$5</f>
        <v>7094027.6750000007</v>
      </c>
      <c r="J5" s="297">
        <f>0.75*$D$13+0.25*$D$9</f>
        <v>14522405.135</v>
      </c>
      <c r="K5" s="297">
        <f>0.75*$D$17+0.25*$D$13</f>
        <v>20550910.609999999</v>
      </c>
      <c r="L5" s="297">
        <f>0.75*$D$21+0.25*$D$17</f>
        <v>14761082.055</v>
      </c>
      <c r="M5" s="295">
        <f>0.25*$D$21</f>
        <v>3097619.6050000004</v>
      </c>
      <c r="N5" s="373">
        <f>SUM(H5:M5)</f>
        <v>62554985.920000002</v>
      </c>
    </row>
    <row r="6" spans="2:14" x14ac:dyDescent="0.25">
      <c r="B6" s="429"/>
      <c r="C6" s="288" t="s">
        <v>547</v>
      </c>
      <c r="D6" s="289">
        <v>551089.71</v>
      </c>
      <c r="E6" s="294"/>
      <c r="F6" s="424" t="s">
        <v>554</v>
      </c>
      <c r="G6" s="424"/>
      <c r="H6" s="295">
        <f>0.75*$D$6</f>
        <v>413317.28249999997</v>
      </c>
      <c r="I6" s="298">
        <f>0.75*$D$10+0.25*$D$6</f>
        <v>637433.0475000001</v>
      </c>
      <c r="J6" s="298">
        <f>0.75*$D$14+0.25*$D$10</f>
        <v>532855.92500000005</v>
      </c>
      <c r="K6" s="298">
        <f>0.75*$D$18+0.25*$D$14</f>
        <v>1434193.0724999998</v>
      </c>
      <c r="L6" s="298">
        <f>0.75*$D$22+0.25*$D$18</f>
        <v>2809622.2149999999</v>
      </c>
      <c r="M6" s="298">
        <f>0.25*$D$22</f>
        <v>790752.70750000002</v>
      </c>
      <c r="N6" s="374">
        <f>SUM(H6:M6)</f>
        <v>6618174.25</v>
      </c>
    </row>
    <row r="7" spans="2:14" x14ac:dyDescent="0.25">
      <c r="B7" s="430" t="s">
        <v>548</v>
      </c>
      <c r="C7" s="431"/>
      <c r="D7" s="292">
        <v>3923010.83</v>
      </c>
      <c r="E7" s="294"/>
      <c r="F7" s="425" t="s">
        <v>128</v>
      </c>
      <c r="G7" s="426"/>
      <c r="H7" s="299">
        <f t="shared" ref="H7:N7" si="0">SUM(H5:H6)</f>
        <v>2942258.1224999996</v>
      </c>
      <c r="I7" s="300">
        <f t="shared" si="0"/>
        <v>7731460.7225000011</v>
      </c>
      <c r="J7" s="300">
        <f t="shared" si="0"/>
        <v>15055261.060000001</v>
      </c>
      <c r="K7" s="300">
        <f t="shared" si="0"/>
        <v>21985103.682499997</v>
      </c>
      <c r="L7" s="300">
        <f t="shared" si="0"/>
        <v>17570704.27</v>
      </c>
      <c r="M7" s="299">
        <f t="shared" si="0"/>
        <v>3888372.3125000005</v>
      </c>
      <c r="N7" s="382">
        <f t="shared" si="0"/>
        <v>69173160.170000002</v>
      </c>
    </row>
    <row r="8" spans="2:14" x14ac:dyDescent="0.25">
      <c r="B8" s="290" t="s">
        <v>542</v>
      </c>
      <c r="C8" s="290" t="s">
        <v>543</v>
      </c>
      <c r="D8" s="290" t="s">
        <v>544</v>
      </c>
      <c r="H8" s="427" t="s">
        <v>563</v>
      </c>
      <c r="I8" s="427"/>
      <c r="J8" s="427"/>
      <c r="K8" s="427"/>
      <c r="L8" s="427"/>
      <c r="M8" s="427"/>
    </row>
    <row r="9" spans="2:14" x14ac:dyDescent="0.25">
      <c r="B9" s="428" t="s">
        <v>545</v>
      </c>
      <c r="C9" s="288" t="s">
        <v>546</v>
      </c>
      <c r="D9" s="289">
        <v>8334729.8600000003</v>
      </c>
      <c r="H9" s="427"/>
      <c r="I9" s="427"/>
      <c r="J9" s="427"/>
      <c r="K9" s="427"/>
      <c r="L9" s="427"/>
      <c r="M9" s="427"/>
    </row>
    <row r="10" spans="2:14" x14ac:dyDescent="0.25">
      <c r="B10" s="429"/>
      <c r="C10" s="288" t="s">
        <v>547</v>
      </c>
      <c r="D10" s="289">
        <v>666214.16000000015</v>
      </c>
      <c r="H10" s="322"/>
    </row>
    <row r="11" spans="2:14" x14ac:dyDescent="0.25">
      <c r="B11" s="430" t="s">
        <v>549</v>
      </c>
      <c r="C11" s="431"/>
      <c r="D11" s="292">
        <v>9000944.0199999996</v>
      </c>
    </row>
    <row r="12" spans="2:14" x14ac:dyDescent="0.25">
      <c r="B12" s="290" t="s">
        <v>542</v>
      </c>
      <c r="C12" s="290" t="s">
        <v>543</v>
      </c>
      <c r="D12" s="290" t="s">
        <v>544</v>
      </c>
    </row>
    <row r="13" spans="2:14" x14ac:dyDescent="0.25">
      <c r="B13" s="428" t="s">
        <v>545</v>
      </c>
      <c r="C13" s="288" t="s">
        <v>546</v>
      </c>
      <c r="D13" s="289">
        <v>16584963.560000001</v>
      </c>
    </row>
    <row r="14" spans="2:14" x14ac:dyDescent="0.25">
      <c r="B14" s="429"/>
      <c r="C14" s="288" t="s">
        <v>547</v>
      </c>
      <c r="D14" s="289">
        <v>488403.17999999993</v>
      </c>
    </row>
    <row r="15" spans="2:14" x14ac:dyDescent="0.25">
      <c r="B15" s="430" t="s">
        <v>550</v>
      </c>
      <c r="C15" s="431"/>
      <c r="D15" s="292">
        <v>17073366.740000002</v>
      </c>
    </row>
    <row r="16" spans="2:14" x14ac:dyDescent="0.25">
      <c r="B16" s="290" t="s">
        <v>542</v>
      </c>
      <c r="C16" s="290" t="s">
        <v>543</v>
      </c>
      <c r="D16" s="290" t="s">
        <v>544</v>
      </c>
    </row>
    <row r="17" spans="2:4" x14ac:dyDescent="0.25">
      <c r="B17" s="428" t="s">
        <v>545</v>
      </c>
      <c r="C17" s="288" t="s">
        <v>546</v>
      </c>
      <c r="D17" s="289">
        <v>21872892.959999997</v>
      </c>
    </row>
    <row r="18" spans="2:4" x14ac:dyDescent="0.25">
      <c r="B18" s="429"/>
      <c r="C18" s="288" t="s">
        <v>547</v>
      </c>
      <c r="D18" s="289">
        <v>1749456.3699999999</v>
      </c>
    </row>
    <row r="19" spans="2:4" x14ac:dyDescent="0.25">
      <c r="B19" s="430" t="s">
        <v>551</v>
      </c>
      <c r="C19" s="431"/>
      <c r="D19" s="292">
        <v>23622349.329999998</v>
      </c>
    </row>
    <row r="20" spans="2:4" x14ac:dyDescent="0.25">
      <c r="B20" s="290" t="s">
        <v>542</v>
      </c>
      <c r="C20" s="290" t="s">
        <v>543</v>
      </c>
      <c r="D20" s="290" t="s">
        <v>544</v>
      </c>
    </row>
    <row r="21" spans="2:4" x14ac:dyDescent="0.25">
      <c r="B21" s="428" t="s">
        <v>545</v>
      </c>
      <c r="C21" s="288" t="s">
        <v>546</v>
      </c>
      <c r="D21" s="289">
        <v>12390478.420000002</v>
      </c>
    </row>
    <row r="22" spans="2:4" x14ac:dyDescent="0.25">
      <c r="B22" s="429"/>
      <c r="C22" s="288" t="s">
        <v>547</v>
      </c>
      <c r="D22" s="289">
        <v>3163010.83</v>
      </c>
    </row>
    <row r="23" spans="2:4" x14ac:dyDescent="0.25">
      <c r="B23" s="430" t="s">
        <v>552</v>
      </c>
      <c r="C23" s="431"/>
      <c r="D23" s="292">
        <v>15553489.250000002</v>
      </c>
    </row>
  </sheetData>
  <mergeCells count="15">
    <mergeCell ref="B3:C3"/>
    <mergeCell ref="B5:B6"/>
    <mergeCell ref="B7:C7"/>
    <mergeCell ref="B19:C19"/>
    <mergeCell ref="B21:B22"/>
    <mergeCell ref="B23:C23"/>
    <mergeCell ref="B9:B10"/>
    <mergeCell ref="B11:C11"/>
    <mergeCell ref="B13:B14"/>
    <mergeCell ref="B15:C15"/>
    <mergeCell ref="F5:G5"/>
    <mergeCell ref="F6:G6"/>
    <mergeCell ref="F7:G7"/>
    <mergeCell ref="H8:M9"/>
    <mergeCell ref="B17:B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GJ71"/>
  <sheetViews>
    <sheetView workbookViewId="0">
      <pane xSplit="6" ySplit="7" topLeftCell="GB8" activePane="bottomRight" state="frozen"/>
      <selection pane="topRight" activeCell="D1" sqref="D1"/>
      <selection pane="bottomLeft" activeCell="A8" sqref="A8"/>
      <selection pane="bottomRight" activeCell="GE22" sqref="GE22"/>
    </sheetView>
  </sheetViews>
  <sheetFormatPr defaultRowHeight="15" x14ac:dyDescent="0.25"/>
  <cols>
    <col min="1" max="1" width="2.7109375" customWidth="1"/>
    <col min="2" max="2" width="18.28515625" customWidth="1"/>
    <col min="3" max="5" width="2.7109375" customWidth="1"/>
    <col min="6" max="6" width="16.42578125" customWidth="1"/>
    <col min="7" max="182" width="16.7109375" customWidth="1"/>
    <col min="184" max="184" width="13" customWidth="1"/>
  </cols>
  <sheetData>
    <row r="2" spans="2:192" x14ac:dyDescent="0.25">
      <c r="B2" s="349" t="s">
        <v>436</v>
      </c>
      <c r="C2" s="349"/>
      <c r="D2" s="349"/>
      <c r="E2" s="349"/>
      <c r="F2" s="349"/>
    </row>
    <row r="3" spans="2:192" x14ac:dyDescent="0.25">
      <c r="B3" s="214"/>
      <c r="C3" s="275"/>
      <c r="D3" s="349"/>
      <c r="E3" s="349"/>
      <c r="F3" s="219" t="s">
        <v>140</v>
      </c>
      <c r="G3" s="220">
        <v>2015</v>
      </c>
      <c r="H3" s="220">
        <v>2015</v>
      </c>
      <c r="I3" s="220">
        <v>2015</v>
      </c>
      <c r="J3" s="220">
        <v>2015</v>
      </c>
      <c r="K3" s="220">
        <v>2015</v>
      </c>
      <c r="L3" s="220">
        <v>2015</v>
      </c>
      <c r="M3" s="220">
        <v>2015</v>
      </c>
      <c r="N3" s="220">
        <v>2015</v>
      </c>
      <c r="O3" s="220">
        <v>2015</v>
      </c>
      <c r="P3" s="220">
        <v>2015</v>
      </c>
      <c r="Q3" s="220">
        <v>2015</v>
      </c>
      <c r="R3" s="220">
        <v>2015</v>
      </c>
      <c r="S3" s="220">
        <v>2015</v>
      </c>
      <c r="T3" s="220">
        <v>2015</v>
      </c>
      <c r="U3" s="220">
        <v>2015</v>
      </c>
      <c r="V3" s="220">
        <v>2015</v>
      </c>
      <c r="W3" s="220">
        <v>2015</v>
      </c>
      <c r="X3" s="220">
        <v>2015</v>
      </c>
      <c r="Y3" s="220">
        <v>2015</v>
      </c>
      <c r="Z3" s="220">
        <v>2015</v>
      </c>
      <c r="AA3" s="220">
        <v>2015</v>
      </c>
      <c r="AB3" s="220">
        <v>2015</v>
      </c>
      <c r="AC3" s="220">
        <v>2015</v>
      </c>
      <c r="AD3" s="220">
        <v>2015</v>
      </c>
      <c r="AE3" s="220">
        <v>2015</v>
      </c>
      <c r="AF3" s="220">
        <v>2015</v>
      </c>
      <c r="AG3" s="220">
        <v>2015</v>
      </c>
      <c r="AH3" s="220">
        <v>2015</v>
      </c>
      <c r="AI3" s="220">
        <v>2015</v>
      </c>
      <c r="AJ3" s="220">
        <v>2015</v>
      </c>
      <c r="AK3" s="220">
        <v>2015</v>
      </c>
      <c r="AL3" s="220">
        <v>2015</v>
      </c>
      <c r="AM3" s="220">
        <v>2015</v>
      </c>
      <c r="AN3" s="220">
        <v>2015</v>
      </c>
      <c r="AO3" s="220">
        <v>2015</v>
      </c>
      <c r="AP3" s="220">
        <v>2015</v>
      </c>
      <c r="AQ3" s="220">
        <v>2015</v>
      </c>
      <c r="AR3" s="220">
        <v>2015</v>
      </c>
      <c r="AS3" s="220">
        <v>2015</v>
      </c>
      <c r="AT3" s="220">
        <v>2015</v>
      </c>
      <c r="AU3" s="220">
        <v>2015</v>
      </c>
      <c r="AV3" s="220">
        <v>2015</v>
      </c>
      <c r="AW3" s="220">
        <v>2015</v>
      </c>
      <c r="AX3" s="220">
        <v>2015</v>
      </c>
      <c r="AY3" s="220">
        <v>2016</v>
      </c>
      <c r="AZ3" s="220">
        <v>2016</v>
      </c>
      <c r="BA3" s="220">
        <v>2016</v>
      </c>
      <c r="BB3" s="220">
        <v>2016</v>
      </c>
      <c r="BC3" s="220">
        <v>2016</v>
      </c>
      <c r="BD3" s="220">
        <v>2016</v>
      </c>
      <c r="BE3" s="220">
        <v>2016</v>
      </c>
      <c r="BF3" s="220">
        <v>2016</v>
      </c>
      <c r="BG3" s="220">
        <v>2016</v>
      </c>
      <c r="BH3" s="220">
        <v>2016</v>
      </c>
      <c r="BI3" s="220">
        <v>2016</v>
      </c>
      <c r="BJ3" s="220">
        <v>2016</v>
      </c>
      <c r="BK3" s="220">
        <v>2016</v>
      </c>
      <c r="BL3" s="220">
        <v>2016</v>
      </c>
      <c r="BM3" s="220">
        <v>2016</v>
      </c>
      <c r="BN3" s="220">
        <v>2016</v>
      </c>
      <c r="BO3" s="220">
        <v>2016</v>
      </c>
      <c r="BP3" s="220">
        <v>2016</v>
      </c>
      <c r="BQ3" s="220">
        <v>2016</v>
      </c>
      <c r="BR3" s="220">
        <v>2016</v>
      </c>
      <c r="BS3" s="220">
        <v>2016</v>
      </c>
      <c r="BT3" s="220">
        <v>2016</v>
      </c>
      <c r="BU3" s="220">
        <v>2016</v>
      </c>
      <c r="BV3" s="220">
        <v>2016</v>
      </c>
      <c r="BW3" s="220">
        <v>2016</v>
      </c>
      <c r="BX3" s="220">
        <v>2016</v>
      </c>
      <c r="BY3" s="220">
        <v>2016</v>
      </c>
      <c r="BZ3" s="220">
        <v>2016</v>
      </c>
      <c r="CA3" s="220">
        <v>2016</v>
      </c>
      <c r="CB3" s="220">
        <v>2016</v>
      </c>
      <c r="CC3" s="220">
        <v>2016</v>
      </c>
      <c r="CD3" s="220">
        <v>2016</v>
      </c>
      <c r="CE3" s="220">
        <v>2016</v>
      </c>
      <c r="CF3" s="220">
        <v>2016</v>
      </c>
      <c r="CG3" s="220">
        <v>2016</v>
      </c>
      <c r="CH3" s="220">
        <v>2016</v>
      </c>
      <c r="CI3" s="220">
        <v>2016</v>
      </c>
      <c r="CJ3" s="220">
        <v>2016</v>
      </c>
      <c r="CK3" s="220">
        <v>2016</v>
      </c>
      <c r="CL3" s="220">
        <v>2016</v>
      </c>
      <c r="CM3" s="220">
        <v>2016</v>
      </c>
      <c r="CN3" s="220">
        <v>2016</v>
      </c>
      <c r="CO3" s="220">
        <v>2016</v>
      </c>
      <c r="CP3" s="220">
        <v>2016</v>
      </c>
      <c r="CQ3" s="220">
        <v>2017</v>
      </c>
      <c r="CR3" s="220">
        <v>2017</v>
      </c>
      <c r="CS3" s="220">
        <v>2017</v>
      </c>
      <c r="CT3" s="220">
        <v>2017</v>
      </c>
      <c r="CU3" s="220">
        <v>2017</v>
      </c>
      <c r="CV3" s="220">
        <v>2017</v>
      </c>
      <c r="CW3" s="220">
        <v>2017</v>
      </c>
      <c r="CX3" s="220">
        <v>2017</v>
      </c>
      <c r="CY3" s="220">
        <v>2017</v>
      </c>
      <c r="CZ3" s="220">
        <v>2017</v>
      </c>
      <c r="DA3" s="220">
        <v>2017</v>
      </c>
      <c r="DB3" s="220">
        <v>2017</v>
      </c>
      <c r="DC3" s="220">
        <v>2017</v>
      </c>
      <c r="DD3" s="220">
        <v>2017</v>
      </c>
      <c r="DE3" s="220">
        <v>2017</v>
      </c>
      <c r="DF3" s="220">
        <v>2017</v>
      </c>
      <c r="DG3" s="220">
        <v>2017</v>
      </c>
      <c r="DH3" s="220">
        <v>2017</v>
      </c>
      <c r="DI3" s="220">
        <v>2017</v>
      </c>
      <c r="DJ3" s="220">
        <v>2017</v>
      </c>
      <c r="DK3" s="220">
        <v>2017</v>
      </c>
      <c r="DL3" s="220">
        <v>2017</v>
      </c>
      <c r="DM3" s="220">
        <v>2017</v>
      </c>
      <c r="DN3" s="220">
        <v>2017</v>
      </c>
      <c r="DO3" s="220">
        <v>2017</v>
      </c>
      <c r="DP3" s="220">
        <v>2017</v>
      </c>
      <c r="DQ3" s="220">
        <v>2017</v>
      </c>
      <c r="DR3" s="220">
        <v>2017</v>
      </c>
      <c r="DS3" s="220">
        <v>2017</v>
      </c>
      <c r="DT3" s="220">
        <v>2017</v>
      </c>
      <c r="DU3" s="220">
        <v>2017</v>
      </c>
      <c r="DV3" s="220">
        <v>2017</v>
      </c>
      <c r="DW3" s="220">
        <v>2017</v>
      </c>
      <c r="DX3" s="220">
        <v>2017</v>
      </c>
      <c r="DY3" s="220">
        <v>2017</v>
      </c>
      <c r="DZ3" s="220">
        <v>2017</v>
      </c>
      <c r="EA3" s="220">
        <v>2017</v>
      </c>
      <c r="EB3" s="220">
        <v>2017</v>
      </c>
      <c r="EC3" s="220">
        <v>2017</v>
      </c>
      <c r="ED3" s="220">
        <v>2017</v>
      </c>
      <c r="EE3" s="220">
        <v>2017</v>
      </c>
      <c r="EF3" s="220">
        <v>2017</v>
      </c>
      <c r="EG3" s="220">
        <v>2017</v>
      </c>
      <c r="EH3" s="220">
        <v>2017</v>
      </c>
      <c r="EI3" s="220">
        <v>2018</v>
      </c>
      <c r="EJ3" s="220">
        <v>2018</v>
      </c>
      <c r="EK3" s="220">
        <v>2018</v>
      </c>
      <c r="EL3" s="220">
        <v>2018</v>
      </c>
      <c r="EM3" s="220">
        <v>2018</v>
      </c>
      <c r="EN3" s="220">
        <v>2018</v>
      </c>
      <c r="EO3" s="220">
        <v>2018</v>
      </c>
      <c r="EP3" s="220">
        <v>2018</v>
      </c>
      <c r="EQ3" s="220">
        <v>2018</v>
      </c>
      <c r="ER3" s="220">
        <v>2018</v>
      </c>
      <c r="ES3" s="220">
        <v>2018</v>
      </c>
      <c r="ET3" s="220">
        <v>2018</v>
      </c>
      <c r="EU3" s="220">
        <v>2018</v>
      </c>
      <c r="EV3" s="220">
        <v>2018</v>
      </c>
      <c r="EW3" s="220">
        <v>2018</v>
      </c>
      <c r="EX3" s="220">
        <v>2018</v>
      </c>
      <c r="EY3" s="220">
        <v>2018</v>
      </c>
      <c r="EZ3" s="220">
        <v>2018</v>
      </c>
      <c r="FA3" s="220">
        <v>2018</v>
      </c>
      <c r="FB3" s="220">
        <v>2018</v>
      </c>
      <c r="FC3" s="220">
        <v>2018</v>
      </c>
      <c r="FD3" s="220">
        <v>2018</v>
      </c>
      <c r="FE3" s="220">
        <v>2018</v>
      </c>
      <c r="FF3" s="220">
        <v>2018</v>
      </c>
      <c r="FG3" s="220">
        <v>2018</v>
      </c>
      <c r="FH3" s="220">
        <v>2018</v>
      </c>
      <c r="FI3" s="220">
        <v>2018</v>
      </c>
      <c r="FJ3" s="220">
        <v>2018</v>
      </c>
      <c r="FK3" s="220">
        <v>2018</v>
      </c>
      <c r="FL3" s="220">
        <v>2018</v>
      </c>
      <c r="FM3" s="220">
        <v>2018</v>
      </c>
      <c r="FN3" s="220">
        <v>2018</v>
      </c>
      <c r="FO3" s="220">
        <v>2018</v>
      </c>
      <c r="FP3" s="220">
        <v>2018</v>
      </c>
      <c r="FQ3" s="220">
        <v>2018</v>
      </c>
      <c r="FR3" s="220">
        <v>2018</v>
      </c>
      <c r="FS3" s="220">
        <v>2018</v>
      </c>
      <c r="FT3" s="220">
        <v>2018</v>
      </c>
      <c r="FU3" s="220">
        <v>2018</v>
      </c>
      <c r="FV3" s="220">
        <v>2018</v>
      </c>
      <c r="FW3" s="220">
        <v>2018</v>
      </c>
      <c r="FX3" s="220">
        <v>2018</v>
      </c>
      <c r="FY3" s="220">
        <v>2018</v>
      </c>
      <c r="FZ3" s="220">
        <v>2018</v>
      </c>
    </row>
    <row r="4" spans="2:192" ht="30" x14ac:dyDescent="0.25">
      <c r="B4" s="214"/>
      <c r="C4" s="275"/>
      <c r="D4" s="349"/>
      <c r="E4" s="349"/>
      <c r="F4" s="219" t="s">
        <v>145</v>
      </c>
      <c r="G4" s="185" t="s">
        <v>471</v>
      </c>
      <c r="H4" s="185" t="s">
        <v>471</v>
      </c>
      <c r="I4" s="185" t="s">
        <v>471</v>
      </c>
      <c r="J4" s="185" t="s">
        <v>471</v>
      </c>
      <c r="K4" s="185" t="s">
        <v>471</v>
      </c>
      <c r="L4" s="185" t="s">
        <v>471</v>
      </c>
      <c r="M4" s="185" t="s">
        <v>471</v>
      </c>
      <c r="N4" s="185" t="s">
        <v>471</v>
      </c>
      <c r="O4" s="185" t="s">
        <v>471</v>
      </c>
      <c r="P4" s="185" t="s">
        <v>471</v>
      </c>
      <c r="Q4" s="185" t="s">
        <v>471</v>
      </c>
      <c r="R4" s="185" t="s">
        <v>471</v>
      </c>
      <c r="S4" s="185" t="s">
        <v>445</v>
      </c>
      <c r="T4" s="185" t="s">
        <v>445</v>
      </c>
      <c r="U4" s="185" t="s">
        <v>445</v>
      </c>
      <c r="V4" s="185" t="s">
        <v>445</v>
      </c>
      <c r="W4" s="185" t="s">
        <v>445</v>
      </c>
      <c r="X4" s="185" t="s">
        <v>445</v>
      </c>
      <c r="Y4" s="185" t="s">
        <v>445</v>
      </c>
      <c r="Z4" s="185" t="s">
        <v>445</v>
      </c>
      <c r="AA4" s="185" t="s">
        <v>445</v>
      </c>
      <c r="AB4" s="185" t="s">
        <v>445</v>
      </c>
      <c r="AC4" s="185" t="s">
        <v>445</v>
      </c>
      <c r="AD4" s="185" t="s">
        <v>445</v>
      </c>
      <c r="AE4" s="185" t="s">
        <v>445</v>
      </c>
      <c r="AF4" s="185" t="s">
        <v>445</v>
      </c>
      <c r="AG4" s="185" t="s">
        <v>445</v>
      </c>
      <c r="AH4" s="185" t="s">
        <v>445</v>
      </c>
      <c r="AI4" s="185" t="s">
        <v>445</v>
      </c>
      <c r="AJ4" s="185" t="s">
        <v>445</v>
      </c>
      <c r="AK4" s="185" t="s">
        <v>445</v>
      </c>
      <c r="AL4" s="185" t="s">
        <v>445</v>
      </c>
      <c r="AM4" s="185" t="s">
        <v>445</v>
      </c>
      <c r="AN4" s="185" t="s">
        <v>445</v>
      </c>
      <c r="AO4" s="185" t="s">
        <v>445</v>
      </c>
      <c r="AP4" s="185" t="s">
        <v>445</v>
      </c>
      <c r="AQ4" s="185" t="s">
        <v>445</v>
      </c>
      <c r="AR4" s="185" t="s">
        <v>445</v>
      </c>
      <c r="AS4" s="185" t="s">
        <v>445</v>
      </c>
      <c r="AT4" s="185" t="s">
        <v>445</v>
      </c>
      <c r="AU4" s="185" t="s">
        <v>460</v>
      </c>
      <c r="AV4" s="185" t="s">
        <v>469</v>
      </c>
      <c r="AW4" s="185" t="s">
        <v>469</v>
      </c>
      <c r="AX4" s="185" t="s">
        <v>469</v>
      </c>
      <c r="AY4" s="185" t="s">
        <v>471</v>
      </c>
      <c r="AZ4" s="185" t="s">
        <v>471</v>
      </c>
      <c r="BA4" s="185" t="s">
        <v>471</v>
      </c>
      <c r="BB4" s="185" t="s">
        <v>471</v>
      </c>
      <c r="BC4" s="185" t="s">
        <v>471</v>
      </c>
      <c r="BD4" s="185" t="s">
        <v>471</v>
      </c>
      <c r="BE4" s="185" t="s">
        <v>471</v>
      </c>
      <c r="BF4" s="185" t="s">
        <v>471</v>
      </c>
      <c r="BG4" s="185" t="s">
        <v>471</v>
      </c>
      <c r="BH4" s="185" t="s">
        <v>471</v>
      </c>
      <c r="BI4" s="185" t="s">
        <v>471</v>
      </c>
      <c r="BJ4" s="185" t="s">
        <v>471</v>
      </c>
      <c r="BK4" s="185" t="s">
        <v>445</v>
      </c>
      <c r="BL4" s="185" t="s">
        <v>445</v>
      </c>
      <c r="BM4" s="185" t="s">
        <v>445</v>
      </c>
      <c r="BN4" s="185" t="s">
        <v>445</v>
      </c>
      <c r="BO4" s="185" t="s">
        <v>445</v>
      </c>
      <c r="BP4" s="185" t="s">
        <v>445</v>
      </c>
      <c r="BQ4" s="185" t="s">
        <v>445</v>
      </c>
      <c r="BR4" s="185" t="s">
        <v>445</v>
      </c>
      <c r="BS4" s="185" t="s">
        <v>445</v>
      </c>
      <c r="BT4" s="185" t="s">
        <v>445</v>
      </c>
      <c r="BU4" s="185" t="s">
        <v>445</v>
      </c>
      <c r="BV4" s="185" t="s">
        <v>445</v>
      </c>
      <c r="BW4" s="185" t="s">
        <v>445</v>
      </c>
      <c r="BX4" s="185" t="s">
        <v>445</v>
      </c>
      <c r="BY4" s="185" t="s">
        <v>445</v>
      </c>
      <c r="BZ4" s="185" t="s">
        <v>445</v>
      </c>
      <c r="CA4" s="185" t="s">
        <v>445</v>
      </c>
      <c r="CB4" s="185" t="s">
        <v>445</v>
      </c>
      <c r="CC4" s="185" t="s">
        <v>445</v>
      </c>
      <c r="CD4" s="185" t="s">
        <v>445</v>
      </c>
      <c r="CE4" s="185" t="s">
        <v>445</v>
      </c>
      <c r="CF4" s="185" t="s">
        <v>445</v>
      </c>
      <c r="CG4" s="185" t="s">
        <v>445</v>
      </c>
      <c r="CH4" s="185" t="s">
        <v>445</v>
      </c>
      <c r="CI4" s="185" t="s">
        <v>445</v>
      </c>
      <c r="CJ4" s="185" t="s">
        <v>445</v>
      </c>
      <c r="CK4" s="185" t="s">
        <v>445</v>
      </c>
      <c r="CL4" s="185" t="s">
        <v>445</v>
      </c>
      <c r="CM4" s="185" t="s">
        <v>460</v>
      </c>
      <c r="CN4" s="185" t="s">
        <v>469</v>
      </c>
      <c r="CO4" s="185" t="s">
        <v>469</v>
      </c>
      <c r="CP4" s="185" t="s">
        <v>469</v>
      </c>
      <c r="CQ4" s="185" t="s">
        <v>471</v>
      </c>
      <c r="CR4" s="185" t="s">
        <v>471</v>
      </c>
      <c r="CS4" s="185" t="s">
        <v>471</v>
      </c>
      <c r="CT4" s="185" t="s">
        <v>471</v>
      </c>
      <c r="CU4" s="185" t="s">
        <v>471</v>
      </c>
      <c r="CV4" s="185" t="s">
        <v>471</v>
      </c>
      <c r="CW4" s="185" t="s">
        <v>471</v>
      </c>
      <c r="CX4" s="185" t="s">
        <v>471</v>
      </c>
      <c r="CY4" s="185" t="s">
        <v>471</v>
      </c>
      <c r="CZ4" s="185" t="s">
        <v>471</v>
      </c>
      <c r="DA4" s="185" t="s">
        <v>471</v>
      </c>
      <c r="DB4" s="185" t="s">
        <v>471</v>
      </c>
      <c r="DC4" s="185" t="s">
        <v>445</v>
      </c>
      <c r="DD4" s="185" t="s">
        <v>445</v>
      </c>
      <c r="DE4" s="185" t="s">
        <v>445</v>
      </c>
      <c r="DF4" s="185" t="s">
        <v>445</v>
      </c>
      <c r="DG4" s="185" t="s">
        <v>445</v>
      </c>
      <c r="DH4" s="185" t="s">
        <v>445</v>
      </c>
      <c r="DI4" s="185" t="s">
        <v>445</v>
      </c>
      <c r="DJ4" s="185" t="s">
        <v>445</v>
      </c>
      <c r="DK4" s="185" t="s">
        <v>445</v>
      </c>
      <c r="DL4" s="185" t="s">
        <v>445</v>
      </c>
      <c r="DM4" s="185" t="s">
        <v>445</v>
      </c>
      <c r="DN4" s="185" t="s">
        <v>445</v>
      </c>
      <c r="DO4" s="185" t="s">
        <v>445</v>
      </c>
      <c r="DP4" s="185" t="s">
        <v>445</v>
      </c>
      <c r="DQ4" s="185" t="s">
        <v>445</v>
      </c>
      <c r="DR4" s="185" t="s">
        <v>445</v>
      </c>
      <c r="DS4" s="185" t="s">
        <v>445</v>
      </c>
      <c r="DT4" s="185" t="s">
        <v>445</v>
      </c>
      <c r="DU4" s="185" t="s">
        <v>445</v>
      </c>
      <c r="DV4" s="185" t="s">
        <v>445</v>
      </c>
      <c r="DW4" s="185" t="s">
        <v>445</v>
      </c>
      <c r="DX4" s="185" t="s">
        <v>445</v>
      </c>
      <c r="DY4" s="185" t="s">
        <v>445</v>
      </c>
      <c r="DZ4" s="185" t="s">
        <v>445</v>
      </c>
      <c r="EA4" s="185" t="s">
        <v>445</v>
      </c>
      <c r="EB4" s="185" t="s">
        <v>445</v>
      </c>
      <c r="EC4" s="185" t="s">
        <v>445</v>
      </c>
      <c r="ED4" s="185" t="s">
        <v>445</v>
      </c>
      <c r="EE4" s="185" t="s">
        <v>460</v>
      </c>
      <c r="EF4" s="185" t="s">
        <v>469</v>
      </c>
      <c r="EG4" s="185" t="s">
        <v>469</v>
      </c>
      <c r="EH4" s="185" t="s">
        <v>469</v>
      </c>
      <c r="EI4" s="185" t="s">
        <v>471</v>
      </c>
      <c r="EJ4" s="185" t="s">
        <v>471</v>
      </c>
      <c r="EK4" s="185" t="s">
        <v>471</v>
      </c>
      <c r="EL4" s="185" t="s">
        <v>471</v>
      </c>
      <c r="EM4" s="185" t="s">
        <v>471</v>
      </c>
      <c r="EN4" s="185" t="s">
        <v>471</v>
      </c>
      <c r="EO4" s="185" t="s">
        <v>460</v>
      </c>
      <c r="EP4" s="185" t="s">
        <v>460</v>
      </c>
      <c r="EQ4" s="185" t="s">
        <v>460</v>
      </c>
      <c r="ER4" s="185" t="s">
        <v>460</v>
      </c>
      <c r="ES4" s="185" t="s">
        <v>460</v>
      </c>
      <c r="ET4" s="185" t="s">
        <v>460</v>
      </c>
      <c r="EU4" s="185" t="s">
        <v>445</v>
      </c>
      <c r="EV4" s="185" t="s">
        <v>445</v>
      </c>
      <c r="EW4" s="185" t="s">
        <v>445</v>
      </c>
      <c r="EX4" s="185" t="s">
        <v>445</v>
      </c>
      <c r="EY4" s="185" t="s">
        <v>445</v>
      </c>
      <c r="EZ4" s="185" t="s">
        <v>445</v>
      </c>
      <c r="FA4" s="185" t="s">
        <v>445</v>
      </c>
      <c r="FB4" s="185" t="s">
        <v>445</v>
      </c>
      <c r="FC4" s="185" t="s">
        <v>445</v>
      </c>
      <c r="FD4" s="185" t="s">
        <v>445</v>
      </c>
      <c r="FE4" s="185" t="s">
        <v>445</v>
      </c>
      <c r="FF4" s="185" t="s">
        <v>445</v>
      </c>
      <c r="FG4" s="185" t="s">
        <v>445</v>
      </c>
      <c r="FH4" s="185" t="s">
        <v>445</v>
      </c>
      <c r="FI4" s="185" t="s">
        <v>445</v>
      </c>
      <c r="FJ4" s="185" t="s">
        <v>445</v>
      </c>
      <c r="FK4" s="185" t="s">
        <v>445</v>
      </c>
      <c r="FL4" s="185" t="s">
        <v>445</v>
      </c>
      <c r="FM4" s="185" t="s">
        <v>445</v>
      </c>
      <c r="FN4" s="185" t="s">
        <v>445</v>
      </c>
      <c r="FO4" s="185" t="s">
        <v>445</v>
      </c>
      <c r="FP4" s="185" t="s">
        <v>445</v>
      </c>
      <c r="FQ4" s="185" t="s">
        <v>445</v>
      </c>
      <c r="FR4" s="185" t="s">
        <v>445</v>
      </c>
      <c r="FS4" s="185" t="s">
        <v>445</v>
      </c>
      <c r="FT4" s="185" t="s">
        <v>445</v>
      </c>
      <c r="FU4" s="185" t="s">
        <v>445</v>
      </c>
      <c r="FV4" s="185" t="s">
        <v>445</v>
      </c>
      <c r="FW4" s="185" t="s">
        <v>460</v>
      </c>
      <c r="FX4" s="185" t="s">
        <v>469</v>
      </c>
      <c r="FY4" s="185" t="s">
        <v>469</v>
      </c>
      <c r="FZ4" s="185" t="s">
        <v>469</v>
      </c>
    </row>
    <row r="5" spans="2:192" ht="30" x14ac:dyDescent="0.25">
      <c r="B5" s="214"/>
      <c r="C5" s="275"/>
      <c r="D5" s="349"/>
      <c r="E5" s="349"/>
      <c r="F5" s="219" t="s">
        <v>459</v>
      </c>
      <c r="G5" s="185" t="s">
        <v>438</v>
      </c>
      <c r="H5" s="185" t="s">
        <v>438</v>
      </c>
      <c r="I5" s="185" t="s">
        <v>438</v>
      </c>
      <c r="J5" s="185" t="s">
        <v>438</v>
      </c>
      <c r="K5" s="185" t="s">
        <v>438</v>
      </c>
      <c r="L5" s="185" t="s">
        <v>438</v>
      </c>
      <c r="M5" s="185" t="s">
        <v>439</v>
      </c>
      <c r="N5" s="185" t="s">
        <v>439</v>
      </c>
      <c r="O5" s="185" t="s">
        <v>439</v>
      </c>
      <c r="P5" s="185" t="s">
        <v>439</v>
      </c>
      <c r="Q5" s="185" t="s">
        <v>439</v>
      </c>
      <c r="R5" s="185" t="s">
        <v>439</v>
      </c>
      <c r="S5" s="185" t="s">
        <v>461</v>
      </c>
      <c r="T5" s="185" t="s">
        <v>461</v>
      </c>
      <c r="U5" s="185" t="s">
        <v>461</v>
      </c>
      <c r="V5" s="185" t="s">
        <v>461</v>
      </c>
      <c r="W5" s="185" t="s">
        <v>461</v>
      </c>
      <c r="X5" s="185" t="s">
        <v>461</v>
      </c>
      <c r="Y5" s="185" t="s">
        <v>461</v>
      </c>
      <c r="Z5" s="185" t="s">
        <v>461</v>
      </c>
      <c r="AA5" s="185" t="s">
        <v>461</v>
      </c>
      <c r="AB5" s="185" t="s">
        <v>461</v>
      </c>
      <c r="AC5" s="185" t="s">
        <v>461</v>
      </c>
      <c r="AD5" s="185" t="s">
        <v>461</v>
      </c>
      <c r="AE5" s="185" t="s">
        <v>462</v>
      </c>
      <c r="AF5" s="185" t="s">
        <v>462</v>
      </c>
      <c r="AG5" s="185" t="s">
        <v>462</v>
      </c>
      <c r="AH5" s="185" t="s">
        <v>462</v>
      </c>
      <c r="AI5" s="185" t="s">
        <v>462</v>
      </c>
      <c r="AJ5" s="185" t="s">
        <v>462</v>
      </c>
      <c r="AK5" s="185" t="s">
        <v>462</v>
      </c>
      <c r="AL5" s="185" t="s">
        <v>462</v>
      </c>
      <c r="AM5" s="185" t="s">
        <v>462</v>
      </c>
      <c r="AN5" s="185" t="s">
        <v>462</v>
      </c>
      <c r="AO5" s="185" t="s">
        <v>462</v>
      </c>
      <c r="AP5" s="185" t="s">
        <v>462</v>
      </c>
      <c r="AQ5" s="185" t="s">
        <v>463</v>
      </c>
      <c r="AR5" s="185" t="s">
        <v>464</v>
      </c>
      <c r="AS5" s="185" t="s">
        <v>465</v>
      </c>
      <c r="AT5" s="185" t="s">
        <v>466</v>
      </c>
      <c r="AU5" s="185" t="s">
        <v>467</v>
      </c>
      <c r="AV5" s="185" t="s">
        <v>440</v>
      </c>
      <c r="AW5" s="185" t="s">
        <v>441</v>
      </c>
      <c r="AX5" s="185" t="s">
        <v>470</v>
      </c>
      <c r="AY5" s="185" t="s">
        <v>438</v>
      </c>
      <c r="AZ5" s="185" t="s">
        <v>438</v>
      </c>
      <c r="BA5" s="185" t="s">
        <v>438</v>
      </c>
      <c r="BB5" s="185" t="s">
        <v>438</v>
      </c>
      <c r="BC5" s="185" t="s">
        <v>438</v>
      </c>
      <c r="BD5" s="185" t="s">
        <v>438</v>
      </c>
      <c r="BE5" s="185" t="s">
        <v>439</v>
      </c>
      <c r="BF5" s="185" t="s">
        <v>439</v>
      </c>
      <c r="BG5" s="185" t="s">
        <v>439</v>
      </c>
      <c r="BH5" s="185" t="s">
        <v>439</v>
      </c>
      <c r="BI5" s="185" t="s">
        <v>439</v>
      </c>
      <c r="BJ5" s="185" t="s">
        <v>439</v>
      </c>
      <c r="BK5" s="185" t="s">
        <v>461</v>
      </c>
      <c r="BL5" s="185" t="s">
        <v>461</v>
      </c>
      <c r="BM5" s="185" t="s">
        <v>461</v>
      </c>
      <c r="BN5" s="185" t="s">
        <v>461</v>
      </c>
      <c r="BO5" s="185" t="s">
        <v>461</v>
      </c>
      <c r="BP5" s="185" t="s">
        <v>461</v>
      </c>
      <c r="BQ5" s="185" t="s">
        <v>461</v>
      </c>
      <c r="BR5" s="185" t="s">
        <v>461</v>
      </c>
      <c r="BS5" s="185" t="s">
        <v>461</v>
      </c>
      <c r="BT5" s="185" t="s">
        <v>461</v>
      </c>
      <c r="BU5" s="185" t="s">
        <v>461</v>
      </c>
      <c r="BV5" s="185" t="s">
        <v>461</v>
      </c>
      <c r="BW5" s="185" t="s">
        <v>462</v>
      </c>
      <c r="BX5" s="185" t="s">
        <v>462</v>
      </c>
      <c r="BY5" s="185" t="s">
        <v>462</v>
      </c>
      <c r="BZ5" s="185" t="s">
        <v>462</v>
      </c>
      <c r="CA5" s="185" t="s">
        <v>462</v>
      </c>
      <c r="CB5" s="185" t="s">
        <v>462</v>
      </c>
      <c r="CC5" s="185" t="s">
        <v>462</v>
      </c>
      <c r="CD5" s="185" t="s">
        <v>462</v>
      </c>
      <c r="CE5" s="185" t="s">
        <v>462</v>
      </c>
      <c r="CF5" s="185" t="s">
        <v>462</v>
      </c>
      <c r="CG5" s="185" t="s">
        <v>462</v>
      </c>
      <c r="CH5" s="185" t="s">
        <v>462</v>
      </c>
      <c r="CI5" s="185" t="s">
        <v>463</v>
      </c>
      <c r="CJ5" s="185" t="s">
        <v>464</v>
      </c>
      <c r="CK5" s="185" t="s">
        <v>465</v>
      </c>
      <c r="CL5" s="185" t="s">
        <v>466</v>
      </c>
      <c r="CM5" s="185" t="s">
        <v>467</v>
      </c>
      <c r="CN5" s="185" t="s">
        <v>440</v>
      </c>
      <c r="CO5" s="185" t="s">
        <v>441</v>
      </c>
      <c r="CP5" s="185" t="s">
        <v>470</v>
      </c>
      <c r="CQ5" s="185" t="s">
        <v>438</v>
      </c>
      <c r="CR5" s="185" t="s">
        <v>438</v>
      </c>
      <c r="CS5" s="185" t="s">
        <v>438</v>
      </c>
      <c r="CT5" s="185" t="s">
        <v>438</v>
      </c>
      <c r="CU5" s="185" t="s">
        <v>438</v>
      </c>
      <c r="CV5" s="185" t="s">
        <v>438</v>
      </c>
      <c r="CW5" s="185" t="s">
        <v>439</v>
      </c>
      <c r="CX5" s="185" t="s">
        <v>439</v>
      </c>
      <c r="CY5" s="185" t="s">
        <v>439</v>
      </c>
      <c r="CZ5" s="185" t="s">
        <v>439</v>
      </c>
      <c r="DA5" s="185" t="s">
        <v>439</v>
      </c>
      <c r="DB5" s="185" t="s">
        <v>439</v>
      </c>
      <c r="DC5" s="185" t="s">
        <v>461</v>
      </c>
      <c r="DD5" s="185" t="s">
        <v>461</v>
      </c>
      <c r="DE5" s="185" t="s">
        <v>461</v>
      </c>
      <c r="DF5" s="185" t="s">
        <v>461</v>
      </c>
      <c r="DG5" s="185" t="s">
        <v>461</v>
      </c>
      <c r="DH5" s="185" t="s">
        <v>461</v>
      </c>
      <c r="DI5" s="185" t="s">
        <v>461</v>
      </c>
      <c r="DJ5" s="185" t="s">
        <v>461</v>
      </c>
      <c r="DK5" s="185" t="s">
        <v>461</v>
      </c>
      <c r="DL5" s="185" t="s">
        <v>461</v>
      </c>
      <c r="DM5" s="185" t="s">
        <v>461</v>
      </c>
      <c r="DN5" s="185" t="s">
        <v>461</v>
      </c>
      <c r="DO5" s="185" t="s">
        <v>462</v>
      </c>
      <c r="DP5" s="185" t="s">
        <v>462</v>
      </c>
      <c r="DQ5" s="185" t="s">
        <v>462</v>
      </c>
      <c r="DR5" s="185" t="s">
        <v>462</v>
      </c>
      <c r="DS5" s="185" t="s">
        <v>462</v>
      </c>
      <c r="DT5" s="185" t="s">
        <v>462</v>
      </c>
      <c r="DU5" s="185" t="s">
        <v>462</v>
      </c>
      <c r="DV5" s="185" t="s">
        <v>462</v>
      </c>
      <c r="DW5" s="185" t="s">
        <v>462</v>
      </c>
      <c r="DX5" s="185" t="s">
        <v>462</v>
      </c>
      <c r="DY5" s="185" t="s">
        <v>462</v>
      </c>
      <c r="DZ5" s="185" t="s">
        <v>462</v>
      </c>
      <c r="EA5" s="185" t="s">
        <v>463</v>
      </c>
      <c r="EB5" s="185" t="s">
        <v>464</v>
      </c>
      <c r="EC5" s="185" t="s">
        <v>465</v>
      </c>
      <c r="ED5" s="185" t="s">
        <v>466</v>
      </c>
      <c r="EE5" s="185" t="s">
        <v>467</v>
      </c>
      <c r="EF5" s="185" t="s">
        <v>440</v>
      </c>
      <c r="EG5" s="185" t="s">
        <v>441</v>
      </c>
      <c r="EH5" s="185" t="s">
        <v>470</v>
      </c>
      <c r="EI5" s="185" t="s">
        <v>438</v>
      </c>
      <c r="EJ5" s="185" t="s">
        <v>438</v>
      </c>
      <c r="EK5" s="185" t="s">
        <v>438</v>
      </c>
      <c r="EL5" s="185" t="s">
        <v>438</v>
      </c>
      <c r="EM5" s="185" t="s">
        <v>438</v>
      </c>
      <c r="EN5" s="185" t="s">
        <v>438</v>
      </c>
      <c r="EO5" s="185" t="s">
        <v>439</v>
      </c>
      <c r="EP5" s="185" t="s">
        <v>439</v>
      </c>
      <c r="EQ5" s="185" t="s">
        <v>439</v>
      </c>
      <c r="ER5" s="185" t="s">
        <v>439</v>
      </c>
      <c r="ES5" s="185" t="s">
        <v>439</v>
      </c>
      <c r="ET5" s="185" t="s">
        <v>439</v>
      </c>
      <c r="EU5" s="185" t="s">
        <v>461</v>
      </c>
      <c r="EV5" s="185" t="s">
        <v>461</v>
      </c>
      <c r="EW5" s="185" t="s">
        <v>461</v>
      </c>
      <c r="EX5" s="185" t="s">
        <v>461</v>
      </c>
      <c r="EY5" s="185" t="s">
        <v>461</v>
      </c>
      <c r="EZ5" s="185" t="s">
        <v>461</v>
      </c>
      <c r="FA5" s="185" t="s">
        <v>461</v>
      </c>
      <c r="FB5" s="185" t="s">
        <v>461</v>
      </c>
      <c r="FC5" s="185" t="s">
        <v>461</v>
      </c>
      <c r="FD5" s="185" t="s">
        <v>461</v>
      </c>
      <c r="FE5" s="185" t="s">
        <v>461</v>
      </c>
      <c r="FF5" s="185" t="s">
        <v>461</v>
      </c>
      <c r="FG5" s="185" t="s">
        <v>462</v>
      </c>
      <c r="FH5" s="185" t="s">
        <v>462</v>
      </c>
      <c r="FI5" s="185" t="s">
        <v>462</v>
      </c>
      <c r="FJ5" s="185" t="s">
        <v>462</v>
      </c>
      <c r="FK5" s="185" t="s">
        <v>462</v>
      </c>
      <c r="FL5" s="185" t="s">
        <v>462</v>
      </c>
      <c r="FM5" s="185" t="s">
        <v>462</v>
      </c>
      <c r="FN5" s="185" t="s">
        <v>462</v>
      </c>
      <c r="FO5" s="185" t="s">
        <v>462</v>
      </c>
      <c r="FP5" s="185" t="s">
        <v>462</v>
      </c>
      <c r="FQ5" s="185" t="s">
        <v>462</v>
      </c>
      <c r="FR5" s="185" t="s">
        <v>462</v>
      </c>
      <c r="FS5" s="185" t="s">
        <v>463</v>
      </c>
      <c r="FT5" s="185" t="s">
        <v>464</v>
      </c>
      <c r="FU5" s="185" t="s">
        <v>465</v>
      </c>
      <c r="FV5" s="185" t="s">
        <v>466</v>
      </c>
      <c r="FW5" s="185" t="s">
        <v>467</v>
      </c>
      <c r="FX5" s="185" t="s">
        <v>440</v>
      </c>
      <c r="FY5" s="185" t="s">
        <v>441</v>
      </c>
      <c r="FZ5" s="185" t="s">
        <v>470</v>
      </c>
      <c r="GC5" s="185"/>
      <c r="GD5" s="370"/>
      <c r="GH5" s="370"/>
    </row>
    <row r="6" spans="2:192" x14ac:dyDescent="0.25">
      <c r="B6" s="214"/>
      <c r="C6" s="275"/>
      <c r="D6" s="349"/>
      <c r="E6" s="349"/>
      <c r="F6" s="219" t="s">
        <v>437</v>
      </c>
      <c r="G6" s="185" t="s">
        <v>440</v>
      </c>
      <c r="H6" s="185" t="s">
        <v>441</v>
      </c>
      <c r="I6" s="185" t="s">
        <v>442</v>
      </c>
      <c r="J6" s="185" t="s">
        <v>443</v>
      </c>
      <c r="K6" s="185" t="s">
        <v>444</v>
      </c>
      <c r="L6" s="185" t="s">
        <v>128</v>
      </c>
      <c r="M6" s="185" t="s">
        <v>440</v>
      </c>
      <c r="N6" s="185" t="s">
        <v>441</v>
      </c>
      <c r="O6" s="185" t="s">
        <v>442</v>
      </c>
      <c r="P6" s="185" t="s">
        <v>443</v>
      </c>
      <c r="Q6" s="185" t="s">
        <v>444</v>
      </c>
      <c r="R6" s="185" t="s">
        <v>128</v>
      </c>
      <c r="S6" s="185" t="s">
        <v>446</v>
      </c>
      <c r="T6" s="185" t="s">
        <v>447</v>
      </c>
      <c r="U6" s="185" t="s">
        <v>448</v>
      </c>
      <c r="V6" s="185" t="s">
        <v>449</v>
      </c>
      <c r="W6" s="185" t="s">
        <v>450</v>
      </c>
      <c r="X6" s="185" t="s">
        <v>451</v>
      </c>
      <c r="Y6" s="185" t="s">
        <v>452</v>
      </c>
      <c r="Z6" s="185" t="s">
        <v>453</v>
      </c>
      <c r="AA6" s="185" t="s">
        <v>454</v>
      </c>
      <c r="AB6" s="185" t="s">
        <v>455</v>
      </c>
      <c r="AC6" s="185" t="s">
        <v>456</v>
      </c>
      <c r="AD6" s="185" t="s">
        <v>457</v>
      </c>
      <c r="AE6" s="185" t="s">
        <v>446</v>
      </c>
      <c r="AF6" s="185" t="s">
        <v>447</v>
      </c>
      <c r="AG6" s="185" t="s">
        <v>448</v>
      </c>
      <c r="AH6" s="185" t="s">
        <v>449</v>
      </c>
      <c r="AI6" s="185" t="s">
        <v>450</v>
      </c>
      <c r="AJ6" s="185" t="s">
        <v>451</v>
      </c>
      <c r="AK6" s="185" t="s">
        <v>452</v>
      </c>
      <c r="AL6" s="185" t="s">
        <v>453</v>
      </c>
      <c r="AM6" s="185" t="s">
        <v>454</v>
      </c>
      <c r="AN6" s="185" t="s">
        <v>455</v>
      </c>
      <c r="AO6" s="185" t="s">
        <v>456</v>
      </c>
      <c r="AP6" s="185" t="s">
        <v>457</v>
      </c>
      <c r="AQ6" s="185" t="s">
        <v>458</v>
      </c>
      <c r="AR6" s="185" t="s">
        <v>153</v>
      </c>
      <c r="AS6" s="185" t="s">
        <v>153</v>
      </c>
      <c r="AT6" s="185" t="s">
        <v>743</v>
      </c>
      <c r="AU6" s="185" t="s">
        <v>468</v>
      </c>
      <c r="AV6" s="185" t="s">
        <v>153</v>
      </c>
      <c r="AW6" s="185" t="s">
        <v>153</v>
      </c>
      <c r="AX6" s="185" t="s">
        <v>153</v>
      </c>
      <c r="AY6" s="185" t="s">
        <v>440</v>
      </c>
      <c r="AZ6" s="185" t="s">
        <v>441</v>
      </c>
      <c r="BA6" s="185" t="s">
        <v>442</v>
      </c>
      <c r="BB6" s="185" t="s">
        <v>443</v>
      </c>
      <c r="BC6" s="185" t="s">
        <v>444</v>
      </c>
      <c r="BD6" s="185" t="s">
        <v>128</v>
      </c>
      <c r="BE6" s="185" t="s">
        <v>440</v>
      </c>
      <c r="BF6" s="185" t="s">
        <v>441</v>
      </c>
      <c r="BG6" s="185" t="s">
        <v>442</v>
      </c>
      <c r="BH6" s="185" t="s">
        <v>443</v>
      </c>
      <c r="BI6" s="185" t="s">
        <v>444</v>
      </c>
      <c r="BJ6" s="185" t="s">
        <v>128</v>
      </c>
      <c r="BK6" s="185" t="s">
        <v>446</v>
      </c>
      <c r="BL6" s="185" t="s">
        <v>447</v>
      </c>
      <c r="BM6" s="185" t="s">
        <v>448</v>
      </c>
      <c r="BN6" s="185" t="s">
        <v>449</v>
      </c>
      <c r="BO6" s="185" t="s">
        <v>450</v>
      </c>
      <c r="BP6" s="185" t="s">
        <v>451</v>
      </c>
      <c r="BQ6" s="185" t="s">
        <v>452</v>
      </c>
      <c r="BR6" s="185" t="s">
        <v>453</v>
      </c>
      <c r="BS6" s="185" t="s">
        <v>454</v>
      </c>
      <c r="BT6" s="185" t="s">
        <v>455</v>
      </c>
      <c r="BU6" s="185" t="s">
        <v>456</v>
      </c>
      <c r="BV6" s="185" t="s">
        <v>457</v>
      </c>
      <c r="BW6" s="185" t="s">
        <v>446</v>
      </c>
      <c r="BX6" s="185" t="s">
        <v>447</v>
      </c>
      <c r="BY6" s="185" t="s">
        <v>448</v>
      </c>
      <c r="BZ6" s="185" t="s">
        <v>449</v>
      </c>
      <c r="CA6" s="185" t="s">
        <v>450</v>
      </c>
      <c r="CB6" s="185" t="s">
        <v>451</v>
      </c>
      <c r="CC6" s="185" t="s">
        <v>452</v>
      </c>
      <c r="CD6" s="185" t="s">
        <v>453</v>
      </c>
      <c r="CE6" s="185" t="s">
        <v>454</v>
      </c>
      <c r="CF6" s="185" t="s">
        <v>455</v>
      </c>
      <c r="CG6" s="185" t="s">
        <v>456</v>
      </c>
      <c r="CH6" s="185" t="s">
        <v>457</v>
      </c>
      <c r="CI6" s="185" t="s">
        <v>458</v>
      </c>
      <c r="CJ6" s="185" t="s">
        <v>153</v>
      </c>
      <c r="CK6" s="185" t="s">
        <v>153</v>
      </c>
      <c r="CL6" s="185" t="s">
        <v>743</v>
      </c>
      <c r="CM6" s="185" t="s">
        <v>468</v>
      </c>
      <c r="CN6" s="185" t="s">
        <v>153</v>
      </c>
      <c r="CO6" s="185" t="s">
        <v>153</v>
      </c>
      <c r="CP6" s="185" t="s">
        <v>153</v>
      </c>
      <c r="CQ6" s="185" t="s">
        <v>440</v>
      </c>
      <c r="CR6" s="185" t="s">
        <v>441</v>
      </c>
      <c r="CS6" s="185" t="s">
        <v>442</v>
      </c>
      <c r="CT6" s="185" t="s">
        <v>443</v>
      </c>
      <c r="CU6" s="185" t="s">
        <v>444</v>
      </c>
      <c r="CV6" s="185" t="s">
        <v>128</v>
      </c>
      <c r="CW6" s="185" t="s">
        <v>440</v>
      </c>
      <c r="CX6" s="185" t="s">
        <v>441</v>
      </c>
      <c r="CY6" s="185" t="s">
        <v>442</v>
      </c>
      <c r="CZ6" s="185" t="s">
        <v>443</v>
      </c>
      <c r="DA6" s="185" t="s">
        <v>444</v>
      </c>
      <c r="DB6" s="185" t="s">
        <v>128</v>
      </c>
      <c r="DC6" s="185" t="s">
        <v>446</v>
      </c>
      <c r="DD6" s="185" t="s">
        <v>447</v>
      </c>
      <c r="DE6" s="185" t="s">
        <v>448</v>
      </c>
      <c r="DF6" s="185" t="s">
        <v>449</v>
      </c>
      <c r="DG6" s="185" t="s">
        <v>450</v>
      </c>
      <c r="DH6" s="185" t="s">
        <v>451</v>
      </c>
      <c r="DI6" s="185" t="s">
        <v>452</v>
      </c>
      <c r="DJ6" s="185" t="s">
        <v>453</v>
      </c>
      <c r="DK6" s="185" t="s">
        <v>454</v>
      </c>
      <c r="DL6" s="185" t="s">
        <v>455</v>
      </c>
      <c r="DM6" s="185" t="s">
        <v>456</v>
      </c>
      <c r="DN6" s="185" t="s">
        <v>457</v>
      </c>
      <c r="DO6" s="185" t="s">
        <v>446</v>
      </c>
      <c r="DP6" s="185" t="s">
        <v>447</v>
      </c>
      <c r="DQ6" s="185" t="s">
        <v>448</v>
      </c>
      <c r="DR6" s="185" t="s">
        <v>449</v>
      </c>
      <c r="DS6" s="185" t="s">
        <v>450</v>
      </c>
      <c r="DT6" s="185" t="s">
        <v>451</v>
      </c>
      <c r="DU6" s="185" t="s">
        <v>452</v>
      </c>
      <c r="DV6" s="185" t="s">
        <v>453</v>
      </c>
      <c r="DW6" s="185" t="s">
        <v>454</v>
      </c>
      <c r="DX6" s="185" t="s">
        <v>455</v>
      </c>
      <c r="DY6" s="185" t="s">
        <v>456</v>
      </c>
      <c r="DZ6" s="185" t="s">
        <v>457</v>
      </c>
      <c r="EA6" s="185" t="s">
        <v>458</v>
      </c>
      <c r="EB6" s="185" t="s">
        <v>153</v>
      </c>
      <c r="EC6" s="185" t="s">
        <v>153</v>
      </c>
      <c r="ED6" s="185" t="s">
        <v>743</v>
      </c>
      <c r="EE6" s="185" t="s">
        <v>468</v>
      </c>
      <c r="EF6" s="185" t="s">
        <v>153</v>
      </c>
      <c r="EG6" s="185" t="s">
        <v>153</v>
      </c>
      <c r="EH6" s="185" t="s">
        <v>153</v>
      </c>
      <c r="EI6" s="185" t="s">
        <v>440</v>
      </c>
      <c r="EJ6" s="185" t="s">
        <v>441</v>
      </c>
      <c r="EK6" s="185" t="s">
        <v>442</v>
      </c>
      <c r="EL6" s="185" t="s">
        <v>443</v>
      </c>
      <c r="EM6" s="185" t="s">
        <v>444</v>
      </c>
      <c r="EN6" s="185" t="s">
        <v>128</v>
      </c>
      <c r="EO6" s="185" t="s">
        <v>440</v>
      </c>
      <c r="EP6" s="185" t="s">
        <v>441</v>
      </c>
      <c r="EQ6" s="185" t="s">
        <v>442</v>
      </c>
      <c r="ER6" s="185" t="s">
        <v>443</v>
      </c>
      <c r="ES6" s="185" t="s">
        <v>444</v>
      </c>
      <c r="ET6" s="185" t="s">
        <v>128</v>
      </c>
      <c r="EU6" s="185" t="s">
        <v>446</v>
      </c>
      <c r="EV6" s="185" t="s">
        <v>447</v>
      </c>
      <c r="EW6" s="185" t="s">
        <v>448</v>
      </c>
      <c r="EX6" s="185" t="s">
        <v>449</v>
      </c>
      <c r="EY6" s="185" t="s">
        <v>450</v>
      </c>
      <c r="EZ6" s="185" t="s">
        <v>451</v>
      </c>
      <c r="FA6" s="185" t="s">
        <v>452</v>
      </c>
      <c r="FB6" s="185" t="s">
        <v>453</v>
      </c>
      <c r="FC6" s="185" t="s">
        <v>454</v>
      </c>
      <c r="FD6" s="185" t="s">
        <v>455</v>
      </c>
      <c r="FE6" s="185" t="s">
        <v>456</v>
      </c>
      <c r="FF6" s="185" t="s">
        <v>457</v>
      </c>
      <c r="FG6" s="185" t="s">
        <v>446</v>
      </c>
      <c r="FH6" s="185" t="s">
        <v>447</v>
      </c>
      <c r="FI6" s="185" t="s">
        <v>448</v>
      </c>
      <c r="FJ6" s="185" t="s">
        <v>449</v>
      </c>
      <c r="FK6" s="185" t="s">
        <v>450</v>
      </c>
      <c r="FL6" s="185" t="s">
        <v>451</v>
      </c>
      <c r="FM6" s="185" t="s">
        <v>452</v>
      </c>
      <c r="FN6" s="185" t="s">
        <v>453</v>
      </c>
      <c r="FO6" s="185" t="s">
        <v>454</v>
      </c>
      <c r="FP6" s="185" t="s">
        <v>455</v>
      </c>
      <c r="FQ6" s="185" t="s">
        <v>456</v>
      </c>
      <c r="FR6" s="185" t="s">
        <v>457</v>
      </c>
      <c r="FS6" s="185" t="s">
        <v>458</v>
      </c>
      <c r="FT6" s="185" t="s">
        <v>153</v>
      </c>
      <c r="FU6" s="185" t="s">
        <v>153</v>
      </c>
      <c r="FV6" s="185" t="s">
        <v>743</v>
      </c>
      <c r="FW6" s="185" t="s">
        <v>468</v>
      </c>
      <c r="FX6" s="185" t="s">
        <v>153</v>
      </c>
      <c r="FY6" s="185" t="s">
        <v>153</v>
      </c>
      <c r="FZ6" s="185" t="s">
        <v>153</v>
      </c>
      <c r="GC6" s="434" t="s">
        <v>741</v>
      </c>
      <c r="GD6" s="434"/>
      <c r="GE6" s="434"/>
      <c r="GF6" s="434"/>
      <c r="GG6" s="434" t="s">
        <v>742</v>
      </c>
      <c r="GH6" s="434"/>
      <c r="GI6" s="434"/>
      <c r="GJ6" s="434"/>
    </row>
    <row r="7" spans="2:192" ht="40.5" customHeight="1" x14ac:dyDescent="0.25">
      <c r="B7" s="217" t="s">
        <v>435</v>
      </c>
      <c r="C7" s="304" t="s">
        <v>555</v>
      </c>
      <c r="D7" s="304" t="s">
        <v>736</v>
      </c>
      <c r="E7" s="304"/>
      <c r="F7" s="218" t="s">
        <v>244</v>
      </c>
      <c r="G7" s="216" t="s">
        <v>245</v>
      </c>
      <c r="H7" s="216" t="s">
        <v>246</v>
      </c>
      <c r="I7" s="216" t="s">
        <v>247</v>
      </c>
      <c r="J7" s="216" t="s">
        <v>248</v>
      </c>
      <c r="K7" s="216" t="s">
        <v>249</v>
      </c>
      <c r="L7" s="216" t="s">
        <v>250</v>
      </c>
      <c r="M7" s="216" t="s">
        <v>251</v>
      </c>
      <c r="N7" s="216" t="s">
        <v>252</v>
      </c>
      <c r="O7" s="216" t="s">
        <v>253</v>
      </c>
      <c r="P7" s="216" t="s">
        <v>254</v>
      </c>
      <c r="Q7" s="216" t="s">
        <v>255</v>
      </c>
      <c r="R7" s="216" t="s">
        <v>256</v>
      </c>
      <c r="S7" s="216" t="s">
        <v>257</v>
      </c>
      <c r="T7" s="216" t="s">
        <v>258</v>
      </c>
      <c r="U7" s="216" t="s">
        <v>259</v>
      </c>
      <c r="V7" s="216" t="s">
        <v>260</v>
      </c>
      <c r="W7" s="216" t="s">
        <v>261</v>
      </c>
      <c r="X7" s="216" t="s">
        <v>262</v>
      </c>
      <c r="Y7" s="216" t="s">
        <v>263</v>
      </c>
      <c r="Z7" s="216" t="s">
        <v>264</v>
      </c>
      <c r="AA7" s="216" t="s">
        <v>265</v>
      </c>
      <c r="AB7" s="216" t="s">
        <v>266</v>
      </c>
      <c r="AC7" s="216" t="s">
        <v>267</v>
      </c>
      <c r="AD7" s="216" t="s">
        <v>268</v>
      </c>
      <c r="AE7" s="216" t="s">
        <v>269</v>
      </c>
      <c r="AF7" s="216" t="s">
        <v>270</v>
      </c>
      <c r="AG7" s="216" t="s">
        <v>271</v>
      </c>
      <c r="AH7" s="216" t="s">
        <v>272</v>
      </c>
      <c r="AI7" s="216" t="s">
        <v>273</v>
      </c>
      <c r="AJ7" s="216" t="s">
        <v>274</v>
      </c>
      <c r="AK7" s="216" t="s">
        <v>275</v>
      </c>
      <c r="AL7" s="216" t="s">
        <v>276</v>
      </c>
      <c r="AM7" s="216" t="s">
        <v>277</v>
      </c>
      <c r="AN7" s="216" t="s">
        <v>278</v>
      </c>
      <c r="AO7" s="216" t="s">
        <v>279</v>
      </c>
      <c r="AP7" s="216" t="s">
        <v>280</v>
      </c>
      <c r="AQ7" s="216" t="s">
        <v>281</v>
      </c>
      <c r="AR7" s="216" t="s">
        <v>282</v>
      </c>
      <c r="AS7" s="216" t="s">
        <v>283</v>
      </c>
      <c r="AT7" s="216" t="s">
        <v>284</v>
      </c>
      <c r="AU7" s="216" t="s">
        <v>285</v>
      </c>
      <c r="AV7" s="216" t="s">
        <v>286</v>
      </c>
      <c r="AW7" s="216" t="s">
        <v>287</v>
      </c>
      <c r="AX7" s="216" t="s">
        <v>288</v>
      </c>
      <c r="AY7" s="216" t="s">
        <v>289</v>
      </c>
      <c r="AZ7" s="216" t="s">
        <v>290</v>
      </c>
      <c r="BA7" s="216" t="s">
        <v>291</v>
      </c>
      <c r="BB7" s="216" t="s">
        <v>292</v>
      </c>
      <c r="BC7" s="216" t="s">
        <v>293</v>
      </c>
      <c r="BD7" s="216" t="s">
        <v>294</v>
      </c>
      <c r="BE7" s="216" t="s">
        <v>295</v>
      </c>
      <c r="BF7" s="216" t="s">
        <v>296</v>
      </c>
      <c r="BG7" s="216" t="s">
        <v>297</v>
      </c>
      <c r="BH7" s="216" t="s">
        <v>298</v>
      </c>
      <c r="BI7" s="216" t="s">
        <v>299</v>
      </c>
      <c r="BJ7" s="216" t="s">
        <v>300</v>
      </c>
      <c r="BK7" s="216" t="s">
        <v>301</v>
      </c>
      <c r="BL7" s="216" t="s">
        <v>302</v>
      </c>
      <c r="BM7" s="216" t="s">
        <v>303</v>
      </c>
      <c r="BN7" s="216" t="s">
        <v>304</v>
      </c>
      <c r="BO7" s="216" t="s">
        <v>305</v>
      </c>
      <c r="BP7" s="216" t="s">
        <v>306</v>
      </c>
      <c r="BQ7" s="216" t="s">
        <v>307</v>
      </c>
      <c r="BR7" s="216" t="s">
        <v>308</v>
      </c>
      <c r="BS7" s="216" t="s">
        <v>309</v>
      </c>
      <c r="BT7" s="216" t="s">
        <v>310</v>
      </c>
      <c r="BU7" s="216" t="s">
        <v>311</v>
      </c>
      <c r="BV7" s="216" t="s">
        <v>312</v>
      </c>
      <c r="BW7" s="216" t="s">
        <v>313</v>
      </c>
      <c r="BX7" s="216" t="s">
        <v>314</v>
      </c>
      <c r="BY7" s="216" t="s">
        <v>315</v>
      </c>
      <c r="BZ7" s="216" t="s">
        <v>316</v>
      </c>
      <c r="CA7" s="216" t="s">
        <v>317</v>
      </c>
      <c r="CB7" s="216" t="s">
        <v>318</v>
      </c>
      <c r="CC7" s="216" t="s">
        <v>319</v>
      </c>
      <c r="CD7" s="216" t="s">
        <v>320</v>
      </c>
      <c r="CE7" s="216" t="s">
        <v>321</v>
      </c>
      <c r="CF7" s="216" t="s">
        <v>322</v>
      </c>
      <c r="CG7" s="216" t="s">
        <v>323</v>
      </c>
      <c r="CH7" s="216" t="s">
        <v>324</v>
      </c>
      <c r="CI7" s="216" t="s">
        <v>325</v>
      </c>
      <c r="CJ7" s="216" t="s">
        <v>326</v>
      </c>
      <c r="CK7" s="216" t="s">
        <v>327</v>
      </c>
      <c r="CL7" s="216" t="s">
        <v>328</v>
      </c>
      <c r="CM7" s="216" t="s">
        <v>329</v>
      </c>
      <c r="CN7" s="216" t="s">
        <v>330</v>
      </c>
      <c r="CO7" s="216" t="s">
        <v>331</v>
      </c>
      <c r="CP7" s="216" t="s">
        <v>332</v>
      </c>
      <c r="CQ7" s="216" t="s">
        <v>333</v>
      </c>
      <c r="CR7" s="216" t="s">
        <v>334</v>
      </c>
      <c r="CS7" s="216" t="s">
        <v>335</v>
      </c>
      <c r="CT7" s="216" t="s">
        <v>336</v>
      </c>
      <c r="CU7" s="216" t="s">
        <v>337</v>
      </c>
      <c r="CV7" s="216" t="s">
        <v>338</v>
      </c>
      <c r="CW7" s="216" t="s">
        <v>339</v>
      </c>
      <c r="CX7" s="216" t="s">
        <v>340</v>
      </c>
      <c r="CY7" s="216" t="s">
        <v>341</v>
      </c>
      <c r="CZ7" s="216" t="s">
        <v>342</v>
      </c>
      <c r="DA7" s="216" t="s">
        <v>343</v>
      </c>
      <c r="DB7" s="216" t="s">
        <v>344</v>
      </c>
      <c r="DC7" s="216" t="s">
        <v>345</v>
      </c>
      <c r="DD7" s="216" t="s">
        <v>346</v>
      </c>
      <c r="DE7" s="216" t="s">
        <v>347</v>
      </c>
      <c r="DF7" s="216" t="s">
        <v>348</v>
      </c>
      <c r="DG7" s="216" t="s">
        <v>349</v>
      </c>
      <c r="DH7" s="216" t="s">
        <v>350</v>
      </c>
      <c r="DI7" s="216" t="s">
        <v>351</v>
      </c>
      <c r="DJ7" s="216" t="s">
        <v>352</v>
      </c>
      <c r="DK7" s="216" t="s">
        <v>353</v>
      </c>
      <c r="DL7" s="216" t="s">
        <v>354</v>
      </c>
      <c r="DM7" s="216" t="s">
        <v>355</v>
      </c>
      <c r="DN7" s="216" t="s">
        <v>356</v>
      </c>
      <c r="DO7" s="216" t="s">
        <v>357</v>
      </c>
      <c r="DP7" s="216" t="s">
        <v>358</v>
      </c>
      <c r="DQ7" s="216" t="s">
        <v>359</v>
      </c>
      <c r="DR7" s="216" t="s">
        <v>360</v>
      </c>
      <c r="DS7" s="216" t="s">
        <v>361</v>
      </c>
      <c r="DT7" s="216" t="s">
        <v>362</v>
      </c>
      <c r="DU7" s="216" t="s">
        <v>363</v>
      </c>
      <c r="DV7" s="216" t="s">
        <v>364</v>
      </c>
      <c r="DW7" s="216" t="s">
        <v>365</v>
      </c>
      <c r="DX7" s="216" t="s">
        <v>366</v>
      </c>
      <c r="DY7" s="216" t="s">
        <v>367</v>
      </c>
      <c r="DZ7" s="216" t="s">
        <v>368</v>
      </c>
      <c r="EA7" s="216" t="s">
        <v>369</v>
      </c>
      <c r="EB7" s="216" t="s">
        <v>370</v>
      </c>
      <c r="EC7" s="216" t="s">
        <v>371</v>
      </c>
      <c r="ED7" s="216" t="s">
        <v>372</v>
      </c>
      <c r="EE7" s="216" t="s">
        <v>373</v>
      </c>
      <c r="EF7" s="216" t="s">
        <v>374</v>
      </c>
      <c r="EG7" s="216" t="s">
        <v>375</v>
      </c>
      <c r="EH7" s="216" t="s">
        <v>376</v>
      </c>
      <c r="EI7" s="216" t="s">
        <v>377</v>
      </c>
      <c r="EJ7" s="216" t="s">
        <v>378</v>
      </c>
      <c r="EK7" s="216" t="s">
        <v>379</v>
      </c>
      <c r="EL7" s="216" t="s">
        <v>380</v>
      </c>
      <c r="EM7" s="216" t="s">
        <v>381</v>
      </c>
      <c r="EN7" s="216" t="s">
        <v>382</v>
      </c>
      <c r="EO7" s="216" t="s">
        <v>383</v>
      </c>
      <c r="EP7" s="216" t="s">
        <v>384</v>
      </c>
      <c r="EQ7" s="216" t="s">
        <v>385</v>
      </c>
      <c r="ER7" s="216" t="s">
        <v>386</v>
      </c>
      <c r="ES7" s="216" t="s">
        <v>387</v>
      </c>
      <c r="ET7" s="216" t="s">
        <v>388</v>
      </c>
      <c r="EU7" s="216" t="s">
        <v>389</v>
      </c>
      <c r="EV7" s="216" t="s">
        <v>390</v>
      </c>
      <c r="EW7" s="216" t="s">
        <v>391</v>
      </c>
      <c r="EX7" s="216" t="s">
        <v>392</v>
      </c>
      <c r="EY7" s="216" t="s">
        <v>393</v>
      </c>
      <c r="EZ7" s="216" t="s">
        <v>394</v>
      </c>
      <c r="FA7" s="216" t="s">
        <v>395</v>
      </c>
      <c r="FB7" s="216" t="s">
        <v>396</v>
      </c>
      <c r="FC7" s="216" t="s">
        <v>397</v>
      </c>
      <c r="FD7" s="216" t="s">
        <v>398</v>
      </c>
      <c r="FE7" s="216" t="s">
        <v>399</v>
      </c>
      <c r="FF7" s="216" t="s">
        <v>400</v>
      </c>
      <c r="FG7" s="216" t="s">
        <v>401</v>
      </c>
      <c r="FH7" s="216" t="s">
        <v>402</v>
      </c>
      <c r="FI7" s="216" t="s">
        <v>403</v>
      </c>
      <c r="FJ7" s="216" t="s">
        <v>404</v>
      </c>
      <c r="FK7" s="216" t="s">
        <v>405</v>
      </c>
      <c r="FL7" s="216" t="s">
        <v>406</v>
      </c>
      <c r="FM7" s="216" t="s">
        <v>407</v>
      </c>
      <c r="FN7" s="216" t="s">
        <v>408</v>
      </c>
      <c r="FO7" s="216" t="s">
        <v>409</v>
      </c>
      <c r="FP7" s="216" t="s">
        <v>410</v>
      </c>
      <c r="FQ7" s="216" t="s">
        <v>411</v>
      </c>
      <c r="FR7" s="216" t="s">
        <v>412</v>
      </c>
      <c r="FS7" s="216" t="s">
        <v>413</v>
      </c>
      <c r="FT7" s="216" t="s">
        <v>414</v>
      </c>
      <c r="FU7" s="216" t="s">
        <v>415</v>
      </c>
      <c r="FV7" s="216" t="s">
        <v>416</v>
      </c>
      <c r="FW7" s="216" t="s">
        <v>417</v>
      </c>
      <c r="FX7" s="216" t="s">
        <v>418</v>
      </c>
      <c r="FY7" s="216" t="s">
        <v>419</v>
      </c>
      <c r="FZ7" s="216" t="s">
        <v>420</v>
      </c>
      <c r="GA7" s="372"/>
      <c r="GB7" s="372"/>
      <c r="GC7" s="372">
        <v>2015</v>
      </c>
      <c r="GD7" s="372">
        <v>2016</v>
      </c>
      <c r="GE7" s="372">
        <v>2017</v>
      </c>
      <c r="GF7" s="372">
        <v>2018</v>
      </c>
      <c r="GG7" s="372">
        <v>2015</v>
      </c>
      <c r="GH7" s="372">
        <v>2016</v>
      </c>
      <c r="GI7" s="372">
        <v>2017</v>
      </c>
      <c r="GJ7" s="372">
        <v>2018</v>
      </c>
    </row>
    <row r="8" spans="2:192" x14ac:dyDescent="0.25">
      <c r="B8" t="s">
        <v>162</v>
      </c>
      <c r="C8">
        <v>1</v>
      </c>
      <c r="D8">
        <f>IF(C8&gt;0,1,0)</f>
        <v>1</v>
      </c>
      <c r="E8">
        <f>IF(C8=1,1,0)</f>
        <v>1</v>
      </c>
      <c r="F8" t="s">
        <v>163</v>
      </c>
      <c r="G8">
        <v>0</v>
      </c>
      <c r="H8">
        <v>0</v>
      </c>
      <c r="I8">
        <v>0</v>
      </c>
      <c r="J8">
        <v>0</v>
      </c>
      <c r="K8">
        <v>0</v>
      </c>
      <c r="L8">
        <v>0</v>
      </c>
      <c r="M8">
        <v>0</v>
      </c>
      <c r="N8">
        <v>0</v>
      </c>
      <c r="O8">
        <v>0</v>
      </c>
      <c r="P8">
        <v>0</v>
      </c>
      <c r="Q8">
        <v>0</v>
      </c>
      <c r="R8">
        <v>0</v>
      </c>
      <c r="S8">
        <v>0.28539999999999999</v>
      </c>
      <c r="T8">
        <v>0.32729999999999998</v>
      </c>
      <c r="U8">
        <v>0.41970000000000002</v>
      </c>
      <c r="V8">
        <v>0.58160000000000001</v>
      </c>
      <c r="W8">
        <v>0.63770000000000004</v>
      </c>
      <c r="X8">
        <v>0.71899999999999997</v>
      </c>
      <c r="Y8">
        <v>0.80900000000000005</v>
      </c>
      <c r="Z8">
        <v>0.87319999999999998</v>
      </c>
      <c r="AA8">
        <v>0.90980000000000005</v>
      </c>
      <c r="AB8">
        <v>0.95630000000000004</v>
      </c>
      <c r="AC8">
        <v>0.98380000000000001</v>
      </c>
      <c r="AD8">
        <v>1</v>
      </c>
      <c r="AE8">
        <v>2.9000000000000001E-2</v>
      </c>
      <c r="AF8">
        <v>5.3999999999999999E-2</v>
      </c>
      <c r="AG8">
        <v>0.1011</v>
      </c>
      <c r="AH8">
        <v>0.1011</v>
      </c>
      <c r="AI8">
        <v>0.1011</v>
      </c>
      <c r="AJ8">
        <v>0.1011</v>
      </c>
      <c r="AK8">
        <v>0.1011</v>
      </c>
      <c r="AL8">
        <v>0.41599999999999998</v>
      </c>
      <c r="AM8">
        <v>0.41599999999999998</v>
      </c>
      <c r="AN8">
        <v>0.41599999999999998</v>
      </c>
      <c r="AO8">
        <v>0.41599999999999998</v>
      </c>
      <c r="AP8">
        <v>0.41599999999999998</v>
      </c>
      <c r="AQ8">
        <f>IF(AP8&gt;AO8,12,IF(AO8&gt;AN8,11,IF(AN8&gt;AM8,10,IF(AM8&gt;AL8,9,IF(AL8&gt;AK8,8,IF(AK8&gt;AJ8,7,IF(AJ8&gt;AI8,6,IF(AI8&gt;AH8,5,IF(AH8&gt;AG8,4,IF(AG8&gt;AF8,3,IF(AF8&gt;AE8,2,IF(AE8&gt;0,1,0))))))))))))</f>
        <v>8</v>
      </c>
      <c r="AR8" s="370">
        <v>0.41599999999999998</v>
      </c>
      <c r="AS8" s="370">
        <f>IF(AQ8&gt;0,AR8/AQ8,0)</f>
        <v>5.1999999999999998E-2</v>
      </c>
      <c r="AT8" s="370">
        <f>IF(AD8&gt;0,MIN(AS8*12/AD8,1),MIN(AS8*12,1))</f>
        <v>0.624</v>
      </c>
      <c r="AU8">
        <v>0</v>
      </c>
      <c r="AV8" s="371">
        <v>0</v>
      </c>
      <c r="AW8" s="371">
        <v>0</v>
      </c>
      <c r="AX8" s="371">
        <v>0</v>
      </c>
      <c r="AY8">
        <v>927</v>
      </c>
      <c r="AZ8">
        <v>295</v>
      </c>
      <c r="BA8">
        <v>179</v>
      </c>
      <c r="BB8">
        <v>105</v>
      </c>
      <c r="BC8">
        <v>0</v>
      </c>
      <c r="BD8">
        <v>1.506</v>
      </c>
      <c r="BE8">
        <v>276.72000000000003</v>
      </c>
      <c r="BF8">
        <v>1027.8499999999999</v>
      </c>
      <c r="BG8">
        <v>44.82</v>
      </c>
      <c r="BH8">
        <v>46.05</v>
      </c>
      <c r="BI8">
        <v>0</v>
      </c>
      <c r="BJ8">
        <v>1395.44</v>
      </c>
      <c r="BK8">
        <v>0.33989999999999998</v>
      </c>
      <c r="BL8">
        <v>0.39090000000000003</v>
      </c>
      <c r="BM8">
        <v>0.45529999999999998</v>
      </c>
      <c r="BN8">
        <v>0.58640000000000003</v>
      </c>
      <c r="BO8">
        <v>0.64319999999999999</v>
      </c>
      <c r="BP8">
        <v>0.74729999999999996</v>
      </c>
      <c r="BQ8">
        <v>0.82289999999999996</v>
      </c>
      <c r="BR8">
        <v>0.88670000000000004</v>
      </c>
      <c r="BS8">
        <v>0.92869999999999997</v>
      </c>
      <c r="BT8">
        <v>0.96589999999999998</v>
      </c>
      <c r="BU8">
        <v>0.98699999999999999</v>
      </c>
      <c r="BV8">
        <v>1</v>
      </c>
      <c r="BW8">
        <v>7.3000000000000001E-3</v>
      </c>
      <c r="BX8">
        <v>3.39E-2</v>
      </c>
      <c r="BY8">
        <v>6.5799999999999997E-2</v>
      </c>
      <c r="BZ8">
        <v>8.1100000000000005E-2</v>
      </c>
      <c r="CA8">
        <v>0.15290000000000001</v>
      </c>
      <c r="CB8">
        <v>0.28739999999999999</v>
      </c>
      <c r="CC8">
        <v>0.33979999999999999</v>
      </c>
      <c r="CD8">
        <v>0.44419999999999998</v>
      </c>
      <c r="CE8">
        <v>0.49020000000000002</v>
      </c>
      <c r="CF8">
        <v>0.50319999999999998</v>
      </c>
      <c r="CG8">
        <v>0.60340000000000005</v>
      </c>
      <c r="CH8">
        <v>0.86799999999999999</v>
      </c>
      <c r="CI8">
        <f>IF(CH8&gt;CG8,12,IF(CG8&gt;CF8,11,IF(CF8&gt;CE8,10,IF(CE8&gt;CD8,9,IF(CD8&gt;CC8,8,IF(CC8&gt;CB8,7,IF(CB8&gt;CA8,6,IF(CA8&gt;BZ8,5,IF(BZ8&gt;BY8,4,IF(BY8&gt;BX8,3,IF(BX8&gt;BW8,2,IF(BW8&gt;0,1,0))))))))))))</f>
        <v>12</v>
      </c>
      <c r="CJ8" s="370">
        <v>0.86799999999999999</v>
      </c>
      <c r="CK8" s="370">
        <f>IF(CI8&gt;0,CJ8/CI8,0)</f>
        <v>7.2333333333333333E-2</v>
      </c>
      <c r="CL8" s="370">
        <f>IF(BV8&gt;0,MIN(CK8*12/BV8,1),MIN(CK8*12,1))</f>
        <v>0.86799999999999999</v>
      </c>
      <c r="CM8">
        <v>1395.44</v>
      </c>
      <c r="CN8" s="371">
        <v>0.19830300000000001</v>
      </c>
      <c r="CO8" s="371">
        <v>0.7365777</v>
      </c>
      <c r="CP8" s="371">
        <v>6.5119200000000002E-2</v>
      </c>
      <c r="CQ8">
        <v>885</v>
      </c>
      <c r="CR8">
        <v>322</v>
      </c>
      <c r="CS8">
        <v>279</v>
      </c>
      <c r="CT8">
        <v>138</v>
      </c>
      <c r="CU8">
        <v>7.8849999999999998</v>
      </c>
      <c r="CV8">
        <v>9509</v>
      </c>
      <c r="CW8">
        <v>561.88</v>
      </c>
      <c r="CX8">
        <v>1688.91</v>
      </c>
      <c r="CY8">
        <v>51.11</v>
      </c>
      <c r="CZ8">
        <v>56.18</v>
      </c>
      <c r="DA8">
        <v>386.23</v>
      </c>
      <c r="DB8">
        <v>2744.31</v>
      </c>
      <c r="DC8">
        <v>8.1199999999999994E-2</v>
      </c>
      <c r="DD8">
        <v>0.21049999999999999</v>
      </c>
      <c r="DE8">
        <v>0.34910000000000002</v>
      </c>
      <c r="DF8">
        <v>0.45019999999999999</v>
      </c>
      <c r="DG8">
        <v>0.4919</v>
      </c>
      <c r="DH8">
        <v>0.56440000000000001</v>
      </c>
      <c r="DI8">
        <v>0.67259999999999998</v>
      </c>
      <c r="DJ8">
        <v>0.78510000000000002</v>
      </c>
      <c r="DK8">
        <v>0.86150000000000004</v>
      </c>
      <c r="DL8">
        <v>0.91620000000000001</v>
      </c>
      <c r="DM8">
        <v>0.97940000000000005</v>
      </c>
      <c r="DN8">
        <v>1</v>
      </c>
      <c r="DO8">
        <v>2.3400000000000001E-2</v>
      </c>
      <c r="DP8">
        <v>3.6700000000000003E-2</v>
      </c>
      <c r="DQ8">
        <v>7.0099999999999996E-2</v>
      </c>
      <c r="DR8">
        <v>8.1000000000000003E-2</v>
      </c>
      <c r="DS8">
        <v>0.13800000000000001</v>
      </c>
      <c r="DT8">
        <v>0.25769999999999998</v>
      </c>
      <c r="DU8">
        <v>0.33679999999999999</v>
      </c>
      <c r="DV8">
        <v>0.39019999999999999</v>
      </c>
      <c r="DW8">
        <v>0.45100000000000001</v>
      </c>
      <c r="DX8">
        <v>0.56430000000000002</v>
      </c>
      <c r="DY8">
        <v>0.65380000000000005</v>
      </c>
      <c r="DZ8">
        <v>0.89</v>
      </c>
      <c r="EA8">
        <f>IF(DZ8&gt;DY8,12,IF(DY8&gt;DX8,11,IF(DX8&gt;DW8,10,IF(DW8&gt;DV8,9,IF(DV8&gt;DU8,8,IF(DU8&gt;DT8,7,IF(DT8&gt;DS8,6,IF(DS8&gt;DR8,5,IF(DR8&gt;DQ8,4,IF(DQ8&gt;DP8,3,IF(DP8&gt;DO8,2,IF(DO8&gt;0,1,0))))))))))))</f>
        <v>12</v>
      </c>
      <c r="EB8" s="370">
        <v>0.89</v>
      </c>
      <c r="EC8" s="370">
        <f>IF(EA8&gt;0,EB8/EA8,0)</f>
        <v>7.4166666666666672E-2</v>
      </c>
      <c r="ED8" s="370">
        <f>IF(DN8&gt;0,MIN(EC8*12/DN8,1),MIN(EC8*12,1))</f>
        <v>0.89000000000000012</v>
      </c>
      <c r="EE8">
        <v>2358.08</v>
      </c>
      <c r="EF8" s="371">
        <v>0.23827860000000001</v>
      </c>
      <c r="EG8" s="371">
        <v>0.71622249999999998</v>
      </c>
      <c r="EH8" s="371">
        <v>4.5498900000000002E-2</v>
      </c>
      <c r="EI8">
        <v>5378</v>
      </c>
      <c r="EJ8">
        <v>1328</v>
      </c>
      <c r="EK8">
        <v>1013</v>
      </c>
      <c r="EL8">
        <v>1756</v>
      </c>
      <c r="EM8">
        <v>8619</v>
      </c>
      <c r="EN8">
        <v>18094</v>
      </c>
      <c r="EO8">
        <v>1066.79</v>
      </c>
      <c r="EP8">
        <v>1709.7</v>
      </c>
      <c r="EQ8">
        <v>125.47</v>
      </c>
      <c r="ER8">
        <v>329.29</v>
      </c>
      <c r="ES8">
        <v>1284.8599999999999</v>
      </c>
      <c r="ET8">
        <v>4516.1099999999997</v>
      </c>
      <c r="EU8">
        <v>4.1500000000000002E-2</v>
      </c>
      <c r="EV8">
        <v>0.16500000000000001</v>
      </c>
      <c r="EW8">
        <v>0.27150000000000002</v>
      </c>
      <c r="EX8">
        <v>0.32850000000000001</v>
      </c>
      <c r="EY8">
        <v>0.37890000000000001</v>
      </c>
      <c r="EZ8">
        <v>0.47020000000000001</v>
      </c>
      <c r="FA8">
        <v>0.56040000000000001</v>
      </c>
      <c r="FB8">
        <v>0.64249999999999996</v>
      </c>
      <c r="FC8">
        <v>0.75119999999999998</v>
      </c>
      <c r="FD8">
        <v>0.7964</v>
      </c>
      <c r="FE8">
        <v>0.84089999999999998</v>
      </c>
      <c r="FF8">
        <v>0.88829999999999998</v>
      </c>
      <c r="FG8">
        <v>1.35E-2</v>
      </c>
      <c r="FH8">
        <v>3.15E-2</v>
      </c>
      <c r="FI8">
        <v>7.5600000000000001E-2</v>
      </c>
      <c r="FJ8">
        <v>8.3900000000000002E-2</v>
      </c>
      <c r="FK8">
        <v>0.1226</v>
      </c>
      <c r="FL8">
        <v>0.1535</v>
      </c>
      <c r="FM8">
        <v>0.33689999999999998</v>
      </c>
      <c r="FN8">
        <v>0.38140000000000002</v>
      </c>
      <c r="FO8">
        <v>0.38140000000000002</v>
      </c>
      <c r="FP8">
        <v>0</v>
      </c>
      <c r="FQ8">
        <v>0</v>
      </c>
      <c r="FR8">
        <v>0</v>
      </c>
      <c r="FS8">
        <f>IF(FR8&gt;FQ8,12,IF(FQ8&gt;FP8,11,IF(FP8&gt;FO8,10,IF(FO8&gt;FN8,9,IF(FN8&gt;FM8,8,IF(FM8&gt;FL8,7,IF(FL8&gt;FK8,6,IF(FK8&gt;FJ8,5,IF(FJ8&gt;FI8,4,IF(FI8&gt;FH8,3,IF(FH8&gt;FG8,2,IF(FG8&gt;0,1,0))))))))))))</f>
        <v>8</v>
      </c>
      <c r="FT8">
        <v>0.38140000000000002</v>
      </c>
      <c r="FU8" s="370">
        <f>IF(FS8&gt;0,FT8/FS8,0)</f>
        <v>4.7675000000000002E-2</v>
      </c>
      <c r="FV8" s="370">
        <f>IF(FF8&gt;0,MIN(FU8*12/FF8,1),MIN(FU8*12,1))</f>
        <v>0.64403917595406968</v>
      </c>
      <c r="FW8">
        <v>3231.25</v>
      </c>
      <c r="FX8">
        <v>0.33014779999999999</v>
      </c>
      <c r="FY8">
        <v>0.52911410000000003</v>
      </c>
      <c r="FZ8">
        <v>0.1407381</v>
      </c>
      <c r="GB8" s="219" t="s">
        <v>737</v>
      </c>
      <c r="GC8" s="370">
        <f>SUMPRODUCT(1-$D$8:$D$71,$AT$8:$AT$71,$AU$8:$AU$71)/SUMIFS($AU$8:$AU$71,$C$8:$C$71,"=0",$AT$8:$AT$71,"&gt;0")</f>
        <v>0.73756946340768703</v>
      </c>
      <c r="GD8" s="370">
        <f>SUMPRODUCT(1-$D$8:$D$71,$CL$8:$CL$71,$CM$8:$CM$71)/SUMIFS($CM$8:$CM$71,$C$8:$C$71,"=0",$CL$8:$CL$71,"&gt;0")</f>
        <v>0.84070437638278128</v>
      </c>
      <c r="GE8" s="370">
        <f>SUMPRODUCT(1-$D$8:$D$71,$ED$8:$ED$71,$EE$8:$EE$71)/SUMIFS($EE$8:$EE$71,$C$8:$C$71,"=0",$ED$8:$ED$71,"&gt;0")</f>
        <v>0.92068366311019822</v>
      </c>
      <c r="GF8" s="370">
        <f>SUMPRODUCT(1-$D$8:$D$71,$FV$8:$FV$71,$FW$8:$FW$71)/SUMIFS($FW$8:$FW$71,$C$8:$C$71,"=0",$FV$8:$FV$71,"&gt;0")</f>
        <v>0.77257241506995911</v>
      </c>
      <c r="GG8" s="370">
        <f>SUMIF($C$8:$C$71,"=0",$AT$8:$AT$71)/COUNTIFS($C$8:$C$71,"=0",$AT$8:$AT$71,"&gt;0")</f>
        <v>0.72902259152372295</v>
      </c>
      <c r="GH8" s="370">
        <f>SUMIF($C$8:$C$71,"=0",$CL$8:$CL$71)/COUNTIF($C$8:$C$71,"=0")</f>
        <v>0.75813673557976002</v>
      </c>
      <c r="GI8" s="370">
        <f>SUMIF($C$8:$C$71,"=0",$ED$8:$ED$71)/COUNTIF($C$8:$C$71,"=0")</f>
        <v>0.82723573305306475</v>
      </c>
      <c r="GJ8" s="370">
        <f>SUMIF($C$8:$C$71,"=0",$FV$8:$FV$71)/COUNTIF($C$8:$C$71,"=0")</f>
        <v>0.68491322516119835</v>
      </c>
    </row>
    <row r="9" spans="2:192" x14ac:dyDescent="0.25">
      <c r="B9" t="s">
        <v>165</v>
      </c>
      <c r="C9">
        <v>1</v>
      </c>
      <c r="D9">
        <f t="shared" ref="D9:D71" si="0">IF(C9&gt;0,1,0)</f>
        <v>1</v>
      </c>
      <c r="E9">
        <f t="shared" ref="E9:E71" si="1">IF(C9=1,1,0)</f>
        <v>1</v>
      </c>
      <c r="F9" t="s">
        <v>166</v>
      </c>
      <c r="G9">
        <v>3816</v>
      </c>
      <c r="H9">
        <v>425</v>
      </c>
      <c r="I9">
        <v>265</v>
      </c>
      <c r="J9">
        <v>3291</v>
      </c>
      <c r="K9">
        <v>1738</v>
      </c>
      <c r="L9">
        <v>9535</v>
      </c>
      <c r="M9">
        <v>302.86</v>
      </c>
      <c r="N9">
        <v>528.75</v>
      </c>
      <c r="O9">
        <v>42.36</v>
      </c>
      <c r="P9">
        <v>176.25</v>
      </c>
      <c r="Q9">
        <v>1011.98</v>
      </c>
      <c r="R9">
        <v>2062.1999999999998</v>
      </c>
      <c r="S9">
        <v>0.03</v>
      </c>
      <c r="T9">
        <v>0.06</v>
      </c>
      <c r="U9">
        <v>0.09</v>
      </c>
      <c r="V9">
        <v>0.15</v>
      </c>
      <c r="W9">
        <v>0</v>
      </c>
      <c r="X9">
        <v>0.3</v>
      </c>
      <c r="Y9">
        <v>0.36</v>
      </c>
      <c r="Z9">
        <v>0.45</v>
      </c>
      <c r="AA9">
        <v>0.55000000000000004</v>
      </c>
      <c r="AB9">
        <v>0.65</v>
      </c>
      <c r="AC9">
        <v>0.75</v>
      </c>
      <c r="AD9">
        <v>0.85</v>
      </c>
      <c r="AE9">
        <v>1.38E-2</v>
      </c>
      <c r="AF9">
        <v>2.81E-2</v>
      </c>
      <c r="AG9">
        <v>5.9900000000000002E-2</v>
      </c>
      <c r="AH9">
        <v>0.11899999999999999</v>
      </c>
      <c r="AI9">
        <v>0.1862</v>
      </c>
      <c r="AJ9">
        <v>0.25359999999999999</v>
      </c>
      <c r="AK9">
        <v>0.31340000000000001</v>
      </c>
      <c r="AL9">
        <v>0.44690000000000002</v>
      </c>
      <c r="AM9">
        <v>0.51700000000000002</v>
      </c>
      <c r="AN9">
        <v>0.58420000000000005</v>
      </c>
      <c r="AO9">
        <v>0.67269999999999996</v>
      </c>
      <c r="AP9">
        <v>0.85389999999999999</v>
      </c>
      <c r="AQ9">
        <f t="shared" ref="AQ9:AQ71" si="2">IF(AP9&gt;AO9,12,IF(AO9&gt;AN9,11,IF(AN9&gt;AM9,10,IF(AM9&gt;AL9,9,IF(AL9&gt;AK9,8,IF(AK9&gt;AJ9,7,IF(AJ9&gt;AI9,6,IF(AI9&gt;AH9,5,IF(AH9&gt;AG9,4,IF(AG9&gt;AF9,3,IF(AF9&gt;AE9,2,IF(AE9&gt;0,1,0))))))))))))</f>
        <v>12</v>
      </c>
      <c r="AR9" s="370">
        <v>0.85389999999999999</v>
      </c>
      <c r="AS9" s="370">
        <f t="shared" ref="AS9:AS71" si="3">IF(AQ9&gt;0,AR9/AQ9,0)</f>
        <v>7.1158333333333337E-2</v>
      </c>
      <c r="AT9" s="370">
        <f t="shared" ref="AT9:AT71" si="4">IF(AD9&gt;0,MIN(AS9*12/AD9,1),MIN(AS9*12,1))</f>
        <v>1</v>
      </c>
      <c r="AU9">
        <v>1050.22</v>
      </c>
      <c r="AV9" s="371">
        <v>0.28837770000000001</v>
      </c>
      <c r="AW9" s="371">
        <v>0.50346599999999997</v>
      </c>
      <c r="AX9" s="371">
        <v>0.20815639999999999</v>
      </c>
      <c r="AY9">
        <v>4379</v>
      </c>
      <c r="AZ9">
        <v>320</v>
      </c>
      <c r="BA9">
        <v>212</v>
      </c>
      <c r="BB9">
        <v>1004</v>
      </c>
      <c r="BC9">
        <v>6541</v>
      </c>
      <c r="BD9">
        <v>12456</v>
      </c>
      <c r="BE9">
        <v>131.37</v>
      </c>
      <c r="BF9">
        <v>478.3</v>
      </c>
      <c r="BG9">
        <v>23.72</v>
      </c>
      <c r="BH9">
        <v>277.52999999999997</v>
      </c>
      <c r="BI9">
        <v>349.65</v>
      </c>
      <c r="BJ9">
        <v>1260.57</v>
      </c>
      <c r="BK9">
        <v>0.03</v>
      </c>
      <c r="BL9">
        <v>0.06</v>
      </c>
      <c r="BM9">
        <v>0.09</v>
      </c>
      <c r="BN9">
        <v>0.15</v>
      </c>
      <c r="BO9">
        <v>0</v>
      </c>
      <c r="BP9">
        <v>0.3</v>
      </c>
      <c r="BQ9">
        <v>0.4</v>
      </c>
      <c r="BR9">
        <v>0.48</v>
      </c>
      <c r="BS9">
        <v>0.5</v>
      </c>
      <c r="BT9">
        <v>0.6</v>
      </c>
      <c r="BU9">
        <v>0.75</v>
      </c>
      <c r="BV9">
        <v>0.9</v>
      </c>
      <c r="BW9">
        <v>3.7000000000000002E-3</v>
      </c>
      <c r="BX9">
        <v>3.1099999999999999E-2</v>
      </c>
      <c r="BY9">
        <v>0.1055</v>
      </c>
      <c r="BZ9">
        <v>0.1908</v>
      </c>
      <c r="CA9">
        <v>0.2339</v>
      </c>
      <c r="CB9">
        <v>0.28999999999999998</v>
      </c>
      <c r="CC9">
        <v>0.3609</v>
      </c>
      <c r="CD9">
        <v>0.36720000000000003</v>
      </c>
      <c r="CE9">
        <v>0.41660000000000003</v>
      </c>
      <c r="CF9">
        <v>0.56759999999999999</v>
      </c>
      <c r="CG9">
        <v>0.68469999999999998</v>
      </c>
      <c r="CH9">
        <v>0.88590000000000002</v>
      </c>
      <c r="CI9">
        <f t="shared" ref="CI9:CI71" si="5">IF(CH9&gt;CG9,12,IF(CG9&gt;CF9,11,IF(CF9&gt;CE9,10,IF(CE9&gt;CD9,9,IF(CD9&gt;CC9,8,IF(CC9&gt;CB9,7,IF(CB9&gt;CA9,6,IF(CA9&gt;BZ9,5,IF(BZ9&gt;BY9,4,IF(BY9&gt;BX9,3,IF(BX9&gt;BW9,2,IF(BW9&gt;0,1,0))))))))))))</f>
        <v>12</v>
      </c>
      <c r="CJ9" s="370">
        <v>0.88590000000000002</v>
      </c>
      <c r="CK9" s="370">
        <f t="shared" ref="CK9:CK71" si="6">IF(CI9&gt;0,CJ9/CI9,0)</f>
        <v>7.3825000000000002E-2</v>
      </c>
      <c r="CL9" s="370">
        <f t="shared" ref="CL9:CL71" si="7">IF(BV9&gt;0,MIN(CK9*12/BV9,1),MIN(CK9*12,1))</f>
        <v>0.98433333333333328</v>
      </c>
      <c r="CM9">
        <v>910.92</v>
      </c>
      <c r="CN9" s="371">
        <v>0.14421680000000001</v>
      </c>
      <c r="CO9" s="371">
        <v>0.52507349999999997</v>
      </c>
      <c r="CP9" s="371">
        <v>0.33070959999999999</v>
      </c>
      <c r="CQ9">
        <v>2864</v>
      </c>
      <c r="CR9">
        <v>219</v>
      </c>
      <c r="CS9">
        <v>179</v>
      </c>
      <c r="CT9">
        <v>1029</v>
      </c>
      <c r="CU9">
        <v>1650</v>
      </c>
      <c r="CV9">
        <v>5941</v>
      </c>
      <c r="CW9">
        <v>181</v>
      </c>
      <c r="CX9">
        <v>321.25</v>
      </c>
      <c r="CY9">
        <v>20.7</v>
      </c>
      <c r="CZ9">
        <v>90.91</v>
      </c>
      <c r="DA9">
        <v>408.87</v>
      </c>
      <c r="DB9">
        <v>1022.73</v>
      </c>
      <c r="DC9">
        <v>0.02</v>
      </c>
      <c r="DD9">
        <v>7.0000000000000007E-2</v>
      </c>
      <c r="DE9">
        <v>0.11</v>
      </c>
      <c r="DF9">
        <v>0.16</v>
      </c>
      <c r="DG9">
        <v>0.26</v>
      </c>
      <c r="DH9">
        <v>0.36</v>
      </c>
      <c r="DI9">
        <v>0.5</v>
      </c>
      <c r="DJ9">
        <v>0.6</v>
      </c>
      <c r="DK9">
        <v>0.69</v>
      </c>
      <c r="DL9">
        <v>0.75</v>
      </c>
      <c r="DM9">
        <v>0.85</v>
      </c>
      <c r="DN9">
        <v>0.9</v>
      </c>
      <c r="DO9">
        <v>1.5100000000000001E-2</v>
      </c>
      <c r="DP9">
        <v>5.9799999999999999E-2</v>
      </c>
      <c r="DQ9">
        <v>0.1236</v>
      </c>
      <c r="DR9">
        <v>0.16539999999999999</v>
      </c>
      <c r="DS9">
        <v>0.2442</v>
      </c>
      <c r="DT9">
        <v>0.31019999999999998</v>
      </c>
      <c r="DU9">
        <v>0.39329999999999998</v>
      </c>
      <c r="DV9">
        <v>0.50490000000000002</v>
      </c>
      <c r="DW9">
        <v>0.54159999999999997</v>
      </c>
      <c r="DX9">
        <v>0.60909999999999997</v>
      </c>
      <c r="DY9">
        <v>0.62719999999999998</v>
      </c>
      <c r="DZ9">
        <v>0.82450000000000001</v>
      </c>
      <c r="EA9">
        <f t="shared" ref="EA9:EA71" si="8">IF(DZ9&gt;DY9,12,IF(DY9&gt;DX9,11,IF(DX9&gt;DW9,10,IF(DW9&gt;DV9,9,IF(DV9&gt;DU9,8,IF(DU9&gt;DT9,7,IF(DT9&gt;DS9,6,IF(DS9&gt;DR9,5,IF(DR9&gt;DQ9,4,IF(DQ9&gt;DP9,3,IF(DP9&gt;DO9,2,IF(DO9&gt;0,1,0))))))))))))</f>
        <v>12</v>
      </c>
      <c r="EB9" s="370">
        <v>0.82450000000000001</v>
      </c>
      <c r="EC9" s="370">
        <f t="shared" ref="EC9:EC71" si="9">IF(EA9&gt;0,EB9/EA9,0)</f>
        <v>6.870833333333333E-2</v>
      </c>
      <c r="ED9" s="370">
        <f t="shared" ref="ED9:ED71" si="10">IF(DN9&gt;0,MIN(EC9*12/DN9,1),MIN(EC9*12,1))</f>
        <v>0.9161111111111111</v>
      </c>
      <c r="EE9">
        <v>613.86</v>
      </c>
      <c r="EF9" s="371">
        <v>0.29485549999999999</v>
      </c>
      <c r="EG9" s="371">
        <v>0.52332780000000001</v>
      </c>
      <c r="EH9" s="371">
        <v>0.1818167</v>
      </c>
      <c r="EI9">
        <v>4373</v>
      </c>
      <c r="EJ9">
        <v>905</v>
      </c>
      <c r="EK9">
        <v>421</v>
      </c>
      <c r="EL9">
        <v>1582</v>
      </c>
      <c r="EM9">
        <v>2508</v>
      </c>
      <c r="EN9">
        <v>9789</v>
      </c>
      <c r="EO9">
        <v>269.13</v>
      </c>
      <c r="EP9">
        <v>442.43</v>
      </c>
      <c r="EQ9">
        <v>34.979999999999997</v>
      </c>
      <c r="ER9">
        <v>122.51</v>
      </c>
      <c r="ES9">
        <v>590.62</v>
      </c>
      <c r="ET9">
        <v>1459.67</v>
      </c>
      <c r="EU9">
        <v>0</v>
      </c>
      <c r="EV9">
        <v>0</v>
      </c>
      <c r="EW9">
        <v>0</v>
      </c>
      <c r="EX9">
        <v>0</v>
      </c>
      <c r="EY9">
        <v>0</v>
      </c>
      <c r="EZ9">
        <v>0</v>
      </c>
      <c r="FA9">
        <v>0</v>
      </c>
      <c r="FB9">
        <v>0</v>
      </c>
      <c r="FC9">
        <v>0</v>
      </c>
      <c r="FD9">
        <v>0</v>
      </c>
      <c r="FE9">
        <v>0</v>
      </c>
      <c r="FF9">
        <v>0</v>
      </c>
      <c r="FG9">
        <v>0</v>
      </c>
      <c r="FH9">
        <v>0</v>
      </c>
      <c r="FI9">
        <v>0</v>
      </c>
      <c r="FJ9">
        <v>0</v>
      </c>
      <c r="FK9">
        <v>0</v>
      </c>
      <c r="FL9">
        <v>0</v>
      </c>
      <c r="FM9">
        <v>0</v>
      </c>
      <c r="FN9">
        <v>0</v>
      </c>
      <c r="FO9">
        <v>0</v>
      </c>
      <c r="FP9">
        <v>0</v>
      </c>
      <c r="FQ9">
        <v>0</v>
      </c>
      <c r="FR9">
        <v>0</v>
      </c>
      <c r="FS9">
        <f t="shared" ref="FS9:FS71" si="11">IF(FR9&gt;FQ9,12,IF(FQ9&gt;FP9,11,IF(FP9&gt;FO9,10,IF(FO9&gt;FN9,9,IF(FN9&gt;FM9,8,IF(FM9&gt;FL9,7,IF(FL9&gt;FK9,6,IF(FK9&gt;FJ9,5,IF(FJ9&gt;FI9,4,IF(FI9&gt;FH9,3,IF(FH9&gt;FG9,2,IF(FG9&gt;0,1,0))))))))))))</f>
        <v>0</v>
      </c>
      <c r="FT9">
        <v>0</v>
      </c>
      <c r="FU9" s="370">
        <f t="shared" ref="FU9:FU71" si="12">IF(FS9&gt;0,FT9/FS9,0)</f>
        <v>0</v>
      </c>
      <c r="FV9" s="370">
        <f t="shared" ref="FV9:FV71" si="13">IF(FF9&gt;0,MIN(FU9*12/FF9,1),MIN(FU9*12,1))</f>
        <v>0</v>
      </c>
      <c r="FW9">
        <v>869.05</v>
      </c>
      <c r="FX9">
        <v>0.30968299999999999</v>
      </c>
      <c r="FY9">
        <v>0.50909610000000005</v>
      </c>
      <c r="FZ9">
        <v>0.18122089999999999</v>
      </c>
      <c r="GB9" s="219" t="s">
        <v>738</v>
      </c>
      <c r="GC9" s="370">
        <f>SUMPRODUCT($D$8:$D$71,$AT$8:$AT$71,$AU$8:$AU$71)/SUMIFS($AU$8:$AU$71,$C$8:$C$71,"&gt;0",$AT$8:$AT$71,"&gt;0")</f>
        <v>0.5128039883763581</v>
      </c>
      <c r="GD9" s="370">
        <f>SUMPRODUCT($D$8:$D$71,$CL$8:$CL$71,$CM$8:$CM$71)/SUMIFS($CM$8:$CM$71,$C$8:$C$71,"&gt;0",$CL$8:$CL$71,"&gt;0")</f>
        <v>0.82833165624601046</v>
      </c>
      <c r="GE9" s="370">
        <f>SUMPRODUCT($D$8:$D$71,$ED$8:$ED$71,$EE$8:$EE$71)/SUMIFS($EE$8:$EE$71,$C$8:$C$71,"&gt;0",$ED$8:$ED$71,"&gt;0")</f>
        <v>0.85986449366755069</v>
      </c>
      <c r="GF9" s="370">
        <f>SUMPRODUCT($D$8:$D$71,$FV$8:$FV$71,$FW$8:$FW$71)/SUMIFS($FW$8:$FW$71,$C$8:$C$71,"&gt;0",$FV$8:$FV$71,"&gt;0")</f>
        <v>0.75988549641705649</v>
      </c>
      <c r="GG9" s="370">
        <f>SUMIF($C$8:$C$71,"&gt;0",$AT$8:$AT$71)/COUNTIFS($C$8:$C$71,"&gt;0",$AT$8:$AT$71,"&gt;0")</f>
        <v>0.74368840849978912</v>
      </c>
      <c r="GH9" s="370">
        <f>SUMIF($C$8:$C$71,"&gt;0",$CL$8:$CL$71)/COUNTIF($C$8:$C$71,"&gt;0")</f>
        <v>0.81527558604249772</v>
      </c>
      <c r="GI9" s="370">
        <f>SUMIF($C$8:$C$71,"&gt;0",$ED$8:$ED$71)/COUNTIF($C$8:$C$71,"&gt;0")</f>
        <v>0.87320135223974971</v>
      </c>
      <c r="GJ9" s="370">
        <f>SUMIF($C$8:$C$71,"&gt;0",$FV$8:$FV$71)/COUNTIF($C$8:$C$71,"&gt;0")</f>
        <v>0.7144055859048859</v>
      </c>
    </row>
    <row r="10" spans="2:192" x14ac:dyDescent="0.25">
      <c r="B10" t="s">
        <v>165</v>
      </c>
      <c r="C10">
        <v>2</v>
      </c>
      <c r="D10">
        <f t="shared" si="0"/>
        <v>1</v>
      </c>
      <c r="E10">
        <f t="shared" si="1"/>
        <v>0</v>
      </c>
      <c r="F10" t="s">
        <v>232</v>
      </c>
      <c r="G10">
        <v>2508</v>
      </c>
      <c r="H10">
        <v>2286</v>
      </c>
      <c r="I10">
        <v>1361</v>
      </c>
      <c r="J10">
        <v>1049</v>
      </c>
      <c r="K10">
        <v>3275</v>
      </c>
      <c r="L10">
        <v>10479</v>
      </c>
      <c r="M10">
        <v>394.1</v>
      </c>
      <c r="N10">
        <v>783.97</v>
      </c>
      <c r="O10">
        <v>192.15</v>
      </c>
      <c r="P10">
        <v>103.22</v>
      </c>
      <c r="Q10">
        <v>280.57</v>
      </c>
      <c r="R10">
        <v>1754.01</v>
      </c>
      <c r="S10">
        <v>6.7100000000000007E-2</v>
      </c>
      <c r="T10">
        <v>0.16489999999999999</v>
      </c>
      <c r="U10">
        <v>0.29380000000000001</v>
      </c>
      <c r="V10">
        <v>0.46100000000000002</v>
      </c>
      <c r="W10">
        <v>0.62590000000000001</v>
      </c>
      <c r="X10">
        <v>0.71340000000000003</v>
      </c>
      <c r="Y10">
        <v>0.79010000000000002</v>
      </c>
      <c r="Z10">
        <v>0.85680000000000001</v>
      </c>
      <c r="AA10">
        <v>0.89939999999999998</v>
      </c>
      <c r="AB10">
        <v>0.95630000000000004</v>
      </c>
      <c r="AC10">
        <v>0.98929999999999996</v>
      </c>
      <c r="AD10">
        <v>1</v>
      </c>
      <c r="AE10">
        <v>0</v>
      </c>
      <c r="AF10">
        <v>0</v>
      </c>
      <c r="AG10">
        <v>0</v>
      </c>
      <c r="AH10">
        <v>0</v>
      </c>
      <c r="AI10">
        <v>0</v>
      </c>
      <c r="AJ10">
        <v>0</v>
      </c>
      <c r="AK10">
        <v>0</v>
      </c>
      <c r="AL10">
        <v>0</v>
      </c>
      <c r="AM10">
        <v>0</v>
      </c>
      <c r="AN10">
        <v>0</v>
      </c>
      <c r="AO10">
        <v>0</v>
      </c>
      <c r="AP10">
        <v>0</v>
      </c>
      <c r="AQ10">
        <f t="shared" si="2"/>
        <v>0</v>
      </c>
      <c r="AR10" s="370">
        <v>0</v>
      </c>
      <c r="AS10" s="370">
        <f t="shared" si="3"/>
        <v>0</v>
      </c>
      <c r="AT10" s="370">
        <f t="shared" si="4"/>
        <v>0</v>
      </c>
      <c r="AU10">
        <v>1473.44</v>
      </c>
      <c r="AV10" s="371">
        <v>0.26746930000000002</v>
      </c>
      <c r="AW10" s="371">
        <v>0.53206779999999998</v>
      </c>
      <c r="AX10" s="371">
        <v>0.2004629</v>
      </c>
      <c r="AY10">
        <v>5824</v>
      </c>
      <c r="AZ10">
        <v>1191</v>
      </c>
      <c r="BA10">
        <v>802</v>
      </c>
      <c r="BB10">
        <v>1537</v>
      </c>
      <c r="BC10">
        <v>8984</v>
      </c>
      <c r="BD10">
        <v>18338</v>
      </c>
      <c r="BE10">
        <v>701.62</v>
      </c>
      <c r="BF10">
        <v>1013.99</v>
      </c>
      <c r="BG10">
        <v>239.09</v>
      </c>
      <c r="BH10">
        <v>261.45</v>
      </c>
      <c r="BI10">
        <v>393.24</v>
      </c>
      <c r="BJ10">
        <v>2609.39</v>
      </c>
      <c r="BK10">
        <v>4.9000000000000002E-2</v>
      </c>
      <c r="BL10">
        <v>0.1217</v>
      </c>
      <c r="BM10">
        <v>0.25230000000000002</v>
      </c>
      <c r="BN10">
        <v>0.4587</v>
      </c>
      <c r="BO10">
        <v>0.5272</v>
      </c>
      <c r="BP10">
        <v>0.61439999999999995</v>
      </c>
      <c r="BQ10">
        <v>0.71499999999999997</v>
      </c>
      <c r="BR10">
        <v>0.79979999999999996</v>
      </c>
      <c r="BS10">
        <v>0.84819999999999995</v>
      </c>
      <c r="BT10">
        <v>0.9173</v>
      </c>
      <c r="BU10">
        <v>0.96499999999999997</v>
      </c>
      <c r="BV10">
        <v>0.99750000000000005</v>
      </c>
      <c r="BW10">
        <v>0</v>
      </c>
      <c r="BX10">
        <v>0</v>
      </c>
      <c r="BY10">
        <v>0.17680000000000001</v>
      </c>
      <c r="BZ10">
        <v>0.27479999999999999</v>
      </c>
      <c r="CA10">
        <v>0.27629999999999999</v>
      </c>
      <c r="CB10">
        <v>0.2923</v>
      </c>
      <c r="CC10">
        <v>0.3518</v>
      </c>
      <c r="CD10">
        <v>0.40189999999999998</v>
      </c>
      <c r="CE10">
        <v>0.45850000000000002</v>
      </c>
      <c r="CF10">
        <v>0</v>
      </c>
      <c r="CG10">
        <v>0.58650000000000002</v>
      </c>
      <c r="CH10">
        <v>0.78100000000000003</v>
      </c>
      <c r="CI10">
        <f t="shared" si="5"/>
        <v>12</v>
      </c>
      <c r="CJ10" s="370">
        <v>0.78100000000000003</v>
      </c>
      <c r="CK10" s="370">
        <f t="shared" si="6"/>
        <v>6.508333333333334E-2</v>
      </c>
      <c r="CL10" s="370">
        <f t="shared" si="7"/>
        <v>0.78295739348370941</v>
      </c>
      <c r="CM10">
        <v>2216.15</v>
      </c>
      <c r="CN10" s="371">
        <v>0.31659409999999999</v>
      </c>
      <c r="CO10" s="371">
        <v>0.4575458</v>
      </c>
      <c r="CP10" s="371">
        <v>0.22586020000000001</v>
      </c>
      <c r="CQ10">
        <v>5857</v>
      </c>
      <c r="CR10">
        <v>1134</v>
      </c>
      <c r="CS10">
        <v>795</v>
      </c>
      <c r="CT10">
        <v>2430</v>
      </c>
      <c r="CU10">
        <v>3473</v>
      </c>
      <c r="CV10">
        <v>13689</v>
      </c>
      <c r="CW10">
        <v>728.05</v>
      </c>
      <c r="CX10">
        <v>1279.77</v>
      </c>
      <c r="CY10">
        <v>128.81</v>
      </c>
      <c r="CZ10">
        <v>356.73</v>
      </c>
      <c r="DA10">
        <v>300.81</v>
      </c>
      <c r="DB10">
        <v>2794.17</v>
      </c>
      <c r="DC10">
        <v>7.4700000000000003E-2</v>
      </c>
      <c r="DD10">
        <v>0.1004</v>
      </c>
      <c r="DE10">
        <v>0.22950000000000001</v>
      </c>
      <c r="DF10">
        <v>0.42670000000000002</v>
      </c>
      <c r="DG10">
        <v>0.49980000000000002</v>
      </c>
      <c r="DH10">
        <v>0.58279999999999998</v>
      </c>
      <c r="DI10">
        <v>0.71340000000000003</v>
      </c>
      <c r="DJ10">
        <v>0.76880000000000004</v>
      </c>
      <c r="DK10">
        <v>0.8609</v>
      </c>
      <c r="DL10">
        <v>0.92049999999999998</v>
      </c>
      <c r="DM10">
        <v>0.95709999999999995</v>
      </c>
      <c r="DN10">
        <v>0.99390000000000001</v>
      </c>
      <c r="DO10">
        <v>0</v>
      </c>
      <c r="DP10">
        <v>4.36E-2</v>
      </c>
      <c r="DQ10">
        <v>4.8099999999999997E-2</v>
      </c>
      <c r="DR10">
        <v>8.9700000000000002E-2</v>
      </c>
      <c r="DS10">
        <v>0.15359999999999999</v>
      </c>
      <c r="DT10">
        <v>0.22700000000000001</v>
      </c>
      <c r="DU10">
        <v>0.30409999999999998</v>
      </c>
      <c r="DV10">
        <v>0.34449999999999997</v>
      </c>
      <c r="DW10">
        <v>0.40450000000000003</v>
      </c>
      <c r="DX10">
        <v>0.46429999999999999</v>
      </c>
      <c r="DY10">
        <v>0.57569999999999999</v>
      </c>
      <c r="DZ10">
        <v>0.7671</v>
      </c>
      <c r="EA10">
        <f t="shared" si="8"/>
        <v>12</v>
      </c>
      <c r="EB10" s="370">
        <v>0.7671</v>
      </c>
      <c r="EC10" s="370">
        <f t="shared" si="9"/>
        <v>6.3924999999999996E-2</v>
      </c>
      <c r="ED10" s="370">
        <f t="shared" si="10"/>
        <v>0.77180802897675815</v>
      </c>
      <c r="EE10">
        <v>2493.36</v>
      </c>
      <c r="EF10" s="371">
        <v>0.29199550000000002</v>
      </c>
      <c r="EG10" s="371">
        <v>0.51327129999999999</v>
      </c>
      <c r="EH10" s="371">
        <v>0.1947332</v>
      </c>
      <c r="EI10">
        <v>3863</v>
      </c>
      <c r="EJ10">
        <v>881</v>
      </c>
      <c r="EK10">
        <v>486</v>
      </c>
      <c r="EL10">
        <v>1953</v>
      </c>
      <c r="EM10">
        <v>2250</v>
      </c>
      <c r="EN10">
        <v>9433</v>
      </c>
      <c r="EO10">
        <v>599.46</v>
      </c>
      <c r="EP10">
        <v>961.82</v>
      </c>
      <c r="EQ10">
        <v>107.5</v>
      </c>
      <c r="ER10">
        <v>337.21</v>
      </c>
      <c r="ES10">
        <v>173.34</v>
      </c>
      <c r="ET10">
        <v>2179.33</v>
      </c>
      <c r="EU10">
        <v>7.9299999999999995E-2</v>
      </c>
      <c r="EV10">
        <v>0.16070000000000001</v>
      </c>
      <c r="EW10">
        <v>0.2344</v>
      </c>
      <c r="EX10">
        <v>0.34389999999999998</v>
      </c>
      <c r="EY10">
        <v>0.41789999999999999</v>
      </c>
      <c r="EZ10">
        <v>0.51249999999999996</v>
      </c>
      <c r="FA10">
        <v>0.62939999999999996</v>
      </c>
      <c r="FB10">
        <v>0.70120000000000005</v>
      </c>
      <c r="FC10">
        <v>0.7762</v>
      </c>
      <c r="FD10">
        <v>0.84919999999999995</v>
      </c>
      <c r="FE10">
        <v>0.9103</v>
      </c>
      <c r="FF10">
        <v>0.97589999999999999</v>
      </c>
      <c r="FG10">
        <v>0</v>
      </c>
      <c r="FH10">
        <v>5.7599999999999998E-2</v>
      </c>
      <c r="FI10">
        <v>9.0899999999999995E-2</v>
      </c>
      <c r="FJ10">
        <v>0.14879999999999999</v>
      </c>
      <c r="FK10">
        <v>0.2213</v>
      </c>
      <c r="FL10">
        <v>0.28000000000000003</v>
      </c>
      <c r="FM10">
        <v>0.36549999999999999</v>
      </c>
      <c r="FN10">
        <v>0.42680000000000001</v>
      </c>
      <c r="FO10">
        <v>0.42680000000000001</v>
      </c>
      <c r="FP10">
        <v>0</v>
      </c>
      <c r="FQ10">
        <v>0</v>
      </c>
      <c r="FR10">
        <v>0</v>
      </c>
      <c r="FS10">
        <f t="shared" si="11"/>
        <v>8</v>
      </c>
      <c r="FT10">
        <v>0.42680000000000001</v>
      </c>
      <c r="FU10" s="370">
        <f t="shared" si="12"/>
        <v>5.3350000000000002E-2</v>
      </c>
      <c r="FV10" s="370">
        <f t="shared" si="13"/>
        <v>0.6560098370734706</v>
      </c>
      <c r="FW10">
        <v>2005.99</v>
      </c>
      <c r="FX10">
        <v>0.29883500000000002</v>
      </c>
      <c r="FY10">
        <v>0.47947400000000001</v>
      </c>
      <c r="FZ10">
        <v>0.221691</v>
      </c>
      <c r="GB10" s="219" t="s">
        <v>739</v>
      </c>
      <c r="GC10" s="370">
        <f>SUMPRODUCT($E$8:$E$71,$AT$8:$AT$71,$AU$8:$AU$71)/SUMIFS($AU$8:$AU$71,$C$8:$C$71,"=1",$AT$8:$AT$71,"&gt;0")</f>
        <v>0.46679058325892592</v>
      </c>
      <c r="GD10" s="370">
        <f>SUMPRODUCT($E$8:$E$71,$CL$8:$CL$71,$CM$8:$CM$71)/SUMIFS($CM$8:$CM$71,$C$8:$C$71,"=1",$CL$8:$CL$71,"&gt;0")</f>
        <v>0.83029303483681138</v>
      </c>
      <c r="GE10" s="370">
        <f>SUMPRODUCT($E$8:$E$71,$ED$8:$ED$71,$EE$8:$EE$71)/SUMIFS($EE$8:$EE$71,$C$8:$C$71,"=1",$ED$8:$ED$71,"&gt;0")</f>
        <v>0.85663719382509596</v>
      </c>
      <c r="GF10" s="370">
        <f>SUMPRODUCT($E$8:$E$71,$FV$8:$FV$71,$FW$8:$FW$71)/SUMIFS($FW$8:$FW$71,$C$8:$C$71,"=1",$FV$8:$FV$71,"&gt;0")</f>
        <v>0.76141037420388624</v>
      </c>
      <c r="GG10" s="370">
        <f>SUMIF($C$8:$C$71,"=1",$AT$8:$AT$71)/COUNTIFS($C$8:$C$71,"=1",$AT$8:$AT$71,"&gt;0")</f>
        <v>0.71536039793872863</v>
      </c>
      <c r="GH10" s="370">
        <f>SUMIF($C$8:$C$71,"=1",$CL$8:$CL$71)/COUNTIF($C$8:$C$71,"=1")</f>
        <v>0.84755387403495153</v>
      </c>
      <c r="GI10" s="370">
        <f>SUMIF($C$8:$C$71,"=1",$ED$8:$ED$71)/COUNTIF($C$8:$C$71,"=1")</f>
        <v>0.89824484551688555</v>
      </c>
      <c r="GJ10" s="370">
        <f>SUMIF($C$8:$C$71,"=1",$FV$8:$FV$71)/COUNTIF($C$8:$C$71,"=1")</f>
        <v>0.72535733035976124</v>
      </c>
    </row>
    <row r="11" spans="2:192" x14ac:dyDescent="0.25">
      <c r="B11" t="s">
        <v>162</v>
      </c>
      <c r="C11">
        <v>1</v>
      </c>
      <c r="D11">
        <f t="shared" si="0"/>
        <v>1</v>
      </c>
      <c r="E11">
        <f t="shared" si="1"/>
        <v>1</v>
      </c>
      <c r="F11" t="s">
        <v>168</v>
      </c>
      <c r="G11">
        <v>1038</v>
      </c>
      <c r="H11">
        <v>826</v>
      </c>
      <c r="I11">
        <v>96</v>
      </c>
      <c r="J11">
        <v>173</v>
      </c>
      <c r="K11">
        <v>2194</v>
      </c>
      <c r="L11">
        <v>4327</v>
      </c>
      <c r="M11">
        <v>84.83</v>
      </c>
      <c r="N11">
        <v>197.43</v>
      </c>
      <c r="O11">
        <v>9.26</v>
      </c>
      <c r="P11">
        <v>9.3000000000000007</v>
      </c>
      <c r="Q11">
        <v>250.75</v>
      </c>
      <c r="R11">
        <v>551.57000000000005</v>
      </c>
      <c r="S11">
        <v>7.8399999999999997E-2</v>
      </c>
      <c r="T11">
        <v>0.1095</v>
      </c>
      <c r="U11">
        <v>0.15160000000000001</v>
      </c>
      <c r="V11">
        <v>0.25990000000000002</v>
      </c>
      <c r="W11">
        <v>0.34039999999999998</v>
      </c>
      <c r="X11">
        <v>0.42</v>
      </c>
      <c r="Y11">
        <v>0.56179999999999997</v>
      </c>
      <c r="Z11">
        <v>0.61699999999999999</v>
      </c>
      <c r="AA11">
        <v>0.69669999999999999</v>
      </c>
      <c r="AB11">
        <v>0.74160000000000004</v>
      </c>
      <c r="AC11">
        <v>0.8679</v>
      </c>
      <c r="AD11">
        <v>0.97509999999999997</v>
      </c>
      <c r="AE11">
        <v>2.5399999999999999E-2</v>
      </c>
      <c r="AF11">
        <v>5.2499999999999998E-2</v>
      </c>
      <c r="AG11">
        <v>8.43E-2</v>
      </c>
      <c r="AH11">
        <v>0.14249999999999999</v>
      </c>
      <c r="AI11">
        <v>0.1981</v>
      </c>
      <c r="AJ11">
        <v>0.28370000000000001</v>
      </c>
      <c r="AK11">
        <v>0.37940000000000002</v>
      </c>
      <c r="AL11">
        <v>0.47639999999999999</v>
      </c>
      <c r="AM11">
        <v>0.47639999999999999</v>
      </c>
      <c r="AN11">
        <v>0.47639999999999999</v>
      </c>
      <c r="AO11">
        <v>0.47639999999999999</v>
      </c>
      <c r="AP11">
        <v>0.47639999999999999</v>
      </c>
      <c r="AQ11">
        <f t="shared" si="2"/>
        <v>8</v>
      </c>
      <c r="AR11" s="370">
        <v>0.47639999999999999</v>
      </c>
      <c r="AS11" s="370">
        <f t="shared" si="3"/>
        <v>5.9549999999999999E-2</v>
      </c>
      <c r="AT11" s="370">
        <f t="shared" si="4"/>
        <v>0.73284791303456065</v>
      </c>
      <c r="AU11">
        <v>300.82</v>
      </c>
      <c r="AV11" s="371">
        <v>0.28199590000000002</v>
      </c>
      <c r="AW11" s="371">
        <v>0.6563061</v>
      </c>
      <c r="AX11" s="371">
        <v>6.1698000000000003E-2</v>
      </c>
      <c r="AY11">
        <v>1043</v>
      </c>
      <c r="AZ11">
        <v>731</v>
      </c>
      <c r="BA11">
        <v>138</v>
      </c>
      <c r="BB11">
        <v>61</v>
      </c>
      <c r="BC11">
        <v>1855</v>
      </c>
      <c r="BD11">
        <v>3828</v>
      </c>
      <c r="BE11">
        <v>111.84</v>
      </c>
      <c r="BF11">
        <v>298.81</v>
      </c>
      <c r="BG11">
        <v>7.54</v>
      </c>
      <c r="BH11">
        <v>3.26</v>
      </c>
      <c r="BI11">
        <v>274.69</v>
      </c>
      <c r="BJ11">
        <v>696.14</v>
      </c>
      <c r="BK11">
        <v>4.7100000000000003E-2</v>
      </c>
      <c r="BL11">
        <v>9.5799999999999996E-2</v>
      </c>
      <c r="BM11">
        <v>0.14929999999999999</v>
      </c>
      <c r="BN11">
        <v>0.22939999999999999</v>
      </c>
      <c r="BO11">
        <v>0.3155</v>
      </c>
      <c r="BP11">
        <v>0.40560000000000002</v>
      </c>
      <c r="BQ11">
        <v>0.51780000000000004</v>
      </c>
      <c r="BR11">
        <v>0.60040000000000004</v>
      </c>
      <c r="BS11">
        <v>0.69140000000000001</v>
      </c>
      <c r="BT11">
        <v>0.77229999999999999</v>
      </c>
      <c r="BU11">
        <v>0.85760000000000003</v>
      </c>
      <c r="BV11">
        <v>0.9617</v>
      </c>
      <c r="BW11">
        <v>2.1999999999999999E-2</v>
      </c>
      <c r="BX11">
        <v>4.3400000000000001E-2</v>
      </c>
      <c r="BY11">
        <v>7.2400000000000006E-2</v>
      </c>
      <c r="BZ11">
        <v>0.1273</v>
      </c>
      <c r="CA11">
        <v>0.20100000000000001</v>
      </c>
      <c r="CB11">
        <v>0.24160000000000001</v>
      </c>
      <c r="CC11">
        <v>0.41199999999999998</v>
      </c>
      <c r="CD11">
        <v>0.46379999999999999</v>
      </c>
      <c r="CE11">
        <v>0.54490000000000005</v>
      </c>
      <c r="CF11">
        <v>0.64039999999999997</v>
      </c>
      <c r="CG11">
        <v>0.75229999999999997</v>
      </c>
      <c r="CH11">
        <v>0.75229999999999997</v>
      </c>
      <c r="CI11">
        <f t="shared" si="5"/>
        <v>11</v>
      </c>
      <c r="CJ11" s="370">
        <v>0.75229999999999997</v>
      </c>
      <c r="CK11" s="370">
        <f t="shared" si="6"/>
        <v>6.8390909090909086E-2</v>
      </c>
      <c r="CL11" s="370">
        <f t="shared" si="7"/>
        <v>0.85337517842457011</v>
      </c>
      <c r="CM11">
        <v>421.45</v>
      </c>
      <c r="CN11" s="371">
        <v>0.26536959999999998</v>
      </c>
      <c r="CO11" s="371">
        <v>0.70900459999999998</v>
      </c>
      <c r="CP11" s="371">
        <v>2.5625800000000001E-2</v>
      </c>
      <c r="CQ11">
        <v>1336</v>
      </c>
      <c r="CR11">
        <v>1052</v>
      </c>
      <c r="CS11">
        <v>188</v>
      </c>
      <c r="CT11">
        <v>54</v>
      </c>
      <c r="CU11">
        <v>1964</v>
      </c>
      <c r="CV11">
        <v>4594</v>
      </c>
      <c r="CW11">
        <v>199.46</v>
      </c>
      <c r="CX11">
        <v>328.06</v>
      </c>
      <c r="CY11">
        <v>11.71</v>
      </c>
      <c r="CZ11">
        <v>5.12</v>
      </c>
      <c r="DA11">
        <v>390.94</v>
      </c>
      <c r="DB11">
        <v>935.29</v>
      </c>
      <c r="DC11">
        <v>1.9099999999999999E-2</v>
      </c>
      <c r="DD11">
        <v>7.6300000000000007E-2</v>
      </c>
      <c r="DE11">
        <v>0.1908</v>
      </c>
      <c r="DF11">
        <v>0.2671</v>
      </c>
      <c r="DG11">
        <v>0.36249999999999999</v>
      </c>
      <c r="DH11">
        <v>0.47689999999999999</v>
      </c>
      <c r="DI11">
        <v>0.59140000000000004</v>
      </c>
      <c r="DJ11">
        <v>0.68679999999999997</v>
      </c>
      <c r="DK11">
        <v>0.7631</v>
      </c>
      <c r="DL11">
        <v>0.82989999999999997</v>
      </c>
      <c r="DM11">
        <v>0.87760000000000005</v>
      </c>
      <c r="DN11">
        <v>0.95389999999999997</v>
      </c>
      <c r="DO11">
        <v>1.6400000000000001E-2</v>
      </c>
      <c r="DP11">
        <v>3.6499999999999998E-2</v>
      </c>
      <c r="DQ11">
        <v>6.9400000000000003E-2</v>
      </c>
      <c r="DR11">
        <v>0.13880000000000001</v>
      </c>
      <c r="DS11">
        <v>0.22259999999999999</v>
      </c>
      <c r="DT11">
        <v>0.31879999999999997</v>
      </c>
      <c r="DU11">
        <v>0.39889999999999998</v>
      </c>
      <c r="DV11">
        <v>0.46410000000000001</v>
      </c>
      <c r="DW11">
        <v>0.56669999999999998</v>
      </c>
      <c r="DX11">
        <v>0.62519999999999998</v>
      </c>
      <c r="DY11">
        <v>0.72699999999999998</v>
      </c>
      <c r="DZ11">
        <v>0.93979999999999997</v>
      </c>
      <c r="EA11">
        <f t="shared" si="8"/>
        <v>12</v>
      </c>
      <c r="EB11" s="370">
        <v>0.93979999999999997</v>
      </c>
      <c r="EC11" s="370">
        <f t="shared" si="9"/>
        <v>7.8316666666666659E-2</v>
      </c>
      <c r="ED11" s="370">
        <f t="shared" si="10"/>
        <v>0.98521857637068877</v>
      </c>
      <c r="EE11">
        <v>544.35</v>
      </c>
      <c r="EF11" s="371">
        <v>0.36641869999999999</v>
      </c>
      <c r="EG11" s="371">
        <v>0.60266379999999997</v>
      </c>
      <c r="EH11" s="371">
        <v>3.09176E-2</v>
      </c>
      <c r="EI11">
        <v>931</v>
      </c>
      <c r="EJ11">
        <v>740</v>
      </c>
      <c r="EK11">
        <v>149</v>
      </c>
      <c r="EL11">
        <v>24</v>
      </c>
      <c r="EM11">
        <v>2292</v>
      </c>
      <c r="EN11">
        <v>4136</v>
      </c>
      <c r="EO11">
        <v>153.88999999999999</v>
      </c>
      <c r="EP11">
        <v>233.28</v>
      </c>
      <c r="EQ11">
        <v>10.06</v>
      </c>
      <c r="ER11">
        <v>2.85</v>
      </c>
      <c r="ES11">
        <v>336.14</v>
      </c>
      <c r="ET11">
        <v>736.22</v>
      </c>
      <c r="EU11">
        <v>0.02</v>
      </c>
      <c r="EV11">
        <v>0.08</v>
      </c>
      <c r="EW11">
        <v>0</v>
      </c>
      <c r="EX11">
        <v>0.28000000000000003</v>
      </c>
      <c r="EY11">
        <v>0.38</v>
      </c>
      <c r="EZ11">
        <v>0.5</v>
      </c>
      <c r="FA11">
        <v>0.62</v>
      </c>
      <c r="FB11">
        <v>0.72</v>
      </c>
      <c r="FC11">
        <v>0.8</v>
      </c>
      <c r="FD11">
        <v>0.87</v>
      </c>
      <c r="FE11">
        <v>0.92</v>
      </c>
      <c r="FF11">
        <v>1</v>
      </c>
      <c r="FG11">
        <v>1.7600000000000001E-2</v>
      </c>
      <c r="FH11">
        <v>4.0099999999999997E-2</v>
      </c>
      <c r="FI11">
        <v>8.0699999999999994E-2</v>
      </c>
      <c r="FJ11">
        <v>0.13539999999999999</v>
      </c>
      <c r="FK11">
        <v>0.22889999999999999</v>
      </c>
      <c r="FL11">
        <v>0.33310000000000001</v>
      </c>
      <c r="FM11">
        <v>0.44540000000000002</v>
      </c>
      <c r="FN11">
        <v>0.51649999999999996</v>
      </c>
      <c r="FO11">
        <v>0.51649999999999996</v>
      </c>
      <c r="FP11">
        <v>0</v>
      </c>
      <c r="FQ11">
        <v>0</v>
      </c>
      <c r="FR11">
        <v>0</v>
      </c>
      <c r="FS11">
        <f t="shared" si="11"/>
        <v>8</v>
      </c>
      <c r="FT11">
        <v>0.51649999999999996</v>
      </c>
      <c r="FU11" s="370">
        <f t="shared" si="12"/>
        <v>6.4562499999999995E-2</v>
      </c>
      <c r="FV11" s="370">
        <f t="shared" si="13"/>
        <v>0.77474999999999994</v>
      </c>
      <c r="FW11">
        <v>400.08</v>
      </c>
      <c r="FX11">
        <v>0.38464809999999999</v>
      </c>
      <c r="FY11">
        <v>0.58308340000000003</v>
      </c>
      <c r="FZ11">
        <v>3.2268499999999999E-2</v>
      </c>
      <c r="GB11" s="219" t="s">
        <v>740</v>
      </c>
      <c r="GC11" t="s">
        <v>139</v>
      </c>
      <c r="GD11" t="s">
        <v>139</v>
      </c>
      <c r="GE11" t="s">
        <v>139</v>
      </c>
      <c r="GF11" t="s">
        <v>139</v>
      </c>
      <c r="GG11" t="s">
        <v>139</v>
      </c>
      <c r="GH11" t="s">
        <v>139</v>
      </c>
      <c r="GI11" t="s">
        <v>139</v>
      </c>
      <c r="GJ11" t="s">
        <v>139</v>
      </c>
    </row>
    <row r="12" spans="2:192" x14ac:dyDescent="0.25">
      <c r="B12" t="s">
        <v>162</v>
      </c>
      <c r="C12">
        <v>1</v>
      </c>
      <c r="D12">
        <f t="shared" si="0"/>
        <v>1</v>
      </c>
      <c r="E12">
        <f t="shared" si="1"/>
        <v>1</v>
      </c>
      <c r="F12" t="s">
        <v>170</v>
      </c>
      <c r="G12">
        <v>562</v>
      </c>
      <c r="H12">
        <v>431</v>
      </c>
      <c r="I12">
        <v>208</v>
      </c>
      <c r="J12">
        <v>147</v>
      </c>
      <c r="K12">
        <v>1208</v>
      </c>
      <c r="L12">
        <v>2556</v>
      </c>
      <c r="M12">
        <v>50.84</v>
      </c>
      <c r="N12">
        <v>189.89</v>
      </c>
      <c r="O12">
        <v>15.8</v>
      </c>
      <c r="P12">
        <v>24.83</v>
      </c>
      <c r="Q12">
        <v>209.06</v>
      </c>
      <c r="R12">
        <v>490.42</v>
      </c>
      <c r="S12">
        <v>0.16259999999999999</v>
      </c>
      <c r="T12">
        <v>0.23619999999999999</v>
      </c>
      <c r="U12">
        <v>0.31780000000000003</v>
      </c>
      <c r="V12">
        <v>0.47410000000000002</v>
      </c>
      <c r="W12">
        <v>0.53539999999999999</v>
      </c>
      <c r="X12">
        <v>0.6018</v>
      </c>
      <c r="Y12">
        <v>0.75780000000000003</v>
      </c>
      <c r="Z12">
        <v>0.82220000000000004</v>
      </c>
      <c r="AA12">
        <v>0.87829999999999997</v>
      </c>
      <c r="AB12">
        <v>0.94279999999999997</v>
      </c>
      <c r="AC12">
        <v>0.97299999999999998</v>
      </c>
      <c r="AD12">
        <v>1</v>
      </c>
      <c r="AE12">
        <v>3.5400000000000001E-2</v>
      </c>
      <c r="AF12">
        <v>7.4999999999999997E-2</v>
      </c>
      <c r="AG12">
        <v>0.12280000000000001</v>
      </c>
      <c r="AH12">
        <v>0.18410000000000001</v>
      </c>
      <c r="AI12">
        <v>0.27089999999999997</v>
      </c>
      <c r="AJ12">
        <v>0.34939999999999999</v>
      </c>
      <c r="AK12">
        <v>0.4446</v>
      </c>
      <c r="AL12">
        <v>0.53490000000000004</v>
      </c>
      <c r="AM12">
        <v>0.53490000000000004</v>
      </c>
      <c r="AN12">
        <v>0.53490000000000004</v>
      </c>
      <c r="AO12">
        <v>0.53490000000000004</v>
      </c>
      <c r="AP12">
        <v>0.53490000000000004</v>
      </c>
      <c r="AQ12">
        <f t="shared" si="2"/>
        <v>8</v>
      </c>
      <c r="AR12" s="370">
        <v>0.53490000000000004</v>
      </c>
      <c r="AS12" s="370">
        <f t="shared" si="3"/>
        <v>6.6862500000000005E-2</v>
      </c>
      <c r="AT12" s="370">
        <f t="shared" si="4"/>
        <v>0.80235000000000012</v>
      </c>
      <c r="AU12">
        <v>281.36</v>
      </c>
      <c r="AV12" s="371">
        <v>0.18069379999999999</v>
      </c>
      <c r="AW12" s="371">
        <v>0.67490050000000001</v>
      </c>
      <c r="AX12" s="371">
        <v>0.1444057</v>
      </c>
      <c r="AY12">
        <v>889</v>
      </c>
      <c r="AZ12">
        <v>512</v>
      </c>
      <c r="BA12">
        <v>267</v>
      </c>
      <c r="BB12">
        <v>184</v>
      </c>
      <c r="BC12">
        <v>3921</v>
      </c>
      <c r="BD12">
        <v>5773</v>
      </c>
      <c r="BE12">
        <v>53.62</v>
      </c>
      <c r="BF12">
        <v>291.13</v>
      </c>
      <c r="BG12">
        <v>12.1</v>
      </c>
      <c r="BH12">
        <v>12.4</v>
      </c>
      <c r="BI12">
        <v>305.08</v>
      </c>
      <c r="BJ12">
        <v>674.33</v>
      </c>
      <c r="BK12">
        <v>0.22459999999999999</v>
      </c>
      <c r="BL12">
        <v>0.29310000000000003</v>
      </c>
      <c r="BM12">
        <v>0.36259999999999998</v>
      </c>
      <c r="BN12">
        <v>0.50770000000000004</v>
      </c>
      <c r="BO12">
        <v>0.56869999999999998</v>
      </c>
      <c r="BP12">
        <v>0.63139999999999996</v>
      </c>
      <c r="BQ12">
        <v>0.76980000000000004</v>
      </c>
      <c r="BR12">
        <v>0.83299999999999996</v>
      </c>
      <c r="BS12">
        <v>0.89190000000000003</v>
      </c>
      <c r="BT12">
        <v>0.9466</v>
      </c>
      <c r="BU12">
        <v>0.97609999999999997</v>
      </c>
      <c r="BV12">
        <v>1</v>
      </c>
      <c r="BW12">
        <v>2.07E-2</v>
      </c>
      <c r="BX12">
        <v>5.4100000000000002E-2</v>
      </c>
      <c r="BY12">
        <v>0.1144</v>
      </c>
      <c r="BZ12">
        <v>0.1532</v>
      </c>
      <c r="CA12">
        <v>0.22140000000000001</v>
      </c>
      <c r="CB12">
        <v>0.30909999999999999</v>
      </c>
      <c r="CC12">
        <v>0.37269999999999998</v>
      </c>
      <c r="CD12">
        <v>0.50009999999999999</v>
      </c>
      <c r="CE12">
        <v>0.55730000000000002</v>
      </c>
      <c r="CF12">
        <v>0.63970000000000005</v>
      </c>
      <c r="CG12">
        <v>0.63970000000000005</v>
      </c>
      <c r="CH12">
        <v>0.63970000000000005</v>
      </c>
      <c r="CI12">
        <f t="shared" si="5"/>
        <v>10</v>
      </c>
      <c r="CJ12" s="370">
        <v>0.63970000000000005</v>
      </c>
      <c r="CK12" s="370">
        <f t="shared" si="6"/>
        <v>6.3969999999999999E-2</v>
      </c>
      <c r="CL12" s="370">
        <f t="shared" si="7"/>
        <v>0.76763999999999999</v>
      </c>
      <c r="CM12">
        <v>369.25</v>
      </c>
      <c r="CN12" s="371">
        <v>0.14521329999999999</v>
      </c>
      <c r="CO12" s="371">
        <v>0.78843600000000003</v>
      </c>
      <c r="CP12" s="371">
        <v>6.6350699999999999E-2</v>
      </c>
      <c r="CQ12">
        <v>2962</v>
      </c>
      <c r="CR12">
        <v>568</v>
      </c>
      <c r="CS12">
        <v>197</v>
      </c>
      <c r="CT12">
        <v>1204</v>
      </c>
      <c r="CU12">
        <v>2969</v>
      </c>
      <c r="CV12">
        <v>7900</v>
      </c>
      <c r="CW12">
        <v>137.88999999999999</v>
      </c>
      <c r="CX12">
        <v>184.44</v>
      </c>
      <c r="CY12">
        <v>10</v>
      </c>
      <c r="CZ12">
        <v>43.6</v>
      </c>
      <c r="DA12">
        <v>139.38999999999999</v>
      </c>
      <c r="DB12">
        <v>515.32000000000005</v>
      </c>
      <c r="DC12">
        <v>9.1700000000000004E-2</v>
      </c>
      <c r="DD12">
        <v>0.1769</v>
      </c>
      <c r="DE12">
        <v>0.27350000000000002</v>
      </c>
      <c r="DF12">
        <v>0.38600000000000001</v>
      </c>
      <c r="DG12">
        <v>0.46829999999999999</v>
      </c>
      <c r="DH12">
        <v>0.56910000000000005</v>
      </c>
      <c r="DI12">
        <v>0.66439999999999999</v>
      </c>
      <c r="DJ12">
        <v>0.74380000000000002</v>
      </c>
      <c r="DK12">
        <v>0.87670000000000003</v>
      </c>
      <c r="DL12">
        <v>0.92279999999999995</v>
      </c>
      <c r="DM12">
        <v>0.95989999999999998</v>
      </c>
      <c r="DN12">
        <v>1</v>
      </c>
      <c r="DO12">
        <v>2.35E-2</v>
      </c>
      <c r="DP12">
        <v>5.5199999999999999E-2</v>
      </c>
      <c r="DQ12">
        <v>7.9100000000000004E-2</v>
      </c>
      <c r="DR12">
        <v>0.1711</v>
      </c>
      <c r="DS12">
        <v>0.25219999999999998</v>
      </c>
      <c r="DT12">
        <v>0.34520000000000001</v>
      </c>
      <c r="DU12">
        <v>0.438</v>
      </c>
      <c r="DV12">
        <v>0.50460000000000005</v>
      </c>
      <c r="DW12">
        <v>0.55859999999999999</v>
      </c>
      <c r="DX12">
        <v>0.68140000000000001</v>
      </c>
      <c r="DY12">
        <v>0.78490000000000004</v>
      </c>
      <c r="DZ12">
        <v>0.91679999999999995</v>
      </c>
      <c r="EA12">
        <f t="shared" si="8"/>
        <v>12</v>
      </c>
      <c r="EB12" s="370">
        <v>0.91679999999999995</v>
      </c>
      <c r="EC12" s="370">
        <f t="shared" si="9"/>
        <v>7.6399999999999996E-2</v>
      </c>
      <c r="ED12" s="370">
        <f t="shared" si="10"/>
        <v>0.91679999999999995</v>
      </c>
      <c r="EE12">
        <v>375.93</v>
      </c>
      <c r="EF12" s="371">
        <v>0.36679699999999998</v>
      </c>
      <c r="EG12" s="371">
        <v>0.49062329999999998</v>
      </c>
      <c r="EH12" s="371">
        <v>0.1425797</v>
      </c>
      <c r="EI12">
        <v>3739</v>
      </c>
      <c r="EJ12">
        <v>354</v>
      </c>
      <c r="EK12">
        <v>226</v>
      </c>
      <c r="EL12">
        <v>883</v>
      </c>
      <c r="EM12">
        <v>2851</v>
      </c>
      <c r="EN12">
        <v>8053</v>
      </c>
      <c r="EO12">
        <v>169.39</v>
      </c>
      <c r="EP12">
        <v>152.66999999999999</v>
      </c>
      <c r="EQ12">
        <v>14.53</v>
      </c>
      <c r="ER12">
        <v>56.63</v>
      </c>
      <c r="ES12">
        <v>131.19999999999999</v>
      </c>
      <c r="ET12">
        <v>524.41999999999996</v>
      </c>
      <c r="EU12">
        <v>0.1409</v>
      </c>
      <c r="EV12">
        <v>0.26729999999999998</v>
      </c>
      <c r="EW12">
        <v>0.34279999999999999</v>
      </c>
      <c r="EX12">
        <v>0.42259999999999998</v>
      </c>
      <c r="EY12">
        <v>0.54879999999999995</v>
      </c>
      <c r="EZ12">
        <v>0.63380000000000003</v>
      </c>
      <c r="FA12">
        <v>0.71179999999999999</v>
      </c>
      <c r="FB12">
        <v>0.83050000000000002</v>
      </c>
      <c r="FC12">
        <v>0.89480000000000004</v>
      </c>
      <c r="FD12">
        <v>0.93640000000000001</v>
      </c>
      <c r="FE12">
        <v>0.96389999999999998</v>
      </c>
      <c r="FF12">
        <v>1</v>
      </c>
      <c r="FG12">
        <v>2.4E-2</v>
      </c>
      <c r="FH12">
        <v>5.7599999999999998E-2</v>
      </c>
      <c r="FI12">
        <v>0.12509999999999999</v>
      </c>
      <c r="FJ12">
        <v>0.1789</v>
      </c>
      <c r="FK12">
        <v>0.31059999999999999</v>
      </c>
      <c r="FL12">
        <v>0.39660000000000001</v>
      </c>
      <c r="FM12">
        <v>0.52039999999999997</v>
      </c>
      <c r="FN12">
        <v>0.58660000000000001</v>
      </c>
      <c r="FO12">
        <v>0.58660000000000001</v>
      </c>
      <c r="FP12">
        <v>0</v>
      </c>
      <c r="FQ12">
        <v>0</v>
      </c>
      <c r="FR12">
        <v>0</v>
      </c>
      <c r="FS12">
        <f t="shared" si="11"/>
        <v>8</v>
      </c>
      <c r="FT12">
        <v>0.58660000000000001</v>
      </c>
      <c r="FU12" s="370">
        <f t="shared" si="12"/>
        <v>7.3325000000000001E-2</v>
      </c>
      <c r="FV12" s="370">
        <f t="shared" si="13"/>
        <v>0.87990000000000002</v>
      </c>
      <c r="FW12">
        <v>393.22</v>
      </c>
      <c r="FX12">
        <v>0.43077670000000001</v>
      </c>
      <c r="FY12">
        <v>0.38825589999999999</v>
      </c>
      <c r="FZ12">
        <v>0.1809674</v>
      </c>
      <c r="GB12" s="219" t="s">
        <v>744</v>
      </c>
      <c r="GC12" s="370">
        <f>SQRT(SUMPRODUCT(($GC$13-$AT$8:$AT$71),($GC$13-$AT$8:AT$71),$AU$8:$AU$71)/SUMIFS($AU$8:$AU$71,$AU$8:$AU$71,"&gt;0",$AT$8:$AT$71,"&gt;0"))</f>
        <v>0.30764876669502267</v>
      </c>
      <c r="GD12" s="370">
        <f>SQRT(SUMPRODUCT(($GD$13-$CL$8:$CL$71),($GD$13-$CL$8:CL$71),$CM$8:$CM$71)/SUMIFS($CM$8:$CM$71,$CM$8:$CM$71,"&gt;0",$CL$8:$CL$71,"&gt;0"))</f>
        <v>0.13869093663107399</v>
      </c>
      <c r="GE12" s="370">
        <f>SQRT(SUMPRODUCT(($GE$13-$ED$8:$ED$71),($GE$13-$ED$8:ED$71),$EE$8:$EE$71)/SUMIFS($EE$8:$EE$71,$EE$8:$EE$71,"&gt;0",$ED$8:$ED$71,"&gt;0"))</f>
        <v>0.16692422804960855</v>
      </c>
      <c r="GF12" s="370">
        <f>SQRT(SUMPRODUCT(($GF$13-$FV$8:$FV$71),($GF$13-$FV$8:$FV$71),$FW$8:$FW$71)/SUMIFS($FW$8:$FW$71,$FW$8:$FW$71,"&gt;0",$FV$8:$FV$71,"&gt;0"))</f>
        <v>0.23676898632655236</v>
      </c>
      <c r="GG12" s="370">
        <f>SQRT(SUMPRODUCT(($GG$13-$AT$8:$AT$71),($GG$13-$AT$8:$AT$71))/COUNTIFS($AT$8:$AT$71,"&gt;0"))</f>
        <v>0.3620017762991552</v>
      </c>
      <c r="GH12" s="370">
        <f>SQRT(SUMPRODUCT(($GH$13-$CL$8:$CL$71),($GH$13-$CL$8:$CL$71))/COUNTIFS($CL$8:$CL$71,"&gt;0"))</f>
        <v>0.21582697276327234</v>
      </c>
      <c r="GI12" s="370">
        <f>SQRT(SUMPRODUCT(($GI$13-$ED$8:$ED$71),($GI$13-$ED$8:$ED$71))/COUNTIFS($ED$8:$ED$71,"&gt;0"))</f>
        <v>0.22306825967271324</v>
      </c>
      <c r="GJ12" s="370">
        <f>SQRT(SUMPRODUCT(($GJ$13-$FV$8:$FV$71),($GJ$13-$FV$8:$FV$71))/COUNTIFS($FV$8:$FV$71,"&gt;0"))</f>
        <v>0.25212989743445469</v>
      </c>
    </row>
    <row r="13" spans="2:192" x14ac:dyDescent="0.25">
      <c r="B13" t="s">
        <v>165</v>
      </c>
      <c r="C13">
        <v>0</v>
      </c>
      <c r="D13">
        <f t="shared" si="0"/>
        <v>0</v>
      </c>
      <c r="E13">
        <f t="shared" si="1"/>
        <v>0</v>
      </c>
      <c r="F13" t="s">
        <v>170</v>
      </c>
      <c r="G13">
        <v>2</v>
      </c>
      <c r="H13">
        <v>104</v>
      </c>
      <c r="I13">
        <v>33</v>
      </c>
      <c r="J13">
        <v>1</v>
      </c>
      <c r="K13">
        <v>0</v>
      </c>
      <c r="L13">
        <v>140</v>
      </c>
      <c r="M13">
        <v>0.85</v>
      </c>
      <c r="N13">
        <v>96.62</v>
      </c>
      <c r="O13">
        <v>4.72</v>
      </c>
      <c r="P13">
        <v>0.97</v>
      </c>
      <c r="Q13">
        <v>0</v>
      </c>
      <c r="R13">
        <v>103.16</v>
      </c>
      <c r="S13">
        <v>7.6999999999999999E-2</v>
      </c>
      <c r="T13">
        <v>0.1885</v>
      </c>
      <c r="U13">
        <v>0.31480000000000002</v>
      </c>
      <c r="V13">
        <v>0.52700000000000002</v>
      </c>
      <c r="W13">
        <v>0.57979999999999998</v>
      </c>
      <c r="X13">
        <v>0.70699999999999996</v>
      </c>
      <c r="Y13">
        <v>0.80059999999999998</v>
      </c>
      <c r="Z13">
        <v>0.84109999999999996</v>
      </c>
      <c r="AA13">
        <v>0.89529999999999998</v>
      </c>
      <c r="AB13">
        <v>0.94950000000000001</v>
      </c>
      <c r="AC13">
        <v>0.97540000000000004</v>
      </c>
      <c r="AD13">
        <v>1</v>
      </c>
      <c r="AE13">
        <v>6.7000000000000002E-3</v>
      </c>
      <c r="AF13">
        <v>2.3099999999999999E-2</v>
      </c>
      <c r="AG13">
        <v>4.7800000000000002E-2</v>
      </c>
      <c r="AH13">
        <v>7.8299999999999995E-2</v>
      </c>
      <c r="AI13">
        <v>0.1038</v>
      </c>
      <c r="AJ13">
        <v>0.12809999999999999</v>
      </c>
      <c r="AK13">
        <v>0.12809999999999999</v>
      </c>
      <c r="AL13">
        <v>0.12809999999999999</v>
      </c>
      <c r="AM13">
        <v>0.12809999999999999</v>
      </c>
      <c r="AN13">
        <v>0.12809999999999999</v>
      </c>
      <c r="AO13">
        <v>0.12809999999999999</v>
      </c>
      <c r="AP13">
        <v>0.12809999999999999</v>
      </c>
      <c r="AQ13">
        <f t="shared" si="2"/>
        <v>6</v>
      </c>
      <c r="AR13" s="370">
        <v>0.12809999999999999</v>
      </c>
      <c r="AS13" s="370">
        <f t="shared" si="3"/>
        <v>2.1349999999999997E-2</v>
      </c>
      <c r="AT13" s="370">
        <f t="shared" si="4"/>
        <v>0.25619999999999998</v>
      </c>
      <c r="AU13">
        <v>103.16</v>
      </c>
      <c r="AV13" s="371">
        <v>8.2395999999999997E-3</v>
      </c>
      <c r="AW13" s="371">
        <v>0.93660330000000003</v>
      </c>
      <c r="AX13" s="371">
        <v>5.5156999999999998E-2</v>
      </c>
      <c r="AY13">
        <v>2</v>
      </c>
      <c r="AZ13">
        <v>126</v>
      </c>
      <c r="BA13">
        <v>33</v>
      </c>
      <c r="BB13">
        <v>1</v>
      </c>
      <c r="BC13">
        <v>0</v>
      </c>
      <c r="BD13">
        <v>162</v>
      </c>
      <c r="BE13">
        <v>3.54</v>
      </c>
      <c r="BF13">
        <v>189.58</v>
      </c>
      <c r="BG13">
        <v>4.54</v>
      </c>
      <c r="BH13">
        <v>0.3</v>
      </c>
      <c r="BI13">
        <v>0</v>
      </c>
      <c r="BJ13">
        <v>197.96</v>
      </c>
      <c r="BK13">
        <v>4.7199999999999999E-2</v>
      </c>
      <c r="BL13">
        <v>0.104</v>
      </c>
      <c r="BM13">
        <v>0.17599999999999999</v>
      </c>
      <c r="BN13">
        <v>0.26440000000000002</v>
      </c>
      <c r="BO13">
        <v>0.3755</v>
      </c>
      <c r="BP13">
        <v>0.51149999999999995</v>
      </c>
      <c r="BQ13">
        <v>0.64490000000000003</v>
      </c>
      <c r="BR13">
        <v>0.70660000000000001</v>
      </c>
      <c r="BS13">
        <v>0.81740000000000002</v>
      </c>
      <c r="BT13">
        <v>0.89019999999999999</v>
      </c>
      <c r="BU13">
        <v>0.93859999999999999</v>
      </c>
      <c r="BV13">
        <v>1</v>
      </c>
      <c r="BW13">
        <v>1.9599999999999999E-2</v>
      </c>
      <c r="BX13">
        <v>5.3900000000000003E-2</v>
      </c>
      <c r="BY13">
        <v>9.4700000000000006E-2</v>
      </c>
      <c r="BZ13">
        <v>0.14710000000000001</v>
      </c>
      <c r="CA13">
        <v>0.1951</v>
      </c>
      <c r="CB13">
        <v>0.30859999999999999</v>
      </c>
      <c r="CC13">
        <v>0.3926</v>
      </c>
      <c r="CD13">
        <v>0.59099999999999997</v>
      </c>
      <c r="CE13">
        <v>0.60350000000000004</v>
      </c>
      <c r="CF13">
        <v>0.60350000000000004</v>
      </c>
      <c r="CG13">
        <v>0.60350000000000004</v>
      </c>
      <c r="CH13">
        <v>0.60350000000000004</v>
      </c>
      <c r="CI13">
        <f t="shared" si="5"/>
        <v>9</v>
      </c>
      <c r="CJ13" s="370">
        <v>0.60350000000000004</v>
      </c>
      <c r="CK13" s="370">
        <f t="shared" si="6"/>
        <v>6.7055555555555563E-2</v>
      </c>
      <c r="CL13" s="370">
        <f t="shared" si="7"/>
        <v>0.80466666666666675</v>
      </c>
      <c r="CM13">
        <v>197.96</v>
      </c>
      <c r="CN13" s="371">
        <v>1.78824E-2</v>
      </c>
      <c r="CO13" s="371">
        <v>0.95766819999999997</v>
      </c>
      <c r="CP13" s="371">
        <v>2.44494E-2</v>
      </c>
      <c r="CQ13">
        <v>295</v>
      </c>
      <c r="CR13">
        <v>151</v>
      </c>
      <c r="CS13">
        <v>164</v>
      </c>
      <c r="CT13">
        <v>11</v>
      </c>
      <c r="CU13">
        <v>384</v>
      </c>
      <c r="CV13">
        <v>1005</v>
      </c>
      <c r="CW13">
        <v>44.21</v>
      </c>
      <c r="CX13">
        <v>167.63</v>
      </c>
      <c r="CY13">
        <v>8.3800000000000008</v>
      </c>
      <c r="CZ13">
        <v>2.74</v>
      </c>
      <c r="DA13">
        <v>22.55</v>
      </c>
      <c r="DB13">
        <v>245.51</v>
      </c>
      <c r="DC13">
        <v>7.5700000000000003E-2</v>
      </c>
      <c r="DD13">
        <v>0.14480000000000001</v>
      </c>
      <c r="DE13">
        <v>0.2311</v>
      </c>
      <c r="DF13">
        <v>0.3291</v>
      </c>
      <c r="DG13">
        <v>0.42409999999999998</v>
      </c>
      <c r="DH13">
        <v>0.5706</v>
      </c>
      <c r="DI13">
        <v>0.66169999999999995</v>
      </c>
      <c r="DJ13">
        <v>0.73350000000000004</v>
      </c>
      <c r="DK13">
        <v>0.81279999999999997</v>
      </c>
      <c r="DL13">
        <v>0.87670000000000003</v>
      </c>
      <c r="DM13">
        <v>0.93220000000000003</v>
      </c>
      <c r="DN13">
        <v>1</v>
      </c>
      <c r="DO13">
        <v>2.4E-2</v>
      </c>
      <c r="DP13">
        <v>6.0699999999999997E-2</v>
      </c>
      <c r="DQ13">
        <v>0.106</v>
      </c>
      <c r="DR13">
        <v>0.159</v>
      </c>
      <c r="DS13">
        <v>0.2261</v>
      </c>
      <c r="DT13">
        <v>0.29870000000000002</v>
      </c>
      <c r="DU13">
        <v>0.46139999999999998</v>
      </c>
      <c r="DV13">
        <v>0.54220000000000002</v>
      </c>
      <c r="DW13">
        <v>0.54220000000000002</v>
      </c>
      <c r="DX13">
        <v>0</v>
      </c>
      <c r="DY13">
        <v>0</v>
      </c>
      <c r="DZ13">
        <v>0</v>
      </c>
      <c r="EA13">
        <f t="shared" si="8"/>
        <v>8</v>
      </c>
      <c r="EB13" s="370">
        <v>0.54220000000000002</v>
      </c>
      <c r="EC13" s="370">
        <f t="shared" si="9"/>
        <v>6.7775000000000002E-2</v>
      </c>
      <c r="ED13" s="370">
        <f t="shared" si="10"/>
        <v>0.81330000000000002</v>
      </c>
      <c r="EE13">
        <v>222.96</v>
      </c>
      <c r="EF13" s="371">
        <v>0.19828670000000001</v>
      </c>
      <c r="EG13" s="371">
        <v>0.75183889999999998</v>
      </c>
      <c r="EH13" s="371">
        <v>4.9874399999999999E-2</v>
      </c>
      <c r="EI13">
        <v>295</v>
      </c>
      <c r="EJ13">
        <v>151</v>
      </c>
      <c r="EK13">
        <v>164</v>
      </c>
      <c r="EL13">
        <v>11</v>
      </c>
      <c r="EM13">
        <v>384</v>
      </c>
      <c r="EN13">
        <v>1005</v>
      </c>
      <c r="EO13">
        <v>44.21</v>
      </c>
      <c r="EP13">
        <v>167.63</v>
      </c>
      <c r="EQ13">
        <v>8.3800000000000008</v>
      </c>
      <c r="ER13">
        <v>2.74</v>
      </c>
      <c r="ES13">
        <v>22.55</v>
      </c>
      <c r="ET13">
        <v>245.51</v>
      </c>
      <c r="EU13">
        <v>7.5700000000000003E-2</v>
      </c>
      <c r="EV13">
        <v>0.14480000000000001</v>
      </c>
      <c r="EW13">
        <v>0.2311</v>
      </c>
      <c r="EX13">
        <v>0.3291</v>
      </c>
      <c r="EY13">
        <v>0.42409999999999998</v>
      </c>
      <c r="EZ13">
        <v>0.5706</v>
      </c>
      <c r="FA13">
        <v>0.66169999999999995</v>
      </c>
      <c r="FB13">
        <v>0.73350000000000004</v>
      </c>
      <c r="FC13">
        <v>0.81279999999999997</v>
      </c>
      <c r="FD13">
        <v>0.87670000000000003</v>
      </c>
      <c r="FE13">
        <v>0.93220000000000003</v>
      </c>
      <c r="FF13">
        <v>1</v>
      </c>
      <c r="FG13">
        <v>2.4E-2</v>
      </c>
      <c r="FH13">
        <v>6.0699999999999997E-2</v>
      </c>
      <c r="FI13">
        <v>0.106</v>
      </c>
      <c r="FJ13">
        <v>0.159</v>
      </c>
      <c r="FK13">
        <v>0.2261</v>
      </c>
      <c r="FL13">
        <v>0.29870000000000002</v>
      </c>
      <c r="FM13">
        <v>0.46139999999999998</v>
      </c>
      <c r="FN13">
        <v>0.54220000000000002</v>
      </c>
      <c r="FO13">
        <v>0.54220000000000002</v>
      </c>
      <c r="FP13">
        <v>0</v>
      </c>
      <c r="FQ13">
        <v>0</v>
      </c>
      <c r="FR13">
        <v>0</v>
      </c>
      <c r="FS13">
        <f t="shared" si="11"/>
        <v>8</v>
      </c>
      <c r="FT13">
        <v>0.54220000000000002</v>
      </c>
      <c r="FU13" s="370">
        <f t="shared" si="12"/>
        <v>6.7775000000000002E-2</v>
      </c>
      <c r="FV13" s="370">
        <f t="shared" si="13"/>
        <v>0.81330000000000002</v>
      </c>
      <c r="FW13">
        <v>222.96</v>
      </c>
      <c r="FX13">
        <v>0.19828670000000001</v>
      </c>
      <c r="FY13">
        <v>0.75183889999999998</v>
      </c>
      <c r="FZ13">
        <v>4.9874399999999999E-2</v>
      </c>
      <c r="GB13" s="219" t="s">
        <v>745</v>
      </c>
      <c r="GC13" s="370">
        <f>SUMPRODUCT($AT$8:$AT$71,$AU$8:$AU$71)/SUMIFS($AU$8:$AU$71,$AT$8:$AT$71,"&gt;0")</f>
        <v>0.55522001448542357</v>
      </c>
      <c r="GD13" s="370">
        <f>SUMPRODUCT($CL$8:$CL$71,$CM$8:$CM$71)/SUMIFS($CM$8:$CM$71,$CL$8:$CL$71,"&gt;0")</f>
        <v>0.83180707505432738</v>
      </c>
      <c r="GE13" s="370">
        <f>SUMPRODUCT($ED$8:$ED$71,$EE$8:$EE$71)/SUMIFS($EE$8:$EE$71,$ED$8:$ED$71,"&gt;0")</f>
        <v>0.87519022572141314</v>
      </c>
      <c r="GF13" s="370">
        <f>SUMPRODUCT($FV$8:$FV$71,$FW$8:$FW$71)/SUMIFS($FW$8:$FW$71,$FV$8:$FV$71,"&gt;0")</f>
        <v>0.76255642359747855</v>
      </c>
      <c r="GG13" s="370">
        <f>SUM($AT$8:$AT$71)/COUNTIFS($AT$8:$AT$71,"&gt;0")</f>
        <v>0.73771344602805811</v>
      </c>
      <c r="GH13" s="370">
        <f>SUMPRODUCT($CL$8:$CL$71,$CM$8:$CM$71)/SUMIFS($CM$8:$CM$71,$CL$8:$CL$71,"&gt;0")</f>
        <v>0.83180707505432738</v>
      </c>
      <c r="GI13" s="370">
        <f>SUMPRODUCT($ED$8:$ED$71,$EE$8:$EE$71)/SUMIFS($EE$8:$EE$71,$ED$8:$ED$71,"&gt;0")</f>
        <v>0.87519022572141314</v>
      </c>
      <c r="GJ13" s="370">
        <f>SUMPRODUCT($FV$8:$FV$71,$FW$8:$FW$71)/SUMIFS($FW$8:$FW$71,$FV$8:$FV$71,"&gt;0")</f>
        <v>0.76255642359747855</v>
      </c>
    </row>
    <row r="14" spans="2:192" x14ac:dyDescent="0.25">
      <c r="B14" t="s">
        <v>162</v>
      </c>
      <c r="C14">
        <v>1</v>
      </c>
      <c r="D14">
        <f t="shared" si="0"/>
        <v>1</v>
      </c>
      <c r="E14">
        <f t="shared" si="1"/>
        <v>1</v>
      </c>
      <c r="F14" t="s">
        <v>173</v>
      </c>
      <c r="G14">
        <v>177</v>
      </c>
      <c r="H14">
        <v>407</v>
      </c>
      <c r="I14">
        <v>64</v>
      </c>
      <c r="J14">
        <v>22</v>
      </c>
      <c r="K14">
        <v>724</v>
      </c>
      <c r="L14">
        <v>1394</v>
      </c>
      <c r="M14">
        <v>55.85</v>
      </c>
      <c r="N14">
        <v>278.69</v>
      </c>
      <c r="O14">
        <v>15.51</v>
      </c>
      <c r="P14">
        <v>2.5</v>
      </c>
      <c r="Q14">
        <v>115.73</v>
      </c>
      <c r="R14">
        <v>468.28</v>
      </c>
      <c r="S14">
        <v>2E-3</v>
      </c>
      <c r="T14">
        <v>0.1021</v>
      </c>
      <c r="U14">
        <v>0.1694</v>
      </c>
      <c r="V14">
        <v>0.26669999999999999</v>
      </c>
      <c r="W14">
        <v>0.32840000000000003</v>
      </c>
      <c r="X14">
        <v>0.34789999999999999</v>
      </c>
      <c r="Y14">
        <v>0.4042</v>
      </c>
      <c r="Z14">
        <v>0.57669999999999999</v>
      </c>
      <c r="AA14">
        <v>0.7732</v>
      </c>
      <c r="AB14">
        <v>0.85880000000000001</v>
      </c>
      <c r="AC14">
        <v>0.90149999999999997</v>
      </c>
      <c r="AD14">
        <v>1</v>
      </c>
      <c r="AE14">
        <v>0</v>
      </c>
      <c r="AF14">
        <v>8.5000000000000006E-3</v>
      </c>
      <c r="AG14">
        <v>2.5999999999999999E-2</v>
      </c>
      <c r="AH14">
        <v>8.48E-2</v>
      </c>
      <c r="AI14">
        <v>0.1208</v>
      </c>
      <c r="AJ14">
        <v>0.19020000000000001</v>
      </c>
      <c r="AK14">
        <v>0.2346</v>
      </c>
      <c r="AL14">
        <v>0.42899999999999999</v>
      </c>
      <c r="AM14">
        <v>0.42899999999999999</v>
      </c>
      <c r="AN14">
        <v>0.42899999999999999</v>
      </c>
      <c r="AO14">
        <v>0.42899999999999999</v>
      </c>
      <c r="AP14">
        <v>0.42899999999999999</v>
      </c>
      <c r="AQ14">
        <f t="shared" si="2"/>
        <v>8</v>
      </c>
      <c r="AR14" s="370">
        <v>0.42899999999999999</v>
      </c>
      <c r="AS14" s="370">
        <f t="shared" si="3"/>
        <v>5.3624999999999999E-2</v>
      </c>
      <c r="AT14" s="370">
        <f t="shared" si="4"/>
        <v>0.64349999999999996</v>
      </c>
      <c r="AU14">
        <v>352.55</v>
      </c>
      <c r="AV14" s="371">
        <v>0.15841720000000001</v>
      </c>
      <c r="AW14" s="371">
        <v>0.79049780000000003</v>
      </c>
      <c r="AX14" s="371">
        <v>5.1084999999999998E-2</v>
      </c>
      <c r="AY14">
        <v>543</v>
      </c>
      <c r="AZ14">
        <v>572</v>
      </c>
      <c r="BA14">
        <v>83</v>
      </c>
      <c r="BB14">
        <v>55</v>
      </c>
      <c r="BC14">
        <v>1372</v>
      </c>
      <c r="BD14">
        <v>2625</v>
      </c>
      <c r="BE14">
        <v>155.33000000000001</v>
      </c>
      <c r="BF14">
        <v>329.36</v>
      </c>
      <c r="BG14">
        <v>7.8</v>
      </c>
      <c r="BH14">
        <v>5.53</v>
      </c>
      <c r="BI14">
        <v>181.57</v>
      </c>
      <c r="BJ14">
        <v>679.59</v>
      </c>
      <c r="BK14">
        <v>1.67E-2</v>
      </c>
      <c r="BL14">
        <v>0.113</v>
      </c>
      <c r="BM14">
        <v>0.31559999999999999</v>
      </c>
      <c r="BN14">
        <v>0.45</v>
      </c>
      <c r="BO14">
        <v>0.59</v>
      </c>
      <c r="BP14">
        <v>0.62</v>
      </c>
      <c r="BQ14">
        <v>0.7</v>
      </c>
      <c r="BR14">
        <v>0.75</v>
      </c>
      <c r="BS14">
        <v>0.8</v>
      </c>
      <c r="BT14">
        <v>0.87649999999999995</v>
      </c>
      <c r="BU14">
        <v>0.93500000000000005</v>
      </c>
      <c r="BV14">
        <v>1</v>
      </c>
      <c r="BW14">
        <v>4.3E-3</v>
      </c>
      <c r="BX14">
        <v>2.3900000000000001E-2</v>
      </c>
      <c r="BY14">
        <v>5.91E-2</v>
      </c>
      <c r="BZ14">
        <v>0.16889999999999999</v>
      </c>
      <c r="CA14">
        <v>0.21340000000000001</v>
      </c>
      <c r="CB14">
        <v>0.28910000000000002</v>
      </c>
      <c r="CC14">
        <v>0.32690000000000002</v>
      </c>
      <c r="CD14">
        <v>0.36680000000000001</v>
      </c>
      <c r="CE14">
        <v>0.4924</v>
      </c>
      <c r="CF14">
        <v>0.54730000000000001</v>
      </c>
      <c r="CG14">
        <v>0.65549999999999997</v>
      </c>
      <c r="CH14">
        <v>0.65549999999999997</v>
      </c>
      <c r="CI14">
        <f t="shared" si="5"/>
        <v>11</v>
      </c>
      <c r="CJ14" s="370">
        <v>0.65549999999999997</v>
      </c>
      <c r="CK14" s="370">
        <f t="shared" si="6"/>
        <v>5.959090909090909E-2</v>
      </c>
      <c r="CL14" s="370">
        <f t="shared" si="7"/>
        <v>0.71509090909090911</v>
      </c>
      <c r="CM14">
        <v>498.02</v>
      </c>
      <c r="CN14" s="371">
        <v>0.31189509999999998</v>
      </c>
      <c r="CO14" s="371">
        <v>0.66133889999999995</v>
      </c>
      <c r="CP14" s="371">
        <v>2.6766000000000002E-2</v>
      </c>
      <c r="CQ14">
        <v>325</v>
      </c>
      <c r="CR14">
        <v>361</v>
      </c>
      <c r="CS14">
        <v>93</v>
      </c>
      <c r="CT14">
        <v>67</v>
      </c>
      <c r="CU14">
        <v>506</v>
      </c>
      <c r="CV14">
        <v>1352</v>
      </c>
      <c r="CW14">
        <v>101.04</v>
      </c>
      <c r="CX14">
        <v>238.03</v>
      </c>
      <c r="CY14">
        <v>8.81</v>
      </c>
      <c r="CZ14">
        <v>11.27</v>
      </c>
      <c r="DA14">
        <v>76.989999999999995</v>
      </c>
      <c r="DB14">
        <v>436.14</v>
      </c>
      <c r="DC14">
        <v>2.63E-2</v>
      </c>
      <c r="DD14">
        <v>5.2600000000000001E-2</v>
      </c>
      <c r="DE14">
        <v>5.74E-2</v>
      </c>
      <c r="DF14">
        <v>0.13389999999999999</v>
      </c>
      <c r="DG14">
        <v>0.26300000000000001</v>
      </c>
      <c r="DH14">
        <v>0.3347</v>
      </c>
      <c r="DI14">
        <v>0.43030000000000002</v>
      </c>
      <c r="DJ14">
        <v>0.52590000000000003</v>
      </c>
      <c r="DK14">
        <v>0.59770000000000001</v>
      </c>
      <c r="DL14">
        <v>0.71719999999999995</v>
      </c>
      <c r="DM14">
        <v>0.81279999999999997</v>
      </c>
      <c r="DN14">
        <v>0.95630000000000004</v>
      </c>
      <c r="DO14">
        <v>2.46E-2</v>
      </c>
      <c r="DP14">
        <v>5.0500000000000003E-2</v>
      </c>
      <c r="DQ14">
        <v>5.6399999999999999E-2</v>
      </c>
      <c r="DR14">
        <v>0.13150000000000001</v>
      </c>
      <c r="DS14">
        <v>0.25990000000000002</v>
      </c>
      <c r="DT14">
        <v>0.34460000000000002</v>
      </c>
      <c r="DU14">
        <v>0.4027</v>
      </c>
      <c r="DV14">
        <v>0.47560000000000002</v>
      </c>
      <c r="DW14">
        <v>0.51939999999999997</v>
      </c>
      <c r="DX14">
        <v>0.61519999999999997</v>
      </c>
      <c r="DY14">
        <v>0.72940000000000005</v>
      </c>
      <c r="DZ14">
        <v>0.89259999999999995</v>
      </c>
      <c r="EA14">
        <f t="shared" si="8"/>
        <v>12</v>
      </c>
      <c r="EB14" s="370">
        <v>0.89259999999999995</v>
      </c>
      <c r="EC14" s="370">
        <f t="shared" si="9"/>
        <v>7.4383333333333329E-2</v>
      </c>
      <c r="ED14" s="370">
        <f t="shared" si="10"/>
        <v>0.93338910383770779</v>
      </c>
      <c r="EE14">
        <v>359.15</v>
      </c>
      <c r="EF14" s="371">
        <v>0.28133089999999999</v>
      </c>
      <c r="EG14" s="371">
        <v>0.66275930000000005</v>
      </c>
      <c r="EH14" s="371">
        <v>5.5909800000000003E-2</v>
      </c>
      <c r="EI14">
        <v>233</v>
      </c>
      <c r="EJ14">
        <v>509</v>
      </c>
      <c r="EK14">
        <v>30</v>
      </c>
      <c r="EL14">
        <v>40</v>
      </c>
      <c r="EM14">
        <v>1406</v>
      </c>
      <c r="EN14">
        <v>2218</v>
      </c>
      <c r="EO14">
        <v>89.94</v>
      </c>
      <c r="EP14">
        <v>207.93</v>
      </c>
      <c r="EQ14">
        <v>3.23</v>
      </c>
      <c r="ER14">
        <v>7.91</v>
      </c>
      <c r="ES14">
        <v>286.64</v>
      </c>
      <c r="ET14">
        <v>595.65</v>
      </c>
      <c r="EU14">
        <v>2.7E-2</v>
      </c>
      <c r="EV14">
        <v>7.3700000000000002E-2</v>
      </c>
      <c r="EW14">
        <v>0.1179</v>
      </c>
      <c r="EX14">
        <v>0.1719</v>
      </c>
      <c r="EY14">
        <v>0.30459999999999998</v>
      </c>
      <c r="EZ14">
        <v>0.4078</v>
      </c>
      <c r="FA14">
        <v>0.42249999999999999</v>
      </c>
      <c r="FB14">
        <v>0.47160000000000002</v>
      </c>
      <c r="FC14">
        <v>0.49130000000000001</v>
      </c>
      <c r="FD14">
        <v>0.7369</v>
      </c>
      <c r="FE14">
        <v>0.88429999999999997</v>
      </c>
      <c r="FF14">
        <v>0.98250000000000004</v>
      </c>
      <c r="FG14">
        <v>2.3199999999999998E-2</v>
      </c>
      <c r="FH14">
        <v>6.8699999999999997E-2</v>
      </c>
      <c r="FI14">
        <v>0.1075</v>
      </c>
      <c r="FJ14">
        <v>0.1431</v>
      </c>
      <c r="FK14">
        <v>0.28639999999999999</v>
      </c>
      <c r="FL14">
        <v>0.39250000000000002</v>
      </c>
      <c r="FM14">
        <v>0.47399999999999998</v>
      </c>
      <c r="FN14">
        <v>0.53590000000000004</v>
      </c>
      <c r="FO14">
        <v>0.53590000000000004</v>
      </c>
      <c r="FP14">
        <v>0</v>
      </c>
      <c r="FQ14">
        <v>0</v>
      </c>
      <c r="FR14">
        <v>0</v>
      </c>
      <c r="FS14">
        <f t="shared" si="11"/>
        <v>8</v>
      </c>
      <c r="FT14">
        <v>0.53590000000000004</v>
      </c>
      <c r="FU14" s="370">
        <f t="shared" si="12"/>
        <v>6.6987500000000005E-2</v>
      </c>
      <c r="FV14" s="370">
        <f t="shared" si="13"/>
        <v>0.81816793893129769</v>
      </c>
      <c r="FW14">
        <v>309.01</v>
      </c>
      <c r="FX14">
        <v>0.2910585</v>
      </c>
      <c r="FY14">
        <v>0.67289080000000001</v>
      </c>
      <c r="FZ14">
        <v>3.6050600000000002E-2</v>
      </c>
    </row>
    <row r="15" spans="2:192" x14ac:dyDescent="0.25">
      <c r="B15" t="s">
        <v>162</v>
      </c>
      <c r="C15">
        <v>0</v>
      </c>
      <c r="D15">
        <f t="shared" si="0"/>
        <v>0</v>
      </c>
      <c r="E15">
        <f t="shared" si="1"/>
        <v>0</v>
      </c>
      <c r="F15" t="s">
        <v>175</v>
      </c>
      <c r="G15">
        <v>0</v>
      </c>
      <c r="H15">
        <v>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v>0</v>
      </c>
      <c r="AP15">
        <v>0</v>
      </c>
      <c r="AQ15">
        <f t="shared" si="2"/>
        <v>0</v>
      </c>
      <c r="AR15" s="370">
        <v>0</v>
      </c>
      <c r="AS15" s="370">
        <f t="shared" si="3"/>
        <v>0</v>
      </c>
      <c r="AT15" s="370">
        <f t="shared" si="4"/>
        <v>0</v>
      </c>
      <c r="AU15">
        <v>0</v>
      </c>
      <c r="AV15" s="371">
        <v>0</v>
      </c>
      <c r="AW15" s="371">
        <v>0</v>
      </c>
      <c r="AX15" s="371">
        <v>0</v>
      </c>
      <c r="AY15">
        <v>2642</v>
      </c>
      <c r="AZ15">
        <v>2049</v>
      </c>
      <c r="BA15">
        <v>344</v>
      </c>
      <c r="BB15">
        <v>402</v>
      </c>
      <c r="BC15">
        <v>0</v>
      </c>
      <c r="BD15">
        <v>5437</v>
      </c>
      <c r="BE15">
        <v>224.47</v>
      </c>
      <c r="BF15">
        <v>654.15</v>
      </c>
      <c r="BG15">
        <v>8.4700000000000006</v>
      </c>
      <c r="BH15">
        <v>37.65</v>
      </c>
      <c r="BI15">
        <v>0</v>
      </c>
      <c r="BJ15">
        <v>924.74</v>
      </c>
      <c r="BK15">
        <v>0.1</v>
      </c>
      <c r="BL15">
        <v>0</v>
      </c>
      <c r="BM15">
        <v>0.3</v>
      </c>
      <c r="BN15">
        <v>0.35</v>
      </c>
      <c r="BO15">
        <v>0.4</v>
      </c>
      <c r="BP15">
        <v>0.45</v>
      </c>
      <c r="BQ15">
        <v>0.55000000000000004</v>
      </c>
      <c r="BR15">
        <v>0.6</v>
      </c>
      <c r="BS15">
        <v>0.75</v>
      </c>
      <c r="BT15">
        <v>0.86</v>
      </c>
      <c r="BU15">
        <v>0.94</v>
      </c>
      <c r="BV15">
        <v>1</v>
      </c>
      <c r="BW15">
        <v>4.5900000000000003E-2</v>
      </c>
      <c r="BX15">
        <v>7.4700000000000003E-2</v>
      </c>
      <c r="BY15">
        <v>0.10059999999999999</v>
      </c>
      <c r="BZ15">
        <v>0.13780000000000001</v>
      </c>
      <c r="CA15">
        <v>0.22090000000000001</v>
      </c>
      <c r="CB15">
        <v>0.3574</v>
      </c>
      <c r="CC15">
        <v>0.41839999999999999</v>
      </c>
      <c r="CD15">
        <v>0.47020000000000001</v>
      </c>
      <c r="CE15">
        <v>0.50609999999999999</v>
      </c>
      <c r="CF15">
        <v>0.60370000000000001</v>
      </c>
      <c r="CG15">
        <v>0.7369</v>
      </c>
      <c r="CH15">
        <v>0.84499999999999997</v>
      </c>
      <c r="CI15">
        <f t="shared" si="5"/>
        <v>12</v>
      </c>
      <c r="CJ15" s="370">
        <v>0.84499999999999997</v>
      </c>
      <c r="CK15" s="370">
        <f t="shared" si="6"/>
        <v>7.0416666666666669E-2</v>
      </c>
      <c r="CL15" s="370">
        <f t="shared" si="7"/>
        <v>0.84499999999999997</v>
      </c>
      <c r="CM15">
        <v>924.74</v>
      </c>
      <c r="CN15" s="371">
        <v>0.2427385</v>
      </c>
      <c r="CO15" s="371">
        <v>0.70738800000000002</v>
      </c>
      <c r="CP15" s="371">
        <v>4.9873500000000001E-2</v>
      </c>
      <c r="CQ15">
        <v>3761</v>
      </c>
      <c r="CR15">
        <v>2507</v>
      </c>
      <c r="CS15">
        <v>1011</v>
      </c>
      <c r="CT15">
        <v>959</v>
      </c>
      <c r="CU15">
        <v>965</v>
      </c>
      <c r="CV15">
        <v>9203</v>
      </c>
      <c r="CW15">
        <v>285.58999999999997</v>
      </c>
      <c r="CX15">
        <v>591.30999999999995</v>
      </c>
      <c r="CY15">
        <v>23.76</v>
      </c>
      <c r="CZ15">
        <v>65.09</v>
      </c>
      <c r="DA15">
        <v>76.819999999999993</v>
      </c>
      <c r="DB15">
        <v>1042.57</v>
      </c>
      <c r="DC15">
        <v>1.95E-2</v>
      </c>
      <c r="DD15">
        <v>3.8899999999999997E-2</v>
      </c>
      <c r="DE15">
        <v>5.8400000000000001E-2</v>
      </c>
      <c r="DF15">
        <v>7.7799999999999994E-2</v>
      </c>
      <c r="DG15">
        <v>9.7299999999999998E-2</v>
      </c>
      <c r="DH15">
        <v>0.19450000000000001</v>
      </c>
      <c r="DI15">
        <v>0.2918</v>
      </c>
      <c r="DJ15">
        <v>0.48630000000000001</v>
      </c>
      <c r="DK15">
        <v>0.68079999999999996</v>
      </c>
      <c r="DL15">
        <v>0.77800000000000002</v>
      </c>
      <c r="DM15">
        <v>0.87529999999999997</v>
      </c>
      <c r="DN15">
        <v>0.97260000000000002</v>
      </c>
      <c r="DO15">
        <v>3.9199999999999999E-2</v>
      </c>
      <c r="DP15">
        <v>6.7000000000000004E-2</v>
      </c>
      <c r="DQ15">
        <v>9.5799999999999996E-2</v>
      </c>
      <c r="DR15">
        <v>0.1426</v>
      </c>
      <c r="DS15">
        <v>0.2205</v>
      </c>
      <c r="DT15">
        <v>0.39029999999999998</v>
      </c>
      <c r="DU15">
        <v>0.47339999999999999</v>
      </c>
      <c r="DV15">
        <v>0.5444</v>
      </c>
      <c r="DW15">
        <v>0.63380000000000003</v>
      </c>
      <c r="DX15">
        <v>0.72629999999999995</v>
      </c>
      <c r="DY15">
        <v>0.80310000000000004</v>
      </c>
      <c r="DZ15">
        <v>0.90349999999999997</v>
      </c>
      <c r="EA15">
        <f t="shared" si="8"/>
        <v>12</v>
      </c>
      <c r="EB15" s="370">
        <v>0.90349999999999997</v>
      </c>
      <c r="EC15" s="370">
        <f t="shared" si="9"/>
        <v>7.529166666666666E-2</v>
      </c>
      <c r="ED15" s="370">
        <f t="shared" si="10"/>
        <v>0.92895332099527039</v>
      </c>
      <c r="EE15">
        <v>965.75</v>
      </c>
      <c r="EF15" s="371">
        <v>0.29571829999999999</v>
      </c>
      <c r="EG15" s="371">
        <v>0.61228059999999995</v>
      </c>
      <c r="EH15" s="371">
        <v>9.2000999999999999E-2</v>
      </c>
      <c r="EI15">
        <v>3265</v>
      </c>
      <c r="EJ15">
        <v>1307</v>
      </c>
      <c r="EK15">
        <v>460</v>
      </c>
      <c r="EL15">
        <v>503</v>
      </c>
      <c r="EM15">
        <v>1503</v>
      </c>
      <c r="EN15">
        <v>7038</v>
      </c>
      <c r="EO15">
        <v>171.39</v>
      </c>
      <c r="EP15">
        <v>316.52999999999997</v>
      </c>
      <c r="EQ15">
        <v>15.14</v>
      </c>
      <c r="ER15">
        <v>35.24</v>
      </c>
      <c r="ES15">
        <v>68.16</v>
      </c>
      <c r="ET15">
        <v>606.46</v>
      </c>
      <c r="EU15">
        <v>3.9199999999999999E-2</v>
      </c>
      <c r="EV15">
        <v>6.7000000000000004E-2</v>
      </c>
      <c r="EW15">
        <v>9.5799999999999996E-2</v>
      </c>
      <c r="EX15">
        <v>0.1426</v>
      </c>
      <c r="EY15">
        <v>0.2205</v>
      </c>
      <c r="EZ15">
        <v>0.39029999999999998</v>
      </c>
      <c r="FA15">
        <v>0.47339999999999999</v>
      </c>
      <c r="FB15">
        <v>0.5444</v>
      </c>
      <c r="FC15">
        <v>0.63380000000000003</v>
      </c>
      <c r="FD15">
        <v>0.72629999999999995</v>
      </c>
      <c r="FE15">
        <v>0.80310000000000004</v>
      </c>
      <c r="FF15">
        <v>0.93910000000000005</v>
      </c>
      <c r="FG15">
        <v>2.01E-2</v>
      </c>
      <c r="FH15">
        <v>5.0700000000000002E-2</v>
      </c>
      <c r="FI15">
        <v>9.9000000000000005E-2</v>
      </c>
      <c r="FJ15">
        <v>0.16439999999999999</v>
      </c>
      <c r="FK15">
        <v>0.25519999999999998</v>
      </c>
      <c r="FL15">
        <v>0.3528</v>
      </c>
      <c r="FM15">
        <v>0.44650000000000001</v>
      </c>
      <c r="FN15">
        <v>0.52980000000000005</v>
      </c>
      <c r="FO15">
        <v>0.5857</v>
      </c>
      <c r="FP15">
        <v>0</v>
      </c>
      <c r="FQ15">
        <v>0</v>
      </c>
      <c r="FR15">
        <v>0</v>
      </c>
      <c r="FS15">
        <f t="shared" si="11"/>
        <v>9</v>
      </c>
      <c r="FT15">
        <v>0.5857</v>
      </c>
      <c r="FU15" s="370">
        <f t="shared" si="12"/>
        <v>6.5077777777777776E-2</v>
      </c>
      <c r="FV15" s="370">
        <f t="shared" si="13"/>
        <v>0.83157633194902913</v>
      </c>
      <c r="FW15">
        <v>538.29999999999995</v>
      </c>
      <c r="FX15">
        <v>0.31839119999999999</v>
      </c>
      <c r="FY15">
        <v>0.58801780000000003</v>
      </c>
      <c r="FZ15">
        <v>9.3590900000000005E-2</v>
      </c>
      <c r="GC15" s="370"/>
      <c r="GE15" s="370"/>
      <c r="GG15" s="370"/>
      <c r="GI15" s="370"/>
    </row>
    <row r="16" spans="2:192" x14ac:dyDescent="0.25">
      <c r="B16" t="s">
        <v>2</v>
      </c>
      <c r="C16">
        <v>0</v>
      </c>
      <c r="D16">
        <f t="shared" si="0"/>
        <v>0</v>
      </c>
      <c r="E16">
        <f t="shared" si="1"/>
        <v>0</v>
      </c>
      <c r="F16" t="s">
        <v>177</v>
      </c>
      <c r="G16">
        <v>559</v>
      </c>
      <c r="H16">
        <v>441</v>
      </c>
      <c r="I16">
        <v>388</v>
      </c>
      <c r="J16">
        <v>168</v>
      </c>
      <c r="K16">
        <v>2125</v>
      </c>
      <c r="L16">
        <v>3681</v>
      </c>
      <c r="M16">
        <v>167.9</v>
      </c>
      <c r="N16">
        <v>400.67</v>
      </c>
      <c r="O16">
        <v>27.14</v>
      </c>
      <c r="P16">
        <v>16.2</v>
      </c>
      <c r="Q16">
        <v>500.26</v>
      </c>
      <c r="R16">
        <v>1112.17</v>
      </c>
      <c r="S16">
        <v>0.05</v>
      </c>
      <c r="T16">
        <v>0.09</v>
      </c>
      <c r="U16">
        <v>0.12</v>
      </c>
      <c r="V16">
        <v>0.21</v>
      </c>
      <c r="W16">
        <v>0.26</v>
      </c>
      <c r="X16">
        <v>0.33</v>
      </c>
      <c r="Y16">
        <v>0.49</v>
      </c>
      <c r="Z16">
        <v>0.55000000000000004</v>
      </c>
      <c r="AA16">
        <v>0.61</v>
      </c>
      <c r="AB16">
        <v>0.66</v>
      </c>
      <c r="AC16">
        <v>0.77</v>
      </c>
      <c r="AD16">
        <v>0.9</v>
      </c>
      <c r="AE16">
        <v>2.6700000000000002E-2</v>
      </c>
      <c r="AF16">
        <v>9.3299999999999994E-2</v>
      </c>
      <c r="AG16">
        <v>0.11840000000000001</v>
      </c>
      <c r="AH16">
        <v>0.1915</v>
      </c>
      <c r="AI16">
        <v>0.26500000000000001</v>
      </c>
      <c r="AJ16">
        <v>0.33019999999999999</v>
      </c>
      <c r="AK16">
        <v>0.4521</v>
      </c>
      <c r="AL16">
        <v>0.51349999999999996</v>
      </c>
      <c r="AM16">
        <v>0.51349999999999996</v>
      </c>
      <c r="AN16">
        <v>0.51349999999999996</v>
      </c>
      <c r="AO16">
        <v>0.51349999999999996</v>
      </c>
      <c r="AP16">
        <v>0.51349999999999996</v>
      </c>
      <c r="AQ16">
        <f t="shared" si="2"/>
        <v>8</v>
      </c>
      <c r="AR16" s="370">
        <v>0.51349999999999996</v>
      </c>
      <c r="AS16" s="370">
        <f t="shared" si="3"/>
        <v>6.4187499999999995E-2</v>
      </c>
      <c r="AT16" s="370">
        <f t="shared" si="4"/>
        <v>0.85583333333333322</v>
      </c>
      <c r="AU16">
        <v>611.91</v>
      </c>
      <c r="AV16" s="371">
        <v>0.27438679999999999</v>
      </c>
      <c r="AW16" s="371">
        <v>0.65478579999999997</v>
      </c>
      <c r="AX16" s="371">
        <v>7.0827399999999999E-2</v>
      </c>
      <c r="AY16">
        <v>636</v>
      </c>
      <c r="AZ16">
        <v>393</v>
      </c>
      <c r="BA16">
        <v>396</v>
      </c>
      <c r="BB16">
        <v>214</v>
      </c>
      <c r="BC16">
        <v>2356</v>
      </c>
      <c r="BD16">
        <v>3995</v>
      </c>
      <c r="BE16">
        <v>193.56</v>
      </c>
      <c r="BF16">
        <v>439.85</v>
      </c>
      <c r="BG16">
        <v>24.78</v>
      </c>
      <c r="BH16">
        <v>20.36</v>
      </c>
      <c r="BI16">
        <v>717.32</v>
      </c>
      <c r="BJ16">
        <v>1395.87</v>
      </c>
      <c r="BK16">
        <v>0.04</v>
      </c>
      <c r="BL16">
        <v>0.08</v>
      </c>
      <c r="BM16">
        <v>0.12</v>
      </c>
      <c r="BN16">
        <v>0</v>
      </c>
      <c r="BO16">
        <v>0.26</v>
      </c>
      <c r="BP16">
        <v>0.31</v>
      </c>
      <c r="BQ16">
        <v>0.45</v>
      </c>
      <c r="BR16">
        <v>0.51</v>
      </c>
      <c r="BS16">
        <v>0.56999999999999995</v>
      </c>
      <c r="BT16">
        <v>0.64</v>
      </c>
      <c r="BU16">
        <v>0.75</v>
      </c>
      <c r="BV16">
        <v>0.92</v>
      </c>
      <c r="BW16">
        <v>2.41E-2</v>
      </c>
      <c r="BX16">
        <v>8.3599999999999994E-2</v>
      </c>
      <c r="BY16">
        <v>0.1096</v>
      </c>
      <c r="BZ16">
        <v>0.15790000000000001</v>
      </c>
      <c r="CA16">
        <v>0.22969999999999999</v>
      </c>
      <c r="CB16">
        <v>0.3221</v>
      </c>
      <c r="CC16">
        <v>0.35610000000000003</v>
      </c>
      <c r="CD16">
        <v>0.4607</v>
      </c>
      <c r="CE16">
        <v>0.50760000000000005</v>
      </c>
      <c r="CF16">
        <v>0.61580000000000001</v>
      </c>
      <c r="CG16">
        <v>0.7097</v>
      </c>
      <c r="CH16">
        <v>0.87819999999999998</v>
      </c>
      <c r="CI16">
        <f t="shared" si="5"/>
        <v>12</v>
      </c>
      <c r="CJ16" s="370">
        <v>0.87819999999999998</v>
      </c>
      <c r="CK16" s="370">
        <f t="shared" si="6"/>
        <v>7.3183333333333336E-2</v>
      </c>
      <c r="CL16" s="370">
        <f t="shared" si="7"/>
        <v>0.9545652173913044</v>
      </c>
      <c r="CM16">
        <v>678.55</v>
      </c>
      <c r="CN16" s="371">
        <v>0.28525529999999999</v>
      </c>
      <c r="CO16" s="371">
        <v>0.64822049999999998</v>
      </c>
      <c r="CP16" s="371">
        <v>6.6524200000000006E-2</v>
      </c>
      <c r="CQ16">
        <v>1066</v>
      </c>
      <c r="CR16">
        <v>189</v>
      </c>
      <c r="CS16">
        <v>375</v>
      </c>
      <c r="CT16">
        <v>450</v>
      </c>
      <c r="CU16">
        <v>9524</v>
      </c>
      <c r="CV16">
        <v>11604</v>
      </c>
      <c r="CW16">
        <v>378.04</v>
      </c>
      <c r="CX16">
        <v>624.01</v>
      </c>
      <c r="CY16">
        <v>44.63</v>
      </c>
      <c r="CZ16">
        <v>56.91</v>
      </c>
      <c r="DA16">
        <v>619.30999999999995</v>
      </c>
      <c r="DB16">
        <v>1722.9</v>
      </c>
      <c r="DC16">
        <v>3.9E-2</v>
      </c>
      <c r="DD16">
        <v>7.8E-2</v>
      </c>
      <c r="DE16">
        <v>0.11700000000000001</v>
      </c>
      <c r="DF16">
        <v>0.1951</v>
      </c>
      <c r="DG16">
        <v>0.25359999999999999</v>
      </c>
      <c r="DH16">
        <v>0.30230000000000001</v>
      </c>
      <c r="DI16">
        <v>0.43890000000000001</v>
      </c>
      <c r="DJ16">
        <v>0.49740000000000001</v>
      </c>
      <c r="DK16">
        <v>0.55589999999999995</v>
      </c>
      <c r="DL16">
        <v>0.62419999999999998</v>
      </c>
      <c r="DM16">
        <v>0.73150000000000004</v>
      </c>
      <c r="DN16">
        <v>0.89729999999999999</v>
      </c>
      <c r="DO16">
        <v>2.8299999999999999E-2</v>
      </c>
      <c r="DP16">
        <v>5.7200000000000001E-2</v>
      </c>
      <c r="DQ16">
        <v>0.10050000000000001</v>
      </c>
      <c r="DR16">
        <v>0.14199999999999999</v>
      </c>
      <c r="DS16">
        <v>0.20860000000000001</v>
      </c>
      <c r="DT16">
        <v>0.27650000000000002</v>
      </c>
      <c r="DU16">
        <v>0.32419999999999999</v>
      </c>
      <c r="DV16">
        <v>0.37890000000000001</v>
      </c>
      <c r="DW16">
        <v>0.46179999999999999</v>
      </c>
      <c r="DX16">
        <v>0.50990000000000002</v>
      </c>
      <c r="DY16">
        <v>0.59940000000000004</v>
      </c>
      <c r="DZ16">
        <v>0.84509999999999996</v>
      </c>
      <c r="EA16">
        <f t="shared" si="8"/>
        <v>12</v>
      </c>
      <c r="EB16" s="370">
        <v>0.84509999999999996</v>
      </c>
      <c r="EC16" s="370">
        <f t="shared" si="9"/>
        <v>7.0425000000000001E-2</v>
      </c>
      <c r="ED16" s="370">
        <f t="shared" si="10"/>
        <v>0.94182547642928782</v>
      </c>
      <c r="EE16">
        <v>1103.5899999999999</v>
      </c>
      <c r="EF16" s="371">
        <v>0.34255469999999999</v>
      </c>
      <c r="EG16" s="371">
        <v>0.56543639999999995</v>
      </c>
      <c r="EH16" s="371">
        <v>9.2008800000000002E-2</v>
      </c>
      <c r="EI16">
        <v>902</v>
      </c>
      <c r="EJ16">
        <v>310</v>
      </c>
      <c r="EK16">
        <v>379</v>
      </c>
      <c r="EL16">
        <v>343</v>
      </c>
      <c r="EM16">
        <v>10969</v>
      </c>
      <c r="EN16">
        <v>12903</v>
      </c>
      <c r="EO16">
        <v>315.86</v>
      </c>
      <c r="EP16">
        <v>689.19</v>
      </c>
      <c r="EQ16">
        <v>39.18</v>
      </c>
      <c r="ER16">
        <v>60.29</v>
      </c>
      <c r="ES16">
        <v>663.98</v>
      </c>
      <c r="ET16">
        <v>1768.5</v>
      </c>
      <c r="EU16">
        <v>0.03</v>
      </c>
      <c r="EV16">
        <v>0.1</v>
      </c>
      <c r="EW16">
        <v>0.15</v>
      </c>
      <c r="EX16">
        <v>0</v>
      </c>
      <c r="EY16">
        <v>0.25</v>
      </c>
      <c r="EZ16">
        <v>0.35</v>
      </c>
      <c r="FA16">
        <v>0.45</v>
      </c>
      <c r="FB16">
        <v>0.5</v>
      </c>
      <c r="FC16">
        <v>0.55000000000000004</v>
      </c>
      <c r="FD16">
        <v>0.65</v>
      </c>
      <c r="FE16">
        <v>0.75</v>
      </c>
      <c r="FF16">
        <v>0.9</v>
      </c>
      <c r="FG16">
        <v>3.6700000000000003E-2</v>
      </c>
      <c r="FH16">
        <v>6.9099999999999995E-2</v>
      </c>
      <c r="FI16">
        <v>0.12330000000000001</v>
      </c>
      <c r="FJ16">
        <v>0.1552</v>
      </c>
      <c r="FK16">
        <v>0.26919999999999999</v>
      </c>
      <c r="FL16">
        <v>0.30659999999999998</v>
      </c>
      <c r="FM16">
        <v>0.38400000000000001</v>
      </c>
      <c r="FN16">
        <v>0.45490000000000003</v>
      </c>
      <c r="FO16">
        <v>0.45490000000000003</v>
      </c>
      <c r="FP16">
        <v>0</v>
      </c>
      <c r="FQ16">
        <v>0</v>
      </c>
      <c r="FR16">
        <v>0</v>
      </c>
      <c r="FS16">
        <f t="shared" si="11"/>
        <v>8</v>
      </c>
      <c r="FT16">
        <v>0.45490000000000003</v>
      </c>
      <c r="FU16" s="370">
        <f t="shared" si="12"/>
        <v>5.6862500000000003E-2</v>
      </c>
      <c r="FV16" s="370">
        <f t="shared" si="13"/>
        <v>0.75816666666666666</v>
      </c>
      <c r="FW16">
        <v>1104.52</v>
      </c>
      <c r="FX16">
        <v>0.28597040000000001</v>
      </c>
      <c r="FY16">
        <v>0.62397239999999998</v>
      </c>
      <c r="FZ16">
        <v>9.0057200000000004E-2</v>
      </c>
      <c r="GC16" s="370"/>
      <c r="GE16" s="370"/>
      <c r="GG16" s="370"/>
      <c r="GI16" s="370"/>
    </row>
    <row r="17" spans="2:189" x14ac:dyDescent="0.25">
      <c r="B17" t="s">
        <v>162</v>
      </c>
      <c r="C17">
        <v>1</v>
      </c>
      <c r="D17">
        <f t="shared" si="0"/>
        <v>1</v>
      </c>
      <c r="E17">
        <f t="shared" si="1"/>
        <v>1</v>
      </c>
      <c r="F17" t="s">
        <v>178</v>
      </c>
      <c r="G17">
        <v>82</v>
      </c>
      <c r="H17">
        <v>158</v>
      </c>
      <c r="I17">
        <v>16</v>
      </c>
      <c r="J17">
        <v>7</v>
      </c>
      <c r="K17">
        <v>57</v>
      </c>
      <c r="L17">
        <v>320</v>
      </c>
      <c r="M17">
        <v>100.98</v>
      </c>
      <c r="N17">
        <v>231.25</v>
      </c>
      <c r="O17">
        <v>1.95</v>
      </c>
      <c r="P17">
        <v>2.36</v>
      </c>
      <c r="Q17">
        <v>1.84</v>
      </c>
      <c r="R17">
        <v>338.38</v>
      </c>
      <c r="S17">
        <v>0.05</v>
      </c>
      <c r="T17">
        <v>7.0000000000000007E-2</v>
      </c>
      <c r="U17">
        <v>0.1</v>
      </c>
      <c r="V17">
        <v>0.15</v>
      </c>
      <c r="W17">
        <v>0</v>
      </c>
      <c r="X17">
        <v>0.25</v>
      </c>
      <c r="Y17">
        <v>0.4</v>
      </c>
      <c r="Z17">
        <v>0.5</v>
      </c>
      <c r="AA17">
        <v>0.7</v>
      </c>
      <c r="AB17">
        <v>0.8</v>
      </c>
      <c r="AC17">
        <v>0.9</v>
      </c>
      <c r="AD17">
        <v>1</v>
      </c>
      <c r="AE17">
        <v>1.26E-2</v>
      </c>
      <c r="AF17">
        <v>3.5099999999999999E-2</v>
      </c>
      <c r="AG17">
        <v>5.5899999999999998E-2</v>
      </c>
      <c r="AH17">
        <v>9.3899999999999997E-2</v>
      </c>
      <c r="AI17">
        <v>0.15790000000000001</v>
      </c>
      <c r="AJ17">
        <v>0.2117</v>
      </c>
      <c r="AK17">
        <v>0.28110000000000002</v>
      </c>
      <c r="AL17">
        <v>0.31900000000000001</v>
      </c>
      <c r="AM17">
        <v>0.31900000000000001</v>
      </c>
      <c r="AN17">
        <v>0.31900000000000001</v>
      </c>
      <c r="AO17">
        <v>0.31900000000000001</v>
      </c>
      <c r="AP17">
        <v>0.31900000000000001</v>
      </c>
      <c r="AQ17">
        <f t="shared" si="2"/>
        <v>8</v>
      </c>
      <c r="AR17" s="370">
        <v>0.31900000000000001</v>
      </c>
      <c r="AS17" s="370">
        <f t="shared" si="3"/>
        <v>3.9875000000000001E-2</v>
      </c>
      <c r="AT17" s="370">
        <f t="shared" si="4"/>
        <v>0.47850000000000004</v>
      </c>
      <c r="AU17">
        <v>336.54</v>
      </c>
      <c r="AV17" s="371">
        <v>0.30005349999999997</v>
      </c>
      <c r="AW17" s="371">
        <v>0.68713970000000002</v>
      </c>
      <c r="AX17" s="371">
        <v>1.28068E-2</v>
      </c>
      <c r="AY17">
        <v>614</v>
      </c>
      <c r="AZ17">
        <v>496</v>
      </c>
      <c r="BA17">
        <v>737</v>
      </c>
      <c r="BB17">
        <v>562</v>
      </c>
      <c r="BC17">
        <v>2242</v>
      </c>
      <c r="BD17">
        <v>4651</v>
      </c>
      <c r="BE17">
        <v>45.44</v>
      </c>
      <c r="BF17">
        <v>893.44</v>
      </c>
      <c r="BG17">
        <v>46.7</v>
      </c>
      <c r="BH17">
        <v>88.47</v>
      </c>
      <c r="BI17">
        <v>520.70000000000005</v>
      </c>
      <c r="BJ17">
        <v>1594.75</v>
      </c>
      <c r="BK17">
        <v>0.05</v>
      </c>
      <c r="BL17">
        <v>7.0000000000000007E-2</v>
      </c>
      <c r="BM17">
        <v>0.1</v>
      </c>
      <c r="BN17">
        <v>0.15</v>
      </c>
      <c r="BO17">
        <v>0</v>
      </c>
      <c r="BP17">
        <v>0.25</v>
      </c>
      <c r="BQ17">
        <v>0.4</v>
      </c>
      <c r="BR17">
        <v>0.5</v>
      </c>
      <c r="BS17">
        <v>0.7</v>
      </c>
      <c r="BT17">
        <v>0.8</v>
      </c>
      <c r="BU17">
        <v>0.9</v>
      </c>
      <c r="BV17">
        <v>0.95</v>
      </c>
      <c r="BW17">
        <v>9.4999999999999998E-3</v>
      </c>
      <c r="BX17">
        <v>2.8899999999999999E-2</v>
      </c>
      <c r="BY17">
        <v>6.8400000000000002E-2</v>
      </c>
      <c r="BZ17">
        <v>7.5200000000000003E-2</v>
      </c>
      <c r="CA17">
        <v>9.1499999999999998E-2</v>
      </c>
      <c r="CB17">
        <v>0.16550000000000001</v>
      </c>
      <c r="CC17">
        <v>0.16550000000000001</v>
      </c>
      <c r="CD17">
        <v>0.16550000000000001</v>
      </c>
      <c r="CE17">
        <v>0.16550000000000001</v>
      </c>
      <c r="CF17">
        <v>0.16550000000000001</v>
      </c>
      <c r="CG17">
        <v>0.16550000000000001</v>
      </c>
      <c r="CH17">
        <v>0.16550000000000001</v>
      </c>
      <c r="CI17">
        <f t="shared" si="5"/>
        <v>6</v>
      </c>
      <c r="CJ17" s="370">
        <v>0.16550000000000001</v>
      </c>
      <c r="CK17" s="370">
        <f t="shared" si="6"/>
        <v>2.7583333333333335E-2</v>
      </c>
      <c r="CL17" s="370">
        <f t="shared" si="7"/>
        <v>0.34842105263157896</v>
      </c>
      <c r="CM17">
        <v>1074.05</v>
      </c>
      <c r="CN17" s="371">
        <v>4.2307200000000003E-2</v>
      </c>
      <c r="CO17" s="371">
        <v>0.83184210000000003</v>
      </c>
      <c r="CP17" s="371">
        <v>0.12585080000000001</v>
      </c>
      <c r="CQ17">
        <v>506</v>
      </c>
      <c r="CR17">
        <v>360</v>
      </c>
      <c r="CS17">
        <v>644</v>
      </c>
      <c r="CT17">
        <v>113</v>
      </c>
      <c r="CU17">
        <v>6820</v>
      </c>
      <c r="CV17">
        <v>8443</v>
      </c>
      <c r="CW17">
        <v>99.75</v>
      </c>
      <c r="CX17">
        <v>818.6</v>
      </c>
      <c r="CY17">
        <v>35.25</v>
      </c>
      <c r="CZ17">
        <v>23.64</v>
      </c>
      <c r="DA17">
        <v>406.11</v>
      </c>
      <c r="DB17">
        <v>1383.35</v>
      </c>
      <c r="DC17">
        <v>0</v>
      </c>
      <c r="DD17">
        <v>0</v>
      </c>
      <c r="DE17">
        <v>0</v>
      </c>
      <c r="DF17">
        <v>0</v>
      </c>
      <c r="DG17">
        <v>0</v>
      </c>
      <c r="DH17">
        <v>0</v>
      </c>
      <c r="DI17">
        <v>0</v>
      </c>
      <c r="DJ17">
        <v>0</v>
      </c>
      <c r="DK17">
        <v>0</v>
      </c>
      <c r="DL17">
        <v>0</v>
      </c>
      <c r="DM17">
        <v>0</v>
      </c>
      <c r="DN17">
        <v>0</v>
      </c>
      <c r="DO17">
        <v>0</v>
      </c>
      <c r="DP17">
        <v>0</v>
      </c>
      <c r="DQ17">
        <v>0</v>
      </c>
      <c r="DR17">
        <v>0</v>
      </c>
      <c r="DS17">
        <v>0</v>
      </c>
      <c r="DT17">
        <v>0</v>
      </c>
      <c r="DU17">
        <v>0.25850000000000001</v>
      </c>
      <c r="DV17">
        <v>0.33729999999999999</v>
      </c>
      <c r="DW17">
        <v>0.3569</v>
      </c>
      <c r="DX17">
        <v>0.42449999999999999</v>
      </c>
      <c r="DY17">
        <v>0.42449999999999999</v>
      </c>
      <c r="DZ17">
        <v>0.71050000000000002</v>
      </c>
      <c r="EA17">
        <f t="shared" si="8"/>
        <v>12</v>
      </c>
      <c r="EB17" s="370">
        <v>0.71050000000000002</v>
      </c>
      <c r="EC17" s="370">
        <f t="shared" si="9"/>
        <v>5.9208333333333335E-2</v>
      </c>
      <c r="ED17" s="370">
        <f t="shared" si="10"/>
        <v>0.71050000000000002</v>
      </c>
      <c r="EE17">
        <v>977.24</v>
      </c>
      <c r="EF17" s="371">
        <v>0.1020732</v>
      </c>
      <c r="EG17" s="371">
        <v>0.83766529999999995</v>
      </c>
      <c r="EH17" s="371">
        <v>6.0261599999999999E-2</v>
      </c>
      <c r="EI17">
        <v>599</v>
      </c>
      <c r="EJ17">
        <v>227</v>
      </c>
      <c r="EK17">
        <v>448</v>
      </c>
      <c r="EL17">
        <v>91</v>
      </c>
      <c r="EM17">
        <v>5233</v>
      </c>
      <c r="EN17">
        <v>6598</v>
      </c>
      <c r="EO17">
        <v>199.74</v>
      </c>
      <c r="EP17">
        <v>422.03</v>
      </c>
      <c r="EQ17">
        <v>31.66</v>
      </c>
      <c r="ER17">
        <v>12.51</v>
      </c>
      <c r="ES17">
        <v>476.58</v>
      </c>
      <c r="ET17">
        <v>1142.52</v>
      </c>
      <c r="EU17">
        <v>0</v>
      </c>
      <c r="EV17">
        <v>0</v>
      </c>
      <c r="EW17">
        <v>0</v>
      </c>
      <c r="EX17">
        <v>0</v>
      </c>
      <c r="EY17">
        <v>0</v>
      </c>
      <c r="EZ17">
        <v>0</v>
      </c>
      <c r="FA17">
        <v>0</v>
      </c>
      <c r="FB17">
        <v>0</v>
      </c>
      <c r="FC17">
        <v>0</v>
      </c>
      <c r="FD17">
        <v>0</v>
      </c>
      <c r="FE17">
        <v>0</v>
      </c>
      <c r="FF17">
        <v>0</v>
      </c>
      <c r="FG17">
        <v>0</v>
      </c>
      <c r="FH17">
        <v>0</v>
      </c>
      <c r="FI17">
        <v>0</v>
      </c>
      <c r="FJ17">
        <v>0.1381</v>
      </c>
      <c r="FK17">
        <v>0.1381</v>
      </c>
      <c r="FL17">
        <v>0.1381</v>
      </c>
      <c r="FM17">
        <v>0.1381</v>
      </c>
      <c r="FN17">
        <v>0.1381</v>
      </c>
      <c r="FO17">
        <v>0.1381</v>
      </c>
      <c r="FP17">
        <v>0</v>
      </c>
      <c r="FQ17">
        <v>0</v>
      </c>
      <c r="FR17">
        <v>0</v>
      </c>
      <c r="FS17">
        <f t="shared" si="11"/>
        <v>4</v>
      </c>
      <c r="FT17">
        <v>0.1381</v>
      </c>
      <c r="FU17" s="370">
        <f t="shared" si="12"/>
        <v>3.4525E-2</v>
      </c>
      <c r="FV17" s="370">
        <f t="shared" si="13"/>
        <v>0.4143</v>
      </c>
      <c r="FW17">
        <v>665.94</v>
      </c>
      <c r="FX17">
        <v>0.29993690000000001</v>
      </c>
      <c r="FY17">
        <v>0.63373579999999996</v>
      </c>
      <c r="FZ17">
        <v>6.6327300000000006E-2</v>
      </c>
      <c r="GC17" s="370"/>
      <c r="GG17" s="370"/>
    </row>
    <row r="18" spans="2:189" x14ac:dyDescent="0.25">
      <c r="B18" t="s">
        <v>162</v>
      </c>
      <c r="C18">
        <v>0</v>
      </c>
      <c r="D18">
        <f t="shared" si="0"/>
        <v>0</v>
      </c>
      <c r="E18">
        <f t="shared" si="1"/>
        <v>0</v>
      </c>
      <c r="F18" t="s">
        <v>179</v>
      </c>
      <c r="G18">
        <v>396</v>
      </c>
      <c r="H18">
        <v>114</v>
      </c>
      <c r="I18">
        <v>81</v>
      </c>
      <c r="J18">
        <v>45</v>
      </c>
      <c r="K18">
        <v>0</v>
      </c>
      <c r="L18">
        <v>636</v>
      </c>
      <c r="M18">
        <v>28.6</v>
      </c>
      <c r="N18">
        <v>112.91</v>
      </c>
      <c r="O18">
        <v>3.86</v>
      </c>
      <c r="P18">
        <v>2.78</v>
      </c>
      <c r="Q18">
        <v>0</v>
      </c>
      <c r="R18">
        <v>148.15</v>
      </c>
      <c r="S18">
        <v>8.0000000000000002E-3</v>
      </c>
      <c r="T18">
        <v>3.8300000000000001E-2</v>
      </c>
      <c r="U18">
        <v>0.1183</v>
      </c>
      <c r="V18">
        <v>0.2266</v>
      </c>
      <c r="W18">
        <v>0.31969999999999998</v>
      </c>
      <c r="X18">
        <v>0.41099999999999998</v>
      </c>
      <c r="Y18">
        <v>0.50170000000000003</v>
      </c>
      <c r="Z18">
        <v>0.59460000000000002</v>
      </c>
      <c r="AA18">
        <v>0.70899999999999996</v>
      </c>
      <c r="AB18">
        <v>0.79159999999999997</v>
      </c>
      <c r="AC18">
        <v>0.86060000000000003</v>
      </c>
      <c r="AD18">
        <v>1</v>
      </c>
      <c r="AE18">
        <v>2.0199999999999999E-2</v>
      </c>
      <c r="AF18">
        <v>4.5400000000000003E-2</v>
      </c>
      <c r="AG18">
        <v>0.12379999999999999</v>
      </c>
      <c r="AH18">
        <v>0.1409</v>
      </c>
      <c r="AI18">
        <v>0.27800000000000002</v>
      </c>
      <c r="AJ18">
        <v>0.34489999999999998</v>
      </c>
      <c r="AK18">
        <v>0.442</v>
      </c>
      <c r="AL18">
        <v>0.53200000000000003</v>
      </c>
      <c r="AM18">
        <v>0.53200000000000003</v>
      </c>
      <c r="AN18">
        <v>0.53200000000000003</v>
      </c>
      <c r="AO18">
        <v>0.53200000000000003</v>
      </c>
      <c r="AP18">
        <v>0.53200000000000003</v>
      </c>
      <c r="AQ18">
        <f t="shared" si="2"/>
        <v>8</v>
      </c>
      <c r="AR18" s="370">
        <v>0.53200000000000003</v>
      </c>
      <c r="AS18" s="370">
        <f t="shared" si="3"/>
        <v>6.6500000000000004E-2</v>
      </c>
      <c r="AT18" s="370">
        <f t="shared" si="4"/>
        <v>0.79800000000000004</v>
      </c>
      <c r="AU18">
        <v>148.15</v>
      </c>
      <c r="AV18" s="371">
        <v>0.19304760000000001</v>
      </c>
      <c r="AW18" s="371">
        <v>0.76213299999999995</v>
      </c>
      <c r="AX18" s="371">
        <v>4.4819400000000002E-2</v>
      </c>
      <c r="AY18">
        <v>640</v>
      </c>
      <c r="AZ18">
        <v>173</v>
      </c>
      <c r="BA18">
        <v>70</v>
      </c>
      <c r="BB18">
        <v>1</v>
      </c>
      <c r="BC18">
        <v>0</v>
      </c>
      <c r="BD18">
        <v>884</v>
      </c>
      <c r="BE18">
        <v>75.14</v>
      </c>
      <c r="BF18">
        <v>137.26</v>
      </c>
      <c r="BG18">
        <v>3.73</v>
      </c>
      <c r="BH18">
        <v>3.05</v>
      </c>
      <c r="BI18">
        <v>0</v>
      </c>
      <c r="BJ18">
        <v>219.18</v>
      </c>
      <c r="BK18">
        <v>3.5999999999999999E-3</v>
      </c>
      <c r="BL18">
        <v>3.4000000000000002E-2</v>
      </c>
      <c r="BM18">
        <v>7.3400000000000007E-2</v>
      </c>
      <c r="BN18">
        <v>0.12720000000000001</v>
      </c>
      <c r="BO18">
        <v>0.17749999999999999</v>
      </c>
      <c r="BP18">
        <v>0.2412</v>
      </c>
      <c r="BQ18">
        <v>0</v>
      </c>
      <c r="BR18">
        <v>0.35170000000000001</v>
      </c>
      <c r="BS18">
        <v>0.42370000000000002</v>
      </c>
      <c r="BT18">
        <v>0.49080000000000001</v>
      </c>
      <c r="BU18">
        <v>0.75</v>
      </c>
      <c r="BV18">
        <v>0.9</v>
      </c>
      <c r="BW18">
        <v>1.9E-3</v>
      </c>
      <c r="BX18">
        <v>1.34E-2</v>
      </c>
      <c r="BY18">
        <v>4.0300000000000002E-2</v>
      </c>
      <c r="BZ18">
        <v>8.1600000000000006E-2</v>
      </c>
      <c r="CA18">
        <v>0.20799999999999999</v>
      </c>
      <c r="CB18">
        <v>0.33979999999999999</v>
      </c>
      <c r="CC18">
        <v>0.33979999999999999</v>
      </c>
      <c r="CD18">
        <v>0.439</v>
      </c>
      <c r="CE18">
        <v>0.439</v>
      </c>
      <c r="CF18">
        <v>0.65090000000000003</v>
      </c>
      <c r="CG18">
        <v>0.70099999999999996</v>
      </c>
      <c r="CH18">
        <v>0.8397</v>
      </c>
      <c r="CI18">
        <f t="shared" si="5"/>
        <v>12</v>
      </c>
      <c r="CJ18" s="370">
        <v>0.8397</v>
      </c>
      <c r="CK18" s="370">
        <f t="shared" si="6"/>
        <v>6.9974999999999996E-2</v>
      </c>
      <c r="CL18" s="370">
        <f t="shared" si="7"/>
        <v>0.93299999999999983</v>
      </c>
      <c r="CM18">
        <v>219.18</v>
      </c>
      <c r="CN18" s="371">
        <v>0.34282319999999999</v>
      </c>
      <c r="CO18" s="371">
        <v>0.62624329999999995</v>
      </c>
      <c r="CP18" s="371">
        <v>3.0933499999999999E-2</v>
      </c>
      <c r="CQ18">
        <v>724</v>
      </c>
      <c r="CR18">
        <v>204</v>
      </c>
      <c r="CS18">
        <v>172</v>
      </c>
      <c r="CT18">
        <v>130</v>
      </c>
      <c r="CU18">
        <v>2163</v>
      </c>
      <c r="CV18">
        <v>3393</v>
      </c>
      <c r="CW18">
        <v>94.49</v>
      </c>
      <c r="CX18">
        <v>97.19</v>
      </c>
      <c r="CY18">
        <v>10.37</v>
      </c>
      <c r="CZ18">
        <v>7.02</v>
      </c>
      <c r="DA18">
        <v>73.59</v>
      </c>
      <c r="DB18">
        <v>282.66000000000003</v>
      </c>
      <c r="DC18">
        <v>7.1099999999999997E-2</v>
      </c>
      <c r="DD18">
        <v>0.14219999999999999</v>
      </c>
      <c r="DE18">
        <v>0.2132</v>
      </c>
      <c r="DF18">
        <v>0.2843</v>
      </c>
      <c r="DG18">
        <v>0.35539999999999999</v>
      </c>
      <c r="DH18">
        <v>0.42649999999999999</v>
      </c>
      <c r="DI18">
        <v>0.4975</v>
      </c>
      <c r="DJ18">
        <v>0.56859999999999999</v>
      </c>
      <c r="DK18">
        <v>0.63970000000000005</v>
      </c>
      <c r="DL18">
        <v>0.71079999999999999</v>
      </c>
      <c r="DM18">
        <v>0.78190000000000004</v>
      </c>
      <c r="DN18">
        <v>0.85289999999999999</v>
      </c>
      <c r="DO18">
        <v>1.6E-2</v>
      </c>
      <c r="DP18">
        <v>4.07E-2</v>
      </c>
      <c r="DQ18">
        <v>7.6899999999999996E-2</v>
      </c>
      <c r="DR18">
        <v>0.1157</v>
      </c>
      <c r="DS18">
        <v>0.1913</v>
      </c>
      <c r="DT18">
        <v>0.29959999999999998</v>
      </c>
      <c r="DU18">
        <v>0.37019999999999997</v>
      </c>
      <c r="DV18">
        <v>0.44130000000000003</v>
      </c>
      <c r="DW18">
        <v>0.49459999999999998</v>
      </c>
      <c r="DX18">
        <v>0.5605</v>
      </c>
      <c r="DY18">
        <v>0.69550000000000001</v>
      </c>
      <c r="DZ18">
        <v>0.84609999999999996</v>
      </c>
      <c r="EA18">
        <f t="shared" si="8"/>
        <v>12</v>
      </c>
      <c r="EB18" s="370">
        <v>0.84609999999999996</v>
      </c>
      <c r="EC18" s="370">
        <f t="shared" si="9"/>
        <v>7.0508333333333326E-2</v>
      </c>
      <c r="ED18" s="370">
        <f t="shared" si="10"/>
        <v>0.99202720131316668</v>
      </c>
      <c r="EE18">
        <v>209.07</v>
      </c>
      <c r="EF18" s="371">
        <v>0.45195390000000002</v>
      </c>
      <c r="EG18" s="371">
        <v>0.46486820000000001</v>
      </c>
      <c r="EH18" s="371">
        <v>8.3177899999999999E-2</v>
      </c>
      <c r="EI18">
        <v>540</v>
      </c>
      <c r="EJ18">
        <v>162</v>
      </c>
      <c r="EK18">
        <v>163</v>
      </c>
      <c r="EL18">
        <v>170</v>
      </c>
      <c r="EM18">
        <v>1658</v>
      </c>
      <c r="EN18">
        <v>2693</v>
      </c>
      <c r="EO18">
        <v>66.7</v>
      </c>
      <c r="EP18">
        <v>145.24</v>
      </c>
      <c r="EQ18">
        <v>6.89</v>
      </c>
      <c r="ER18">
        <v>10.66</v>
      </c>
      <c r="ES18">
        <v>50.52</v>
      </c>
      <c r="ET18">
        <v>280.01</v>
      </c>
      <c r="EU18">
        <v>1.9800000000000002E-2</v>
      </c>
      <c r="EV18">
        <v>9.74E-2</v>
      </c>
      <c r="EW18">
        <v>0.16259999999999999</v>
      </c>
      <c r="EX18">
        <v>0.24399999999999999</v>
      </c>
      <c r="EY18">
        <v>0.32529999999999998</v>
      </c>
      <c r="EZ18">
        <v>0.40660000000000002</v>
      </c>
      <c r="FA18">
        <v>0.4879</v>
      </c>
      <c r="FB18">
        <v>0.56920000000000004</v>
      </c>
      <c r="FC18">
        <v>0.7319</v>
      </c>
      <c r="FD18">
        <v>0.81320000000000003</v>
      </c>
      <c r="FE18">
        <v>0.89449999999999996</v>
      </c>
      <c r="FF18">
        <v>0.98199999999999998</v>
      </c>
      <c r="FG18">
        <v>1.78E-2</v>
      </c>
      <c r="FH18">
        <v>8.3000000000000004E-2</v>
      </c>
      <c r="FI18">
        <v>0.1008</v>
      </c>
      <c r="FJ18">
        <v>0.18440000000000001</v>
      </c>
      <c r="FK18">
        <v>0.25369999999999998</v>
      </c>
      <c r="FL18">
        <v>0.35580000000000001</v>
      </c>
      <c r="FM18">
        <v>0.4491</v>
      </c>
      <c r="FN18">
        <v>0.51039999999999996</v>
      </c>
      <c r="FO18">
        <v>0.58740000000000003</v>
      </c>
      <c r="FP18">
        <v>0</v>
      </c>
      <c r="FQ18">
        <v>0</v>
      </c>
      <c r="FR18">
        <v>0</v>
      </c>
      <c r="FS18">
        <f t="shared" si="11"/>
        <v>9</v>
      </c>
      <c r="FT18">
        <v>0.58740000000000003</v>
      </c>
      <c r="FU18" s="370">
        <f t="shared" si="12"/>
        <v>6.5266666666666667E-2</v>
      </c>
      <c r="FV18" s="370">
        <f t="shared" si="13"/>
        <v>0.79755600814663952</v>
      </c>
      <c r="FW18">
        <v>229.49</v>
      </c>
      <c r="FX18">
        <v>0.29064449999999997</v>
      </c>
      <c r="FY18">
        <v>0.63288160000000004</v>
      </c>
      <c r="FZ18">
        <v>7.6473899999999997E-2</v>
      </c>
    </row>
    <row r="19" spans="2:189" x14ac:dyDescent="0.25">
      <c r="B19" t="s">
        <v>165</v>
      </c>
      <c r="C19">
        <v>0</v>
      </c>
      <c r="D19">
        <f t="shared" si="0"/>
        <v>0</v>
      </c>
      <c r="E19">
        <f t="shared" si="1"/>
        <v>0</v>
      </c>
      <c r="F19" t="s">
        <v>181</v>
      </c>
      <c r="G19">
        <v>856</v>
      </c>
      <c r="H19">
        <v>1284</v>
      </c>
      <c r="I19">
        <v>865</v>
      </c>
      <c r="J19">
        <v>401</v>
      </c>
      <c r="K19">
        <v>1302</v>
      </c>
      <c r="L19">
        <v>4708</v>
      </c>
      <c r="M19">
        <v>136.9</v>
      </c>
      <c r="N19">
        <v>306.77</v>
      </c>
      <c r="O19">
        <v>63.55</v>
      </c>
      <c r="P19">
        <v>60.47</v>
      </c>
      <c r="Q19">
        <v>445.11</v>
      </c>
      <c r="R19">
        <v>1012.8</v>
      </c>
      <c r="S19">
        <v>3.9399999999999998E-2</v>
      </c>
      <c r="T19">
        <v>0.121</v>
      </c>
      <c r="U19">
        <v>0.23039999999999999</v>
      </c>
      <c r="V19">
        <v>0.3629</v>
      </c>
      <c r="W19">
        <v>0.46910000000000002</v>
      </c>
      <c r="X19">
        <v>0.55569999999999997</v>
      </c>
      <c r="Y19">
        <v>0.70889999999999997</v>
      </c>
      <c r="Z19">
        <v>0.77680000000000005</v>
      </c>
      <c r="AA19">
        <v>0.82889999999999997</v>
      </c>
      <c r="AB19">
        <v>0.88819999999999999</v>
      </c>
      <c r="AC19">
        <v>0.94650000000000001</v>
      </c>
      <c r="AD19">
        <v>0.99850000000000005</v>
      </c>
      <c r="AE19">
        <v>1.04E-2</v>
      </c>
      <c r="AF19">
        <v>2.9499999999999998E-2</v>
      </c>
      <c r="AG19">
        <v>6.3100000000000003E-2</v>
      </c>
      <c r="AH19">
        <v>8.8300000000000003E-2</v>
      </c>
      <c r="AI19">
        <v>0.128</v>
      </c>
      <c r="AJ19">
        <v>0.18379999999999999</v>
      </c>
      <c r="AK19">
        <v>0.2167</v>
      </c>
      <c r="AL19">
        <v>0.29830000000000001</v>
      </c>
      <c r="AM19">
        <v>0.3463</v>
      </c>
      <c r="AN19">
        <v>0.3463</v>
      </c>
      <c r="AO19">
        <v>0.3463</v>
      </c>
      <c r="AP19">
        <v>0.3463</v>
      </c>
      <c r="AQ19">
        <f t="shared" si="2"/>
        <v>9</v>
      </c>
      <c r="AR19" s="370">
        <v>0.3463</v>
      </c>
      <c r="AS19" s="370">
        <f t="shared" si="3"/>
        <v>3.8477777777777777E-2</v>
      </c>
      <c r="AT19" s="370">
        <f t="shared" si="4"/>
        <v>0.46242697379402437</v>
      </c>
      <c r="AU19">
        <v>567.69000000000005</v>
      </c>
      <c r="AV19" s="371">
        <v>0.2411527</v>
      </c>
      <c r="AW19" s="371">
        <v>0.54038299999999995</v>
      </c>
      <c r="AX19" s="371">
        <v>0.2184643</v>
      </c>
      <c r="AY19">
        <v>786</v>
      </c>
      <c r="AZ19">
        <v>1762</v>
      </c>
      <c r="BA19">
        <v>726</v>
      </c>
      <c r="BB19">
        <v>333</v>
      </c>
      <c r="BC19">
        <v>1278</v>
      </c>
      <c r="BD19">
        <v>4885</v>
      </c>
      <c r="BE19">
        <v>117.1</v>
      </c>
      <c r="BF19">
        <v>540.28</v>
      </c>
      <c r="BG19">
        <v>36.549999999999997</v>
      </c>
      <c r="BH19">
        <v>39.799999999999997</v>
      </c>
      <c r="BI19">
        <v>582.95000000000005</v>
      </c>
      <c r="BJ19">
        <v>1316.68</v>
      </c>
      <c r="BK19">
        <v>4.58E-2</v>
      </c>
      <c r="BL19">
        <v>0.13739999999999999</v>
      </c>
      <c r="BM19">
        <v>0.2646</v>
      </c>
      <c r="BN19">
        <v>0.34489999999999998</v>
      </c>
      <c r="BO19">
        <v>0.4632</v>
      </c>
      <c r="BP19">
        <v>0.59319999999999995</v>
      </c>
      <c r="BQ19">
        <v>0.71840000000000004</v>
      </c>
      <c r="BR19">
        <v>0.79349999999999998</v>
      </c>
      <c r="BS19">
        <v>0.86580000000000001</v>
      </c>
      <c r="BT19">
        <v>0.92969999999999997</v>
      </c>
      <c r="BU19">
        <v>0.97</v>
      </c>
      <c r="BV19">
        <v>1</v>
      </c>
      <c r="BW19">
        <v>7.4000000000000003E-3</v>
      </c>
      <c r="BX19">
        <v>2.3599999999999999E-2</v>
      </c>
      <c r="BY19">
        <v>5.0099999999999999E-2</v>
      </c>
      <c r="BZ19">
        <v>8.3900000000000002E-2</v>
      </c>
      <c r="CA19">
        <v>0.16789999999999999</v>
      </c>
      <c r="CB19">
        <v>0.219</v>
      </c>
      <c r="CC19">
        <v>0.28100000000000003</v>
      </c>
      <c r="CD19">
        <v>0.35470000000000002</v>
      </c>
      <c r="CE19">
        <v>0.44950000000000001</v>
      </c>
      <c r="CF19">
        <v>0.52400000000000002</v>
      </c>
      <c r="CG19">
        <v>0.52400000000000002</v>
      </c>
      <c r="CH19">
        <v>0.52400000000000002</v>
      </c>
      <c r="CI19">
        <f t="shared" si="5"/>
        <v>10</v>
      </c>
      <c r="CJ19" s="370">
        <v>0.52400000000000002</v>
      </c>
      <c r="CK19" s="370">
        <f t="shared" si="6"/>
        <v>5.2400000000000002E-2</v>
      </c>
      <c r="CL19" s="370">
        <f t="shared" si="7"/>
        <v>0.62880000000000003</v>
      </c>
      <c r="CM19">
        <v>733.73</v>
      </c>
      <c r="CN19" s="371">
        <v>0.1595955</v>
      </c>
      <c r="CO19" s="371">
        <v>0.73634710000000003</v>
      </c>
      <c r="CP19" s="371">
        <v>0.10405730000000001</v>
      </c>
      <c r="CQ19">
        <v>1000</v>
      </c>
      <c r="CR19">
        <v>1944</v>
      </c>
      <c r="CS19">
        <v>808</v>
      </c>
      <c r="CT19">
        <v>328</v>
      </c>
      <c r="CU19">
        <v>1870</v>
      </c>
      <c r="CV19">
        <v>5950</v>
      </c>
      <c r="CW19">
        <v>191.37</v>
      </c>
      <c r="CX19">
        <v>418.91</v>
      </c>
      <c r="CY19">
        <v>45.08</v>
      </c>
      <c r="CZ19">
        <v>50.38</v>
      </c>
      <c r="DA19">
        <v>529.4</v>
      </c>
      <c r="DB19">
        <v>1235.1400000000001</v>
      </c>
      <c r="DC19">
        <v>6.8900000000000003E-2</v>
      </c>
      <c r="DD19">
        <v>0.18140000000000001</v>
      </c>
      <c r="DE19">
        <v>0.27510000000000001</v>
      </c>
      <c r="DF19">
        <v>0.36530000000000001</v>
      </c>
      <c r="DG19">
        <v>0.44319999999999998</v>
      </c>
      <c r="DH19">
        <v>0.56899999999999995</v>
      </c>
      <c r="DI19">
        <v>0.64639999999999997</v>
      </c>
      <c r="DJ19">
        <v>0.71699999999999997</v>
      </c>
      <c r="DK19">
        <v>0.78310000000000002</v>
      </c>
      <c r="DL19">
        <v>0.84789999999999999</v>
      </c>
      <c r="DM19">
        <v>0.89400000000000002</v>
      </c>
      <c r="DN19">
        <v>1</v>
      </c>
      <c r="DO19">
        <v>1.9199999999999998E-2</v>
      </c>
      <c r="DP19">
        <v>4.9700000000000001E-2</v>
      </c>
      <c r="DQ19">
        <v>9.64E-2</v>
      </c>
      <c r="DR19">
        <v>0.15479999999999999</v>
      </c>
      <c r="DS19">
        <v>0.20830000000000001</v>
      </c>
      <c r="DT19">
        <v>0.26910000000000001</v>
      </c>
      <c r="DU19">
        <v>0.34</v>
      </c>
      <c r="DV19">
        <v>0.41799999999999998</v>
      </c>
      <c r="DW19">
        <v>0.4929</v>
      </c>
      <c r="DX19">
        <v>0.56869999999999998</v>
      </c>
      <c r="DY19">
        <v>0.65820000000000001</v>
      </c>
      <c r="DZ19">
        <v>0.8095</v>
      </c>
      <c r="EA19">
        <f t="shared" si="8"/>
        <v>12</v>
      </c>
      <c r="EB19" s="370">
        <v>0.8095</v>
      </c>
      <c r="EC19" s="370">
        <f t="shared" si="9"/>
        <v>6.7458333333333328E-2</v>
      </c>
      <c r="ED19" s="370">
        <f t="shared" si="10"/>
        <v>0.80949999999999989</v>
      </c>
      <c r="EE19">
        <v>705.74</v>
      </c>
      <c r="EF19" s="371">
        <v>0.27116220000000002</v>
      </c>
      <c r="EG19" s="371">
        <v>0.59357550000000003</v>
      </c>
      <c r="EH19" s="371">
        <v>0.1352623</v>
      </c>
      <c r="EI19">
        <v>997</v>
      </c>
      <c r="EJ19">
        <v>1912</v>
      </c>
      <c r="EK19">
        <v>987</v>
      </c>
      <c r="EL19">
        <v>453</v>
      </c>
      <c r="EM19">
        <v>1245</v>
      </c>
      <c r="EN19">
        <v>5594</v>
      </c>
      <c r="EO19">
        <v>268.33</v>
      </c>
      <c r="EP19">
        <v>313.83999999999997</v>
      </c>
      <c r="EQ19">
        <v>52.74</v>
      </c>
      <c r="ER19">
        <v>56.27</v>
      </c>
      <c r="ES19">
        <v>717.44</v>
      </c>
      <c r="ET19">
        <v>1408.62</v>
      </c>
      <c r="EU19">
        <v>0.1283</v>
      </c>
      <c r="EV19">
        <v>0.20300000000000001</v>
      </c>
      <c r="EW19">
        <v>0.2853</v>
      </c>
      <c r="EX19">
        <v>0.39</v>
      </c>
      <c r="EY19">
        <v>0.46910000000000002</v>
      </c>
      <c r="EZ19">
        <v>0.57350000000000001</v>
      </c>
      <c r="FA19">
        <v>0.62639999999999996</v>
      </c>
      <c r="FB19">
        <v>0.70169999999999999</v>
      </c>
      <c r="FC19">
        <v>0.77190000000000003</v>
      </c>
      <c r="FD19">
        <v>0.84509999999999996</v>
      </c>
      <c r="FE19">
        <v>0.90880000000000005</v>
      </c>
      <c r="FF19">
        <v>1</v>
      </c>
      <c r="FG19">
        <v>2.0999999999999999E-3</v>
      </c>
      <c r="FH19">
        <v>4.82E-2</v>
      </c>
      <c r="FI19">
        <v>9.1200000000000003E-2</v>
      </c>
      <c r="FJ19">
        <v>0.1736</v>
      </c>
      <c r="FK19">
        <v>0.19639999999999999</v>
      </c>
      <c r="FL19">
        <v>0.2772</v>
      </c>
      <c r="FM19">
        <v>0.40720000000000001</v>
      </c>
      <c r="FN19">
        <v>0.44209999999999999</v>
      </c>
      <c r="FO19">
        <v>0.44209999999999999</v>
      </c>
      <c r="FP19">
        <v>0</v>
      </c>
      <c r="FQ19">
        <v>0</v>
      </c>
      <c r="FR19">
        <v>0</v>
      </c>
      <c r="FS19">
        <f t="shared" si="11"/>
        <v>8</v>
      </c>
      <c r="FT19">
        <v>0.44209999999999999</v>
      </c>
      <c r="FU19" s="370">
        <f t="shared" si="12"/>
        <v>5.5262499999999999E-2</v>
      </c>
      <c r="FV19" s="370">
        <f t="shared" si="13"/>
        <v>0.66315000000000002</v>
      </c>
      <c r="FW19">
        <v>691.18</v>
      </c>
      <c r="FX19">
        <v>0.38822010000000001</v>
      </c>
      <c r="FY19">
        <v>0.45406410000000003</v>
      </c>
      <c r="FZ19">
        <v>0.15771579999999999</v>
      </c>
    </row>
    <row r="20" spans="2:189" x14ac:dyDescent="0.25">
      <c r="B20" t="s">
        <v>162</v>
      </c>
      <c r="C20">
        <v>1</v>
      </c>
      <c r="D20">
        <f t="shared" si="0"/>
        <v>1</v>
      </c>
      <c r="E20">
        <f t="shared" si="1"/>
        <v>1</v>
      </c>
      <c r="F20" t="s">
        <v>182</v>
      </c>
      <c r="G20">
        <v>215</v>
      </c>
      <c r="H20">
        <v>207</v>
      </c>
      <c r="I20">
        <v>79</v>
      </c>
      <c r="J20">
        <v>3</v>
      </c>
      <c r="K20">
        <v>0</v>
      </c>
      <c r="L20">
        <v>504</v>
      </c>
      <c r="M20">
        <v>23.58</v>
      </c>
      <c r="N20">
        <v>81.010000000000005</v>
      </c>
      <c r="O20">
        <v>4.07</v>
      </c>
      <c r="P20">
        <v>0.85</v>
      </c>
      <c r="Q20">
        <v>0</v>
      </c>
      <c r="R20">
        <v>109.51</v>
      </c>
      <c r="S20">
        <v>6.0199999999999997E-2</v>
      </c>
      <c r="T20">
        <v>0.14099999999999999</v>
      </c>
      <c r="U20">
        <v>0.20699999999999999</v>
      </c>
      <c r="V20">
        <v>0.30499999999999999</v>
      </c>
      <c r="W20">
        <v>0.40200000000000002</v>
      </c>
      <c r="X20">
        <v>0.55800000000000005</v>
      </c>
      <c r="Y20">
        <v>0.60299999999999998</v>
      </c>
      <c r="Z20">
        <v>0.70499999999999996</v>
      </c>
      <c r="AA20">
        <v>0.76700000000000002</v>
      </c>
      <c r="AB20">
        <v>0.90200000000000002</v>
      </c>
      <c r="AC20">
        <v>0.95499999999999996</v>
      </c>
      <c r="AD20">
        <v>1</v>
      </c>
      <c r="AE20">
        <v>2.5999999999999999E-2</v>
      </c>
      <c r="AF20">
        <v>6.3200000000000006E-2</v>
      </c>
      <c r="AG20">
        <v>0.12479999999999999</v>
      </c>
      <c r="AH20">
        <v>0.22739999999999999</v>
      </c>
      <c r="AI20">
        <v>0.25259999999999999</v>
      </c>
      <c r="AJ20">
        <v>0.33439999999999998</v>
      </c>
      <c r="AK20">
        <v>0.44879999999999998</v>
      </c>
      <c r="AL20">
        <v>0.51349999999999996</v>
      </c>
      <c r="AM20">
        <v>0.51349999999999996</v>
      </c>
      <c r="AN20">
        <v>0.51349999999999996</v>
      </c>
      <c r="AO20">
        <v>0.51349999999999996</v>
      </c>
      <c r="AP20">
        <v>0.51349999999999996</v>
      </c>
      <c r="AQ20">
        <f t="shared" si="2"/>
        <v>8</v>
      </c>
      <c r="AR20" s="370">
        <v>0.51349999999999996</v>
      </c>
      <c r="AS20" s="370">
        <f t="shared" si="3"/>
        <v>6.4187499999999995E-2</v>
      </c>
      <c r="AT20" s="370">
        <f t="shared" si="4"/>
        <v>0.77024999999999988</v>
      </c>
      <c r="AU20">
        <v>109.51</v>
      </c>
      <c r="AV20" s="371">
        <v>0.21532280000000001</v>
      </c>
      <c r="AW20" s="371">
        <v>0.73974980000000001</v>
      </c>
      <c r="AX20" s="371">
        <v>4.4927399999999999E-2</v>
      </c>
      <c r="AY20">
        <v>589</v>
      </c>
      <c r="AZ20">
        <v>180</v>
      </c>
      <c r="BA20">
        <v>107</v>
      </c>
      <c r="BB20">
        <v>20</v>
      </c>
      <c r="BC20">
        <v>0</v>
      </c>
      <c r="BD20">
        <v>896</v>
      </c>
      <c r="BE20">
        <v>72.569999999999993</v>
      </c>
      <c r="BF20">
        <v>90.5</v>
      </c>
      <c r="BG20">
        <v>5.45</v>
      </c>
      <c r="BH20">
        <v>1.1499999999999999</v>
      </c>
      <c r="BI20">
        <v>0</v>
      </c>
      <c r="BJ20">
        <v>169.67</v>
      </c>
      <c r="BK20">
        <v>2.01E-2</v>
      </c>
      <c r="BL20">
        <v>8.3099999999999993E-2</v>
      </c>
      <c r="BM20">
        <v>0.1709</v>
      </c>
      <c r="BN20">
        <v>0.27879999999999999</v>
      </c>
      <c r="BO20">
        <v>0.37580000000000002</v>
      </c>
      <c r="BP20">
        <v>0.49509999999999998</v>
      </c>
      <c r="BQ20">
        <v>0.60699999999999998</v>
      </c>
      <c r="BR20">
        <v>0.68720000000000003</v>
      </c>
      <c r="BS20">
        <v>0.77139999999999997</v>
      </c>
      <c r="BT20">
        <v>0.86109999999999998</v>
      </c>
      <c r="BU20">
        <v>0.92210000000000003</v>
      </c>
      <c r="BV20">
        <v>1</v>
      </c>
      <c r="BW20">
        <v>7.3000000000000001E-3</v>
      </c>
      <c r="BX20">
        <v>1.9199999999999998E-2</v>
      </c>
      <c r="BY20">
        <v>0.1037</v>
      </c>
      <c r="BZ20">
        <v>0.15</v>
      </c>
      <c r="CA20">
        <v>0.20799999999999999</v>
      </c>
      <c r="CB20">
        <v>0.31969999999999998</v>
      </c>
      <c r="CC20">
        <v>0.41199999999999998</v>
      </c>
      <c r="CD20">
        <v>0.51119999999999999</v>
      </c>
      <c r="CE20">
        <v>0.5454</v>
      </c>
      <c r="CF20">
        <v>0.60240000000000005</v>
      </c>
      <c r="CG20">
        <v>0.69379999999999997</v>
      </c>
      <c r="CH20">
        <v>0.88009999999999999</v>
      </c>
      <c r="CI20">
        <f t="shared" si="5"/>
        <v>12</v>
      </c>
      <c r="CJ20" s="370">
        <v>0.88009999999999999</v>
      </c>
      <c r="CK20" s="370">
        <f t="shared" si="6"/>
        <v>7.3341666666666666E-2</v>
      </c>
      <c r="CL20" s="370">
        <f t="shared" si="7"/>
        <v>0.88009999999999999</v>
      </c>
      <c r="CM20">
        <v>169.67</v>
      </c>
      <c r="CN20" s="371">
        <v>0.4277126</v>
      </c>
      <c r="CO20" s="371">
        <v>0.53338830000000004</v>
      </c>
      <c r="CP20" s="371">
        <v>3.8899000000000003E-2</v>
      </c>
      <c r="CQ20">
        <v>246</v>
      </c>
      <c r="CR20">
        <v>191</v>
      </c>
      <c r="CS20">
        <v>115</v>
      </c>
      <c r="CT20">
        <v>53</v>
      </c>
      <c r="CU20">
        <v>1836</v>
      </c>
      <c r="CV20">
        <v>2441</v>
      </c>
      <c r="CW20">
        <v>50.92</v>
      </c>
      <c r="CX20">
        <v>111.67</v>
      </c>
      <c r="CY20">
        <v>7.43</v>
      </c>
      <c r="CZ20">
        <v>3.09</v>
      </c>
      <c r="DA20">
        <v>143.93</v>
      </c>
      <c r="DB20">
        <v>317.04000000000002</v>
      </c>
      <c r="DC20">
        <v>2.0500000000000001E-2</v>
      </c>
      <c r="DD20">
        <v>4.99E-2</v>
      </c>
      <c r="DE20">
        <v>0.1356</v>
      </c>
      <c r="DF20">
        <v>0.2132</v>
      </c>
      <c r="DG20">
        <v>0.26350000000000001</v>
      </c>
      <c r="DH20">
        <v>0.35780000000000001</v>
      </c>
      <c r="DI20">
        <v>0.45300000000000001</v>
      </c>
      <c r="DJ20">
        <v>0.53190000000000004</v>
      </c>
      <c r="DK20">
        <v>0.61129999999999995</v>
      </c>
      <c r="DL20">
        <v>0.66520000000000001</v>
      </c>
      <c r="DM20">
        <v>0.74580000000000002</v>
      </c>
      <c r="DN20">
        <v>0.94579999999999997</v>
      </c>
      <c r="DO20">
        <v>1.83E-2</v>
      </c>
      <c r="DP20">
        <v>4.87E-2</v>
      </c>
      <c r="DQ20">
        <v>9.1700000000000004E-2</v>
      </c>
      <c r="DR20">
        <v>0.13739999999999999</v>
      </c>
      <c r="DS20">
        <v>0.24729999999999999</v>
      </c>
      <c r="DT20">
        <v>0.34399999999999997</v>
      </c>
      <c r="DU20">
        <v>0.45529999999999998</v>
      </c>
      <c r="DV20">
        <v>0.50380000000000003</v>
      </c>
      <c r="DW20">
        <v>0.56779999999999997</v>
      </c>
      <c r="DX20">
        <v>0.66920000000000002</v>
      </c>
      <c r="DY20">
        <v>0.6835</v>
      </c>
      <c r="DZ20">
        <v>0.90159999999999996</v>
      </c>
      <c r="EA20">
        <f t="shared" si="8"/>
        <v>12</v>
      </c>
      <c r="EB20" s="370">
        <v>0.90159999999999996</v>
      </c>
      <c r="EC20" s="370">
        <f t="shared" si="9"/>
        <v>7.513333333333333E-2</v>
      </c>
      <c r="ED20" s="370">
        <f t="shared" si="10"/>
        <v>0.95326707549164724</v>
      </c>
      <c r="EE20">
        <v>173.11</v>
      </c>
      <c r="EF20" s="371">
        <v>0.29414820000000003</v>
      </c>
      <c r="EG20" s="371">
        <v>0.64508120000000002</v>
      </c>
      <c r="EH20" s="371">
        <v>6.0770600000000001E-2</v>
      </c>
      <c r="EI20">
        <v>352</v>
      </c>
      <c r="EJ20">
        <v>154</v>
      </c>
      <c r="EK20">
        <v>84</v>
      </c>
      <c r="EL20">
        <v>87</v>
      </c>
      <c r="EM20">
        <v>2410</v>
      </c>
      <c r="EN20">
        <v>3087</v>
      </c>
      <c r="EO20">
        <v>71.84</v>
      </c>
      <c r="EP20">
        <v>169.29</v>
      </c>
      <c r="EQ20">
        <v>5.82</v>
      </c>
      <c r="ER20">
        <v>8.3000000000000007</v>
      </c>
      <c r="ES20">
        <v>214.01</v>
      </c>
      <c r="ET20">
        <v>469.26</v>
      </c>
      <c r="EU20">
        <v>2.12E-2</v>
      </c>
      <c r="EV20">
        <v>5.3999999999999999E-2</v>
      </c>
      <c r="EW20">
        <v>0.1135</v>
      </c>
      <c r="EX20">
        <v>0.18759999999999999</v>
      </c>
      <c r="EY20">
        <v>0.26250000000000001</v>
      </c>
      <c r="EZ20">
        <v>0.37659999999999999</v>
      </c>
      <c r="FA20">
        <v>0.44240000000000002</v>
      </c>
      <c r="FB20">
        <v>0.53290000000000004</v>
      </c>
      <c r="FC20">
        <v>0.61599999999999999</v>
      </c>
      <c r="FD20">
        <v>0.69130000000000003</v>
      </c>
      <c r="FE20">
        <v>0.81789999999999996</v>
      </c>
      <c r="FF20">
        <v>1</v>
      </c>
      <c r="FG20">
        <v>2.06E-2</v>
      </c>
      <c r="FH20">
        <v>5.3800000000000001E-2</v>
      </c>
      <c r="FI20">
        <v>0.10489999999999999</v>
      </c>
      <c r="FJ20">
        <v>0.18379999999999999</v>
      </c>
      <c r="FK20">
        <v>0.23469999999999999</v>
      </c>
      <c r="FL20">
        <v>0.31490000000000001</v>
      </c>
      <c r="FM20">
        <v>0.4143</v>
      </c>
      <c r="FN20">
        <v>0.4143</v>
      </c>
      <c r="FO20">
        <v>0.4143</v>
      </c>
      <c r="FP20">
        <v>0</v>
      </c>
      <c r="FQ20">
        <v>0</v>
      </c>
      <c r="FR20">
        <v>0</v>
      </c>
      <c r="FS20">
        <f t="shared" si="11"/>
        <v>7</v>
      </c>
      <c r="FT20">
        <v>0.4143</v>
      </c>
      <c r="FU20" s="370">
        <f t="shared" si="12"/>
        <v>5.9185714285714286E-2</v>
      </c>
      <c r="FV20" s="370">
        <f t="shared" si="13"/>
        <v>0.71022857142857143</v>
      </c>
      <c r="FW20">
        <v>255.25</v>
      </c>
      <c r="FX20">
        <v>0.28144960000000002</v>
      </c>
      <c r="FY20">
        <v>0.66323209999999999</v>
      </c>
      <c r="FZ20">
        <v>5.5318300000000001E-2</v>
      </c>
    </row>
    <row r="21" spans="2:189" x14ac:dyDescent="0.25">
      <c r="B21" t="s">
        <v>165</v>
      </c>
      <c r="C21">
        <v>0</v>
      </c>
      <c r="D21">
        <f t="shared" si="0"/>
        <v>0</v>
      </c>
      <c r="E21">
        <f t="shared" si="1"/>
        <v>0</v>
      </c>
      <c r="F21" t="s">
        <v>183</v>
      </c>
      <c r="G21">
        <v>1221</v>
      </c>
      <c r="H21">
        <v>793</v>
      </c>
      <c r="I21">
        <v>403</v>
      </c>
      <c r="J21">
        <v>483</v>
      </c>
      <c r="K21">
        <v>4235</v>
      </c>
      <c r="L21">
        <v>7135</v>
      </c>
      <c r="M21">
        <v>155.24</v>
      </c>
      <c r="N21">
        <v>401.81</v>
      </c>
      <c r="O21">
        <v>26.66</v>
      </c>
      <c r="P21">
        <v>22.5</v>
      </c>
      <c r="Q21">
        <v>330.06</v>
      </c>
      <c r="R21">
        <v>936.27</v>
      </c>
      <c r="S21">
        <v>2.3099999999999999E-2</v>
      </c>
      <c r="T21">
        <v>5.3699999999999998E-2</v>
      </c>
      <c r="U21">
        <v>0.1028</v>
      </c>
      <c r="V21">
        <v>0.16250000000000001</v>
      </c>
      <c r="W21">
        <v>0.22559999999999999</v>
      </c>
      <c r="X21">
        <v>0.27739999999999998</v>
      </c>
      <c r="Y21">
        <v>0.35099999999999998</v>
      </c>
      <c r="Z21">
        <v>0.439</v>
      </c>
      <c r="AA21">
        <v>0.50539999999999996</v>
      </c>
      <c r="AB21">
        <v>0.65100000000000002</v>
      </c>
      <c r="AC21">
        <v>0.80300000000000005</v>
      </c>
      <c r="AD21">
        <v>0.96</v>
      </c>
      <c r="AE21">
        <v>0</v>
      </c>
      <c r="AF21">
        <v>1E-3</v>
      </c>
      <c r="AG21">
        <v>2.3199999999999998E-2</v>
      </c>
      <c r="AH21">
        <v>3.6299999999999999E-2</v>
      </c>
      <c r="AI21">
        <v>5.8200000000000002E-2</v>
      </c>
      <c r="AJ21">
        <v>0.11609999999999999</v>
      </c>
      <c r="AK21">
        <v>0.18890000000000001</v>
      </c>
      <c r="AL21">
        <v>0.2457</v>
      </c>
      <c r="AM21">
        <v>0.2457</v>
      </c>
      <c r="AN21">
        <v>0.2457</v>
      </c>
      <c r="AO21">
        <v>0.2457</v>
      </c>
      <c r="AP21">
        <v>0.2457</v>
      </c>
      <c r="AQ21">
        <f t="shared" si="2"/>
        <v>8</v>
      </c>
      <c r="AR21" s="370">
        <v>0.2457</v>
      </c>
      <c r="AS21" s="370">
        <f t="shared" si="3"/>
        <v>3.07125E-2</v>
      </c>
      <c r="AT21" s="370">
        <f t="shared" si="4"/>
        <v>0.38390625</v>
      </c>
      <c r="AU21">
        <v>606.21</v>
      </c>
      <c r="AV21" s="371">
        <v>0.2560829</v>
      </c>
      <c r="AW21" s="371">
        <v>0.6628231</v>
      </c>
      <c r="AX21" s="371">
        <v>8.1093999999999999E-2</v>
      </c>
      <c r="AY21">
        <v>478</v>
      </c>
      <c r="AZ21">
        <v>61</v>
      </c>
      <c r="BA21">
        <v>46</v>
      </c>
      <c r="BB21">
        <v>143</v>
      </c>
      <c r="BC21">
        <v>1486</v>
      </c>
      <c r="BD21">
        <v>2214</v>
      </c>
      <c r="BE21">
        <v>90.66</v>
      </c>
      <c r="BF21">
        <v>73.239999999999995</v>
      </c>
      <c r="BG21">
        <v>4.68</v>
      </c>
      <c r="BH21">
        <v>19.52</v>
      </c>
      <c r="BI21">
        <v>342.13</v>
      </c>
      <c r="BJ21">
        <v>530.23</v>
      </c>
      <c r="BK21">
        <v>2.92E-2</v>
      </c>
      <c r="BL21">
        <v>8.1500000000000003E-2</v>
      </c>
      <c r="BM21">
        <v>0.14760000000000001</v>
      </c>
      <c r="BN21">
        <v>0.23</v>
      </c>
      <c r="BO21">
        <v>0.308</v>
      </c>
      <c r="BP21">
        <v>0.39600000000000002</v>
      </c>
      <c r="BQ21">
        <v>0.47499999999999998</v>
      </c>
      <c r="BR21">
        <v>0.55500000000000005</v>
      </c>
      <c r="BS21">
        <v>0.63500000000000001</v>
      </c>
      <c r="BT21">
        <v>0.71919999999999995</v>
      </c>
      <c r="BU21">
        <v>0.80210000000000004</v>
      </c>
      <c r="BV21">
        <v>1</v>
      </c>
      <c r="BW21">
        <v>1E-4</v>
      </c>
      <c r="BX21">
        <v>3.0000000000000001E-3</v>
      </c>
      <c r="BY21">
        <v>1.6400000000000001E-2</v>
      </c>
      <c r="BZ21">
        <v>9.6100000000000005E-2</v>
      </c>
      <c r="CA21">
        <v>0.11609999999999999</v>
      </c>
      <c r="CB21">
        <v>0.1361</v>
      </c>
      <c r="CC21">
        <v>0.18940000000000001</v>
      </c>
      <c r="CD21">
        <v>0.24990000000000001</v>
      </c>
      <c r="CE21">
        <v>0.46510000000000001</v>
      </c>
      <c r="CF21">
        <v>0.52810000000000001</v>
      </c>
      <c r="CG21">
        <v>0.62180000000000002</v>
      </c>
      <c r="CH21">
        <v>0.62180000000000002</v>
      </c>
      <c r="CI21">
        <f t="shared" si="5"/>
        <v>11</v>
      </c>
      <c r="CJ21" s="370">
        <v>0.62180000000000002</v>
      </c>
      <c r="CK21" s="370">
        <f t="shared" si="6"/>
        <v>5.6527272727272732E-2</v>
      </c>
      <c r="CL21" s="370">
        <f t="shared" si="7"/>
        <v>0.67832727272727278</v>
      </c>
      <c r="CM21">
        <v>188.1</v>
      </c>
      <c r="CN21" s="371">
        <v>0.48197770000000001</v>
      </c>
      <c r="CO21" s="371">
        <v>0.38936739999999997</v>
      </c>
      <c r="CP21" s="371">
        <v>0.12865499999999999</v>
      </c>
      <c r="CQ21">
        <v>291</v>
      </c>
      <c r="CR21">
        <v>51</v>
      </c>
      <c r="CS21">
        <v>54</v>
      </c>
      <c r="CT21">
        <v>185</v>
      </c>
      <c r="CU21">
        <v>650</v>
      </c>
      <c r="CV21">
        <v>1231</v>
      </c>
      <c r="CW21">
        <v>77.650000000000006</v>
      </c>
      <c r="CX21">
        <v>223.37</v>
      </c>
      <c r="CY21">
        <v>6.38</v>
      </c>
      <c r="CZ21">
        <v>61.5</v>
      </c>
      <c r="DA21">
        <v>156.93</v>
      </c>
      <c r="DB21">
        <v>525.83000000000004</v>
      </c>
      <c r="DC21">
        <v>8.6400000000000005E-2</v>
      </c>
      <c r="DD21">
        <v>0.1628</v>
      </c>
      <c r="DE21">
        <v>0.26779999999999998</v>
      </c>
      <c r="DF21">
        <v>0.3397</v>
      </c>
      <c r="DG21">
        <v>0.41610000000000003</v>
      </c>
      <c r="DH21">
        <v>0.5</v>
      </c>
      <c r="DI21">
        <v>0.58299999999999996</v>
      </c>
      <c r="DJ21">
        <v>0.66890000000000005</v>
      </c>
      <c r="DK21">
        <v>0.74650000000000005</v>
      </c>
      <c r="DL21">
        <v>0.8357</v>
      </c>
      <c r="DM21">
        <v>0.9123</v>
      </c>
      <c r="DN21">
        <v>1</v>
      </c>
      <c r="DO21">
        <v>6.1000000000000004E-3</v>
      </c>
      <c r="DP21">
        <v>1.6899999999999998E-2</v>
      </c>
      <c r="DQ21">
        <v>2.4299999999999999E-2</v>
      </c>
      <c r="DR21">
        <v>0.1547</v>
      </c>
      <c r="DS21">
        <v>0.29899999999999999</v>
      </c>
      <c r="DT21">
        <v>0.39550000000000002</v>
      </c>
      <c r="DU21">
        <v>0.49180000000000001</v>
      </c>
      <c r="DV21">
        <v>0.54169999999999996</v>
      </c>
      <c r="DW21">
        <v>0.58589999999999998</v>
      </c>
      <c r="DX21">
        <v>0.65200000000000002</v>
      </c>
      <c r="DY21">
        <v>0.65200000000000002</v>
      </c>
      <c r="DZ21">
        <v>0.85040000000000004</v>
      </c>
      <c r="EA21">
        <f t="shared" si="8"/>
        <v>12</v>
      </c>
      <c r="EB21" s="370">
        <v>0.85040000000000004</v>
      </c>
      <c r="EC21" s="370">
        <f t="shared" si="9"/>
        <v>7.0866666666666675E-2</v>
      </c>
      <c r="ED21" s="370">
        <f t="shared" si="10"/>
        <v>0.85040000000000004</v>
      </c>
      <c r="EE21">
        <v>368.9</v>
      </c>
      <c r="EF21" s="371">
        <v>0.2104906</v>
      </c>
      <c r="EG21" s="371">
        <v>0.60550280000000001</v>
      </c>
      <c r="EH21" s="371">
        <v>0.18400649999999999</v>
      </c>
      <c r="EI21">
        <v>541</v>
      </c>
      <c r="EJ21">
        <v>316</v>
      </c>
      <c r="EK21">
        <v>241</v>
      </c>
      <c r="EL21">
        <v>212</v>
      </c>
      <c r="EM21">
        <v>1157</v>
      </c>
      <c r="EN21">
        <v>2467</v>
      </c>
      <c r="EO21">
        <v>113.35</v>
      </c>
      <c r="EP21">
        <v>227.35</v>
      </c>
      <c r="EQ21">
        <v>15.45</v>
      </c>
      <c r="ER21">
        <v>37.72</v>
      </c>
      <c r="ES21">
        <v>228.03</v>
      </c>
      <c r="ET21">
        <v>621.9</v>
      </c>
      <c r="EU21">
        <v>2.4299999999999999E-2</v>
      </c>
      <c r="EV21">
        <v>8.1100000000000005E-2</v>
      </c>
      <c r="EW21">
        <v>0.1424</v>
      </c>
      <c r="EX21">
        <v>0.22320000000000001</v>
      </c>
      <c r="EY21">
        <v>0.31480000000000002</v>
      </c>
      <c r="EZ21">
        <v>0.40089999999999998</v>
      </c>
      <c r="FA21">
        <v>0.48159999999999997</v>
      </c>
      <c r="FB21">
        <v>0.57920000000000005</v>
      </c>
      <c r="FC21">
        <v>0.65280000000000005</v>
      </c>
      <c r="FD21">
        <v>0.73950000000000005</v>
      </c>
      <c r="FE21">
        <v>0.81879999999999997</v>
      </c>
      <c r="FF21">
        <v>1</v>
      </c>
      <c r="FG21">
        <v>0</v>
      </c>
      <c r="FH21">
        <v>4.4299999999999999E-2</v>
      </c>
      <c r="FI21">
        <v>9.8100000000000007E-2</v>
      </c>
      <c r="FJ21">
        <v>0.1618</v>
      </c>
      <c r="FK21">
        <v>0.22950000000000001</v>
      </c>
      <c r="FL21">
        <v>0.30730000000000002</v>
      </c>
      <c r="FM21">
        <v>0.38390000000000002</v>
      </c>
      <c r="FN21">
        <v>0.45390000000000003</v>
      </c>
      <c r="FO21">
        <v>0.45390000000000003</v>
      </c>
      <c r="FP21">
        <v>0</v>
      </c>
      <c r="FQ21">
        <v>0</v>
      </c>
      <c r="FR21">
        <v>0</v>
      </c>
      <c r="FS21">
        <f t="shared" si="11"/>
        <v>8</v>
      </c>
      <c r="FT21">
        <v>0.45390000000000003</v>
      </c>
      <c r="FU21" s="370">
        <f t="shared" si="12"/>
        <v>5.6737500000000003E-2</v>
      </c>
      <c r="FV21" s="370">
        <f t="shared" si="13"/>
        <v>0.68085000000000007</v>
      </c>
      <c r="FW21">
        <v>393.87</v>
      </c>
      <c r="FX21">
        <v>0.28778530000000002</v>
      </c>
      <c r="FY21">
        <v>0.57722090000000004</v>
      </c>
      <c r="FZ21">
        <v>0.1349938</v>
      </c>
    </row>
    <row r="22" spans="2:189" x14ac:dyDescent="0.25">
      <c r="B22" t="s">
        <v>165</v>
      </c>
      <c r="C22">
        <v>1</v>
      </c>
      <c r="D22">
        <f t="shared" si="0"/>
        <v>1</v>
      </c>
      <c r="E22">
        <f t="shared" si="1"/>
        <v>1</v>
      </c>
      <c r="F22" t="s">
        <v>234</v>
      </c>
      <c r="G22">
        <v>570</v>
      </c>
      <c r="H22">
        <v>321</v>
      </c>
      <c r="I22">
        <v>393</v>
      </c>
      <c r="J22">
        <v>284</v>
      </c>
      <c r="K22">
        <v>0</v>
      </c>
      <c r="L22">
        <v>1568</v>
      </c>
      <c r="M22">
        <v>79.400000000000006</v>
      </c>
      <c r="N22">
        <v>117.07</v>
      </c>
      <c r="O22">
        <v>21.04</v>
      </c>
      <c r="P22">
        <v>32.909999999999997</v>
      </c>
      <c r="Q22">
        <v>0</v>
      </c>
      <c r="R22">
        <v>250.42</v>
      </c>
      <c r="S22">
        <v>0</v>
      </c>
      <c r="T22">
        <v>0.1583</v>
      </c>
      <c r="U22">
        <v>0.23580000000000001</v>
      </c>
      <c r="V22">
        <v>0.27860000000000001</v>
      </c>
      <c r="W22">
        <v>0.37659999999999999</v>
      </c>
      <c r="X22">
        <v>0.4572</v>
      </c>
      <c r="Y22">
        <v>0.57579999999999998</v>
      </c>
      <c r="Z22">
        <v>0.72219999999999995</v>
      </c>
      <c r="AA22">
        <v>0.79279999999999995</v>
      </c>
      <c r="AB22">
        <v>0.80810000000000004</v>
      </c>
      <c r="AC22">
        <v>0.86580000000000001</v>
      </c>
      <c r="AD22">
        <v>0.93579999999999997</v>
      </c>
      <c r="AE22">
        <v>0</v>
      </c>
      <c r="AF22">
        <v>2.58E-2</v>
      </c>
      <c r="AG22">
        <v>0.1232</v>
      </c>
      <c r="AH22">
        <v>0.16270000000000001</v>
      </c>
      <c r="AI22">
        <v>0.22309999999999999</v>
      </c>
      <c r="AJ22">
        <v>0.3599</v>
      </c>
      <c r="AK22">
        <v>0.41749999999999998</v>
      </c>
      <c r="AL22">
        <v>0.53380000000000005</v>
      </c>
      <c r="AM22">
        <v>0.53380000000000005</v>
      </c>
      <c r="AN22">
        <v>0.53380000000000005</v>
      </c>
      <c r="AO22">
        <v>0.53380000000000005</v>
      </c>
      <c r="AP22">
        <v>0.53380000000000005</v>
      </c>
      <c r="AQ22">
        <f t="shared" si="2"/>
        <v>8</v>
      </c>
      <c r="AR22" s="370">
        <v>0.53380000000000005</v>
      </c>
      <c r="AS22" s="370">
        <f t="shared" si="3"/>
        <v>6.6725000000000007E-2</v>
      </c>
      <c r="AT22" s="370">
        <f t="shared" si="4"/>
        <v>0.85563154520196638</v>
      </c>
      <c r="AU22">
        <v>250.42</v>
      </c>
      <c r="AV22" s="371">
        <v>0.3170673</v>
      </c>
      <c r="AW22" s="371">
        <v>0.46749459999999998</v>
      </c>
      <c r="AX22" s="371">
        <v>0.21543809999999999</v>
      </c>
      <c r="AY22">
        <v>262</v>
      </c>
      <c r="AZ22">
        <v>53</v>
      </c>
      <c r="BA22">
        <v>105</v>
      </c>
      <c r="BB22">
        <v>101</v>
      </c>
      <c r="BC22">
        <v>211</v>
      </c>
      <c r="BD22">
        <v>732</v>
      </c>
      <c r="BE22">
        <v>64.08</v>
      </c>
      <c r="BF22">
        <v>26.21</v>
      </c>
      <c r="BG22">
        <v>9.9499999999999993</v>
      </c>
      <c r="BH22">
        <v>11.59</v>
      </c>
      <c r="BI22">
        <v>19.21</v>
      </c>
      <c r="BJ22">
        <v>131.04</v>
      </c>
      <c r="BK22">
        <v>6.9699999999999998E-2</v>
      </c>
      <c r="BL22">
        <v>0.1431</v>
      </c>
      <c r="BM22">
        <v>0.23580000000000001</v>
      </c>
      <c r="BN22">
        <v>0.3357</v>
      </c>
      <c r="BO22">
        <v>0.41599999999999998</v>
      </c>
      <c r="BP22">
        <v>0.51919999999999999</v>
      </c>
      <c r="BQ22">
        <v>0.62909999999999999</v>
      </c>
      <c r="BR22">
        <v>0.70099999999999996</v>
      </c>
      <c r="BS22">
        <v>0.78979999999999995</v>
      </c>
      <c r="BT22">
        <v>0.86819999999999997</v>
      </c>
      <c r="BU22">
        <v>0.91439999999999999</v>
      </c>
      <c r="BV22">
        <v>0.96679999999999999</v>
      </c>
      <c r="BW22">
        <v>7.0800000000000002E-2</v>
      </c>
      <c r="BX22">
        <v>0.12970000000000001</v>
      </c>
      <c r="BY22">
        <v>0.12970000000000001</v>
      </c>
      <c r="BZ22">
        <v>0.2752</v>
      </c>
      <c r="CA22">
        <v>0.2752</v>
      </c>
      <c r="CB22">
        <v>0.34789999999999999</v>
      </c>
      <c r="CC22">
        <v>0.34789999999999999</v>
      </c>
      <c r="CD22">
        <v>0.34789999999999999</v>
      </c>
      <c r="CE22">
        <v>0.55589999999999995</v>
      </c>
      <c r="CF22">
        <v>0.55589999999999995</v>
      </c>
      <c r="CG22">
        <v>0.55589999999999995</v>
      </c>
      <c r="CH22">
        <v>0.55589999999999995</v>
      </c>
      <c r="CI22">
        <f t="shared" si="5"/>
        <v>9</v>
      </c>
      <c r="CJ22" s="370">
        <v>0.55589999999999995</v>
      </c>
      <c r="CK22" s="370">
        <f t="shared" si="6"/>
        <v>6.1766666666666664E-2</v>
      </c>
      <c r="CL22" s="370">
        <f t="shared" si="7"/>
        <v>0.76665287546545302</v>
      </c>
      <c r="CM22">
        <v>111.83</v>
      </c>
      <c r="CN22" s="371">
        <v>0.57301259999999998</v>
      </c>
      <c r="CO22" s="371">
        <v>0.23437359999999999</v>
      </c>
      <c r="CP22" s="371">
        <v>0.1926138</v>
      </c>
      <c r="CQ22">
        <v>821</v>
      </c>
      <c r="CR22">
        <v>309</v>
      </c>
      <c r="CS22">
        <v>487</v>
      </c>
      <c r="CT22">
        <v>308</v>
      </c>
      <c r="CU22">
        <v>875</v>
      </c>
      <c r="CV22">
        <v>2800</v>
      </c>
      <c r="CW22">
        <v>191</v>
      </c>
      <c r="CX22">
        <v>185.72</v>
      </c>
      <c r="CY22">
        <v>31.77</v>
      </c>
      <c r="CZ22">
        <v>98.89</v>
      </c>
      <c r="DA22">
        <v>135.04</v>
      </c>
      <c r="DB22">
        <v>642.41999999999996</v>
      </c>
      <c r="DC22">
        <v>0.05</v>
      </c>
      <c r="DD22">
        <v>0.15</v>
      </c>
      <c r="DE22">
        <v>0.22</v>
      </c>
      <c r="DF22">
        <v>0.31569999999999998</v>
      </c>
      <c r="DG22">
        <v>0.40389999999999998</v>
      </c>
      <c r="DH22">
        <v>0.48270000000000002</v>
      </c>
      <c r="DI22">
        <v>0.52</v>
      </c>
      <c r="DJ22">
        <v>0.67679999999999996</v>
      </c>
      <c r="DK22">
        <v>0.74409999999999998</v>
      </c>
      <c r="DL22">
        <v>0.84889999999999999</v>
      </c>
      <c r="DM22">
        <v>0.8992</v>
      </c>
      <c r="DN22">
        <v>0.94630000000000003</v>
      </c>
      <c r="DO22">
        <v>4.8899999999999999E-2</v>
      </c>
      <c r="DP22">
        <v>0.13270000000000001</v>
      </c>
      <c r="DQ22">
        <v>0.19900000000000001</v>
      </c>
      <c r="DR22">
        <v>0.25869999999999999</v>
      </c>
      <c r="DS22">
        <v>0.2737</v>
      </c>
      <c r="DT22">
        <v>0.35149999999999998</v>
      </c>
      <c r="DU22">
        <v>0.4491</v>
      </c>
      <c r="DV22">
        <v>0.54079999999999995</v>
      </c>
      <c r="DW22">
        <v>0.61870000000000003</v>
      </c>
      <c r="DX22">
        <v>0.61870000000000003</v>
      </c>
      <c r="DY22">
        <v>0.83350000000000002</v>
      </c>
      <c r="DZ22">
        <v>0.83350000000000002</v>
      </c>
      <c r="EA22">
        <f t="shared" si="8"/>
        <v>11</v>
      </c>
      <c r="EB22" s="370">
        <v>0.83350000000000002</v>
      </c>
      <c r="EC22" s="370">
        <f t="shared" si="9"/>
        <v>7.5772727272727269E-2</v>
      </c>
      <c r="ED22" s="370">
        <f t="shared" si="10"/>
        <v>0.96087152834484535</v>
      </c>
      <c r="EE22">
        <v>507.38</v>
      </c>
      <c r="EF22" s="371">
        <v>0.37644369999999999</v>
      </c>
      <c r="EG22" s="371">
        <v>0.36603730000000001</v>
      </c>
      <c r="EH22" s="371">
        <v>0.257519</v>
      </c>
      <c r="EI22">
        <v>472</v>
      </c>
      <c r="EJ22">
        <v>209</v>
      </c>
      <c r="EK22">
        <v>307</v>
      </c>
      <c r="EL22">
        <v>354</v>
      </c>
      <c r="EM22">
        <v>621</v>
      </c>
      <c r="EN22">
        <v>1963</v>
      </c>
      <c r="EO22">
        <v>104.65</v>
      </c>
      <c r="EP22">
        <v>181.12</v>
      </c>
      <c r="EQ22">
        <v>26.73</v>
      </c>
      <c r="ER22">
        <v>37.950000000000003</v>
      </c>
      <c r="ES22">
        <v>187.26</v>
      </c>
      <c r="ET22">
        <v>537.71</v>
      </c>
      <c r="EU22">
        <v>7.1800000000000003E-2</v>
      </c>
      <c r="EV22">
        <v>0.21229999999999999</v>
      </c>
      <c r="EW22">
        <v>0.27689999999999998</v>
      </c>
      <c r="EX22">
        <v>0.35920000000000002</v>
      </c>
      <c r="EY22">
        <v>0.3901</v>
      </c>
      <c r="EZ22">
        <v>0.48180000000000001</v>
      </c>
      <c r="FA22">
        <v>0.49609999999999999</v>
      </c>
      <c r="FB22">
        <v>0.51919999999999999</v>
      </c>
      <c r="FC22">
        <v>0.5706</v>
      </c>
      <c r="FD22">
        <v>0.61319999999999997</v>
      </c>
      <c r="FE22">
        <v>0.8155</v>
      </c>
      <c r="FF22">
        <v>0.95040000000000002</v>
      </c>
      <c r="FG22">
        <v>3.8699999999999998E-2</v>
      </c>
      <c r="FH22">
        <v>0.1148</v>
      </c>
      <c r="FI22">
        <v>0.1731</v>
      </c>
      <c r="FJ22">
        <v>0.28760000000000002</v>
      </c>
      <c r="FK22">
        <v>0.31469999999999998</v>
      </c>
      <c r="FL22">
        <v>0.34770000000000001</v>
      </c>
      <c r="FM22">
        <v>0.35510000000000003</v>
      </c>
      <c r="FN22">
        <v>0.35510000000000003</v>
      </c>
      <c r="FO22">
        <v>0.35510000000000003</v>
      </c>
      <c r="FP22">
        <v>0</v>
      </c>
      <c r="FQ22">
        <v>0</v>
      </c>
      <c r="FR22">
        <v>0</v>
      </c>
      <c r="FS22">
        <f t="shared" si="11"/>
        <v>7</v>
      </c>
      <c r="FT22">
        <v>0.35510000000000003</v>
      </c>
      <c r="FU22" s="370">
        <f t="shared" si="12"/>
        <v>5.0728571428571435E-2</v>
      </c>
      <c r="FV22" s="370">
        <f t="shared" si="13"/>
        <v>0.64051226551226559</v>
      </c>
      <c r="FW22">
        <v>350.45</v>
      </c>
      <c r="FX22">
        <v>0.2986161</v>
      </c>
      <c r="FY22">
        <v>0.51682119999999998</v>
      </c>
      <c r="FZ22">
        <v>0.1845627</v>
      </c>
    </row>
    <row r="23" spans="2:189" x14ac:dyDescent="0.25">
      <c r="B23" t="s">
        <v>165</v>
      </c>
      <c r="C23">
        <v>2</v>
      </c>
      <c r="D23">
        <f t="shared" si="0"/>
        <v>1</v>
      </c>
      <c r="E23">
        <f t="shared" si="1"/>
        <v>0</v>
      </c>
      <c r="F23" t="s">
        <v>184</v>
      </c>
      <c r="G23">
        <v>49</v>
      </c>
      <c r="H23">
        <v>44</v>
      </c>
      <c r="I23">
        <v>29</v>
      </c>
      <c r="J23">
        <v>25</v>
      </c>
      <c r="K23">
        <v>0</v>
      </c>
      <c r="L23">
        <v>147</v>
      </c>
      <c r="M23">
        <v>66.02</v>
      </c>
      <c r="N23">
        <v>62.64</v>
      </c>
      <c r="O23">
        <v>4.17</v>
      </c>
      <c r="P23">
        <v>5.26</v>
      </c>
      <c r="Q23">
        <v>0</v>
      </c>
      <c r="R23">
        <v>138.09</v>
      </c>
      <c r="S23">
        <v>0.20599999999999999</v>
      </c>
      <c r="T23">
        <v>0.3095</v>
      </c>
      <c r="U23">
        <v>0.42059999999999997</v>
      </c>
      <c r="V23">
        <v>0.56620000000000004</v>
      </c>
      <c r="W23">
        <v>0.63980000000000004</v>
      </c>
      <c r="X23">
        <v>0.71120000000000005</v>
      </c>
      <c r="Y23">
        <v>0.78349999999999997</v>
      </c>
      <c r="Z23">
        <v>0.83620000000000005</v>
      </c>
      <c r="AA23">
        <v>0.88759999999999994</v>
      </c>
      <c r="AB23">
        <v>0.93530000000000002</v>
      </c>
      <c r="AC23">
        <v>0.96740000000000004</v>
      </c>
      <c r="AD23">
        <v>1</v>
      </c>
      <c r="AE23">
        <v>2.6599999999999999E-2</v>
      </c>
      <c r="AF23">
        <v>5.8000000000000003E-2</v>
      </c>
      <c r="AG23">
        <v>0.12509999999999999</v>
      </c>
      <c r="AH23">
        <v>0.17860000000000001</v>
      </c>
      <c r="AI23">
        <v>0.25590000000000002</v>
      </c>
      <c r="AJ23">
        <v>0.32169999999999999</v>
      </c>
      <c r="AK23">
        <v>0.45739999999999997</v>
      </c>
      <c r="AL23">
        <v>0.45739999999999997</v>
      </c>
      <c r="AM23">
        <v>0.45739999999999997</v>
      </c>
      <c r="AN23">
        <v>0.45739999999999997</v>
      </c>
      <c r="AO23">
        <v>0.45739999999999997</v>
      </c>
      <c r="AP23">
        <v>0.45739999999999997</v>
      </c>
      <c r="AQ23">
        <f t="shared" si="2"/>
        <v>7</v>
      </c>
      <c r="AR23" s="370">
        <v>0.45739999999999997</v>
      </c>
      <c r="AS23" s="370">
        <f t="shared" si="3"/>
        <v>6.5342857142857133E-2</v>
      </c>
      <c r="AT23" s="370">
        <f t="shared" si="4"/>
        <v>0.78411428571428554</v>
      </c>
      <c r="AU23">
        <v>138.09</v>
      </c>
      <c r="AV23" s="371">
        <v>0.47809400000000002</v>
      </c>
      <c r="AW23" s="371">
        <v>0.4536172</v>
      </c>
      <c r="AX23" s="371">
        <v>6.8288799999999997E-2</v>
      </c>
      <c r="AY23">
        <v>8</v>
      </c>
      <c r="AZ23">
        <v>83</v>
      </c>
      <c r="BA23">
        <v>27</v>
      </c>
      <c r="BB23">
        <v>6</v>
      </c>
      <c r="BC23">
        <v>0</v>
      </c>
      <c r="BD23">
        <v>124</v>
      </c>
      <c r="BE23">
        <v>10.78</v>
      </c>
      <c r="BF23">
        <v>298.20999999999998</v>
      </c>
      <c r="BG23">
        <v>8.9</v>
      </c>
      <c r="BH23">
        <v>167.98</v>
      </c>
      <c r="BI23">
        <v>0</v>
      </c>
      <c r="BJ23">
        <v>485.87</v>
      </c>
      <c r="BK23">
        <v>0</v>
      </c>
      <c r="BL23">
        <v>2.7799999999999998E-2</v>
      </c>
      <c r="BM23">
        <v>5.0799999999999998E-2</v>
      </c>
      <c r="BN23">
        <v>0.12590000000000001</v>
      </c>
      <c r="BO23">
        <v>0.13980000000000001</v>
      </c>
      <c r="BP23">
        <v>0.2351</v>
      </c>
      <c r="BQ23">
        <v>0.32840000000000003</v>
      </c>
      <c r="BR23">
        <v>0.4254</v>
      </c>
      <c r="BS23">
        <v>0.48180000000000001</v>
      </c>
      <c r="BT23">
        <v>0.51490000000000002</v>
      </c>
      <c r="BU23">
        <v>0.59509999999999996</v>
      </c>
      <c r="BV23">
        <v>0</v>
      </c>
      <c r="BW23">
        <v>2.7799999999999998E-2</v>
      </c>
      <c r="BX23">
        <v>5.8000000000000003E-2</v>
      </c>
      <c r="BY23">
        <v>0.12590000000000001</v>
      </c>
      <c r="BZ23">
        <v>0.13980000000000001</v>
      </c>
      <c r="CA23">
        <v>0.2351</v>
      </c>
      <c r="CB23">
        <v>0.32840000000000003</v>
      </c>
      <c r="CC23">
        <v>0.4254</v>
      </c>
      <c r="CD23">
        <v>0.48180000000000001</v>
      </c>
      <c r="CE23">
        <v>0.51490000000000002</v>
      </c>
      <c r="CF23">
        <v>0.59509999999999996</v>
      </c>
      <c r="CG23">
        <v>0.59509999999999996</v>
      </c>
      <c r="CH23">
        <v>0.59509999999999996</v>
      </c>
      <c r="CI23">
        <f t="shared" si="5"/>
        <v>10</v>
      </c>
      <c r="CJ23" s="370">
        <v>0.59509999999999996</v>
      </c>
      <c r="CK23" s="370">
        <f t="shared" si="6"/>
        <v>5.9509999999999993E-2</v>
      </c>
      <c r="CL23" s="370">
        <f t="shared" si="7"/>
        <v>0.71411999999999987</v>
      </c>
      <c r="CM23">
        <v>485.87</v>
      </c>
      <c r="CN23" s="371">
        <v>2.2186999999999998E-2</v>
      </c>
      <c r="CO23" s="371">
        <v>0.61376500000000001</v>
      </c>
      <c r="CP23" s="371">
        <v>0.36404799999999998</v>
      </c>
      <c r="CQ23">
        <v>421</v>
      </c>
      <c r="CR23">
        <v>616</v>
      </c>
      <c r="CS23">
        <v>105</v>
      </c>
      <c r="CT23">
        <v>315</v>
      </c>
      <c r="CU23">
        <v>1088</v>
      </c>
      <c r="CV23">
        <v>2545</v>
      </c>
      <c r="CW23">
        <v>133.51</v>
      </c>
      <c r="CX23">
        <v>186.28</v>
      </c>
      <c r="CY23">
        <v>9.08</v>
      </c>
      <c r="CZ23">
        <v>41.07</v>
      </c>
      <c r="DA23">
        <v>90.12</v>
      </c>
      <c r="DB23">
        <v>460.06</v>
      </c>
      <c r="DC23">
        <v>4.5699999999999998E-2</v>
      </c>
      <c r="DD23">
        <v>6.4600000000000005E-2</v>
      </c>
      <c r="DE23">
        <v>0.1041</v>
      </c>
      <c r="DF23">
        <v>0.19570000000000001</v>
      </c>
      <c r="DG23">
        <v>0.28739999999999999</v>
      </c>
      <c r="DH23">
        <v>0.379</v>
      </c>
      <c r="DI23">
        <v>0.47049999999999997</v>
      </c>
      <c r="DJ23">
        <v>0.56189999999999996</v>
      </c>
      <c r="DK23">
        <v>0.71060000000000001</v>
      </c>
      <c r="DL23">
        <v>0.80620000000000003</v>
      </c>
      <c r="DM23">
        <v>0.90169999999999995</v>
      </c>
      <c r="DN23">
        <v>1</v>
      </c>
      <c r="DO23">
        <v>3.9899999999999998E-2</v>
      </c>
      <c r="DP23">
        <v>6.4399999999999999E-2</v>
      </c>
      <c r="DQ23">
        <v>9.9299999999999999E-2</v>
      </c>
      <c r="DR23">
        <v>0.14810000000000001</v>
      </c>
      <c r="DS23">
        <v>0.23089999999999999</v>
      </c>
      <c r="DT23">
        <v>0.29509999999999997</v>
      </c>
      <c r="DU23">
        <v>0.43730000000000002</v>
      </c>
      <c r="DV23">
        <v>0.4844</v>
      </c>
      <c r="DW23">
        <v>0.53769999999999996</v>
      </c>
      <c r="DX23">
        <v>0.62980000000000003</v>
      </c>
      <c r="DY23">
        <v>0.71719999999999995</v>
      </c>
      <c r="DZ23">
        <v>0.71719999999999995</v>
      </c>
      <c r="EA23">
        <f t="shared" si="8"/>
        <v>11</v>
      </c>
      <c r="EB23" s="370">
        <v>0.71719999999999995</v>
      </c>
      <c r="EC23" s="370">
        <f t="shared" si="9"/>
        <v>6.5199999999999994E-2</v>
      </c>
      <c r="ED23" s="370">
        <f t="shared" si="10"/>
        <v>0.78239999999999998</v>
      </c>
      <c r="EE23">
        <v>369.94</v>
      </c>
      <c r="EF23" s="371">
        <v>0.3608963</v>
      </c>
      <c r="EG23" s="371">
        <v>0.50354109999999996</v>
      </c>
      <c r="EH23" s="371">
        <v>0.1355625</v>
      </c>
      <c r="EI23">
        <v>523</v>
      </c>
      <c r="EJ23">
        <v>469</v>
      </c>
      <c r="EK23">
        <v>110</v>
      </c>
      <c r="EL23">
        <v>427</v>
      </c>
      <c r="EM23">
        <v>1805</v>
      </c>
      <c r="EN23">
        <v>3334</v>
      </c>
      <c r="EO23">
        <v>62.55</v>
      </c>
      <c r="EP23">
        <v>124.54</v>
      </c>
      <c r="EQ23">
        <v>6.99</v>
      </c>
      <c r="ER23">
        <v>48.47</v>
      </c>
      <c r="ES23">
        <v>110.76</v>
      </c>
      <c r="ET23">
        <v>353.31</v>
      </c>
      <c r="EU23">
        <v>0.1467</v>
      </c>
      <c r="EV23">
        <v>0.29349999999999998</v>
      </c>
      <c r="EW23">
        <v>0.44019999999999998</v>
      </c>
      <c r="EX23">
        <v>0.52380000000000004</v>
      </c>
      <c r="EY23">
        <v>0.60740000000000005</v>
      </c>
      <c r="EZ23">
        <v>0.69110000000000005</v>
      </c>
      <c r="FA23">
        <v>0.75349999999999995</v>
      </c>
      <c r="FB23">
        <v>0.81599999999999995</v>
      </c>
      <c r="FC23">
        <v>0.87849999999999995</v>
      </c>
      <c r="FD23">
        <v>0.91900000000000004</v>
      </c>
      <c r="FE23">
        <v>0.95950000000000002</v>
      </c>
      <c r="FF23">
        <v>1</v>
      </c>
      <c r="FG23">
        <v>3.1300000000000001E-2</v>
      </c>
      <c r="FH23">
        <v>6.4899999999999999E-2</v>
      </c>
      <c r="FI23">
        <v>0.1171</v>
      </c>
      <c r="FJ23">
        <v>0.2049</v>
      </c>
      <c r="FK23">
        <v>0.2944</v>
      </c>
      <c r="FL23">
        <v>0.36080000000000001</v>
      </c>
      <c r="FM23">
        <v>0.36080000000000001</v>
      </c>
      <c r="FN23">
        <v>0.5665</v>
      </c>
      <c r="FO23">
        <v>0.5665</v>
      </c>
      <c r="FP23">
        <v>0</v>
      </c>
      <c r="FQ23">
        <v>0</v>
      </c>
      <c r="FR23">
        <v>0</v>
      </c>
      <c r="FS23">
        <f t="shared" si="11"/>
        <v>8</v>
      </c>
      <c r="FT23">
        <v>0.5665</v>
      </c>
      <c r="FU23" s="370">
        <f t="shared" si="12"/>
        <v>7.08125E-2</v>
      </c>
      <c r="FV23" s="370">
        <f t="shared" si="13"/>
        <v>0.84975000000000001</v>
      </c>
      <c r="FW23">
        <v>242.55</v>
      </c>
      <c r="FX23">
        <v>0.25788499999999998</v>
      </c>
      <c r="FY23">
        <v>0.5134611</v>
      </c>
      <c r="FZ23">
        <v>0.22865389999999999</v>
      </c>
    </row>
    <row r="24" spans="2:189" x14ac:dyDescent="0.25">
      <c r="B24" t="s">
        <v>162</v>
      </c>
      <c r="C24">
        <v>1</v>
      </c>
      <c r="D24">
        <f t="shared" si="0"/>
        <v>1</v>
      </c>
      <c r="E24">
        <f t="shared" si="1"/>
        <v>1</v>
      </c>
      <c r="F24" t="s">
        <v>185</v>
      </c>
      <c r="G24">
        <v>118</v>
      </c>
      <c r="H24">
        <v>545</v>
      </c>
      <c r="I24">
        <v>282</v>
      </c>
      <c r="J24">
        <v>10</v>
      </c>
      <c r="K24">
        <v>0</v>
      </c>
      <c r="L24">
        <v>955</v>
      </c>
      <c r="M24">
        <v>24.97</v>
      </c>
      <c r="N24">
        <v>298.54000000000002</v>
      </c>
      <c r="O24">
        <v>11.34</v>
      </c>
      <c r="P24">
        <v>4.41</v>
      </c>
      <c r="Q24">
        <v>0</v>
      </c>
      <c r="R24">
        <v>339.26</v>
      </c>
      <c r="S24">
        <v>3.0700000000000002E-2</v>
      </c>
      <c r="T24">
        <v>7.2099999999999997E-2</v>
      </c>
      <c r="U24">
        <v>0.2036</v>
      </c>
      <c r="V24">
        <v>0.3523</v>
      </c>
      <c r="W24">
        <v>0.4577</v>
      </c>
      <c r="X24">
        <v>0.56710000000000005</v>
      </c>
      <c r="Y24">
        <v>0.64680000000000004</v>
      </c>
      <c r="Z24">
        <v>0.73160000000000003</v>
      </c>
      <c r="AA24">
        <v>0.8004</v>
      </c>
      <c r="AB24">
        <v>0.86229999999999996</v>
      </c>
      <c r="AC24">
        <v>0.92810000000000004</v>
      </c>
      <c r="AD24">
        <v>1</v>
      </c>
      <c r="AE24">
        <v>1.1999999999999999E-3</v>
      </c>
      <c r="AF24">
        <v>2.7000000000000001E-3</v>
      </c>
      <c r="AG24">
        <v>5.5300000000000002E-2</v>
      </c>
      <c r="AH24">
        <v>0.12820000000000001</v>
      </c>
      <c r="AI24">
        <v>0.19989999999999999</v>
      </c>
      <c r="AJ24">
        <v>0.2984</v>
      </c>
      <c r="AK24">
        <v>0.40339999999999998</v>
      </c>
      <c r="AL24">
        <v>0.45760000000000001</v>
      </c>
      <c r="AM24">
        <v>0.45760000000000001</v>
      </c>
      <c r="AN24">
        <v>0.45760000000000001</v>
      </c>
      <c r="AO24">
        <v>0.45760000000000001</v>
      </c>
      <c r="AP24">
        <v>0.45760000000000001</v>
      </c>
      <c r="AQ24">
        <f t="shared" si="2"/>
        <v>8</v>
      </c>
      <c r="AR24" s="370">
        <v>0.45760000000000001</v>
      </c>
      <c r="AS24" s="370">
        <f t="shared" si="3"/>
        <v>5.7200000000000001E-2</v>
      </c>
      <c r="AT24" s="370">
        <f t="shared" si="4"/>
        <v>0.68640000000000001</v>
      </c>
      <c r="AU24">
        <v>339.26</v>
      </c>
      <c r="AV24" s="371">
        <v>7.3601399999999997E-2</v>
      </c>
      <c r="AW24" s="371">
        <v>0.87997409999999998</v>
      </c>
      <c r="AX24" s="371">
        <v>4.6424600000000003E-2</v>
      </c>
      <c r="AY24">
        <v>22</v>
      </c>
      <c r="AZ24">
        <v>225</v>
      </c>
      <c r="BA24">
        <v>159</v>
      </c>
      <c r="BB24">
        <v>18</v>
      </c>
      <c r="BC24">
        <v>0</v>
      </c>
      <c r="BD24">
        <v>424</v>
      </c>
      <c r="BE24">
        <v>15.98</v>
      </c>
      <c r="BF24">
        <v>166.16</v>
      </c>
      <c r="BG24">
        <v>5.09</v>
      </c>
      <c r="BH24">
        <v>0.7</v>
      </c>
      <c r="BI24">
        <v>0</v>
      </c>
      <c r="BJ24">
        <v>187.93</v>
      </c>
      <c r="BK24">
        <v>2E-3</v>
      </c>
      <c r="BL24">
        <v>1.77E-2</v>
      </c>
      <c r="BM24">
        <v>5.8900000000000001E-2</v>
      </c>
      <c r="BN24">
        <v>0.16719999999999999</v>
      </c>
      <c r="BO24">
        <v>0.22439999999999999</v>
      </c>
      <c r="BP24">
        <v>0.3327</v>
      </c>
      <c r="BQ24">
        <v>0.44080000000000003</v>
      </c>
      <c r="BR24">
        <v>0.56869999999999998</v>
      </c>
      <c r="BS24">
        <v>0.72109999999999996</v>
      </c>
      <c r="BT24">
        <v>0.84119999999999995</v>
      </c>
      <c r="BU24">
        <v>0.9113</v>
      </c>
      <c r="BV24">
        <v>1</v>
      </c>
      <c r="BW24">
        <v>3.5000000000000001E-3</v>
      </c>
      <c r="BX24">
        <v>3.5400000000000001E-2</v>
      </c>
      <c r="BY24">
        <v>9.7100000000000006E-2</v>
      </c>
      <c r="BZ24">
        <v>9.7100000000000006E-2</v>
      </c>
      <c r="CA24">
        <v>0.24279999999999999</v>
      </c>
      <c r="CB24">
        <v>0.3377</v>
      </c>
      <c r="CC24">
        <v>0.3417</v>
      </c>
      <c r="CD24">
        <v>0.39250000000000002</v>
      </c>
      <c r="CE24">
        <v>0.43609999999999999</v>
      </c>
      <c r="CF24">
        <v>0.66080000000000005</v>
      </c>
      <c r="CG24">
        <v>0.78080000000000005</v>
      </c>
      <c r="CH24">
        <v>0.78080000000000005</v>
      </c>
      <c r="CI24">
        <f t="shared" si="5"/>
        <v>11</v>
      </c>
      <c r="CJ24" s="370">
        <v>0.78080000000000005</v>
      </c>
      <c r="CK24" s="370">
        <f t="shared" si="6"/>
        <v>7.0981818181818188E-2</v>
      </c>
      <c r="CL24" s="370">
        <f t="shared" si="7"/>
        <v>0.8517818181818182</v>
      </c>
      <c r="CM24">
        <v>187.93</v>
      </c>
      <c r="CN24" s="371">
        <v>8.5031700000000002E-2</v>
      </c>
      <c r="CO24" s="371">
        <v>0.88415900000000003</v>
      </c>
      <c r="CP24" s="371">
        <v>3.0809300000000001E-2</v>
      </c>
      <c r="CQ24">
        <v>114</v>
      </c>
      <c r="CR24">
        <v>369</v>
      </c>
      <c r="CS24">
        <v>195</v>
      </c>
      <c r="CT24">
        <v>9</v>
      </c>
      <c r="CU24">
        <v>3292</v>
      </c>
      <c r="CV24">
        <v>3979</v>
      </c>
      <c r="CW24">
        <v>46.06</v>
      </c>
      <c r="CX24">
        <v>291.32</v>
      </c>
      <c r="CY24">
        <v>11.98</v>
      </c>
      <c r="CZ24">
        <v>5.21</v>
      </c>
      <c r="DA24">
        <v>114.6</v>
      </c>
      <c r="DB24">
        <v>469.17</v>
      </c>
      <c r="DC24">
        <v>6.6799999999999998E-2</v>
      </c>
      <c r="DD24">
        <v>0.1333</v>
      </c>
      <c r="DE24">
        <v>0.20830000000000001</v>
      </c>
      <c r="DF24">
        <v>0.2762</v>
      </c>
      <c r="DG24">
        <v>0.3503</v>
      </c>
      <c r="DH24">
        <v>0.3957</v>
      </c>
      <c r="DI24">
        <v>0.45989999999999998</v>
      </c>
      <c r="DJ24">
        <v>0.52010000000000001</v>
      </c>
      <c r="DK24">
        <v>0.60170000000000001</v>
      </c>
      <c r="DL24">
        <v>0.70879999999999999</v>
      </c>
      <c r="DM24">
        <v>0.79139999999999999</v>
      </c>
      <c r="DN24">
        <v>0.88219999999999998</v>
      </c>
      <c r="DO24">
        <v>1.6999999999999999E-3</v>
      </c>
      <c r="DP24">
        <v>1.8599999999999998E-2</v>
      </c>
      <c r="DQ24">
        <v>5.0700000000000002E-2</v>
      </c>
      <c r="DR24">
        <v>6.2399999999999997E-2</v>
      </c>
      <c r="DS24">
        <v>7.5200000000000003E-2</v>
      </c>
      <c r="DT24">
        <v>0.106</v>
      </c>
      <c r="DU24">
        <v>0.1739</v>
      </c>
      <c r="DV24">
        <v>0.20069999999999999</v>
      </c>
      <c r="DW24">
        <v>0.24709999999999999</v>
      </c>
      <c r="DX24">
        <v>0.26700000000000002</v>
      </c>
      <c r="DY24">
        <v>0.26700000000000002</v>
      </c>
      <c r="DZ24">
        <v>0.26700000000000002</v>
      </c>
      <c r="EA24">
        <f t="shared" si="8"/>
        <v>10</v>
      </c>
      <c r="EB24" s="370">
        <v>0.26700000000000002</v>
      </c>
      <c r="EC24" s="370">
        <f t="shared" si="9"/>
        <v>2.6700000000000002E-2</v>
      </c>
      <c r="ED24" s="370">
        <f t="shared" si="10"/>
        <v>0.36318295171163006</v>
      </c>
      <c r="EE24">
        <v>354.57</v>
      </c>
      <c r="EF24" s="371">
        <v>0.12990380000000001</v>
      </c>
      <c r="EG24" s="371">
        <v>0.82161490000000004</v>
      </c>
      <c r="EH24" s="371">
        <v>4.8481299999999998E-2</v>
      </c>
      <c r="EI24">
        <v>137</v>
      </c>
      <c r="EJ24">
        <v>245</v>
      </c>
      <c r="EK24">
        <v>167</v>
      </c>
      <c r="EL24">
        <v>8</v>
      </c>
      <c r="EM24">
        <v>3102</v>
      </c>
      <c r="EN24">
        <v>3659</v>
      </c>
      <c r="EO24">
        <v>51.24</v>
      </c>
      <c r="EP24">
        <v>182.08</v>
      </c>
      <c r="EQ24">
        <v>7.27</v>
      </c>
      <c r="ER24">
        <v>2.83</v>
      </c>
      <c r="ES24">
        <v>164.78</v>
      </c>
      <c r="ET24">
        <v>408.2</v>
      </c>
      <c r="EU24">
        <v>4.24E-2</v>
      </c>
      <c r="EV24">
        <v>8.0100000000000005E-2</v>
      </c>
      <c r="EW24">
        <v>0.105</v>
      </c>
      <c r="EX24">
        <v>0</v>
      </c>
      <c r="EY24">
        <v>0.1701</v>
      </c>
      <c r="EZ24">
        <v>0.22140000000000001</v>
      </c>
      <c r="FA24">
        <v>0.4037</v>
      </c>
      <c r="FB24">
        <v>0.45989999999999998</v>
      </c>
      <c r="FC24">
        <v>0.54020000000000001</v>
      </c>
      <c r="FD24">
        <v>0.65129999999999999</v>
      </c>
      <c r="FE24">
        <v>0.75980000000000003</v>
      </c>
      <c r="FF24">
        <v>0.93410000000000004</v>
      </c>
      <c r="FG24">
        <v>3.0999999999999999E-3</v>
      </c>
      <c r="FH24">
        <v>8.6E-3</v>
      </c>
      <c r="FI24">
        <v>2.1399999999999999E-2</v>
      </c>
      <c r="FJ24">
        <v>4.7899999999999998E-2</v>
      </c>
      <c r="FK24">
        <v>7.4399999999999994E-2</v>
      </c>
      <c r="FL24">
        <v>0.11940000000000001</v>
      </c>
      <c r="FM24">
        <v>0.14119999999999999</v>
      </c>
      <c r="FN24">
        <v>0.14119999999999999</v>
      </c>
      <c r="FO24">
        <v>0.14119999999999999</v>
      </c>
      <c r="FP24">
        <v>0</v>
      </c>
      <c r="FQ24">
        <v>0</v>
      </c>
      <c r="FR24">
        <v>0</v>
      </c>
      <c r="FS24">
        <f t="shared" si="11"/>
        <v>7</v>
      </c>
      <c r="FT24">
        <v>0.14119999999999999</v>
      </c>
      <c r="FU24" s="370">
        <f t="shared" si="12"/>
        <v>2.0171428571428569E-2</v>
      </c>
      <c r="FV24" s="370">
        <f t="shared" si="13"/>
        <v>0.2591340786394849</v>
      </c>
      <c r="FW24">
        <v>243.42</v>
      </c>
      <c r="FX24">
        <v>0.2105004</v>
      </c>
      <c r="FY24">
        <v>0.74800750000000005</v>
      </c>
      <c r="FZ24">
        <v>4.1492099999999997E-2</v>
      </c>
    </row>
    <row r="25" spans="2:189" x14ac:dyDescent="0.25">
      <c r="B25" t="s">
        <v>2</v>
      </c>
      <c r="C25">
        <v>1</v>
      </c>
      <c r="D25">
        <f t="shared" si="0"/>
        <v>1</v>
      </c>
      <c r="E25">
        <f t="shared" si="1"/>
        <v>1</v>
      </c>
      <c r="F25" t="s">
        <v>187</v>
      </c>
      <c r="G25">
        <v>11567</v>
      </c>
      <c r="H25">
        <v>3150</v>
      </c>
      <c r="I25">
        <v>2922</v>
      </c>
      <c r="J25">
        <v>3095</v>
      </c>
      <c r="K25">
        <v>20834</v>
      </c>
      <c r="L25">
        <v>41568</v>
      </c>
      <c r="M25">
        <v>4763.17</v>
      </c>
      <c r="N25">
        <v>9960.56</v>
      </c>
      <c r="O25">
        <v>485.11</v>
      </c>
      <c r="P25">
        <v>1436.2</v>
      </c>
      <c r="Q25">
        <v>9408.5400000000009</v>
      </c>
      <c r="R25">
        <v>26053.58</v>
      </c>
      <c r="S25">
        <v>2.2800000000000001E-2</v>
      </c>
      <c r="T25">
        <v>6.2799999999999995E-2</v>
      </c>
      <c r="U25">
        <v>0.1444</v>
      </c>
      <c r="V25">
        <v>0.37840000000000001</v>
      </c>
      <c r="W25">
        <v>0.66</v>
      </c>
      <c r="X25">
        <v>0.71970000000000001</v>
      </c>
      <c r="Y25">
        <v>0.84309999999999996</v>
      </c>
      <c r="Z25">
        <v>0.877</v>
      </c>
      <c r="AA25">
        <v>0.90329999999999999</v>
      </c>
      <c r="AB25">
        <v>0.96679999999999999</v>
      </c>
      <c r="AC25">
        <v>0.98350000000000004</v>
      </c>
      <c r="AD25">
        <v>0.99990000000000001</v>
      </c>
      <c r="AE25">
        <v>0</v>
      </c>
      <c r="AF25">
        <v>1.4E-3</v>
      </c>
      <c r="AG25">
        <v>6.3E-3</v>
      </c>
      <c r="AH25">
        <v>1.9699999999999999E-2</v>
      </c>
      <c r="AI25">
        <v>4.07E-2</v>
      </c>
      <c r="AJ25">
        <v>9.1700000000000004E-2</v>
      </c>
      <c r="AK25">
        <v>0.13100000000000001</v>
      </c>
      <c r="AL25">
        <v>0.19239999999999999</v>
      </c>
      <c r="AM25">
        <v>0.19239999999999999</v>
      </c>
      <c r="AN25">
        <v>0.19239999999999999</v>
      </c>
      <c r="AO25">
        <v>0.19239999999999999</v>
      </c>
      <c r="AP25">
        <v>0.19239999999999999</v>
      </c>
      <c r="AQ25">
        <f t="shared" si="2"/>
        <v>8</v>
      </c>
      <c r="AR25" s="370">
        <v>0.19239999999999999</v>
      </c>
      <c r="AS25" s="370">
        <f t="shared" si="3"/>
        <v>2.4049999999999998E-2</v>
      </c>
      <c r="AT25" s="370">
        <f t="shared" si="4"/>
        <v>0.28862886288628858</v>
      </c>
      <c r="AU25">
        <v>16645.04</v>
      </c>
      <c r="AV25" s="371">
        <v>0.28616150000000001</v>
      </c>
      <c r="AW25" s="371">
        <v>0.59841009999999994</v>
      </c>
      <c r="AX25" s="371">
        <v>0.1154284</v>
      </c>
      <c r="AY25">
        <v>159</v>
      </c>
      <c r="AZ25">
        <v>129</v>
      </c>
      <c r="BA25">
        <v>251</v>
      </c>
      <c r="BB25">
        <v>74</v>
      </c>
      <c r="BC25">
        <v>0</v>
      </c>
      <c r="BD25">
        <v>613</v>
      </c>
      <c r="BE25">
        <v>992.81</v>
      </c>
      <c r="BF25">
        <v>9370.7099999999991</v>
      </c>
      <c r="BG25">
        <v>271.94</v>
      </c>
      <c r="BH25">
        <v>247.75</v>
      </c>
      <c r="BI25">
        <v>0</v>
      </c>
      <c r="BJ25">
        <v>10883.21</v>
      </c>
      <c r="BK25">
        <v>2.5100000000000001E-2</v>
      </c>
      <c r="BL25">
        <v>4.48E-2</v>
      </c>
      <c r="BM25">
        <v>7.8100000000000003E-2</v>
      </c>
      <c r="BN25">
        <v>0.1406</v>
      </c>
      <c r="BO25">
        <v>0.182</v>
      </c>
      <c r="BP25">
        <v>0.25030000000000002</v>
      </c>
      <c r="BQ25">
        <v>0.3347</v>
      </c>
      <c r="BR25">
        <v>0.41499999999999998</v>
      </c>
      <c r="BS25">
        <v>0.51990000000000003</v>
      </c>
      <c r="BT25">
        <v>0.61480000000000001</v>
      </c>
      <c r="BU25">
        <v>0.69199999999999995</v>
      </c>
      <c r="BV25">
        <v>0.99909999999999999</v>
      </c>
      <c r="BW25">
        <v>0</v>
      </c>
      <c r="BX25">
        <v>1.5900000000000001E-2</v>
      </c>
      <c r="BY25">
        <v>4.8599999999999997E-2</v>
      </c>
      <c r="BZ25">
        <v>8.5599999999999996E-2</v>
      </c>
      <c r="CA25">
        <v>0.1111</v>
      </c>
      <c r="CB25">
        <v>0.18229999999999999</v>
      </c>
      <c r="CC25">
        <v>0.34599999999999997</v>
      </c>
      <c r="CD25">
        <v>0.40129999999999999</v>
      </c>
      <c r="CE25">
        <v>0.43130000000000002</v>
      </c>
      <c r="CF25">
        <v>0.48780000000000001</v>
      </c>
      <c r="CG25">
        <v>0.55330000000000001</v>
      </c>
      <c r="CH25">
        <v>0.81479999999999997</v>
      </c>
      <c r="CI25">
        <f t="shared" si="5"/>
        <v>12</v>
      </c>
      <c r="CJ25" s="370">
        <v>0.81479999999999997</v>
      </c>
      <c r="CK25" s="370">
        <f t="shared" si="6"/>
        <v>6.7900000000000002E-2</v>
      </c>
      <c r="CL25" s="370">
        <f t="shared" si="7"/>
        <v>0.81553398058252424</v>
      </c>
      <c r="CM25">
        <v>10883.21</v>
      </c>
      <c r="CN25" s="371">
        <v>9.1224E-2</v>
      </c>
      <c r="CO25" s="371">
        <v>0.86102440000000002</v>
      </c>
      <c r="CP25" s="371">
        <v>4.7751500000000002E-2</v>
      </c>
      <c r="CQ25">
        <v>10063</v>
      </c>
      <c r="CR25">
        <v>1035</v>
      </c>
      <c r="CS25">
        <v>775</v>
      </c>
      <c r="CT25">
        <v>3260</v>
      </c>
      <c r="CU25">
        <v>14912</v>
      </c>
      <c r="CV25">
        <v>30045</v>
      </c>
      <c r="CW25">
        <v>6422.36</v>
      </c>
      <c r="CX25">
        <v>10247.969999999999</v>
      </c>
      <c r="CY25">
        <v>213.01</v>
      </c>
      <c r="CZ25">
        <v>1654.07</v>
      </c>
      <c r="DA25">
        <v>9017.2999999999993</v>
      </c>
      <c r="DB25">
        <v>27554.71</v>
      </c>
      <c r="DC25">
        <v>9.1999999999999998E-3</v>
      </c>
      <c r="DD25">
        <v>2.9499999999999998E-2</v>
      </c>
      <c r="DE25">
        <v>6.9699999999999998E-2</v>
      </c>
      <c r="DF25">
        <v>0.1089</v>
      </c>
      <c r="DG25">
        <v>0.15340000000000001</v>
      </c>
      <c r="DH25">
        <v>0.21329999999999999</v>
      </c>
      <c r="DI25">
        <v>0.27029999999999998</v>
      </c>
      <c r="DJ25">
        <v>0.33169999999999999</v>
      </c>
      <c r="DK25">
        <v>0.41399999999999998</v>
      </c>
      <c r="DL25">
        <v>0.48049999999999998</v>
      </c>
      <c r="DM25">
        <v>0.59689999999999999</v>
      </c>
      <c r="DN25">
        <v>0.95920000000000005</v>
      </c>
      <c r="DO25">
        <v>7.0000000000000001E-3</v>
      </c>
      <c r="DP25">
        <v>3.2899999999999999E-2</v>
      </c>
      <c r="DQ25">
        <v>7.8700000000000006E-2</v>
      </c>
      <c r="DR25">
        <v>0.1195</v>
      </c>
      <c r="DS25">
        <v>0.1661</v>
      </c>
      <c r="DT25">
        <v>0.25519999999999998</v>
      </c>
      <c r="DU25">
        <v>0.3347</v>
      </c>
      <c r="DV25">
        <v>0.39429999999999998</v>
      </c>
      <c r="DW25">
        <v>0.4511</v>
      </c>
      <c r="DX25">
        <v>0.52790000000000004</v>
      </c>
      <c r="DY25">
        <v>0.63370000000000004</v>
      </c>
      <c r="DZ25">
        <v>0.82869999999999999</v>
      </c>
      <c r="EA25">
        <f t="shared" si="8"/>
        <v>12</v>
      </c>
      <c r="EB25" s="370">
        <v>0.82869999999999999</v>
      </c>
      <c r="EC25" s="370">
        <f t="shared" si="9"/>
        <v>6.9058333333333333E-2</v>
      </c>
      <c r="ED25" s="370">
        <f t="shared" si="10"/>
        <v>0.86394912427022508</v>
      </c>
      <c r="EE25">
        <v>18537.41</v>
      </c>
      <c r="EF25" s="371">
        <v>0.34645399999999998</v>
      </c>
      <c r="EG25" s="371">
        <v>0.55282640000000005</v>
      </c>
      <c r="EH25" s="371">
        <v>0.10071960000000001</v>
      </c>
      <c r="EI25">
        <v>17820</v>
      </c>
      <c r="EJ25">
        <v>1549</v>
      </c>
      <c r="EK25">
        <v>1464</v>
      </c>
      <c r="EL25">
        <v>6143</v>
      </c>
      <c r="EM25">
        <v>16848</v>
      </c>
      <c r="EN25">
        <v>43824</v>
      </c>
      <c r="EO25">
        <v>6260.1</v>
      </c>
      <c r="EP25">
        <v>8961.89</v>
      </c>
      <c r="EQ25">
        <v>336.85</v>
      </c>
      <c r="ER25">
        <v>2121.34</v>
      </c>
      <c r="ES25">
        <v>13472.95</v>
      </c>
      <c r="ET25">
        <v>31153.13</v>
      </c>
      <c r="EU25">
        <v>1.8100000000000002E-2</v>
      </c>
      <c r="EV25">
        <v>5.6000000000000001E-2</v>
      </c>
      <c r="EW25">
        <v>0.1042</v>
      </c>
      <c r="EX25">
        <v>0.14910000000000001</v>
      </c>
      <c r="EY25">
        <v>0.1968</v>
      </c>
      <c r="EZ25">
        <v>0.26679999999999998</v>
      </c>
      <c r="FA25">
        <v>0.32479999999999998</v>
      </c>
      <c r="FB25">
        <v>0.37109999999999999</v>
      </c>
      <c r="FC25">
        <v>0.44040000000000001</v>
      </c>
      <c r="FD25">
        <v>0.50849999999999995</v>
      </c>
      <c r="FE25">
        <v>0.59809999999999997</v>
      </c>
      <c r="FF25">
        <v>0.84689999999999999</v>
      </c>
      <c r="FG25">
        <v>0</v>
      </c>
      <c r="FH25">
        <v>0</v>
      </c>
      <c r="FI25">
        <v>8.4900000000000003E-2</v>
      </c>
      <c r="FJ25">
        <v>0.13589999999999999</v>
      </c>
      <c r="FK25">
        <v>0.2147</v>
      </c>
      <c r="FL25">
        <v>0.28520000000000001</v>
      </c>
      <c r="FM25">
        <v>0.375</v>
      </c>
      <c r="FN25">
        <v>0.43369999999999997</v>
      </c>
      <c r="FO25">
        <v>0.43369999999999997</v>
      </c>
      <c r="FP25">
        <v>0</v>
      </c>
      <c r="FQ25">
        <v>0</v>
      </c>
      <c r="FR25">
        <v>0</v>
      </c>
      <c r="FS25">
        <f t="shared" si="11"/>
        <v>8</v>
      </c>
      <c r="FT25">
        <v>0.43369999999999997</v>
      </c>
      <c r="FU25" s="370">
        <f t="shared" si="12"/>
        <v>5.4212499999999997E-2</v>
      </c>
      <c r="FV25" s="370">
        <f t="shared" si="13"/>
        <v>0.76815444562522139</v>
      </c>
      <c r="FW25">
        <v>17680.18</v>
      </c>
      <c r="FX25">
        <v>0.35407440000000001</v>
      </c>
      <c r="FY25">
        <v>0.50688900000000003</v>
      </c>
      <c r="FZ25">
        <v>0.13903650000000001</v>
      </c>
    </row>
    <row r="26" spans="2:189" x14ac:dyDescent="0.25">
      <c r="B26" t="s">
        <v>162</v>
      </c>
      <c r="C26">
        <v>0</v>
      </c>
      <c r="D26">
        <f t="shared" si="0"/>
        <v>0</v>
      </c>
      <c r="E26">
        <f t="shared" si="1"/>
        <v>0</v>
      </c>
      <c r="F26" t="s">
        <v>188</v>
      </c>
      <c r="G26">
        <v>197</v>
      </c>
      <c r="H26">
        <v>265</v>
      </c>
      <c r="I26">
        <v>136</v>
      </c>
      <c r="J26">
        <v>23</v>
      </c>
      <c r="K26">
        <v>1</v>
      </c>
      <c r="L26">
        <v>622</v>
      </c>
      <c r="M26">
        <v>0</v>
      </c>
      <c r="N26">
        <v>164.32</v>
      </c>
      <c r="O26">
        <v>11.22</v>
      </c>
      <c r="P26">
        <v>3.43</v>
      </c>
      <c r="Q26">
        <v>0.22</v>
      </c>
      <c r="R26">
        <v>222.47</v>
      </c>
      <c r="S26">
        <v>0.14779999999999999</v>
      </c>
      <c r="T26">
        <v>0.19239999999999999</v>
      </c>
      <c r="U26">
        <v>0.24260000000000001</v>
      </c>
      <c r="V26">
        <v>0.44500000000000001</v>
      </c>
      <c r="W26">
        <v>0.49270000000000003</v>
      </c>
      <c r="X26">
        <v>0.54239999999999999</v>
      </c>
      <c r="Y26">
        <v>0.68169999999999997</v>
      </c>
      <c r="Z26">
        <v>0.73129999999999995</v>
      </c>
      <c r="AA26">
        <v>0.77739999999999998</v>
      </c>
      <c r="AB26">
        <v>0.88719999999999999</v>
      </c>
      <c r="AC26">
        <v>0.92820000000000003</v>
      </c>
      <c r="AD26">
        <v>1</v>
      </c>
      <c r="AE26">
        <v>3.0300000000000001E-2</v>
      </c>
      <c r="AF26">
        <v>7.0300000000000001E-2</v>
      </c>
      <c r="AG26">
        <v>0.1013</v>
      </c>
      <c r="AH26">
        <v>0.17849999999999999</v>
      </c>
      <c r="AI26">
        <v>0.25030000000000002</v>
      </c>
      <c r="AJ26">
        <v>0.34699999999999998</v>
      </c>
      <c r="AK26">
        <v>0.45279999999999998</v>
      </c>
      <c r="AL26">
        <v>0.52529999999999999</v>
      </c>
      <c r="AM26">
        <v>0.52529999999999999</v>
      </c>
      <c r="AN26">
        <v>0.52529999999999999</v>
      </c>
      <c r="AO26">
        <v>0.52529999999999999</v>
      </c>
      <c r="AP26">
        <v>0.52529999999999999</v>
      </c>
      <c r="AQ26">
        <f t="shared" si="2"/>
        <v>8</v>
      </c>
      <c r="AR26" s="370">
        <v>0.52529999999999999</v>
      </c>
      <c r="AS26" s="370">
        <f t="shared" si="3"/>
        <v>6.5662499999999999E-2</v>
      </c>
      <c r="AT26" s="370">
        <f t="shared" si="4"/>
        <v>0.78794999999999993</v>
      </c>
      <c r="AU26">
        <v>178.97</v>
      </c>
      <c r="AV26" s="371">
        <v>0</v>
      </c>
      <c r="AW26" s="371">
        <v>0.91814269999999998</v>
      </c>
      <c r="AX26" s="371">
        <v>8.1857299999999994E-2</v>
      </c>
      <c r="AY26">
        <v>431</v>
      </c>
      <c r="AZ26">
        <v>391</v>
      </c>
      <c r="BA26">
        <v>193</v>
      </c>
      <c r="BB26">
        <v>36</v>
      </c>
      <c r="BC26">
        <v>1428</v>
      </c>
      <c r="BD26">
        <v>2479</v>
      </c>
      <c r="BE26">
        <v>100.92</v>
      </c>
      <c r="BF26">
        <v>1366.18</v>
      </c>
      <c r="BG26">
        <v>15.31</v>
      </c>
      <c r="BH26">
        <v>12.5</v>
      </c>
      <c r="BI26">
        <v>275.42</v>
      </c>
      <c r="BJ26">
        <v>1770.33</v>
      </c>
      <c r="BK26">
        <v>7.6899999999999996E-2</v>
      </c>
      <c r="BL26">
        <v>0.1348</v>
      </c>
      <c r="BM26">
        <v>0.26069999999999999</v>
      </c>
      <c r="BN26">
        <v>0.3634</v>
      </c>
      <c r="BO26">
        <v>0.42549999999999999</v>
      </c>
      <c r="BP26">
        <v>0.50529999999999997</v>
      </c>
      <c r="BQ26">
        <v>0.63339999999999996</v>
      </c>
      <c r="BR26">
        <v>0.73860000000000003</v>
      </c>
      <c r="BS26">
        <v>0.79069999999999996</v>
      </c>
      <c r="BT26">
        <v>0.8861</v>
      </c>
      <c r="BU26">
        <v>0.96760000000000002</v>
      </c>
      <c r="BV26">
        <v>1</v>
      </c>
      <c r="BW26">
        <v>2.24E-2</v>
      </c>
      <c r="BX26">
        <v>5.6899999999999999E-2</v>
      </c>
      <c r="BY26">
        <v>0.1062</v>
      </c>
      <c r="BZ26">
        <v>0.1691</v>
      </c>
      <c r="CA26">
        <v>0.23649999999999999</v>
      </c>
      <c r="CB26">
        <v>0.3548</v>
      </c>
      <c r="CC26">
        <v>0.4244</v>
      </c>
      <c r="CD26">
        <v>0.49569999999999997</v>
      </c>
      <c r="CE26">
        <v>0.55079999999999996</v>
      </c>
      <c r="CF26">
        <v>0.55079999999999996</v>
      </c>
      <c r="CG26">
        <v>0.55079999999999996</v>
      </c>
      <c r="CH26">
        <v>0.55079999999999996</v>
      </c>
      <c r="CI26">
        <f t="shared" si="5"/>
        <v>9</v>
      </c>
      <c r="CJ26" s="370">
        <v>0.55079999999999996</v>
      </c>
      <c r="CK26" s="370">
        <f t="shared" si="6"/>
        <v>6.1199999999999997E-2</v>
      </c>
      <c r="CL26" s="370">
        <f t="shared" si="7"/>
        <v>0.73439999999999994</v>
      </c>
      <c r="CM26">
        <v>1494.91</v>
      </c>
      <c r="CN26" s="371">
        <v>6.7509100000000002E-2</v>
      </c>
      <c r="CO26" s="371">
        <v>0.91388780000000003</v>
      </c>
      <c r="CP26" s="371">
        <v>1.8603100000000001E-2</v>
      </c>
      <c r="CQ26">
        <v>551</v>
      </c>
      <c r="CR26">
        <v>454</v>
      </c>
      <c r="CS26">
        <v>259</v>
      </c>
      <c r="CT26">
        <v>44</v>
      </c>
      <c r="CU26">
        <v>1367</v>
      </c>
      <c r="CV26">
        <v>2675</v>
      </c>
      <c r="CW26">
        <v>140.28</v>
      </c>
      <c r="CX26">
        <v>326.75</v>
      </c>
      <c r="CY26">
        <v>19.23</v>
      </c>
      <c r="CZ26">
        <v>6.25</v>
      </c>
      <c r="DA26">
        <v>420.64</v>
      </c>
      <c r="DB26">
        <v>913.15</v>
      </c>
      <c r="DC26">
        <v>4.6199999999999998E-2</v>
      </c>
      <c r="DD26">
        <v>0.1149</v>
      </c>
      <c r="DE26">
        <v>0.21010000000000001</v>
      </c>
      <c r="DF26">
        <v>0.30070000000000002</v>
      </c>
      <c r="DG26">
        <v>0.37969999999999998</v>
      </c>
      <c r="DH26">
        <v>0.49869999999999998</v>
      </c>
      <c r="DI26">
        <v>0.57920000000000005</v>
      </c>
      <c r="DJ26">
        <v>0.65380000000000005</v>
      </c>
      <c r="DK26">
        <v>0.76200000000000001</v>
      </c>
      <c r="DL26">
        <v>0.89019999999999999</v>
      </c>
      <c r="DM26">
        <v>0.9466</v>
      </c>
      <c r="DN26">
        <v>1</v>
      </c>
      <c r="DO26">
        <v>2.06E-2</v>
      </c>
      <c r="DP26">
        <v>4.99E-2</v>
      </c>
      <c r="DQ26">
        <v>9.9000000000000005E-2</v>
      </c>
      <c r="DR26">
        <v>0.1807</v>
      </c>
      <c r="DS26">
        <v>0.24199999999999999</v>
      </c>
      <c r="DT26">
        <v>0.29749999999999999</v>
      </c>
      <c r="DU26">
        <v>0.40989999999999999</v>
      </c>
      <c r="DV26">
        <v>0.4778</v>
      </c>
      <c r="DW26">
        <v>0.54769999999999996</v>
      </c>
      <c r="DX26">
        <v>0.62729999999999997</v>
      </c>
      <c r="DY26">
        <v>0.72350000000000003</v>
      </c>
      <c r="DZ26">
        <v>0.90780000000000005</v>
      </c>
      <c r="EA26">
        <f t="shared" si="8"/>
        <v>12</v>
      </c>
      <c r="EB26" s="370">
        <v>0.90780000000000005</v>
      </c>
      <c r="EC26" s="370">
        <f t="shared" si="9"/>
        <v>7.5650000000000009E-2</v>
      </c>
      <c r="ED26" s="370">
        <f t="shared" si="10"/>
        <v>0.90780000000000016</v>
      </c>
      <c r="EE26">
        <v>492.51</v>
      </c>
      <c r="EF26" s="371">
        <v>0.28482669999999999</v>
      </c>
      <c r="EG26" s="371">
        <v>0.66343830000000004</v>
      </c>
      <c r="EH26" s="371">
        <v>5.1735000000000003E-2</v>
      </c>
      <c r="EI26">
        <v>397</v>
      </c>
      <c r="EJ26">
        <v>459</v>
      </c>
      <c r="EK26">
        <v>295</v>
      </c>
      <c r="EL26">
        <v>35</v>
      </c>
      <c r="EM26">
        <v>1811</v>
      </c>
      <c r="EN26">
        <v>2997</v>
      </c>
      <c r="EO26">
        <v>114.17</v>
      </c>
      <c r="EP26">
        <v>344.7</v>
      </c>
      <c r="EQ26">
        <v>15.98</v>
      </c>
      <c r="ER26">
        <v>6.59</v>
      </c>
      <c r="ES26">
        <v>446.57</v>
      </c>
      <c r="ET26">
        <v>928.01</v>
      </c>
      <c r="EU26">
        <v>6.0600000000000001E-2</v>
      </c>
      <c r="EV26">
        <v>0.16339999999999999</v>
      </c>
      <c r="EW26">
        <v>0.25530000000000003</v>
      </c>
      <c r="EX26">
        <v>0.37019999999999997</v>
      </c>
      <c r="EY26">
        <v>0</v>
      </c>
      <c r="EZ26">
        <v>0.53129999999999999</v>
      </c>
      <c r="FA26">
        <v>0.63600000000000001</v>
      </c>
      <c r="FB26">
        <v>0.70479999999999998</v>
      </c>
      <c r="FC26">
        <v>0.79479999999999995</v>
      </c>
      <c r="FD26">
        <v>0.86680000000000001</v>
      </c>
      <c r="FE26">
        <v>0.9204</v>
      </c>
      <c r="FF26">
        <v>1</v>
      </c>
      <c r="FG26">
        <v>2.8999999999999998E-3</v>
      </c>
      <c r="FH26">
        <v>7.8899999999999998E-2</v>
      </c>
      <c r="FI26">
        <v>0.1343</v>
      </c>
      <c r="FJ26">
        <v>0.2084</v>
      </c>
      <c r="FK26">
        <v>0.26929999999999998</v>
      </c>
      <c r="FL26">
        <v>0.34360000000000002</v>
      </c>
      <c r="FM26">
        <v>0.46889999999999998</v>
      </c>
      <c r="FN26">
        <v>0.54479999999999995</v>
      </c>
      <c r="FO26">
        <v>0.54479999999999995</v>
      </c>
      <c r="FP26">
        <v>0</v>
      </c>
      <c r="FQ26">
        <v>0</v>
      </c>
      <c r="FR26">
        <v>0</v>
      </c>
      <c r="FS26">
        <f t="shared" si="11"/>
        <v>8</v>
      </c>
      <c r="FT26">
        <v>0.54479999999999995</v>
      </c>
      <c r="FU26" s="370">
        <f t="shared" si="12"/>
        <v>6.8099999999999994E-2</v>
      </c>
      <c r="FV26" s="370">
        <f t="shared" si="13"/>
        <v>0.81719999999999993</v>
      </c>
      <c r="FW26">
        <v>481.44</v>
      </c>
      <c r="FX26">
        <v>0.23714270000000001</v>
      </c>
      <c r="FY26">
        <v>0.71597710000000003</v>
      </c>
      <c r="FZ26">
        <v>4.6880199999999997E-2</v>
      </c>
    </row>
    <row r="27" spans="2:189" x14ac:dyDescent="0.25">
      <c r="B27" t="s">
        <v>2</v>
      </c>
      <c r="C27">
        <v>1</v>
      </c>
      <c r="D27">
        <f t="shared" si="0"/>
        <v>1</v>
      </c>
      <c r="E27">
        <f t="shared" si="1"/>
        <v>1</v>
      </c>
      <c r="F27" t="s">
        <v>180</v>
      </c>
      <c r="G27">
        <v>1219</v>
      </c>
      <c r="H27">
        <v>278</v>
      </c>
      <c r="I27">
        <v>113</v>
      </c>
      <c r="J27">
        <v>98</v>
      </c>
      <c r="K27">
        <v>2266</v>
      </c>
      <c r="L27">
        <v>3974</v>
      </c>
      <c r="M27">
        <v>108.9</v>
      </c>
      <c r="N27">
        <v>221.59</v>
      </c>
      <c r="O27">
        <v>14.76</v>
      </c>
      <c r="P27">
        <v>19.2</v>
      </c>
      <c r="Q27">
        <v>442.74</v>
      </c>
      <c r="R27">
        <v>807.19</v>
      </c>
      <c r="S27">
        <v>0.02</v>
      </c>
      <c r="T27">
        <v>6.5000000000000002E-2</v>
      </c>
      <c r="U27">
        <v>0.1</v>
      </c>
      <c r="V27">
        <v>0.17499999999999999</v>
      </c>
      <c r="W27">
        <v>0.27500000000000002</v>
      </c>
      <c r="X27">
        <v>0.375</v>
      </c>
      <c r="Y27">
        <v>0.47499999999999998</v>
      </c>
      <c r="Z27">
        <v>0.57499999999999996</v>
      </c>
      <c r="AA27">
        <v>0.67500000000000004</v>
      </c>
      <c r="AB27">
        <v>0.77500000000000002</v>
      </c>
      <c r="AC27">
        <v>0.875</v>
      </c>
      <c r="AD27">
        <v>1</v>
      </c>
      <c r="AE27">
        <v>2.5000000000000001E-2</v>
      </c>
      <c r="AF27">
        <v>0.1045</v>
      </c>
      <c r="AG27">
        <v>0.16500000000000001</v>
      </c>
      <c r="AH27">
        <v>0.25540000000000002</v>
      </c>
      <c r="AI27">
        <v>0.32500000000000001</v>
      </c>
      <c r="AJ27">
        <v>0.437</v>
      </c>
      <c r="AK27">
        <v>0.53779999999999994</v>
      </c>
      <c r="AL27">
        <v>0.63119999999999998</v>
      </c>
      <c r="AM27">
        <v>0.63119999999999998</v>
      </c>
      <c r="AN27">
        <v>0.63119999999999998</v>
      </c>
      <c r="AO27">
        <v>0.63119999999999998</v>
      </c>
      <c r="AP27">
        <v>0.63119999999999998</v>
      </c>
      <c r="AQ27">
        <f t="shared" si="2"/>
        <v>8</v>
      </c>
      <c r="AR27" s="370">
        <v>0.63119999999999998</v>
      </c>
      <c r="AS27" s="370">
        <f t="shared" si="3"/>
        <v>7.8899999999999998E-2</v>
      </c>
      <c r="AT27" s="370">
        <f t="shared" si="4"/>
        <v>0.94679999999999997</v>
      </c>
      <c r="AU27">
        <v>364.45</v>
      </c>
      <c r="AV27" s="371">
        <v>0.29880640000000003</v>
      </c>
      <c r="AW27" s="371">
        <v>0.60801210000000006</v>
      </c>
      <c r="AX27" s="371">
        <v>9.31815E-2</v>
      </c>
      <c r="AY27">
        <v>394</v>
      </c>
      <c r="AZ27">
        <v>134</v>
      </c>
      <c r="BA27">
        <v>68</v>
      </c>
      <c r="BB27">
        <v>0</v>
      </c>
      <c r="BC27">
        <v>0</v>
      </c>
      <c r="BD27">
        <v>596</v>
      </c>
      <c r="BE27">
        <v>110.34</v>
      </c>
      <c r="BF27">
        <v>226.77</v>
      </c>
      <c r="BG27">
        <v>17.559999999999999</v>
      </c>
      <c r="BH27">
        <v>0</v>
      </c>
      <c r="BI27">
        <v>0</v>
      </c>
      <c r="BJ27">
        <v>354.67</v>
      </c>
      <c r="BK27">
        <v>1.4999999999999999E-2</v>
      </c>
      <c r="BL27">
        <v>6.5000000000000002E-2</v>
      </c>
      <c r="BM27">
        <v>0.1</v>
      </c>
      <c r="BN27">
        <v>0.17499999999999999</v>
      </c>
      <c r="BO27">
        <v>0.27500000000000002</v>
      </c>
      <c r="BP27">
        <v>0.375</v>
      </c>
      <c r="BQ27">
        <v>0.47499999999999998</v>
      </c>
      <c r="BR27">
        <v>0.57499999999999996</v>
      </c>
      <c r="BS27">
        <v>0.67500000000000004</v>
      </c>
      <c r="BT27">
        <v>0.77500000000000002</v>
      </c>
      <c r="BU27">
        <v>0.875</v>
      </c>
      <c r="BV27">
        <v>1</v>
      </c>
      <c r="BW27">
        <v>1.4E-2</v>
      </c>
      <c r="BX27">
        <v>7.0000000000000007E-2</v>
      </c>
      <c r="BY27">
        <v>0.17249999999999999</v>
      </c>
      <c r="BZ27">
        <v>0.249</v>
      </c>
      <c r="CA27">
        <v>0.3745</v>
      </c>
      <c r="CB27">
        <v>0.43790000000000001</v>
      </c>
      <c r="CC27">
        <v>0.54790000000000005</v>
      </c>
      <c r="CD27">
        <v>0.60899999999999999</v>
      </c>
      <c r="CE27">
        <v>0.66069999999999995</v>
      </c>
      <c r="CF27">
        <v>0.77980000000000005</v>
      </c>
      <c r="CG27">
        <v>0.83120000000000005</v>
      </c>
      <c r="CH27">
        <v>0.93210000000000004</v>
      </c>
      <c r="CI27">
        <f t="shared" si="5"/>
        <v>12</v>
      </c>
      <c r="CJ27" s="370">
        <v>0.93210000000000004</v>
      </c>
      <c r="CK27" s="370">
        <f t="shared" si="6"/>
        <v>7.7675000000000008E-2</v>
      </c>
      <c r="CL27" s="370">
        <f t="shared" si="7"/>
        <v>0.93210000000000015</v>
      </c>
      <c r="CM27">
        <v>354.67</v>
      </c>
      <c r="CN27" s="371">
        <v>0.3111061</v>
      </c>
      <c r="CO27" s="371">
        <v>0.63938309999999998</v>
      </c>
      <c r="CP27" s="371">
        <v>4.9510800000000001E-2</v>
      </c>
      <c r="CQ27">
        <v>1092</v>
      </c>
      <c r="CR27">
        <v>315</v>
      </c>
      <c r="CS27">
        <v>175</v>
      </c>
      <c r="CT27">
        <v>208</v>
      </c>
      <c r="CU27">
        <v>3705</v>
      </c>
      <c r="CV27">
        <v>5495</v>
      </c>
      <c r="CW27">
        <v>293.47000000000003</v>
      </c>
      <c r="CX27">
        <v>204.84</v>
      </c>
      <c r="CY27">
        <v>18.28</v>
      </c>
      <c r="CZ27">
        <v>23.04</v>
      </c>
      <c r="DA27">
        <v>511.38</v>
      </c>
      <c r="DB27">
        <v>1051.01</v>
      </c>
      <c r="DC27">
        <v>3.5000000000000001E-3</v>
      </c>
      <c r="DD27">
        <v>7.0000000000000007E-2</v>
      </c>
      <c r="DE27">
        <v>0.1</v>
      </c>
      <c r="DF27">
        <v>0.185</v>
      </c>
      <c r="DG27">
        <v>0.25</v>
      </c>
      <c r="DH27">
        <v>0.35</v>
      </c>
      <c r="DI27">
        <v>0.45</v>
      </c>
      <c r="DJ27">
        <v>0.6</v>
      </c>
      <c r="DK27">
        <v>0.7</v>
      </c>
      <c r="DL27">
        <v>0.76</v>
      </c>
      <c r="DM27">
        <v>0.87</v>
      </c>
      <c r="DN27">
        <v>1</v>
      </c>
      <c r="DO27">
        <v>3.5000000000000001E-3</v>
      </c>
      <c r="DP27">
        <v>7.0699999999999999E-2</v>
      </c>
      <c r="DQ27">
        <v>0.12230000000000001</v>
      </c>
      <c r="DR27">
        <v>0.2039</v>
      </c>
      <c r="DS27">
        <v>0.28010000000000002</v>
      </c>
      <c r="DT27">
        <v>0.35039999999999999</v>
      </c>
      <c r="DU27">
        <v>0.43409999999999999</v>
      </c>
      <c r="DV27">
        <v>0.53739999999999999</v>
      </c>
      <c r="DW27">
        <v>0.62549999999999994</v>
      </c>
      <c r="DX27">
        <v>0.7</v>
      </c>
      <c r="DY27">
        <v>0.82410000000000005</v>
      </c>
      <c r="DZ27">
        <v>0.94340000000000002</v>
      </c>
      <c r="EA27">
        <f t="shared" si="8"/>
        <v>12</v>
      </c>
      <c r="EB27" s="370">
        <v>0.94340000000000002</v>
      </c>
      <c r="EC27" s="370">
        <f t="shared" si="9"/>
        <v>7.8616666666666668E-2</v>
      </c>
      <c r="ED27" s="370">
        <f t="shared" si="10"/>
        <v>0.94340000000000002</v>
      </c>
      <c r="EE27">
        <v>539.63</v>
      </c>
      <c r="EF27" s="371">
        <v>0.54383559999999997</v>
      </c>
      <c r="EG27" s="371">
        <v>0.37959340000000003</v>
      </c>
      <c r="EH27" s="371">
        <v>7.6571E-2</v>
      </c>
      <c r="EI27">
        <v>1069</v>
      </c>
      <c r="EJ27">
        <v>185</v>
      </c>
      <c r="EK27">
        <v>113</v>
      </c>
      <c r="EL27">
        <v>215</v>
      </c>
      <c r="EM27">
        <v>12992</v>
      </c>
      <c r="EN27">
        <v>14574</v>
      </c>
      <c r="EO27">
        <v>249.12</v>
      </c>
      <c r="EP27">
        <v>282.42</v>
      </c>
      <c r="EQ27">
        <v>23.56</v>
      </c>
      <c r="ER27">
        <v>27.85</v>
      </c>
      <c r="ES27">
        <v>466.31</v>
      </c>
      <c r="ET27">
        <v>1049.26</v>
      </c>
      <c r="EU27">
        <v>3.8E-3</v>
      </c>
      <c r="EV27">
        <v>2.86E-2</v>
      </c>
      <c r="EW27">
        <v>7.9200000000000007E-2</v>
      </c>
      <c r="EX27">
        <v>0.14560000000000001</v>
      </c>
      <c r="EY27">
        <v>0.2208</v>
      </c>
      <c r="EZ27">
        <v>0.31090000000000001</v>
      </c>
      <c r="FA27">
        <v>0.40279999999999999</v>
      </c>
      <c r="FB27">
        <v>0.5071</v>
      </c>
      <c r="FC27">
        <v>0</v>
      </c>
      <c r="FD27">
        <v>0.74670000000000003</v>
      </c>
      <c r="FE27">
        <v>0.85709999999999997</v>
      </c>
      <c r="FF27">
        <v>1</v>
      </c>
      <c r="FG27">
        <v>1.37E-2</v>
      </c>
      <c r="FH27">
        <v>0.1108</v>
      </c>
      <c r="FI27">
        <v>0.15060000000000001</v>
      </c>
      <c r="FJ27">
        <v>0.22289999999999999</v>
      </c>
      <c r="FK27">
        <v>0.33150000000000002</v>
      </c>
      <c r="FL27">
        <v>0.42299999999999999</v>
      </c>
      <c r="FM27">
        <v>0.51739999999999997</v>
      </c>
      <c r="FN27">
        <v>0.57909999999999995</v>
      </c>
      <c r="FO27">
        <v>0.57909999999999995</v>
      </c>
      <c r="FP27">
        <v>0</v>
      </c>
      <c r="FQ27">
        <v>0</v>
      </c>
      <c r="FR27">
        <v>0</v>
      </c>
      <c r="FS27">
        <f t="shared" si="11"/>
        <v>8</v>
      </c>
      <c r="FT27">
        <v>0.57909999999999995</v>
      </c>
      <c r="FU27" s="370">
        <f t="shared" si="12"/>
        <v>7.2387499999999994E-2</v>
      </c>
      <c r="FV27" s="370">
        <f t="shared" si="13"/>
        <v>0.86864999999999992</v>
      </c>
      <c r="FW27">
        <v>582.95000000000005</v>
      </c>
      <c r="FX27">
        <v>0.42734369999999999</v>
      </c>
      <c r="FY27">
        <v>0.48446689999999998</v>
      </c>
      <c r="FZ27">
        <v>8.8189400000000001E-2</v>
      </c>
    </row>
    <row r="28" spans="2:189" x14ac:dyDescent="0.25">
      <c r="B28" t="s">
        <v>162</v>
      </c>
      <c r="C28">
        <v>2</v>
      </c>
      <c r="D28">
        <f t="shared" si="0"/>
        <v>1</v>
      </c>
      <c r="E28">
        <f t="shared" si="1"/>
        <v>0</v>
      </c>
      <c r="F28" t="s">
        <v>189</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f t="shared" si="2"/>
        <v>0</v>
      </c>
      <c r="AR28" s="370">
        <v>0</v>
      </c>
      <c r="AS28" s="370">
        <f t="shared" si="3"/>
        <v>0</v>
      </c>
      <c r="AT28" s="370">
        <f t="shared" si="4"/>
        <v>0</v>
      </c>
      <c r="AU28">
        <v>0</v>
      </c>
      <c r="AV28" s="371">
        <v>0</v>
      </c>
      <c r="AW28" s="371">
        <v>0</v>
      </c>
      <c r="AX28" s="371">
        <v>0</v>
      </c>
      <c r="AY28">
        <v>1242</v>
      </c>
      <c r="AZ28">
        <v>851</v>
      </c>
      <c r="BA28">
        <v>762</v>
      </c>
      <c r="BB28">
        <v>287</v>
      </c>
      <c r="BC28">
        <v>1389</v>
      </c>
      <c r="BD28">
        <v>4531</v>
      </c>
      <c r="BE28">
        <v>229.64</v>
      </c>
      <c r="BF28">
        <v>469.25</v>
      </c>
      <c r="BG28">
        <v>40.1</v>
      </c>
      <c r="BH28">
        <v>21.41</v>
      </c>
      <c r="BI28">
        <v>115.93</v>
      </c>
      <c r="BJ28">
        <v>876.33</v>
      </c>
      <c r="BK28">
        <v>1.95E-2</v>
      </c>
      <c r="BL28">
        <v>5.2200000000000003E-2</v>
      </c>
      <c r="BM28">
        <v>9.64E-2</v>
      </c>
      <c r="BN28">
        <v>0.1676</v>
      </c>
      <c r="BO28">
        <v>0.2258</v>
      </c>
      <c r="BP28">
        <v>0.3034</v>
      </c>
      <c r="BQ28">
        <v>0.38129999999999997</v>
      </c>
      <c r="BR28">
        <v>0.4955</v>
      </c>
      <c r="BS28">
        <v>0.64790000000000003</v>
      </c>
      <c r="BT28">
        <v>0.77270000000000005</v>
      </c>
      <c r="BU28">
        <v>0.92290000000000005</v>
      </c>
      <c r="BV28">
        <v>1</v>
      </c>
      <c r="BW28">
        <v>2.4400000000000002E-2</v>
      </c>
      <c r="BX28">
        <v>4.4699999999999997E-2</v>
      </c>
      <c r="BY28">
        <v>7.6899999999999996E-2</v>
      </c>
      <c r="BZ28">
        <v>0.1326</v>
      </c>
      <c r="CA28">
        <v>0.20419999999999999</v>
      </c>
      <c r="CB28">
        <v>0.31580000000000003</v>
      </c>
      <c r="CC28">
        <v>0.374</v>
      </c>
      <c r="CD28">
        <v>0.43030000000000002</v>
      </c>
      <c r="CE28">
        <v>0.49630000000000002</v>
      </c>
      <c r="CF28">
        <v>0.59889999999999999</v>
      </c>
      <c r="CG28">
        <v>0.7117</v>
      </c>
      <c r="CH28">
        <v>0.88149999999999995</v>
      </c>
      <c r="CI28">
        <f t="shared" si="5"/>
        <v>12</v>
      </c>
      <c r="CJ28" s="370">
        <v>0.88149999999999995</v>
      </c>
      <c r="CK28" s="370">
        <f t="shared" si="6"/>
        <v>7.3458333333333334E-2</v>
      </c>
      <c r="CL28" s="370">
        <f t="shared" si="7"/>
        <v>0.88149999999999995</v>
      </c>
      <c r="CM28">
        <v>760.4</v>
      </c>
      <c r="CN28" s="371">
        <v>0.30199890000000001</v>
      </c>
      <c r="CO28" s="371">
        <v>0.61710940000000003</v>
      </c>
      <c r="CP28" s="371">
        <v>8.0891599999999994E-2</v>
      </c>
      <c r="CQ28">
        <v>891</v>
      </c>
      <c r="CR28">
        <v>644</v>
      </c>
      <c r="CS28">
        <v>534</v>
      </c>
      <c r="CT28">
        <v>237</v>
      </c>
      <c r="CU28">
        <v>5527</v>
      </c>
      <c r="CV28">
        <v>7833</v>
      </c>
      <c r="CW28">
        <v>256.85000000000002</v>
      </c>
      <c r="CX28">
        <v>430.31</v>
      </c>
      <c r="CY28">
        <v>34.65</v>
      </c>
      <c r="CZ28">
        <v>54.43</v>
      </c>
      <c r="DA28">
        <v>461.5</v>
      </c>
      <c r="DB28">
        <v>1237.74</v>
      </c>
      <c r="DC28">
        <v>2.0199999999999999E-2</v>
      </c>
      <c r="DD28">
        <v>5.1900000000000002E-2</v>
      </c>
      <c r="DE28">
        <v>0.1318</v>
      </c>
      <c r="DF28">
        <v>0.20669999999999999</v>
      </c>
      <c r="DG28">
        <v>0.26250000000000001</v>
      </c>
      <c r="DH28">
        <v>0.3261</v>
      </c>
      <c r="DI28">
        <v>0.45090000000000002</v>
      </c>
      <c r="DJ28">
        <v>0.59389999999999998</v>
      </c>
      <c r="DK28">
        <v>0.66990000000000005</v>
      </c>
      <c r="DL28">
        <v>0.85609999999999997</v>
      </c>
      <c r="DM28">
        <v>0.95679999999999998</v>
      </c>
      <c r="DN28">
        <v>1</v>
      </c>
      <c r="DO28">
        <v>1.6799999999999999E-2</v>
      </c>
      <c r="DP28">
        <v>3.9399999999999998E-2</v>
      </c>
      <c r="DQ28">
        <v>8.2199999999999995E-2</v>
      </c>
      <c r="DR28">
        <v>0.1293</v>
      </c>
      <c r="DS28">
        <v>0.17849999999999999</v>
      </c>
      <c r="DT28">
        <v>0.30719999999999997</v>
      </c>
      <c r="DU28">
        <v>0.37709999999999999</v>
      </c>
      <c r="DV28">
        <v>0.43690000000000001</v>
      </c>
      <c r="DW28">
        <v>0.48909999999999998</v>
      </c>
      <c r="DX28">
        <v>0.5605</v>
      </c>
      <c r="DY28">
        <v>0.67179999999999995</v>
      </c>
      <c r="DZ28">
        <v>0.90269999999999995</v>
      </c>
      <c r="EA28">
        <f t="shared" si="8"/>
        <v>12</v>
      </c>
      <c r="EB28" s="370">
        <v>0.90269999999999995</v>
      </c>
      <c r="EC28" s="370">
        <f t="shared" si="9"/>
        <v>7.5225E-2</v>
      </c>
      <c r="ED28" s="370">
        <f t="shared" si="10"/>
        <v>0.90270000000000006</v>
      </c>
      <c r="EE28">
        <v>776.24</v>
      </c>
      <c r="EF28" s="371">
        <v>0.33088990000000001</v>
      </c>
      <c r="EG28" s="371">
        <v>0.5543517</v>
      </c>
      <c r="EH28" s="371">
        <v>0.11475829999999999</v>
      </c>
      <c r="EI28">
        <v>969</v>
      </c>
      <c r="EJ28">
        <v>760</v>
      </c>
      <c r="EK28">
        <v>624</v>
      </c>
      <c r="EL28">
        <v>242</v>
      </c>
      <c r="EM28">
        <v>5030</v>
      </c>
      <c r="EN28">
        <v>7625</v>
      </c>
      <c r="EO28">
        <v>220.97</v>
      </c>
      <c r="EP28">
        <v>435.09</v>
      </c>
      <c r="EQ28">
        <v>29.87</v>
      </c>
      <c r="ER28">
        <v>27.12</v>
      </c>
      <c r="ES28">
        <v>520.24</v>
      </c>
      <c r="ET28">
        <v>1233.29</v>
      </c>
      <c r="EU28">
        <v>2.9700000000000001E-2</v>
      </c>
      <c r="EV28">
        <v>6.7000000000000004E-2</v>
      </c>
      <c r="EW28">
        <v>0.1171</v>
      </c>
      <c r="EX28">
        <v>0.16839999999999999</v>
      </c>
      <c r="EY28">
        <v>0.22209999999999999</v>
      </c>
      <c r="EZ28">
        <v>0.3039</v>
      </c>
      <c r="FA28">
        <v>0.40679999999999999</v>
      </c>
      <c r="FB28">
        <v>0.57230000000000003</v>
      </c>
      <c r="FC28">
        <v>0.67310000000000003</v>
      </c>
      <c r="FD28">
        <v>0.75560000000000005</v>
      </c>
      <c r="FE28">
        <v>0.86339999999999995</v>
      </c>
      <c r="FF28">
        <v>1</v>
      </c>
      <c r="FG28">
        <v>2.1299999999999999E-2</v>
      </c>
      <c r="FH28">
        <v>4.4999999999999998E-2</v>
      </c>
      <c r="FI28">
        <v>7.6799999999999993E-2</v>
      </c>
      <c r="FJ28">
        <v>0.1212</v>
      </c>
      <c r="FK28">
        <v>0.2011</v>
      </c>
      <c r="FL28">
        <v>0.25729999999999997</v>
      </c>
      <c r="FM28">
        <v>0.34460000000000002</v>
      </c>
      <c r="FN28">
        <v>0.42609999999999998</v>
      </c>
      <c r="FO28">
        <v>0.42609999999999998</v>
      </c>
      <c r="FP28">
        <v>0</v>
      </c>
      <c r="FQ28">
        <v>0</v>
      </c>
      <c r="FR28">
        <v>0</v>
      </c>
      <c r="FS28">
        <f t="shared" si="11"/>
        <v>8</v>
      </c>
      <c r="FT28">
        <v>0.42609999999999998</v>
      </c>
      <c r="FU28" s="370">
        <f t="shared" si="12"/>
        <v>5.3262499999999997E-2</v>
      </c>
      <c r="FV28" s="370">
        <f t="shared" si="13"/>
        <v>0.63915</v>
      </c>
      <c r="FW28">
        <v>713.05</v>
      </c>
      <c r="FX28">
        <v>0.30989410000000001</v>
      </c>
      <c r="FY28">
        <v>0.61018159999999999</v>
      </c>
      <c r="FZ28">
        <v>7.9924300000000004E-2</v>
      </c>
    </row>
    <row r="29" spans="2:189" x14ac:dyDescent="0.25">
      <c r="B29" t="s">
        <v>162</v>
      </c>
      <c r="C29">
        <v>0</v>
      </c>
      <c r="D29">
        <f t="shared" si="0"/>
        <v>0</v>
      </c>
      <c r="E29">
        <f t="shared" si="1"/>
        <v>0</v>
      </c>
      <c r="F29" t="s">
        <v>190</v>
      </c>
      <c r="G29">
        <v>1254</v>
      </c>
      <c r="H29">
        <v>597</v>
      </c>
      <c r="I29">
        <v>222</v>
      </c>
      <c r="J29">
        <v>146</v>
      </c>
      <c r="K29">
        <v>322</v>
      </c>
      <c r="L29">
        <v>2541</v>
      </c>
      <c r="M29">
        <v>82.2</v>
      </c>
      <c r="N29">
        <v>135.66</v>
      </c>
      <c r="O29">
        <v>7.98</v>
      </c>
      <c r="P29">
        <v>9.1999999999999993</v>
      </c>
      <c r="Q29">
        <v>41.97</v>
      </c>
      <c r="R29">
        <v>277.01</v>
      </c>
      <c r="S29">
        <v>0.04</v>
      </c>
      <c r="T29">
        <v>0.08</v>
      </c>
      <c r="U29">
        <v>0.12</v>
      </c>
      <c r="V29">
        <v>0.18</v>
      </c>
      <c r="W29">
        <v>0.25</v>
      </c>
      <c r="X29">
        <v>0.32</v>
      </c>
      <c r="Y29">
        <v>0.45</v>
      </c>
      <c r="Z29">
        <v>0.56999999999999995</v>
      </c>
      <c r="AA29">
        <v>0.7</v>
      </c>
      <c r="AB29">
        <v>0.83</v>
      </c>
      <c r="AC29">
        <v>0.94</v>
      </c>
      <c r="AD29">
        <v>1</v>
      </c>
      <c r="AE29">
        <v>3.0599999999999999E-2</v>
      </c>
      <c r="AF29">
        <v>6.7699999999999996E-2</v>
      </c>
      <c r="AG29">
        <v>0.1086</v>
      </c>
      <c r="AH29">
        <v>0.18149999999999999</v>
      </c>
      <c r="AI29">
        <v>0.2356</v>
      </c>
      <c r="AJ29">
        <v>0.29749999999999999</v>
      </c>
      <c r="AK29">
        <v>0.39019999999999999</v>
      </c>
      <c r="AL29">
        <v>0.48799999999999999</v>
      </c>
      <c r="AM29">
        <v>0.48799999999999999</v>
      </c>
      <c r="AN29">
        <v>0.48799999999999999</v>
      </c>
      <c r="AO29">
        <v>0.48799999999999999</v>
      </c>
      <c r="AP29">
        <v>0.48799999999999999</v>
      </c>
      <c r="AQ29">
        <f t="shared" si="2"/>
        <v>8</v>
      </c>
      <c r="AR29" s="370">
        <v>0.48799999999999999</v>
      </c>
      <c r="AS29" s="370">
        <f t="shared" si="3"/>
        <v>6.0999999999999999E-2</v>
      </c>
      <c r="AT29" s="370">
        <f t="shared" si="4"/>
        <v>0.73199999999999998</v>
      </c>
      <c r="AU29">
        <v>235.04</v>
      </c>
      <c r="AV29" s="371">
        <v>0.34972769999999997</v>
      </c>
      <c r="AW29" s="371">
        <v>0.57717839999999998</v>
      </c>
      <c r="AX29" s="371">
        <v>7.3093900000000003E-2</v>
      </c>
      <c r="AY29">
        <v>700</v>
      </c>
      <c r="AZ29">
        <v>469</v>
      </c>
      <c r="BA29">
        <v>259</v>
      </c>
      <c r="BB29">
        <v>164</v>
      </c>
      <c r="BC29">
        <v>0</v>
      </c>
      <c r="BD29">
        <v>1592</v>
      </c>
      <c r="BE29">
        <v>72.95</v>
      </c>
      <c r="BF29">
        <v>182.23</v>
      </c>
      <c r="BG29">
        <v>9.4600000000000009</v>
      </c>
      <c r="BH29">
        <v>9.61</v>
      </c>
      <c r="BI29">
        <v>0</v>
      </c>
      <c r="BJ29">
        <v>274.25</v>
      </c>
      <c r="BK29">
        <v>0.04</v>
      </c>
      <c r="BL29">
        <v>0.08</v>
      </c>
      <c r="BM29">
        <v>0.12</v>
      </c>
      <c r="BN29">
        <v>0.18</v>
      </c>
      <c r="BO29">
        <v>0.25</v>
      </c>
      <c r="BP29">
        <v>0.32</v>
      </c>
      <c r="BQ29">
        <v>0.45</v>
      </c>
      <c r="BR29">
        <v>0.56999999999999995</v>
      </c>
      <c r="BS29">
        <v>0.7</v>
      </c>
      <c r="BT29">
        <v>0.83</v>
      </c>
      <c r="BU29">
        <v>0.94</v>
      </c>
      <c r="BV29">
        <v>1</v>
      </c>
      <c r="BW29">
        <v>2.9000000000000001E-2</v>
      </c>
      <c r="BX29">
        <v>6.08E-2</v>
      </c>
      <c r="BY29">
        <v>0.1051</v>
      </c>
      <c r="BZ29">
        <v>0.14760000000000001</v>
      </c>
      <c r="CA29">
        <v>0.2414</v>
      </c>
      <c r="CB29">
        <v>0.30809999999999998</v>
      </c>
      <c r="CC29">
        <v>0.3977</v>
      </c>
      <c r="CD29">
        <v>0.48259999999999997</v>
      </c>
      <c r="CE29">
        <v>0.63060000000000005</v>
      </c>
      <c r="CF29">
        <v>0.66830000000000001</v>
      </c>
      <c r="CG29">
        <v>0.75209999999999999</v>
      </c>
      <c r="CH29">
        <v>0.91010000000000002</v>
      </c>
      <c r="CI29">
        <f t="shared" si="5"/>
        <v>12</v>
      </c>
      <c r="CJ29" s="370">
        <v>0.91010000000000002</v>
      </c>
      <c r="CK29" s="370">
        <f t="shared" si="6"/>
        <v>7.5841666666666668E-2</v>
      </c>
      <c r="CL29" s="370">
        <f t="shared" si="7"/>
        <v>0.91010000000000002</v>
      </c>
      <c r="CM29">
        <v>274.25</v>
      </c>
      <c r="CN29" s="371">
        <v>0.26599820000000002</v>
      </c>
      <c r="CO29" s="371">
        <v>0.66446669999999997</v>
      </c>
      <c r="CP29" s="371">
        <v>6.9535100000000002E-2</v>
      </c>
      <c r="CQ29">
        <v>824</v>
      </c>
      <c r="CR29">
        <v>290</v>
      </c>
      <c r="CS29">
        <v>138</v>
      </c>
      <c r="CT29">
        <v>93</v>
      </c>
      <c r="CU29">
        <v>557</v>
      </c>
      <c r="CV29">
        <v>1902</v>
      </c>
      <c r="CW29">
        <v>124.31</v>
      </c>
      <c r="CX29">
        <v>234.54</v>
      </c>
      <c r="CY29">
        <v>8.69</v>
      </c>
      <c r="CZ29">
        <v>35.24</v>
      </c>
      <c r="DA29">
        <v>55.82</v>
      </c>
      <c r="DB29">
        <v>458.6</v>
      </c>
      <c r="DC29">
        <v>0.04</v>
      </c>
      <c r="DD29">
        <v>0.08</v>
      </c>
      <c r="DE29">
        <v>0.12</v>
      </c>
      <c r="DF29">
        <v>0.18</v>
      </c>
      <c r="DG29">
        <v>0.25</v>
      </c>
      <c r="DH29">
        <v>0.32</v>
      </c>
      <c r="DI29">
        <v>0.45</v>
      </c>
      <c r="DJ29">
        <v>0.56999999999999995</v>
      </c>
      <c r="DK29">
        <v>0.7</v>
      </c>
      <c r="DL29">
        <v>0.83</v>
      </c>
      <c r="DM29">
        <v>0.94</v>
      </c>
      <c r="DN29">
        <v>1</v>
      </c>
      <c r="DO29">
        <v>1.0999999999999999E-2</v>
      </c>
      <c r="DP29">
        <v>5.4100000000000002E-2</v>
      </c>
      <c r="DQ29">
        <v>9.8599999999999993E-2</v>
      </c>
      <c r="DR29">
        <v>0.1799</v>
      </c>
      <c r="DS29">
        <v>0.24160000000000001</v>
      </c>
      <c r="DT29">
        <v>0.30320000000000003</v>
      </c>
      <c r="DU29">
        <v>0.3805</v>
      </c>
      <c r="DV29">
        <v>0.46689999999999998</v>
      </c>
      <c r="DW29">
        <v>0.5242</v>
      </c>
      <c r="DX29">
        <v>0.6119</v>
      </c>
      <c r="DY29">
        <v>0.70809999999999995</v>
      </c>
      <c r="DZ29">
        <v>0.90410000000000001</v>
      </c>
      <c r="EA29">
        <f t="shared" si="8"/>
        <v>12</v>
      </c>
      <c r="EB29" s="370">
        <v>0.90410000000000001</v>
      </c>
      <c r="EC29" s="370">
        <f t="shared" si="9"/>
        <v>7.5341666666666668E-2</v>
      </c>
      <c r="ED29" s="370">
        <f t="shared" si="10"/>
        <v>0.90410000000000001</v>
      </c>
      <c r="EE29">
        <v>402.78</v>
      </c>
      <c r="EF29" s="371">
        <v>0.30863000000000002</v>
      </c>
      <c r="EG29" s="371">
        <v>0.58230300000000002</v>
      </c>
      <c r="EH29" s="371">
        <v>0.109067</v>
      </c>
      <c r="EI29">
        <v>853</v>
      </c>
      <c r="EJ29">
        <v>378</v>
      </c>
      <c r="EK29">
        <v>103</v>
      </c>
      <c r="EL29">
        <v>118</v>
      </c>
      <c r="EM29">
        <v>936</v>
      </c>
      <c r="EN29">
        <v>2388</v>
      </c>
      <c r="EO29">
        <v>114.21</v>
      </c>
      <c r="EP29">
        <v>217.18</v>
      </c>
      <c r="EQ29">
        <v>7.1</v>
      </c>
      <c r="ER29">
        <v>12.58</v>
      </c>
      <c r="ES29">
        <v>43.76</v>
      </c>
      <c r="ET29">
        <v>394.83</v>
      </c>
      <c r="EU29">
        <v>0.04</v>
      </c>
      <c r="EV29">
        <v>0.08</v>
      </c>
      <c r="EW29">
        <v>0.12</v>
      </c>
      <c r="EX29">
        <v>0.18</v>
      </c>
      <c r="EY29">
        <v>0.25</v>
      </c>
      <c r="EZ29">
        <v>0.32</v>
      </c>
      <c r="FA29">
        <v>0.45</v>
      </c>
      <c r="FB29">
        <v>0.56999999999999995</v>
      </c>
      <c r="FC29">
        <v>0.7</v>
      </c>
      <c r="FD29">
        <v>0.83</v>
      </c>
      <c r="FE29">
        <v>0.94499999999999995</v>
      </c>
      <c r="FF29">
        <v>1</v>
      </c>
      <c r="FG29">
        <v>2.7199999999999998E-2</v>
      </c>
      <c r="FH29">
        <v>6.3799999999999996E-2</v>
      </c>
      <c r="FI29">
        <v>0.1216</v>
      </c>
      <c r="FJ29">
        <v>0.17829999999999999</v>
      </c>
      <c r="FK29">
        <v>0.28000000000000003</v>
      </c>
      <c r="FL29">
        <v>0.34639999999999999</v>
      </c>
      <c r="FM29">
        <v>0.34639999999999999</v>
      </c>
      <c r="FN29">
        <v>0.34639999999999999</v>
      </c>
      <c r="FO29">
        <v>0.34639999999999999</v>
      </c>
      <c r="FP29">
        <v>0</v>
      </c>
      <c r="FQ29">
        <v>0</v>
      </c>
      <c r="FR29">
        <v>0</v>
      </c>
      <c r="FS29">
        <f t="shared" si="11"/>
        <v>6</v>
      </c>
      <c r="FT29">
        <v>0.34639999999999999</v>
      </c>
      <c r="FU29" s="370">
        <f t="shared" si="12"/>
        <v>5.7733333333333331E-2</v>
      </c>
      <c r="FV29" s="370">
        <f t="shared" si="13"/>
        <v>0.69279999999999997</v>
      </c>
      <c r="FW29">
        <v>351.07</v>
      </c>
      <c r="FX29">
        <v>0.32531969999999999</v>
      </c>
      <c r="FY29">
        <v>0.61862309999999998</v>
      </c>
      <c r="FZ29">
        <v>5.6057200000000001E-2</v>
      </c>
    </row>
    <row r="30" spans="2:189" x14ac:dyDescent="0.25">
      <c r="B30" t="s">
        <v>2</v>
      </c>
      <c r="C30">
        <v>0</v>
      </c>
      <c r="D30">
        <f t="shared" si="0"/>
        <v>0</v>
      </c>
      <c r="E30">
        <f t="shared" si="1"/>
        <v>0</v>
      </c>
      <c r="F30" t="s">
        <v>192</v>
      </c>
      <c r="G30">
        <v>0</v>
      </c>
      <c r="H30">
        <v>0</v>
      </c>
      <c r="I30">
        <v>0</v>
      </c>
      <c r="J30">
        <v>0</v>
      </c>
      <c r="K30">
        <v>0</v>
      </c>
      <c r="L30">
        <v>0</v>
      </c>
      <c r="M30">
        <v>0</v>
      </c>
      <c r="N30">
        <v>0</v>
      </c>
      <c r="O30">
        <v>0</v>
      </c>
      <c r="P30">
        <v>0</v>
      </c>
      <c r="Q30">
        <v>0</v>
      </c>
      <c r="R30">
        <v>0</v>
      </c>
      <c r="S30">
        <v>3.5000000000000003E-2</v>
      </c>
      <c r="T30">
        <v>8.7499999999999994E-2</v>
      </c>
      <c r="U30">
        <v>0.15920000000000001</v>
      </c>
      <c r="V30">
        <v>0.20699999999999999</v>
      </c>
      <c r="W30">
        <v>0.30499999999999999</v>
      </c>
      <c r="X30">
        <v>0.376</v>
      </c>
      <c r="Y30">
        <v>0.50629999999999997</v>
      </c>
      <c r="Z30">
        <v>0.60399999999999998</v>
      </c>
      <c r="AA30">
        <v>0.70650000000000002</v>
      </c>
      <c r="AB30">
        <v>0.80249999999999999</v>
      </c>
      <c r="AC30">
        <v>0.875</v>
      </c>
      <c r="AD30">
        <v>0.92</v>
      </c>
      <c r="AE30">
        <v>1.15E-2</v>
      </c>
      <c r="AF30">
        <v>5.1799999999999999E-2</v>
      </c>
      <c r="AG30">
        <v>0.1222</v>
      </c>
      <c r="AH30">
        <v>0.16830000000000001</v>
      </c>
      <c r="AI30">
        <v>0.26329999999999998</v>
      </c>
      <c r="AJ30">
        <v>0.3367</v>
      </c>
      <c r="AK30">
        <v>0.48049999999999998</v>
      </c>
      <c r="AL30">
        <v>0.52990000000000004</v>
      </c>
      <c r="AM30">
        <v>0.52990000000000004</v>
      </c>
      <c r="AN30">
        <v>0.52990000000000004</v>
      </c>
      <c r="AO30">
        <v>0.52990000000000004</v>
      </c>
      <c r="AP30">
        <v>0.52990000000000004</v>
      </c>
      <c r="AQ30">
        <f t="shared" si="2"/>
        <v>8</v>
      </c>
      <c r="AR30" s="370">
        <v>0.52990000000000004</v>
      </c>
      <c r="AS30" s="370">
        <f t="shared" si="3"/>
        <v>6.6237500000000005E-2</v>
      </c>
      <c r="AT30" s="370">
        <f t="shared" si="4"/>
        <v>0.86396739130434785</v>
      </c>
      <c r="AU30">
        <v>0</v>
      </c>
      <c r="AV30" s="371">
        <v>0</v>
      </c>
      <c r="AW30" s="371">
        <v>0</v>
      </c>
      <c r="AX30" s="371">
        <v>0</v>
      </c>
      <c r="AY30">
        <v>758</v>
      </c>
      <c r="AZ30">
        <v>356</v>
      </c>
      <c r="BA30">
        <v>351</v>
      </c>
      <c r="BB30">
        <v>145</v>
      </c>
      <c r="BC30">
        <v>272</v>
      </c>
      <c r="BD30">
        <v>1882</v>
      </c>
      <c r="BE30">
        <v>248.21</v>
      </c>
      <c r="BF30">
        <v>878.48</v>
      </c>
      <c r="BG30">
        <v>66.39</v>
      </c>
      <c r="BH30">
        <v>44.86</v>
      </c>
      <c r="BI30">
        <v>27.25</v>
      </c>
      <c r="BJ30">
        <v>1265.19</v>
      </c>
      <c r="BK30">
        <v>1.6E-2</v>
      </c>
      <c r="BL30">
        <v>8.6400000000000005E-2</v>
      </c>
      <c r="BM30">
        <v>0.155</v>
      </c>
      <c r="BN30">
        <v>0.254</v>
      </c>
      <c r="BO30">
        <v>0.30709999999999998</v>
      </c>
      <c r="BP30">
        <v>0.40600000000000003</v>
      </c>
      <c r="BQ30">
        <v>0.47599999999999998</v>
      </c>
      <c r="BR30">
        <v>0.55700000000000005</v>
      </c>
      <c r="BS30">
        <v>0.60399999999999998</v>
      </c>
      <c r="BT30">
        <v>0.70879999999999999</v>
      </c>
      <c r="BU30">
        <v>0.8054</v>
      </c>
      <c r="BV30">
        <v>0.92</v>
      </c>
      <c r="BW30">
        <v>8.0999999999999996E-3</v>
      </c>
      <c r="BX30">
        <v>4.3799999999999999E-2</v>
      </c>
      <c r="BY30">
        <v>0.13689999999999999</v>
      </c>
      <c r="BZ30">
        <v>0.2147</v>
      </c>
      <c r="CA30">
        <v>0.2702</v>
      </c>
      <c r="CB30">
        <v>0.3826</v>
      </c>
      <c r="CC30">
        <v>0.44619999999999999</v>
      </c>
      <c r="CD30">
        <v>0.53820000000000001</v>
      </c>
      <c r="CE30">
        <v>0.61860000000000004</v>
      </c>
      <c r="CF30">
        <v>0.61860000000000004</v>
      </c>
      <c r="CG30">
        <v>0.7288</v>
      </c>
      <c r="CH30">
        <v>0.7288</v>
      </c>
      <c r="CI30">
        <f t="shared" si="5"/>
        <v>11</v>
      </c>
      <c r="CJ30" s="370">
        <v>0.7288</v>
      </c>
      <c r="CK30" s="370">
        <f t="shared" si="6"/>
        <v>6.6254545454545455E-2</v>
      </c>
      <c r="CL30" s="370">
        <f t="shared" si="7"/>
        <v>0.86418972332015809</v>
      </c>
      <c r="CM30">
        <v>1237.94</v>
      </c>
      <c r="CN30" s="371">
        <v>0.2005025</v>
      </c>
      <c r="CO30" s="371">
        <v>0.70963050000000005</v>
      </c>
      <c r="CP30" s="371">
        <v>8.9867000000000002E-2</v>
      </c>
      <c r="CQ30">
        <v>997</v>
      </c>
      <c r="CR30">
        <v>408</v>
      </c>
      <c r="CS30">
        <v>302</v>
      </c>
      <c r="CT30">
        <v>257</v>
      </c>
      <c r="CU30">
        <v>671</v>
      </c>
      <c r="CV30">
        <v>2635</v>
      </c>
      <c r="CW30">
        <v>287.5</v>
      </c>
      <c r="CX30">
        <v>843.59</v>
      </c>
      <c r="CY30">
        <v>66</v>
      </c>
      <c r="CZ30">
        <v>60.21</v>
      </c>
      <c r="DA30">
        <v>91.86</v>
      </c>
      <c r="DB30">
        <v>1349.16</v>
      </c>
      <c r="DC30">
        <v>1.2699999999999999E-2</v>
      </c>
      <c r="DD30">
        <v>2.8799999999999999E-2</v>
      </c>
      <c r="DE30">
        <v>4.7800000000000002E-2</v>
      </c>
      <c r="DF30">
        <v>8.1600000000000006E-2</v>
      </c>
      <c r="DG30">
        <v>0.20330000000000001</v>
      </c>
      <c r="DH30">
        <v>0.28849999999999998</v>
      </c>
      <c r="DI30">
        <v>0.35849999999999999</v>
      </c>
      <c r="DJ30">
        <v>0.43769999999999998</v>
      </c>
      <c r="DK30">
        <v>0.52229999999999999</v>
      </c>
      <c r="DL30">
        <v>0.66239999999999999</v>
      </c>
      <c r="DM30">
        <v>0.77139999999999997</v>
      </c>
      <c r="DN30">
        <v>0.91810000000000003</v>
      </c>
      <c r="DO30">
        <v>0</v>
      </c>
      <c r="DP30">
        <v>0</v>
      </c>
      <c r="DQ30">
        <v>0</v>
      </c>
      <c r="DR30">
        <v>4.2500000000000003E-2</v>
      </c>
      <c r="DS30">
        <v>0.24179999999999999</v>
      </c>
      <c r="DT30">
        <v>0.24179999999999999</v>
      </c>
      <c r="DU30">
        <v>0.35830000000000001</v>
      </c>
      <c r="DV30">
        <v>0.47149999999999997</v>
      </c>
      <c r="DW30">
        <v>0.58030000000000004</v>
      </c>
      <c r="DX30">
        <v>0.60970000000000002</v>
      </c>
      <c r="DY30">
        <v>0.78520000000000001</v>
      </c>
      <c r="DZ30">
        <v>0.91839999999999999</v>
      </c>
      <c r="EA30">
        <f t="shared" si="8"/>
        <v>12</v>
      </c>
      <c r="EB30" s="370">
        <v>0.91839999999999999</v>
      </c>
      <c r="EC30" s="370">
        <f t="shared" si="9"/>
        <v>7.6533333333333328E-2</v>
      </c>
      <c r="ED30" s="370">
        <f t="shared" si="10"/>
        <v>1</v>
      </c>
      <c r="EE30">
        <v>1257.3</v>
      </c>
      <c r="EF30" s="371">
        <v>0.2286646</v>
      </c>
      <c r="EG30" s="371">
        <v>0.67095360000000004</v>
      </c>
      <c r="EH30" s="371">
        <v>0.10038179999999999</v>
      </c>
      <c r="EI30">
        <v>1196</v>
      </c>
      <c r="EJ30">
        <v>346</v>
      </c>
      <c r="EK30">
        <v>412</v>
      </c>
      <c r="EL30">
        <v>234</v>
      </c>
      <c r="EM30">
        <v>1652</v>
      </c>
      <c r="EN30">
        <v>3840</v>
      </c>
      <c r="EO30">
        <v>311.58</v>
      </c>
      <c r="EP30">
        <v>716.3</v>
      </c>
      <c r="EQ30">
        <v>62.86</v>
      </c>
      <c r="ER30">
        <v>70.239999999999995</v>
      </c>
      <c r="ES30">
        <v>172.82</v>
      </c>
      <c r="ET30">
        <v>1333.8</v>
      </c>
      <c r="EU30">
        <v>6.1199999999999997E-2</v>
      </c>
      <c r="EV30">
        <v>0.1002</v>
      </c>
      <c r="EW30">
        <v>0.22339999999999999</v>
      </c>
      <c r="EX30">
        <v>0.28899999999999998</v>
      </c>
      <c r="EY30">
        <v>0.35020000000000001</v>
      </c>
      <c r="EZ30">
        <v>0.45569999999999999</v>
      </c>
      <c r="FA30">
        <v>0.53900000000000003</v>
      </c>
      <c r="FB30">
        <v>0.60019999999999996</v>
      </c>
      <c r="FC30">
        <v>0.69910000000000005</v>
      </c>
      <c r="FD30">
        <v>0.78900000000000003</v>
      </c>
      <c r="FE30">
        <v>0.84799999999999998</v>
      </c>
      <c r="FF30">
        <v>0.92</v>
      </c>
      <c r="FG30">
        <v>1.34E-2</v>
      </c>
      <c r="FH30">
        <v>2.69E-2</v>
      </c>
      <c r="FI30">
        <v>4.8899999999999999E-2</v>
      </c>
      <c r="FJ30">
        <v>0.114</v>
      </c>
      <c r="FK30">
        <v>0.1731</v>
      </c>
      <c r="FL30">
        <v>0.27329999999999999</v>
      </c>
      <c r="FM30">
        <v>0.3836</v>
      </c>
      <c r="FN30">
        <v>0.3836</v>
      </c>
      <c r="FO30">
        <v>0.3836</v>
      </c>
      <c r="FP30">
        <v>0</v>
      </c>
      <c r="FQ30">
        <v>0</v>
      </c>
      <c r="FR30">
        <v>0</v>
      </c>
      <c r="FS30">
        <f t="shared" si="11"/>
        <v>7</v>
      </c>
      <c r="FT30">
        <v>0.3836</v>
      </c>
      <c r="FU30" s="370">
        <f t="shared" si="12"/>
        <v>5.4800000000000001E-2</v>
      </c>
      <c r="FV30" s="370">
        <f t="shared" si="13"/>
        <v>0.71478260869565213</v>
      </c>
      <c r="FW30">
        <v>1160.98</v>
      </c>
      <c r="FX30">
        <v>0.26837670000000002</v>
      </c>
      <c r="FY30">
        <v>0.61697880000000005</v>
      </c>
      <c r="FZ30">
        <v>0.1146445</v>
      </c>
    </row>
    <row r="31" spans="2:189" x14ac:dyDescent="0.25">
      <c r="B31" t="s">
        <v>165</v>
      </c>
      <c r="C31">
        <v>2</v>
      </c>
      <c r="D31">
        <f t="shared" si="0"/>
        <v>1</v>
      </c>
      <c r="E31">
        <f t="shared" si="1"/>
        <v>0</v>
      </c>
      <c r="F31" t="s">
        <v>193</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f t="shared" si="2"/>
        <v>0</v>
      </c>
      <c r="AR31" s="370">
        <v>0</v>
      </c>
      <c r="AS31" s="370">
        <f t="shared" si="3"/>
        <v>0</v>
      </c>
      <c r="AT31" s="370">
        <f t="shared" si="4"/>
        <v>0</v>
      </c>
      <c r="AU31">
        <v>0</v>
      </c>
      <c r="AV31" s="371">
        <v>0</v>
      </c>
      <c r="AW31" s="371">
        <v>0</v>
      </c>
      <c r="AX31" s="371">
        <v>0</v>
      </c>
      <c r="AY31">
        <v>143</v>
      </c>
      <c r="AZ31">
        <v>282</v>
      </c>
      <c r="BA31">
        <v>228</v>
      </c>
      <c r="BB31">
        <v>21</v>
      </c>
      <c r="BC31">
        <v>0</v>
      </c>
      <c r="BD31">
        <v>674</v>
      </c>
      <c r="BE31">
        <v>52.13</v>
      </c>
      <c r="BF31">
        <v>220.61</v>
      </c>
      <c r="BG31">
        <v>15.21</v>
      </c>
      <c r="BH31">
        <v>206.21</v>
      </c>
      <c r="BI31">
        <v>0</v>
      </c>
      <c r="BJ31">
        <v>494.16</v>
      </c>
      <c r="BK31">
        <v>0</v>
      </c>
      <c r="BL31">
        <v>0</v>
      </c>
      <c r="BM31">
        <v>0</v>
      </c>
      <c r="BN31">
        <v>0</v>
      </c>
      <c r="BO31">
        <v>0</v>
      </c>
      <c r="BP31">
        <v>0</v>
      </c>
      <c r="BQ31">
        <v>0</v>
      </c>
      <c r="BR31">
        <v>0</v>
      </c>
      <c r="BS31">
        <v>0</v>
      </c>
      <c r="BT31">
        <v>0</v>
      </c>
      <c r="BU31">
        <v>0</v>
      </c>
      <c r="BV31">
        <v>0</v>
      </c>
      <c r="BW31">
        <v>0</v>
      </c>
      <c r="BX31">
        <v>0</v>
      </c>
      <c r="BY31">
        <v>0</v>
      </c>
      <c r="BZ31">
        <v>0</v>
      </c>
      <c r="CA31">
        <v>0</v>
      </c>
      <c r="CB31">
        <v>0</v>
      </c>
      <c r="CC31">
        <v>0</v>
      </c>
      <c r="CD31">
        <v>0</v>
      </c>
      <c r="CE31">
        <v>0</v>
      </c>
      <c r="CF31">
        <v>0</v>
      </c>
      <c r="CG31">
        <v>0</v>
      </c>
      <c r="CH31">
        <v>0</v>
      </c>
      <c r="CI31">
        <f t="shared" si="5"/>
        <v>0</v>
      </c>
      <c r="CJ31" s="370">
        <v>0</v>
      </c>
      <c r="CK31" s="370">
        <f t="shared" si="6"/>
        <v>0</v>
      </c>
      <c r="CL31" s="370">
        <f t="shared" si="7"/>
        <v>0</v>
      </c>
      <c r="CM31">
        <v>494.16</v>
      </c>
      <c r="CN31" s="371">
        <v>0.10549210000000001</v>
      </c>
      <c r="CO31" s="371">
        <v>0.44643430000000001</v>
      </c>
      <c r="CP31" s="371">
        <v>0.44807350000000001</v>
      </c>
      <c r="CQ31">
        <v>147</v>
      </c>
      <c r="CR31">
        <v>190</v>
      </c>
      <c r="CS31">
        <v>122</v>
      </c>
      <c r="CT31">
        <v>24</v>
      </c>
      <c r="CU31">
        <v>883</v>
      </c>
      <c r="CV31">
        <v>1366</v>
      </c>
      <c r="CW31">
        <v>56.07</v>
      </c>
      <c r="CX31">
        <v>118.27</v>
      </c>
      <c r="CY31">
        <v>15.39</v>
      </c>
      <c r="CZ31">
        <v>7.69</v>
      </c>
      <c r="DA31">
        <v>269.70999999999998</v>
      </c>
      <c r="DB31">
        <v>467.13</v>
      </c>
      <c r="DC31">
        <v>0</v>
      </c>
      <c r="DD31">
        <v>0</v>
      </c>
      <c r="DE31">
        <v>0</v>
      </c>
      <c r="DF31">
        <v>0</v>
      </c>
      <c r="DG31">
        <v>0</v>
      </c>
      <c r="DH31">
        <v>0</v>
      </c>
      <c r="DI31">
        <v>0</v>
      </c>
      <c r="DJ31">
        <v>0</v>
      </c>
      <c r="DK31">
        <v>0</v>
      </c>
      <c r="DL31">
        <v>0</v>
      </c>
      <c r="DM31">
        <v>0</v>
      </c>
      <c r="DN31">
        <v>0</v>
      </c>
      <c r="DO31">
        <v>0</v>
      </c>
      <c r="DP31">
        <v>0</v>
      </c>
      <c r="DQ31">
        <v>0</v>
      </c>
      <c r="DR31">
        <v>0</v>
      </c>
      <c r="DS31">
        <v>0</v>
      </c>
      <c r="DT31">
        <v>0</v>
      </c>
      <c r="DU31">
        <v>0</v>
      </c>
      <c r="DV31">
        <v>0</v>
      </c>
      <c r="DW31">
        <v>0</v>
      </c>
      <c r="DX31">
        <v>0</v>
      </c>
      <c r="DY31">
        <v>0</v>
      </c>
      <c r="DZ31">
        <v>0</v>
      </c>
      <c r="EA31">
        <f t="shared" si="8"/>
        <v>0</v>
      </c>
      <c r="EB31" s="370">
        <v>0</v>
      </c>
      <c r="EC31" s="370">
        <f t="shared" si="9"/>
        <v>0</v>
      </c>
      <c r="ED31" s="370">
        <f t="shared" si="10"/>
        <v>0</v>
      </c>
      <c r="EE31">
        <v>197.42</v>
      </c>
      <c r="EF31" s="371">
        <v>0.28401379999999998</v>
      </c>
      <c r="EG31" s="371">
        <v>0.59907809999999995</v>
      </c>
      <c r="EH31" s="371">
        <v>0.1169081</v>
      </c>
      <c r="EI31">
        <v>132</v>
      </c>
      <c r="EJ31">
        <v>224</v>
      </c>
      <c r="EK31">
        <v>192</v>
      </c>
      <c r="EL31">
        <v>19</v>
      </c>
      <c r="EM31">
        <v>830</v>
      </c>
      <c r="EN31">
        <v>1397</v>
      </c>
      <c r="EO31">
        <v>42.38</v>
      </c>
      <c r="EP31">
        <v>285.94</v>
      </c>
      <c r="EQ31">
        <v>12.18</v>
      </c>
      <c r="ER31">
        <v>4.62</v>
      </c>
      <c r="ES31">
        <v>72.11</v>
      </c>
      <c r="ET31">
        <v>417.23</v>
      </c>
      <c r="EU31">
        <v>0</v>
      </c>
      <c r="EV31">
        <v>0</v>
      </c>
      <c r="EW31">
        <v>0</v>
      </c>
      <c r="EX31">
        <v>0</v>
      </c>
      <c r="EY31">
        <v>0</v>
      </c>
      <c r="EZ31">
        <v>0</v>
      </c>
      <c r="FA31">
        <v>0</v>
      </c>
      <c r="FB31">
        <v>0</v>
      </c>
      <c r="FC31">
        <v>0</v>
      </c>
      <c r="FD31">
        <v>0</v>
      </c>
      <c r="FE31">
        <v>0</v>
      </c>
      <c r="FF31">
        <v>0</v>
      </c>
      <c r="FG31">
        <v>0</v>
      </c>
      <c r="FH31">
        <v>0</v>
      </c>
      <c r="FI31">
        <v>0</v>
      </c>
      <c r="FJ31">
        <v>0</v>
      </c>
      <c r="FK31">
        <v>0</v>
      </c>
      <c r="FL31">
        <v>0</v>
      </c>
      <c r="FM31">
        <v>0</v>
      </c>
      <c r="FN31">
        <v>0</v>
      </c>
      <c r="FO31">
        <v>0</v>
      </c>
      <c r="FP31">
        <v>0</v>
      </c>
      <c r="FQ31">
        <v>0</v>
      </c>
      <c r="FR31">
        <v>0</v>
      </c>
      <c r="FS31">
        <f t="shared" si="11"/>
        <v>0</v>
      </c>
      <c r="FT31">
        <v>0</v>
      </c>
      <c r="FU31" s="370">
        <f t="shared" si="12"/>
        <v>0</v>
      </c>
      <c r="FV31" s="370">
        <f t="shared" si="13"/>
        <v>0</v>
      </c>
      <c r="FW31">
        <v>345.12</v>
      </c>
      <c r="FX31">
        <v>0.1227979</v>
      </c>
      <c r="FY31">
        <v>0.82852340000000002</v>
      </c>
      <c r="FZ31">
        <v>4.8678699999999998E-2</v>
      </c>
    </row>
    <row r="32" spans="2:189" x14ac:dyDescent="0.25">
      <c r="B32" t="s">
        <v>2</v>
      </c>
      <c r="C32">
        <v>0</v>
      </c>
      <c r="D32">
        <f t="shared" si="0"/>
        <v>0</v>
      </c>
      <c r="E32">
        <f t="shared" si="1"/>
        <v>0</v>
      </c>
      <c r="F32" t="s">
        <v>195</v>
      </c>
      <c r="G32">
        <v>1647</v>
      </c>
      <c r="H32">
        <v>391</v>
      </c>
      <c r="I32">
        <v>468</v>
      </c>
      <c r="J32">
        <v>570</v>
      </c>
      <c r="K32">
        <v>0</v>
      </c>
      <c r="L32">
        <v>3076</v>
      </c>
      <c r="M32">
        <v>357.83</v>
      </c>
      <c r="N32">
        <v>450.48</v>
      </c>
      <c r="O32">
        <v>62.66</v>
      </c>
      <c r="P32">
        <v>103.13</v>
      </c>
      <c r="Q32">
        <v>0</v>
      </c>
      <c r="R32">
        <v>974.1</v>
      </c>
      <c r="S32">
        <v>4.4699999999999997E-2</v>
      </c>
      <c r="T32">
        <v>6.88E-2</v>
      </c>
      <c r="U32">
        <v>9.7299999999999998E-2</v>
      </c>
      <c r="V32">
        <v>0.17299999999999999</v>
      </c>
      <c r="W32">
        <v>0.21440000000000001</v>
      </c>
      <c r="X32">
        <v>0.32979999999999998</v>
      </c>
      <c r="Y32">
        <v>0.4834</v>
      </c>
      <c r="Z32">
        <v>0.52100000000000002</v>
      </c>
      <c r="AA32">
        <v>0.58199999999999996</v>
      </c>
      <c r="AB32">
        <v>0.6905</v>
      </c>
      <c r="AC32">
        <v>0.7601</v>
      </c>
      <c r="AD32">
        <v>0.9627</v>
      </c>
      <c r="AE32">
        <v>5.8999999999999999E-3</v>
      </c>
      <c r="AF32">
        <v>5.4300000000000001E-2</v>
      </c>
      <c r="AG32">
        <v>0</v>
      </c>
      <c r="AH32">
        <v>0.16650000000000001</v>
      </c>
      <c r="AI32">
        <v>0.25869999999999999</v>
      </c>
      <c r="AJ32">
        <v>0.32800000000000001</v>
      </c>
      <c r="AK32">
        <v>0.4844</v>
      </c>
      <c r="AL32">
        <v>0.53669999999999995</v>
      </c>
      <c r="AM32">
        <v>0.53669999999999995</v>
      </c>
      <c r="AN32">
        <v>0.53669999999999995</v>
      </c>
      <c r="AO32">
        <v>0.53669999999999995</v>
      </c>
      <c r="AP32">
        <v>0.53669999999999995</v>
      </c>
      <c r="AQ32">
        <f t="shared" si="2"/>
        <v>8</v>
      </c>
      <c r="AR32" s="370">
        <v>0.53669999999999995</v>
      </c>
      <c r="AS32" s="370">
        <f t="shared" si="3"/>
        <v>6.7087499999999994E-2</v>
      </c>
      <c r="AT32" s="370">
        <f t="shared" si="4"/>
        <v>0.83624181988158297</v>
      </c>
      <c r="AU32">
        <v>974.1</v>
      </c>
      <c r="AV32" s="371">
        <v>0.36734420000000001</v>
      </c>
      <c r="AW32" s="371">
        <v>0.46245770000000003</v>
      </c>
      <c r="AX32" s="371">
        <v>0.17019809999999999</v>
      </c>
      <c r="AY32">
        <v>369</v>
      </c>
      <c r="AZ32">
        <v>64</v>
      </c>
      <c r="BA32">
        <v>38</v>
      </c>
      <c r="BB32">
        <v>69</v>
      </c>
      <c r="BC32">
        <v>1046</v>
      </c>
      <c r="BD32">
        <v>1586</v>
      </c>
      <c r="BE32">
        <v>112.42</v>
      </c>
      <c r="BF32">
        <v>18.97</v>
      </c>
      <c r="BG32">
        <v>0.83</v>
      </c>
      <c r="BH32">
        <v>21.93</v>
      </c>
      <c r="BI32">
        <v>109.93</v>
      </c>
      <c r="BJ32">
        <v>264.08</v>
      </c>
      <c r="BK32">
        <v>4.4699999999999997E-2</v>
      </c>
      <c r="BL32">
        <v>6.88E-2</v>
      </c>
      <c r="BM32">
        <v>9.7299999999999998E-2</v>
      </c>
      <c r="BN32">
        <v>0.17299999999999999</v>
      </c>
      <c r="BO32">
        <v>0.21440000000000001</v>
      </c>
      <c r="BP32">
        <v>0.32979999999999998</v>
      </c>
      <c r="BQ32">
        <v>0.4834</v>
      </c>
      <c r="BR32">
        <v>0.52100000000000002</v>
      </c>
      <c r="BS32">
        <v>0.58199999999999996</v>
      </c>
      <c r="BT32">
        <v>0.6905</v>
      </c>
      <c r="BU32">
        <v>0.7601</v>
      </c>
      <c r="BV32">
        <v>0.9627</v>
      </c>
      <c r="BW32">
        <v>3.2399999999999998E-2</v>
      </c>
      <c r="BX32">
        <v>9.2999999999999999E-2</v>
      </c>
      <c r="BY32">
        <v>0.1188</v>
      </c>
      <c r="BZ32">
        <v>0.1641</v>
      </c>
      <c r="CA32">
        <v>0.24590000000000001</v>
      </c>
      <c r="CB32">
        <v>0.30680000000000002</v>
      </c>
      <c r="CC32">
        <v>0.37319999999999998</v>
      </c>
      <c r="CD32">
        <v>0.4995</v>
      </c>
      <c r="CE32">
        <v>0.55779999999999996</v>
      </c>
      <c r="CF32">
        <v>0.64539999999999997</v>
      </c>
      <c r="CG32">
        <v>0.77480000000000004</v>
      </c>
      <c r="CH32">
        <v>0.93979999999999997</v>
      </c>
      <c r="CI32">
        <f t="shared" si="5"/>
        <v>12</v>
      </c>
      <c r="CJ32" s="370">
        <v>0.93979999999999997</v>
      </c>
      <c r="CK32" s="370">
        <f t="shared" si="6"/>
        <v>7.8316666666666659E-2</v>
      </c>
      <c r="CL32" s="370">
        <f t="shared" si="7"/>
        <v>0.97621273501610051</v>
      </c>
      <c r="CM32">
        <v>154.15</v>
      </c>
      <c r="CN32" s="371">
        <v>0.72928970000000004</v>
      </c>
      <c r="CO32" s="371">
        <v>0.123062</v>
      </c>
      <c r="CP32" s="371">
        <v>0.14764840000000001</v>
      </c>
      <c r="CQ32">
        <v>3188</v>
      </c>
      <c r="CR32">
        <v>533</v>
      </c>
      <c r="CS32">
        <v>669</v>
      </c>
      <c r="CT32">
        <v>1318</v>
      </c>
      <c r="CU32">
        <v>4718</v>
      </c>
      <c r="CV32">
        <v>10.426</v>
      </c>
      <c r="CW32">
        <v>632.63</v>
      </c>
      <c r="CX32">
        <v>346.68</v>
      </c>
      <c r="CY32">
        <v>47.73</v>
      </c>
      <c r="CZ32">
        <v>117.74</v>
      </c>
      <c r="DA32">
        <v>426.29</v>
      </c>
      <c r="DB32">
        <v>1571.07</v>
      </c>
      <c r="DC32">
        <v>1.7899999999999999E-2</v>
      </c>
      <c r="DD32">
        <v>6.9000000000000006E-2</v>
      </c>
      <c r="DE32">
        <v>0.1071</v>
      </c>
      <c r="DF32">
        <v>0.15479999999999999</v>
      </c>
      <c r="DG32">
        <v>0.23630000000000001</v>
      </c>
      <c r="DH32">
        <v>0.29730000000000001</v>
      </c>
      <c r="DI32">
        <v>0.4017</v>
      </c>
      <c r="DJ32">
        <v>0.48530000000000001</v>
      </c>
      <c r="DK32">
        <v>0.53759999999999997</v>
      </c>
      <c r="DL32">
        <v>0.62609999999999999</v>
      </c>
      <c r="DM32">
        <v>0.73899999999999999</v>
      </c>
      <c r="DN32">
        <v>0.8851</v>
      </c>
      <c r="DO32">
        <v>8.9999999999999993E-3</v>
      </c>
      <c r="DP32">
        <v>1.9900000000000001E-2</v>
      </c>
      <c r="DQ32">
        <v>4.8899999999999999E-2</v>
      </c>
      <c r="DR32">
        <v>0.15379999999999999</v>
      </c>
      <c r="DS32">
        <v>0.28760000000000002</v>
      </c>
      <c r="DT32">
        <v>0.33750000000000002</v>
      </c>
      <c r="DU32">
        <v>0.40739999999999998</v>
      </c>
      <c r="DV32">
        <v>0.45400000000000001</v>
      </c>
      <c r="DW32">
        <v>0.56320000000000003</v>
      </c>
      <c r="DX32">
        <v>0.63629999999999998</v>
      </c>
      <c r="DY32">
        <v>0.78390000000000004</v>
      </c>
      <c r="DZ32">
        <v>0.96220000000000006</v>
      </c>
      <c r="EA32">
        <f t="shared" si="8"/>
        <v>12</v>
      </c>
      <c r="EB32" s="370">
        <v>0.96220000000000006</v>
      </c>
      <c r="EC32" s="370">
        <f t="shared" si="9"/>
        <v>8.0183333333333343E-2</v>
      </c>
      <c r="ED32" s="370">
        <f t="shared" si="10"/>
        <v>1</v>
      </c>
      <c r="EE32">
        <v>1144.78</v>
      </c>
      <c r="EF32" s="371">
        <v>0.55262149999999999</v>
      </c>
      <c r="EG32" s="371">
        <v>0.30283549999999998</v>
      </c>
      <c r="EH32" s="371">
        <v>0.14454310000000001</v>
      </c>
      <c r="EI32">
        <v>2864</v>
      </c>
      <c r="EJ32">
        <v>653</v>
      </c>
      <c r="EK32">
        <v>631</v>
      </c>
      <c r="EL32">
        <v>1609</v>
      </c>
      <c r="EM32">
        <v>4672</v>
      </c>
      <c r="EN32">
        <v>10.429</v>
      </c>
      <c r="EO32">
        <v>536.69000000000005</v>
      </c>
      <c r="EP32">
        <v>704.6</v>
      </c>
      <c r="EQ32">
        <v>62.51</v>
      </c>
      <c r="ER32">
        <v>91.69</v>
      </c>
      <c r="ES32">
        <v>391.63</v>
      </c>
      <c r="ET32">
        <v>1787.12</v>
      </c>
      <c r="EU32">
        <v>9.5999999999999992E-3</v>
      </c>
      <c r="EV32">
        <v>2.1100000000000001E-2</v>
      </c>
      <c r="EW32">
        <v>5.1700000000000003E-2</v>
      </c>
      <c r="EX32">
        <v>0.16250000000000001</v>
      </c>
      <c r="EY32">
        <v>0.30259999999999998</v>
      </c>
      <c r="EZ32">
        <v>0.35649999999999998</v>
      </c>
      <c r="FA32">
        <v>0.43030000000000002</v>
      </c>
      <c r="FB32">
        <v>0.47960000000000003</v>
      </c>
      <c r="FC32">
        <v>0.59499999999999997</v>
      </c>
      <c r="FD32">
        <v>0.63339999999999996</v>
      </c>
      <c r="FE32">
        <v>0.78029999999999999</v>
      </c>
      <c r="FF32">
        <v>0.95779999999999998</v>
      </c>
      <c r="FG32">
        <v>1.1299999999999999E-2</v>
      </c>
      <c r="FH32">
        <v>0.1174</v>
      </c>
      <c r="FI32">
        <v>0.13650000000000001</v>
      </c>
      <c r="FJ32">
        <v>0.17780000000000001</v>
      </c>
      <c r="FK32">
        <v>0.3221</v>
      </c>
      <c r="FL32">
        <v>0.38219999999999998</v>
      </c>
      <c r="FM32">
        <v>0.46139999999999998</v>
      </c>
      <c r="FN32">
        <v>0.55859999999999999</v>
      </c>
      <c r="FO32">
        <v>0.61180000000000001</v>
      </c>
      <c r="FP32">
        <v>0</v>
      </c>
      <c r="FQ32">
        <v>0</v>
      </c>
      <c r="FR32">
        <v>0</v>
      </c>
      <c r="FS32">
        <f t="shared" si="11"/>
        <v>9</v>
      </c>
      <c r="FT32">
        <v>0.61180000000000001</v>
      </c>
      <c r="FU32" s="370">
        <f t="shared" si="12"/>
        <v>6.7977777777777776E-2</v>
      </c>
      <c r="FV32" s="370">
        <f t="shared" si="13"/>
        <v>0.85167397508178466</v>
      </c>
      <c r="FW32">
        <v>1395.49</v>
      </c>
      <c r="FX32">
        <v>0.38458890000000001</v>
      </c>
      <c r="FY32">
        <v>0.50491229999999998</v>
      </c>
      <c r="FZ32">
        <v>0.11049879999999999</v>
      </c>
    </row>
    <row r="33" spans="2:182" x14ac:dyDescent="0.25">
      <c r="B33" t="s">
        <v>2</v>
      </c>
      <c r="C33">
        <v>0</v>
      </c>
      <c r="D33">
        <f t="shared" si="0"/>
        <v>0</v>
      </c>
      <c r="E33">
        <f t="shared" si="1"/>
        <v>0</v>
      </c>
      <c r="F33" t="s">
        <v>423</v>
      </c>
      <c r="G33">
        <v>2247</v>
      </c>
      <c r="H33">
        <v>150</v>
      </c>
      <c r="I33">
        <v>87</v>
      </c>
      <c r="J33">
        <v>119</v>
      </c>
      <c r="K33">
        <v>91</v>
      </c>
      <c r="L33">
        <v>2694</v>
      </c>
      <c r="M33">
        <v>320.88</v>
      </c>
      <c r="N33">
        <v>777.31</v>
      </c>
      <c r="O33">
        <v>36.01</v>
      </c>
      <c r="P33">
        <v>4.91</v>
      </c>
      <c r="Q33">
        <v>296.14</v>
      </c>
      <c r="R33">
        <v>1435.25</v>
      </c>
      <c r="S33">
        <v>7.1400000000000005E-2</v>
      </c>
      <c r="T33">
        <v>0.13780000000000001</v>
      </c>
      <c r="U33">
        <v>0.2049</v>
      </c>
      <c r="V33">
        <v>0.34050000000000002</v>
      </c>
      <c r="W33">
        <v>0.4007</v>
      </c>
      <c r="X33">
        <v>0.4788</v>
      </c>
      <c r="Y33">
        <v>0.61399999999999999</v>
      </c>
      <c r="Z33">
        <v>0.6855</v>
      </c>
      <c r="AA33">
        <v>0.74809999999999999</v>
      </c>
      <c r="AB33">
        <v>0.85519999999999996</v>
      </c>
      <c r="AC33">
        <v>0.93069999999999997</v>
      </c>
      <c r="AD33">
        <v>1</v>
      </c>
      <c r="AE33">
        <v>8.3000000000000001E-3</v>
      </c>
      <c r="AF33">
        <v>2.5600000000000001E-2</v>
      </c>
      <c r="AG33">
        <v>0.15629999999999999</v>
      </c>
      <c r="AH33">
        <v>0.20910000000000001</v>
      </c>
      <c r="AI33">
        <v>0.25259999999999999</v>
      </c>
      <c r="AJ33">
        <v>0.30130000000000001</v>
      </c>
      <c r="AK33">
        <v>0.37540000000000001</v>
      </c>
      <c r="AL33">
        <v>0.52869999999999995</v>
      </c>
      <c r="AM33">
        <v>0.52869999999999995</v>
      </c>
      <c r="AN33">
        <v>0.52869999999999995</v>
      </c>
      <c r="AO33">
        <v>0.52869999999999995</v>
      </c>
      <c r="AP33">
        <v>0.52869999999999995</v>
      </c>
      <c r="AQ33">
        <f t="shared" si="2"/>
        <v>8</v>
      </c>
      <c r="AR33" s="370">
        <v>0.52869999999999995</v>
      </c>
      <c r="AS33" s="370">
        <f t="shared" si="3"/>
        <v>6.6087499999999993E-2</v>
      </c>
      <c r="AT33" s="370">
        <f t="shared" si="4"/>
        <v>0.79304999999999992</v>
      </c>
      <c r="AU33">
        <v>1139.1099999999999</v>
      </c>
      <c r="AV33" s="371">
        <v>0.28169359999999999</v>
      </c>
      <c r="AW33" s="371">
        <v>0.68238359999999998</v>
      </c>
      <c r="AX33" s="371">
        <v>3.5922799999999998E-2</v>
      </c>
      <c r="AY33">
        <v>4</v>
      </c>
      <c r="AZ33">
        <v>43</v>
      </c>
      <c r="BA33">
        <v>16</v>
      </c>
      <c r="BB33">
        <v>5</v>
      </c>
      <c r="BC33">
        <v>0</v>
      </c>
      <c r="BD33">
        <v>68</v>
      </c>
      <c r="BE33">
        <v>49.48</v>
      </c>
      <c r="BF33">
        <v>948.76</v>
      </c>
      <c r="BG33">
        <v>10.78</v>
      </c>
      <c r="BH33">
        <v>11</v>
      </c>
      <c r="BI33">
        <v>0</v>
      </c>
      <c r="BJ33">
        <v>1020.02</v>
      </c>
      <c r="BK33">
        <v>7.1400000000000005E-2</v>
      </c>
      <c r="BL33">
        <v>0.13780000000000001</v>
      </c>
      <c r="BM33">
        <v>0.2049</v>
      </c>
      <c r="BN33">
        <v>0.34050000000000002</v>
      </c>
      <c r="BO33">
        <v>0.4007</v>
      </c>
      <c r="BP33">
        <v>0.4788</v>
      </c>
      <c r="BQ33">
        <v>0.61399999999999999</v>
      </c>
      <c r="BR33">
        <v>0.6855</v>
      </c>
      <c r="BS33">
        <v>0.74809999999999999</v>
      </c>
      <c r="BT33">
        <v>0.85519999999999996</v>
      </c>
      <c r="BU33">
        <v>0.93069999999999997</v>
      </c>
      <c r="BV33">
        <v>1</v>
      </c>
      <c r="BW33">
        <v>2.4799999999999999E-2</v>
      </c>
      <c r="BX33">
        <v>0.1109</v>
      </c>
      <c r="BY33">
        <v>0.18110000000000001</v>
      </c>
      <c r="BZ33">
        <v>0.18110000000000001</v>
      </c>
      <c r="CA33">
        <v>0.22700000000000001</v>
      </c>
      <c r="CB33">
        <v>0.42699999999999999</v>
      </c>
      <c r="CC33">
        <v>0.42699999999999999</v>
      </c>
      <c r="CD33">
        <v>0.45479999999999998</v>
      </c>
      <c r="CE33">
        <v>0.45479999999999998</v>
      </c>
      <c r="CF33">
        <v>0.65010000000000001</v>
      </c>
      <c r="CG33">
        <v>0.65010000000000001</v>
      </c>
      <c r="CH33">
        <v>0.93789999999999996</v>
      </c>
      <c r="CI33">
        <f t="shared" si="5"/>
        <v>12</v>
      </c>
      <c r="CJ33" s="370">
        <v>0.93789999999999996</v>
      </c>
      <c r="CK33" s="370">
        <f t="shared" si="6"/>
        <v>7.815833333333333E-2</v>
      </c>
      <c r="CL33" s="370">
        <f t="shared" si="7"/>
        <v>0.93789999999999996</v>
      </c>
      <c r="CM33">
        <v>1020.02</v>
      </c>
      <c r="CN33" s="371">
        <v>4.8508900000000001E-2</v>
      </c>
      <c r="CO33" s="371">
        <v>0.93013860000000004</v>
      </c>
      <c r="CP33" s="371">
        <v>2.13525E-2</v>
      </c>
      <c r="CQ33">
        <v>1289</v>
      </c>
      <c r="CR33">
        <v>343</v>
      </c>
      <c r="CS33">
        <v>299</v>
      </c>
      <c r="CT33">
        <v>325</v>
      </c>
      <c r="CU33">
        <v>2925</v>
      </c>
      <c r="CV33">
        <v>5181</v>
      </c>
      <c r="CW33">
        <v>764.26</v>
      </c>
      <c r="CX33">
        <v>893.28</v>
      </c>
      <c r="CY33">
        <v>41.81</v>
      </c>
      <c r="CZ33">
        <v>186.83</v>
      </c>
      <c r="DA33">
        <v>846.23</v>
      </c>
      <c r="DB33">
        <v>2732.41</v>
      </c>
      <c r="DC33">
        <v>0</v>
      </c>
      <c r="DD33">
        <v>0</v>
      </c>
      <c r="DE33">
        <v>0</v>
      </c>
      <c r="DF33">
        <v>0</v>
      </c>
      <c r="DG33">
        <v>0</v>
      </c>
      <c r="DH33">
        <v>0</v>
      </c>
      <c r="DI33">
        <v>0</v>
      </c>
      <c r="DJ33">
        <v>0</v>
      </c>
      <c r="DK33">
        <v>0</v>
      </c>
      <c r="DL33">
        <v>0</v>
      </c>
      <c r="DM33">
        <v>0</v>
      </c>
      <c r="DN33">
        <v>0</v>
      </c>
      <c r="DO33">
        <v>0</v>
      </c>
      <c r="DP33">
        <v>0</v>
      </c>
      <c r="DQ33">
        <v>0</v>
      </c>
      <c r="DR33">
        <v>0</v>
      </c>
      <c r="DS33">
        <v>0.21240000000000001</v>
      </c>
      <c r="DT33">
        <v>0.3241</v>
      </c>
      <c r="DU33">
        <v>0.3241</v>
      </c>
      <c r="DV33">
        <v>0.44600000000000001</v>
      </c>
      <c r="DW33">
        <v>0.51619999999999999</v>
      </c>
      <c r="DX33">
        <v>0.59450000000000003</v>
      </c>
      <c r="DY33">
        <v>0.69389999999999996</v>
      </c>
      <c r="DZ33">
        <v>0.9194</v>
      </c>
      <c r="EA33">
        <f t="shared" si="8"/>
        <v>12</v>
      </c>
      <c r="EB33" s="370">
        <v>0.9194</v>
      </c>
      <c r="EC33" s="370">
        <f t="shared" si="9"/>
        <v>7.6616666666666666E-2</v>
      </c>
      <c r="ED33" s="370">
        <f t="shared" si="10"/>
        <v>0.9194</v>
      </c>
      <c r="EE33">
        <v>1886.18</v>
      </c>
      <c r="EF33" s="371">
        <v>0.40518929999999997</v>
      </c>
      <c r="EG33" s="371">
        <v>0.47359210000000002</v>
      </c>
      <c r="EH33" s="371">
        <v>0.12121850000000001</v>
      </c>
      <c r="EI33">
        <v>1772</v>
      </c>
      <c r="EJ33">
        <v>425</v>
      </c>
      <c r="EK33">
        <v>468</v>
      </c>
      <c r="EL33">
        <v>376</v>
      </c>
      <c r="EM33">
        <v>4103</v>
      </c>
      <c r="EN33">
        <v>7144</v>
      </c>
      <c r="EO33">
        <v>816.27</v>
      </c>
      <c r="EP33">
        <v>916.7</v>
      </c>
      <c r="EQ33">
        <v>72.81</v>
      </c>
      <c r="ER33">
        <v>41.32</v>
      </c>
      <c r="ES33">
        <v>1285.06</v>
      </c>
      <c r="ET33">
        <v>3132.16</v>
      </c>
      <c r="EU33">
        <v>0</v>
      </c>
      <c r="EV33">
        <v>0</v>
      </c>
      <c r="EW33">
        <v>0</v>
      </c>
      <c r="EX33">
        <v>0</v>
      </c>
      <c r="EY33">
        <v>0</v>
      </c>
      <c r="EZ33">
        <v>0</v>
      </c>
      <c r="FA33">
        <v>0</v>
      </c>
      <c r="FB33">
        <v>0</v>
      </c>
      <c r="FC33">
        <v>0</v>
      </c>
      <c r="FD33">
        <v>0</v>
      </c>
      <c r="FE33">
        <v>0</v>
      </c>
      <c r="FF33">
        <v>0</v>
      </c>
      <c r="FG33">
        <v>0</v>
      </c>
      <c r="FH33">
        <v>0</v>
      </c>
      <c r="FI33">
        <v>0</v>
      </c>
      <c r="FJ33">
        <v>0</v>
      </c>
      <c r="FK33">
        <v>0</v>
      </c>
      <c r="FL33">
        <v>0</v>
      </c>
      <c r="FM33">
        <v>0</v>
      </c>
      <c r="FN33">
        <v>0</v>
      </c>
      <c r="FO33">
        <v>0</v>
      </c>
      <c r="FP33">
        <v>0</v>
      </c>
      <c r="FQ33">
        <v>0</v>
      </c>
      <c r="FR33">
        <v>0</v>
      </c>
      <c r="FS33">
        <f t="shared" si="11"/>
        <v>0</v>
      </c>
      <c r="FT33">
        <v>0</v>
      </c>
      <c r="FU33" s="370">
        <f t="shared" si="12"/>
        <v>0</v>
      </c>
      <c r="FV33" s="370">
        <f t="shared" si="13"/>
        <v>0</v>
      </c>
      <c r="FW33">
        <v>1847.1</v>
      </c>
      <c r="FX33">
        <v>0.44191979999999997</v>
      </c>
      <c r="FY33">
        <v>0.4962915</v>
      </c>
      <c r="FZ33">
        <v>6.1788700000000002E-2</v>
      </c>
    </row>
    <row r="34" spans="2:182" x14ac:dyDescent="0.25">
      <c r="B34" t="s">
        <v>2</v>
      </c>
      <c r="C34">
        <v>2</v>
      </c>
      <c r="D34">
        <f t="shared" si="0"/>
        <v>1</v>
      </c>
      <c r="E34">
        <f t="shared" si="1"/>
        <v>0</v>
      </c>
      <c r="F34" t="s">
        <v>230</v>
      </c>
      <c r="G34">
        <v>875</v>
      </c>
      <c r="H34">
        <v>515</v>
      </c>
      <c r="I34">
        <v>488</v>
      </c>
      <c r="J34">
        <v>157</v>
      </c>
      <c r="K34">
        <v>2955</v>
      </c>
      <c r="L34">
        <v>4990</v>
      </c>
      <c r="M34">
        <v>180.24</v>
      </c>
      <c r="N34">
        <v>974.92</v>
      </c>
      <c r="O34">
        <v>43.29</v>
      </c>
      <c r="P34">
        <v>37.61</v>
      </c>
      <c r="Q34">
        <v>446.76</v>
      </c>
      <c r="R34">
        <v>1682.82</v>
      </c>
      <c r="S34">
        <v>0.04</v>
      </c>
      <c r="T34">
        <v>0.1</v>
      </c>
      <c r="U34">
        <v>0</v>
      </c>
      <c r="V34">
        <v>0.3</v>
      </c>
      <c r="W34">
        <v>0.4</v>
      </c>
      <c r="X34">
        <v>0.5</v>
      </c>
      <c r="Y34">
        <v>0.6</v>
      </c>
      <c r="Z34">
        <v>0.7</v>
      </c>
      <c r="AA34">
        <v>0.85</v>
      </c>
      <c r="AB34">
        <v>0.9</v>
      </c>
      <c r="AC34">
        <v>0.93</v>
      </c>
      <c r="AD34">
        <v>0.98</v>
      </c>
      <c r="AE34">
        <v>9.1999999999999998E-3</v>
      </c>
      <c r="AF34">
        <v>7.22E-2</v>
      </c>
      <c r="AG34">
        <v>0.2034</v>
      </c>
      <c r="AH34">
        <v>0.28739999999999999</v>
      </c>
      <c r="AI34">
        <v>0.37140000000000001</v>
      </c>
      <c r="AJ34">
        <v>0.46850000000000003</v>
      </c>
      <c r="AK34">
        <v>0.56030000000000002</v>
      </c>
      <c r="AL34">
        <v>0.62909999999999999</v>
      </c>
      <c r="AM34">
        <v>0.72</v>
      </c>
      <c r="AN34">
        <v>0.72</v>
      </c>
      <c r="AO34">
        <v>0.72</v>
      </c>
      <c r="AP34">
        <v>0.72</v>
      </c>
      <c r="AQ34">
        <f t="shared" si="2"/>
        <v>9</v>
      </c>
      <c r="AR34" s="370">
        <v>0.72</v>
      </c>
      <c r="AS34" s="370">
        <f t="shared" si="3"/>
        <v>0.08</v>
      </c>
      <c r="AT34" s="370">
        <f t="shared" si="4"/>
        <v>0.97959183673469385</v>
      </c>
      <c r="AU34">
        <v>1236.06</v>
      </c>
      <c r="AV34" s="371">
        <v>0.14581820000000001</v>
      </c>
      <c r="AW34" s="371">
        <v>0.78873190000000004</v>
      </c>
      <c r="AX34" s="371">
        <v>6.5449900000000005E-2</v>
      </c>
      <c r="AY34">
        <v>829</v>
      </c>
      <c r="AZ34">
        <v>537</v>
      </c>
      <c r="BA34">
        <v>346</v>
      </c>
      <c r="BB34">
        <v>306</v>
      </c>
      <c r="BC34">
        <v>2472</v>
      </c>
      <c r="BD34">
        <v>4490</v>
      </c>
      <c r="BE34">
        <v>214.58</v>
      </c>
      <c r="BF34">
        <v>1251.1400000000001</v>
      </c>
      <c r="BG34">
        <v>55.04</v>
      </c>
      <c r="BH34">
        <v>557.96</v>
      </c>
      <c r="BI34">
        <v>346.02</v>
      </c>
      <c r="BJ34">
        <v>2424.7399999999998</v>
      </c>
      <c r="BK34">
        <v>0.04</v>
      </c>
      <c r="BL34">
        <v>0.1</v>
      </c>
      <c r="BM34">
        <v>0</v>
      </c>
      <c r="BN34">
        <v>0.3</v>
      </c>
      <c r="BO34">
        <v>0.4</v>
      </c>
      <c r="BP34">
        <v>0.5</v>
      </c>
      <c r="BQ34">
        <v>0.6</v>
      </c>
      <c r="BR34">
        <v>0.7</v>
      </c>
      <c r="BS34">
        <v>0.85</v>
      </c>
      <c r="BT34">
        <v>0.9</v>
      </c>
      <c r="BU34">
        <v>0.93</v>
      </c>
      <c r="BV34">
        <v>0.98</v>
      </c>
      <c r="BW34">
        <v>3.44E-2</v>
      </c>
      <c r="BX34">
        <v>6.0999999999999999E-2</v>
      </c>
      <c r="BY34">
        <v>0.1227</v>
      </c>
      <c r="BZ34">
        <v>0.1938</v>
      </c>
      <c r="CA34">
        <v>0.25700000000000001</v>
      </c>
      <c r="CB34">
        <v>0.31569999999999998</v>
      </c>
      <c r="CC34">
        <v>0.37059999999999998</v>
      </c>
      <c r="CD34">
        <v>0.4763</v>
      </c>
      <c r="CE34">
        <v>0.51100000000000001</v>
      </c>
      <c r="CF34">
        <v>0.51100000000000001</v>
      </c>
      <c r="CG34">
        <v>0.81169999999999998</v>
      </c>
      <c r="CH34">
        <v>0.81169999999999998</v>
      </c>
      <c r="CI34">
        <f t="shared" si="5"/>
        <v>11</v>
      </c>
      <c r="CJ34" s="370">
        <v>0.81169999999999998</v>
      </c>
      <c r="CK34" s="370">
        <f t="shared" si="6"/>
        <v>7.3790909090909088E-2</v>
      </c>
      <c r="CL34" s="370">
        <f t="shared" si="7"/>
        <v>0.90356215213358071</v>
      </c>
      <c r="CM34">
        <v>2078.7199999999998</v>
      </c>
      <c r="CN34" s="371">
        <v>0.103227</v>
      </c>
      <c r="CO34" s="371">
        <v>0.60187999999999997</v>
      </c>
      <c r="CP34" s="371">
        <v>0.29489300000000002</v>
      </c>
      <c r="CQ34">
        <v>839</v>
      </c>
      <c r="CR34">
        <v>462</v>
      </c>
      <c r="CS34">
        <v>454</v>
      </c>
      <c r="CT34">
        <v>68</v>
      </c>
      <c r="CU34">
        <v>3009</v>
      </c>
      <c r="CV34">
        <v>4832</v>
      </c>
      <c r="CW34">
        <v>281.44</v>
      </c>
      <c r="CX34">
        <v>638.86</v>
      </c>
      <c r="CY34">
        <v>47.86</v>
      </c>
      <c r="CZ34">
        <v>20.13</v>
      </c>
      <c r="DA34">
        <v>428.15</v>
      </c>
      <c r="DB34">
        <v>1416.44</v>
      </c>
      <c r="DC34">
        <v>3.8399999999999997E-2</v>
      </c>
      <c r="DD34">
        <v>9.5899999999999999E-2</v>
      </c>
      <c r="DE34">
        <v>0.1918</v>
      </c>
      <c r="DF34">
        <v>0.28770000000000001</v>
      </c>
      <c r="DG34">
        <v>0.3836</v>
      </c>
      <c r="DH34">
        <v>0.47939999999999999</v>
      </c>
      <c r="DI34">
        <v>0.57530000000000003</v>
      </c>
      <c r="DJ34">
        <v>0.67120000000000002</v>
      </c>
      <c r="DK34">
        <v>0.81499999999999995</v>
      </c>
      <c r="DL34">
        <v>0.86299999999999999</v>
      </c>
      <c r="DM34">
        <v>0.89180000000000004</v>
      </c>
      <c r="DN34">
        <v>0.93969999999999998</v>
      </c>
      <c r="DO34">
        <v>1.4800000000000001E-2</v>
      </c>
      <c r="DP34">
        <v>4.6399999999999997E-2</v>
      </c>
      <c r="DQ34">
        <v>9.5699999999999993E-2</v>
      </c>
      <c r="DR34">
        <v>0.14580000000000001</v>
      </c>
      <c r="DS34">
        <v>0.23569999999999999</v>
      </c>
      <c r="DT34">
        <v>0.30070000000000002</v>
      </c>
      <c r="DU34">
        <v>0.36099999999999999</v>
      </c>
      <c r="DV34">
        <v>0.48280000000000001</v>
      </c>
      <c r="DW34">
        <v>0.5403</v>
      </c>
      <c r="DX34">
        <v>0.64239999999999997</v>
      </c>
      <c r="DY34">
        <v>0.71930000000000005</v>
      </c>
      <c r="DZ34">
        <v>0.88749999999999996</v>
      </c>
      <c r="EA34">
        <f t="shared" si="8"/>
        <v>12</v>
      </c>
      <c r="EB34" s="370">
        <v>0.88749999999999996</v>
      </c>
      <c r="EC34" s="370">
        <f t="shared" si="9"/>
        <v>7.3958333333333334E-2</v>
      </c>
      <c r="ED34" s="370">
        <f t="shared" si="10"/>
        <v>0.94445035649675424</v>
      </c>
      <c r="EE34">
        <v>988.29</v>
      </c>
      <c r="EF34" s="371">
        <v>0.28477469999999999</v>
      </c>
      <c r="EG34" s="371">
        <v>0.6464297</v>
      </c>
      <c r="EH34" s="371">
        <v>6.8795599999999998E-2</v>
      </c>
      <c r="EI34">
        <v>840</v>
      </c>
      <c r="EJ34">
        <v>554</v>
      </c>
      <c r="EK34">
        <v>485</v>
      </c>
      <c r="EL34">
        <v>182</v>
      </c>
      <c r="EM34">
        <v>1571</v>
      </c>
      <c r="EN34">
        <v>3632</v>
      </c>
      <c r="EO34">
        <v>336.07</v>
      </c>
      <c r="EP34">
        <v>2073.6799999999998</v>
      </c>
      <c r="EQ34">
        <v>73.84</v>
      </c>
      <c r="ER34">
        <v>43.59</v>
      </c>
      <c r="ES34">
        <v>469.87</v>
      </c>
      <c r="ET34">
        <v>2997.05</v>
      </c>
      <c r="EU34">
        <v>0.04</v>
      </c>
      <c r="EV34">
        <v>0.1</v>
      </c>
      <c r="EW34">
        <v>0</v>
      </c>
      <c r="EX34">
        <v>0.3</v>
      </c>
      <c r="EY34">
        <v>0.4</v>
      </c>
      <c r="EZ34">
        <v>0.5</v>
      </c>
      <c r="FA34">
        <v>0.6</v>
      </c>
      <c r="FB34">
        <v>0.7</v>
      </c>
      <c r="FC34">
        <v>0.85</v>
      </c>
      <c r="FD34">
        <v>0.95</v>
      </c>
      <c r="FE34">
        <v>0.98</v>
      </c>
      <c r="FF34">
        <v>1</v>
      </c>
      <c r="FG34">
        <v>1.8800000000000001E-2</v>
      </c>
      <c r="FH34">
        <v>3.9E-2</v>
      </c>
      <c r="FI34">
        <v>0.1176</v>
      </c>
      <c r="FJ34">
        <v>0.18279999999999999</v>
      </c>
      <c r="FK34">
        <v>0.2883</v>
      </c>
      <c r="FL34">
        <v>0.39500000000000002</v>
      </c>
      <c r="FM34">
        <v>0.47549999999999998</v>
      </c>
      <c r="FN34">
        <v>0.47549999999999998</v>
      </c>
      <c r="FO34">
        <v>0.47549999999999998</v>
      </c>
      <c r="FP34">
        <v>0</v>
      </c>
      <c r="FQ34">
        <v>0</v>
      </c>
      <c r="FR34">
        <v>0</v>
      </c>
      <c r="FS34">
        <f t="shared" si="11"/>
        <v>7</v>
      </c>
      <c r="FT34">
        <v>0.47549999999999998</v>
      </c>
      <c r="FU34" s="370">
        <f t="shared" si="12"/>
        <v>6.7928571428571421E-2</v>
      </c>
      <c r="FV34" s="370">
        <f t="shared" si="13"/>
        <v>0.81514285714285706</v>
      </c>
      <c r="FW34">
        <v>2527.1799999999998</v>
      </c>
      <c r="FX34">
        <v>0.13298219999999999</v>
      </c>
      <c r="FY34">
        <v>0.82055100000000003</v>
      </c>
      <c r="FZ34">
        <v>4.6466800000000003E-2</v>
      </c>
    </row>
    <row r="35" spans="2:182" x14ac:dyDescent="0.25">
      <c r="B35" t="s">
        <v>165</v>
      </c>
      <c r="C35">
        <v>2</v>
      </c>
      <c r="D35">
        <f t="shared" si="0"/>
        <v>1</v>
      </c>
      <c r="E35">
        <f t="shared" si="1"/>
        <v>0</v>
      </c>
      <c r="F35" t="s">
        <v>233</v>
      </c>
      <c r="G35">
        <v>426</v>
      </c>
      <c r="H35">
        <v>210</v>
      </c>
      <c r="I35">
        <v>283</v>
      </c>
      <c r="J35">
        <v>132</v>
      </c>
      <c r="K35">
        <v>698</v>
      </c>
      <c r="L35">
        <v>1749</v>
      </c>
      <c r="M35">
        <v>183.89</v>
      </c>
      <c r="N35">
        <v>244.01</v>
      </c>
      <c r="O35">
        <v>11.16</v>
      </c>
      <c r="P35">
        <v>13.2</v>
      </c>
      <c r="Q35">
        <v>48.04</v>
      </c>
      <c r="R35">
        <v>500.3</v>
      </c>
      <c r="S35">
        <v>0.1</v>
      </c>
      <c r="T35">
        <v>0.15</v>
      </c>
      <c r="U35">
        <v>0</v>
      </c>
      <c r="V35">
        <v>0.25</v>
      </c>
      <c r="W35">
        <v>0.3</v>
      </c>
      <c r="X35">
        <v>0.35</v>
      </c>
      <c r="Y35">
        <v>0.4</v>
      </c>
      <c r="Z35">
        <v>0.45</v>
      </c>
      <c r="AA35">
        <v>0.5</v>
      </c>
      <c r="AB35">
        <v>0.7</v>
      </c>
      <c r="AC35">
        <v>0.9</v>
      </c>
      <c r="AD35">
        <v>1</v>
      </c>
      <c r="AE35">
        <v>3.7400000000000003E-2</v>
      </c>
      <c r="AF35">
        <v>8.1900000000000001E-2</v>
      </c>
      <c r="AG35">
        <v>0.13159999999999999</v>
      </c>
      <c r="AH35">
        <v>0.17899999999999999</v>
      </c>
      <c r="AI35">
        <v>0.26319999999999999</v>
      </c>
      <c r="AJ35">
        <v>0.3145</v>
      </c>
      <c r="AK35">
        <v>0.45350000000000001</v>
      </c>
      <c r="AL35">
        <v>0.45350000000000001</v>
      </c>
      <c r="AM35">
        <v>0.45350000000000001</v>
      </c>
      <c r="AN35">
        <v>0.45350000000000001</v>
      </c>
      <c r="AO35">
        <v>0.45350000000000001</v>
      </c>
      <c r="AP35">
        <v>0.45350000000000001</v>
      </c>
      <c r="AQ35">
        <f t="shared" si="2"/>
        <v>7</v>
      </c>
      <c r="AR35" s="370">
        <v>0.45350000000000001</v>
      </c>
      <c r="AS35" s="370">
        <f t="shared" si="3"/>
        <v>6.4785714285714294E-2</v>
      </c>
      <c r="AT35" s="370">
        <f t="shared" si="4"/>
        <v>0.77742857142857158</v>
      </c>
      <c r="AU35">
        <v>452.26</v>
      </c>
      <c r="AV35" s="371">
        <v>0.40660239999999997</v>
      </c>
      <c r="AW35" s="371">
        <v>0.53953479999999998</v>
      </c>
      <c r="AX35" s="371">
        <v>5.3862800000000002E-2</v>
      </c>
      <c r="AY35">
        <v>145</v>
      </c>
      <c r="AZ35">
        <v>215</v>
      </c>
      <c r="BA35">
        <v>419</v>
      </c>
      <c r="BB35">
        <v>94</v>
      </c>
      <c r="BC35">
        <v>354</v>
      </c>
      <c r="BD35">
        <v>1227</v>
      </c>
      <c r="BE35">
        <v>142.34</v>
      </c>
      <c r="BF35">
        <v>273.02999999999997</v>
      </c>
      <c r="BG35">
        <v>13.43</v>
      </c>
      <c r="BH35">
        <v>23.82</v>
      </c>
      <c r="BI35">
        <v>61.63</v>
      </c>
      <c r="BJ35">
        <v>514.25</v>
      </c>
      <c r="BK35">
        <v>0.08</v>
      </c>
      <c r="BL35">
        <v>0.15</v>
      </c>
      <c r="BM35">
        <v>0</v>
      </c>
      <c r="BN35">
        <v>0.3</v>
      </c>
      <c r="BO35">
        <v>0.65</v>
      </c>
      <c r="BP35">
        <v>0.71</v>
      </c>
      <c r="BQ35">
        <v>0.77</v>
      </c>
      <c r="BR35">
        <v>0.84</v>
      </c>
      <c r="BS35">
        <v>0.92</v>
      </c>
      <c r="BT35">
        <v>0.92</v>
      </c>
      <c r="BU35">
        <v>0.94</v>
      </c>
      <c r="BV35">
        <v>1</v>
      </c>
      <c r="BW35">
        <v>4.19E-2</v>
      </c>
      <c r="BX35">
        <v>6.5100000000000005E-2</v>
      </c>
      <c r="BY35">
        <v>7.7499999999999999E-2</v>
      </c>
      <c r="BZ35">
        <v>0.13930000000000001</v>
      </c>
      <c r="CA35">
        <v>0.1699</v>
      </c>
      <c r="CB35">
        <v>0.27379999999999999</v>
      </c>
      <c r="CC35">
        <v>0.34670000000000001</v>
      </c>
      <c r="CD35">
        <v>0.43419999999999997</v>
      </c>
      <c r="CE35">
        <v>0.49170000000000003</v>
      </c>
      <c r="CF35">
        <v>0.49170000000000003</v>
      </c>
      <c r="CG35">
        <v>0.49170000000000003</v>
      </c>
      <c r="CH35">
        <v>0.49170000000000003</v>
      </c>
      <c r="CI35">
        <f t="shared" si="5"/>
        <v>9</v>
      </c>
      <c r="CJ35" s="370">
        <v>0.49170000000000003</v>
      </c>
      <c r="CK35" s="370">
        <f t="shared" si="6"/>
        <v>5.4633333333333339E-2</v>
      </c>
      <c r="CL35" s="370">
        <f t="shared" si="7"/>
        <v>0.65560000000000007</v>
      </c>
      <c r="CM35">
        <v>452.62</v>
      </c>
      <c r="CN35" s="371">
        <v>0.31448009999999998</v>
      </c>
      <c r="CO35" s="371">
        <v>0.60322120000000001</v>
      </c>
      <c r="CP35" s="371">
        <v>8.22986E-2</v>
      </c>
      <c r="CQ35">
        <v>10017</v>
      </c>
      <c r="CR35">
        <v>837</v>
      </c>
      <c r="CS35">
        <v>436</v>
      </c>
      <c r="CT35">
        <v>3415</v>
      </c>
      <c r="CU35">
        <v>3483</v>
      </c>
      <c r="CV35">
        <v>18188</v>
      </c>
      <c r="CW35">
        <v>215.31</v>
      </c>
      <c r="CX35">
        <v>202.24</v>
      </c>
      <c r="CY35">
        <v>11.8</v>
      </c>
      <c r="CZ35">
        <v>63.96</v>
      </c>
      <c r="DA35">
        <v>166.08</v>
      </c>
      <c r="DB35">
        <v>659.39</v>
      </c>
      <c r="DC35">
        <v>8.1500000000000003E-2</v>
      </c>
      <c r="DD35">
        <v>0.14560000000000001</v>
      </c>
      <c r="DE35">
        <v>0.20039999999999999</v>
      </c>
      <c r="DF35">
        <v>0.26050000000000001</v>
      </c>
      <c r="DG35">
        <v>0.32750000000000001</v>
      </c>
      <c r="DH35">
        <v>0.39679999999999999</v>
      </c>
      <c r="DI35">
        <v>0.45500000000000002</v>
      </c>
      <c r="DJ35">
        <v>0.5121</v>
      </c>
      <c r="DK35">
        <v>0.56630000000000003</v>
      </c>
      <c r="DL35">
        <v>0.63129999999999997</v>
      </c>
      <c r="DM35">
        <v>0.75360000000000005</v>
      </c>
      <c r="DN35">
        <v>0.87990000000000002</v>
      </c>
      <c r="DO35">
        <v>1.9900000000000001E-2</v>
      </c>
      <c r="DP35">
        <v>4.2700000000000002E-2</v>
      </c>
      <c r="DQ35">
        <v>7.2700000000000001E-2</v>
      </c>
      <c r="DR35">
        <v>0.11550000000000001</v>
      </c>
      <c r="DS35">
        <v>0.16869999999999999</v>
      </c>
      <c r="DT35">
        <v>0.23499999999999999</v>
      </c>
      <c r="DU35">
        <v>0.30159999999999998</v>
      </c>
      <c r="DV35">
        <v>0.35949999999999999</v>
      </c>
      <c r="DW35">
        <v>0.40589999999999998</v>
      </c>
      <c r="DX35">
        <v>0.45810000000000001</v>
      </c>
      <c r="DY35">
        <v>0.53590000000000004</v>
      </c>
      <c r="DZ35">
        <v>0.75470000000000004</v>
      </c>
      <c r="EA35">
        <f t="shared" si="8"/>
        <v>12</v>
      </c>
      <c r="EB35" s="370">
        <v>0.75470000000000004</v>
      </c>
      <c r="EC35" s="370">
        <f t="shared" si="9"/>
        <v>6.2891666666666665E-2</v>
      </c>
      <c r="ED35" s="370">
        <f t="shared" si="10"/>
        <v>0.85771110353449243</v>
      </c>
      <c r="EE35">
        <v>493.31</v>
      </c>
      <c r="EF35" s="371">
        <v>0.43645980000000001</v>
      </c>
      <c r="EG35" s="371">
        <v>0.40996529999999998</v>
      </c>
      <c r="EH35" s="371">
        <v>0.15357480000000001</v>
      </c>
      <c r="EI35">
        <v>2079</v>
      </c>
      <c r="EJ35">
        <v>324</v>
      </c>
      <c r="EK35">
        <v>364</v>
      </c>
      <c r="EL35">
        <v>595</v>
      </c>
      <c r="EM35">
        <v>10592</v>
      </c>
      <c r="EN35">
        <v>13954</v>
      </c>
      <c r="EO35">
        <v>96.9</v>
      </c>
      <c r="EP35">
        <v>88.66</v>
      </c>
      <c r="EQ35">
        <v>8.43</v>
      </c>
      <c r="ER35">
        <v>25.88</v>
      </c>
      <c r="ES35">
        <v>350.17</v>
      </c>
      <c r="ET35">
        <v>570.04</v>
      </c>
      <c r="EU35">
        <v>0.11840000000000001</v>
      </c>
      <c r="EV35">
        <v>0.2198</v>
      </c>
      <c r="EW35">
        <v>0.25879999999999997</v>
      </c>
      <c r="EX35">
        <v>0.3211</v>
      </c>
      <c r="EY35">
        <v>0.42459999999999998</v>
      </c>
      <c r="EZ35">
        <v>0.46789999999999998</v>
      </c>
      <c r="FA35">
        <v>0.51480000000000004</v>
      </c>
      <c r="FB35">
        <v>0.55959999999999999</v>
      </c>
      <c r="FC35">
        <v>0.60419999999999996</v>
      </c>
      <c r="FD35">
        <v>0.6472</v>
      </c>
      <c r="FE35">
        <v>0.68469999999999998</v>
      </c>
      <c r="FF35">
        <v>0.753</v>
      </c>
      <c r="FG35">
        <v>1.09E-2</v>
      </c>
      <c r="FH35">
        <v>5.6899999999999999E-2</v>
      </c>
      <c r="FI35">
        <v>7.3800000000000004E-2</v>
      </c>
      <c r="FJ35">
        <v>7.3800000000000004E-2</v>
      </c>
      <c r="FK35">
        <v>0.18440000000000001</v>
      </c>
      <c r="FL35">
        <v>0.18440000000000001</v>
      </c>
      <c r="FM35">
        <v>0.18440000000000001</v>
      </c>
      <c r="FN35">
        <v>0.18440000000000001</v>
      </c>
      <c r="FO35">
        <v>0.18440000000000001</v>
      </c>
      <c r="FP35">
        <v>0</v>
      </c>
      <c r="FQ35">
        <v>0</v>
      </c>
      <c r="FR35">
        <v>0</v>
      </c>
      <c r="FS35">
        <f t="shared" si="11"/>
        <v>5</v>
      </c>
      <c r="FT35">
        <v>0.18440000000000001</v>
      </c>
      <c r="FU35" s="370">
        <f t="shared" si="12"/>
        <v>3.6880000000000003E-2</v>
      </c>
      <c r="FV35" s="370">
        <f t="shared" si="13"/>
        <v>0.58772908366533871</v>
      </c>
      <c r="FW35">
        <v>219.87</v>
      </c>
      <c r="FX35">
        <v>0.44071500000000002</v>
      </c>
      <c r="FY35">
        <v>0.40323829999999999</v>
      </c>
      <c r="FZ35">
        <v>0.15604670000000001</v>
      </c>
    </row>
    <row r="36" spans="2:182" x14ac:dyDescent="0.25">
      <c r="B36" t="s">
        <v>2</v>
      </c>
      <c r="C36">
        <v>2</v>
      </c>
      <c r="D36">
        <f t="shared" si="0"/>
        <v>1</v>
      </c>
      <c r="E36">
        <f t="shared" si="1"/>
        <v>0</v>
      </c>
      <c r="F36" t="s">
        <v>231</v>
      </c>
      <c r="G36">
        <v>267</v>
      </c>
      <c r="H36">
        <v>143</v>
      </c>
      <c r="I36">
        <v>89</v>
      </c>
      <c r="J36">
        <v>85</v>
      </c>
      <c r="K36">
        <v>499</v>
      </c>
      <c r="L36">
        <v>1083</v>
      </c>
      <c r="M36">
        <v>55.56</v>
      </c>
      <c r="N36">
        <v>230.67</v>
      </c>
      <c r="O36">
        <v>15.89</v>
      </c>
      <c r="P36">
        <v>10.77</v>
      </c>
      <c r="Q36">
        <v>117.34</v>
      </c>
      <c r="R36">
        <v>430.23</v>
      </c>
      <c r="S36">
        <v>1.4999999999999999E-2</v>
      </c>
      <c r="T36">
        <v>6.5000000000000002E-2</v>
      </c>
      <c r="U36">
        <v>9.5000000000000001E-2</v>
      </c>
      <c r="V36">
        <v>0.158</v>
      </c>
      <c r="W36">
        <v>0.20399999999999999</v>
      </c>
      <c r="X36">
        <v>0.30299999999999999</v>
      </c>
      <c r="Y36">
        <v>0.42699999999999999</v>
      </c>
      <c r="Z36">
        <v>0.50360000000000005</v>
      </c>
      <c r="AA36">
        <v>0.60550000000000004</v>
      </c>
      <c r="AB36">
        <v>0.70599999999999996</v>
      </c>
      <c r="AC36">
        <v>0.8</v>
      </c>
      <c r="AD36">
        <v>0.87</v>
      </c>
      <c r="AE36">
        <v>8.8000000000000005E-3</v>
      </c>
      <c r="AF36">
        <v>5.6899999999999999E-2</v>
      </c>
      <c r="AG36">
        <v>0.1081</v>
      </c>
      <c r="AH36">
        <v>0.1454</v>
      </c>
      <c r="AI36">
        <v>0.22839999999999999</v>
      </c>
      <c r="AJ36">
        <v>0.27239999999999998</v>
      </c>
      <c r="AK36">
        <v>0.38850000000000001</v>
      </c>
      <c r="AL36">
        <v>0.46710000000000002</v>
      </c>
      <c r="AM36">
        <v>0.46710000000000002</v>
      </c>
      <c r="AN36">
        <v>0.46710000000000002</v>
      </c>
      <c r="AO36">
        <v>0.46710000000000002</v>
      </c>
      <c r="AP36">
        <v>0.46710000000000002</v>
      </c>
      <c r="AQ36">
        <f t="shared" si="2"/>
        <v>8</v>
      </c>
      <c r="AR36" s="370">
        <v>0.46710000000000002</v>
      </c>
      <c r="AS36" s="370">
        <f t="shared" si="3"/>
        <v>5.8387500000000002E-2</v>
      </c>
      <c r="AT36" s="370">
        <f t="shared" si="4"/>
        <v>0.80534482758620685</v>
      </c>
      <c r="AU36">
        <v>312.89</v>
      </c>
      <c r="AV36" s="371">
        <v>0.17757039999999999</v>
      </c>
      <c r="AW36" s="371">
        <v>0.73722390000000004</v>
      </c>
      <c r="AX36" s="371">
        <v>8.5205699999999995E-2</v>
      </c>
      <c r="AY36">
        <v>613</v>
      </c>
      <c r="AZ36">
        <v>172</v>
      </c>
      <c r="BA36">
        <v>148</v>
      </c>
      <c r="BB36">
        <v>235</v>
      </c>
      <c r="BC36">
        <v>1686</v>
      </c>
      <c r="BD36">
        <v>2854</v>
      </c>
      <c r="BE36">
        <v>178.19</v>
      </c>
      <c r="BF36">
        <v>303.26</v>
      </c>
      <c r="BG36">
        <v>33.33</v>
      </c>
      <c r="BH36">
        <v>38.79</v>
      </c>
      <c r="BI36">
        <v>555.16999999999996</v>
      </c>
      <c r="BJ36">
        <v>1108.74</v>
      </c>
      <c r="BK36">
        <v>1.4999999999999999E-2</v>
      </c>
      <c r="BL36">
        <v>6.5000000000000002E-2</v>
      </c>
      <c r="BM36">
        <v>0.115</v>
      </c>
      <c r="BN36">
        <v>0.16500000000000001</v>
      </c>
      <c r="BO36">
        <v>0.245</v>
      </c>
      <c r="BP36">
        <v>0.32500000000000001</v>
      </c>
      <c r="BQ36">
        <v>0.42499999999999999</v>
      </c>
      <c r="BR36">
        <v>0.52500000000000002</v>
      </c>
      <c r="BS36">
        <v>0.625</v>
      </c>
      <c r="BT36">
        <v>0.72499999999999998</v>
      </c>
      <c r="BU36">
        <v>0.82499999999999996</v>
      </c>
      <c r="BV36">
        <v>1</v>
      </c>
      <c r="BW36">
        <v>3.44E-2</v>
      </c>
      <c r="BX36">
        <v>8.4500000000000006E-2</v>
      </c>
      <c r="BY36">
        <v>0.1232</v>
      </c>
      <c r="BZ36">
        <v>0.17119999999999999</v>
      </c>
      <c r="CA36">
        <v>0.2351</v>
      </c>
      <c r="CB36">
        <v>0.3533</v>
      </c>
      <c r="CC36">
        <v>0.3881</v>
      </c>
      <c r="CD36">
        <v>0.47849999999999998</v>
      </c>
      <c r="CE36">
        <v>0.53600000000000003</v>
      </c>
      <c r="CF36">
        <v>0.68400000000000005</v>
      </c>
      <c r="CG36">
        <v>0.68400000000000005</v>
      </c>
      <c r="CH36">
        <v>0.68400000000000005</v>
      </c>
      <c r="CI36">
        <f t="shared" si="5"/>
        <v>10</v>
      </c>
      <c r="CJ36" s="370">
        <v>0.68400000000000005</v>
      </c>
      <c r="CK36" s="370">
        <f t="shared" si="6"/>
        <v>6.8400000000000002E-2</v>
      </c>
      <c r="CL36" s="370">
        <f t="shared" si="7"/>
        <v>0.82079999999999997</v>
      </c>
      <c r="CM36">
        <v>553.57000000000005</v>
      </c>
      <c r="CN36" s="371">
        <v>0.32189240000000002</v>
      </c>
      <c r="CO36" s="371">
        <v>0.54782589999999998</v>
      </c>
      <c r="CP36" s="371">
        <v>0.1302816</v>
      </c>
      <c r="CQ36">
        <v>699</v>
      </c>
      <c r="CR36">
        <v>204</v>
      </c>
      <c r="CS36">
        <v>81</v>
      </c>
      <c r="CT36">
        <v>129</v>
      </c>
      <c r="CU36">
        <v>1879</v>
      </c>
      <c r="CV36">
        <v>2992</v>
      </c>
      <c r="CW36">
        <v>212.28</v>
      </c>
      <c r="CX36">
        <v>264.55</v>
      </c>
      <c r="CY36">
        <v>16.86</v>
      </c>
      <c r="CZ36">
        <v>18.829999999999998</v>
      </c>
      <c r="DA36">
        <v>709.01</v>
      </c>
      <c r="DB36">
        <v>1221.53</v>
      </c>
      <c r="DC36">
        <v>0.04</v>
      </c>
      <c r="DD36">
        <v>0.1343</v>
      </c>
      <c r="DE36">
        <v>0.22869999999999999</v>
      </c>
      <c r="DF36">
        <v>0.32619999999999999</v>
      </c>
      <c r="DG36">
        <v>0.39129999999999998</v>
      </c>
      <c r="DH36">
        <v>0.52139999999999997</v>
      </c>
      <c r="DI36">
        <v>0.59670000000000001</v>
      </c>
      <c r="DJ36">
        <v>0.67210000000000003</v>
      </c>
      <c r="DK36">
        <v>0.74750000000000005</v>
      </c>
      <c r="DL36">
        <v>0.80169999999999997</v>
      </c>
      <c r="DM36">
        <v>0.85580000000000001</v>
      </c>
      <c r="DN36">
        <v>0.91</v>
      </c>
      <c r="DO36">
        <v>4.1099999999999998E-2</v>
      </c>
      <c r="DP36">
        <v>8.0299999999999996E-2</v>
      </c>
      <c r="DQ36">
        <v>0.13700000000000001</v>
      </c>
      <c r="DR36">
        <v>0.19320000000000001</v>
      </c>
      <c r="DS36">
        <v>0.27060000000000001</v>
      </c>
      <c r="DT36">
        <v>0.37119999999999997</v>
      </c>
      <c r="DU36">
        <v>0.42749999999999999</v>
      </c>
      <c r="DV36">
        <v>0.4869</v>
      </c>
      <c r="DW36">
        <v>0.57110000000000005</v>
      </c>
      <c r="DX36">
        <v>0.65390000000000004</v>
      </c>
      <c r="DY36">
        <v>0.73119999999999996</v>
      </c>
      <c r="DZ36">
        <v>0.91400000000000003</v>
      </c>
      <c r="EA36">
        <f t="shared" si="8"/>
        <v>12</v>
      </c>
      <c r="EB36" s="370">
        <v>0.91400000000000003</v>
      </c>
      <c r="EC36" s="370">
        <f t="shared" si="9"/>
        <v>7.6166666666666674E-2</v>
      </c>
      <c r="ED36" s="370">
        <f t="shared" si="10"/>
        <v>1</v>
      </c>
      <c r="EE36">
        <v>512.52</v>
      </c>
      <c r="EF36" s="371">
        <v>0.41418870000000002</v>
      </c>
      <c r="EG36" s="371">
        <v>0.51617500000000005</v>
      </c>
      <c r="EH36" s="371">
        <v>6.9636299999999998E-2</v>
      </c>
      <c r="EI36">
        <v>2171</v>
      </c>
      <c r="EJ36">
        <v>154</v>
      </c>
      <c r="EK36">
        <v>111</v>
      </c>
      <c r="EL36">
        <v>473</v>
      </c>
      <c r="EM36">
        <v>1638</v>
      </c>
      <c r="EN36">
        <v>4547</v>
      </c>
      <c r="EO36">
        <v>213.58</v>
      </c>
      <c r="EP36">
        <v>305.14</v>
      </c>
      <c r="EQ36">
        <v>27.92</v>
      </c>
      <c r="ER36">
        <v>45.48</v>
      </c>
      <c r="ES36">
        <v>749.78</v>
      </c>
      <c r="ET36">
        <v>1341.9</v>
      </c>
      <c r="EU36">
        <v>5.4199999999999998E-2</v>
      </c>
      <c r="EV36">
        <v>0.1128</v>
      </c>
      <c r="EW36">
        <v>0.1883</v>
      </c>
      <c r="EX36">
        <v>0.26490000000000002</v>
      </c>
      <c r="EY36">
        <v>0.33979999999999999</v>
      </c>
      <c r="EZ36">
        <v>0.44869999999999999</v>
      </c>
      <c r="FA36">
        <v>0.51829999999999998</v>
      </c>
      <c r="FB36">
        <v>0.59209999999999996</v>
      </c>
      <c r="FC36">
        <v>0.69369999999999998</v>
      </c>
      <c r="FD36">
        <v>0.79800000000000004</v>
      </c>
      <c r="FE36">
        <v>0.87560000000000004</v>
      </c>
      <c r="FF36">
        <v>0.95</v>
      </c>
      <c r="FG36">
        <v>4.02E-2</v>
      </c>
      <c r="FH36">
        <v>5.8599999999999999E-2</v>
      </c>
      <c r="FI36">
        <v>0.1111</v>
      </c>
      <c r="FJ36">
        <v>0.1244</v>
      </c>
      <c r="FK36">
        <v>0.19700000000000001</v>
      </c>
      <c r="FL36">
        <v>0.2346</v>
      </c>
      <c r="FM36">
        <v>0.31130000000000002</v>
      </c>
      <c r="FN36">
        <v>0.44090000000000001</v>
      </c>
      <c r="FO36">
        <v>0.44090000000000001</v>
      </c>
      <c r="FP36">
        <v>0</v>
      </c>
      <c r="FQ36">
        <v>0</v>
      </c>
      <c r="FR36">
        <v>0</v>
      </c>
      <c r="FS36">
        <f t="shared" si="11"/>
        <v>8</v>
      </c>
      <c r="FT36">
        <v>0.44090000000000001</v>
      </c>
      <c r="FU36" s="370">
        <f t="shared" si="12"/>
        <v>5.5112500000000002E-2</v>
      </c>
      <c r="FV36" s="370">
        <f t="shared" si="13"/>
        <v>0.69615789473684209</v>
      </c>
      <c r="FW36">
        <v>592.12</v>
      </c>
      <c r="FX36">
        <v>0.36070390000000002</v>
      </c>
      <c r="FY36">
        <v>0.51533470000000003</v>
      </c>
      <c r="FZ36">
        <v>0.1239614</v>
      </c>
    </row>
    <row r="37" spans="2:182" x14ac:dyDescent="0.25">
      <c r="B37" t="s">
        <v>2</v>
      </c>
      <c r="C37">
        <v>1</v>
      </c>
      <c r="D37">
        <f t="shared" si="0"/>
        <v>1</v>
      </c>
      <c r="E37">
        <f t="shared" si="1"/>
        <v>1</v>
      </c>
      <c r="F37" t="s">
        <v>196</v>
      </c>
      <c r="G37">
        <v>1334</v>
      </c>
      <c r="H37">
        <v>606</v>
      </c>
      <c r="I37">
        <v>645</v>
      </c>
      <c r="J37">
        <v>626</v>
      </c>
      <c r="K37">
        <v>0</v>
      </c>
      <c r="L37">
        <v>3211</v>
      </c>
      <c r="M37">
        <v>423.68</v>
      </c>
      <c r="N37">
        <v>521.27</v>
      </c>
      <c r="O37">
        <v>55.07</v>
      </c>
      <c r="P37">
        <v>95.84</v>
      </c>
      <c r="Q37">
        <v>0</v>
      </c>
      <c r="R37">
        <v>1095.8599999999999</v>
      </c>
      <c r="S37">
        <v>3.8999999999999998E-3</v>
      </c>
      <c r="T37">
        <v>2.5899999999999999E-2</v>
      </c>
      <c r="U37">
        <v>7.7700000000000005E-2</v>
      </c>
      <c r="V37">
        <v>0.13639999999999999</v>
      </c>
      <c r="W37">
        <v>0.20569999999999999</v>
      </c>
      <c r="X37">
        <v>0.28320000000000001</v>
      </c>
      <c r="Y37">
        <v>0.37059999999999998</v>
      </c>
      <c r="Z37">
        <v>0.4536</v>
      </c>
      <c r="AA37">
        <v>0.53080000000000005</v>
      </c>
      <c r="AB37">
        <v>0.65249999999999997</v>
      </c>
      <c r="AC37">
        <v>0.79300000000000004</v>
      </c>
      <c r="AD37">
        <v>0.92049999999999998</v>
      </c>
      <c r="AE37">
        <v>2.5499999999999998E-2</v>
      </c>
      <c r="AF37">
        <v>7.0199999999999999E-2</v>
      </c>
      <c r="AG37">
        <v>9.2499999999999999E-2</v>
      </c>
      <c r="AH37">
        <v>0.17380000000000001</v>
      </c>
      <c r="AI37">
        <v>0.24110000000000001</v>
      </c>
      <c r="AJ37">
        <v>0.29630000000000001</v>
      </c>
      <c r="AK37">
        <v>0.35299999999999998</v>
      </c>
      <c r="AL37">
        <v>0.4526</v>
      </c>
      <c r="AM37">
        <v>0.4526</v>
      </c>
      <c r="AN37">
        <v>0.4526</v>
      </c>
      <c r="AO37">
        <v>0.4526</v>
      </c>
      <c r="AP37">
        <v>0.4526</v>
      </c>
      <c r="AQ37">
        <f t="shared" si="2"/>
        <v>8</v>
      </c>
      <c r="AR37" s="370">
        <v>0.4526</v>
      </c>
      <c r="AS37" s="370">
        <f t="shared" si="3"/>
        <v>5.6575E-2</v>
      </c>
      <c r="AT37" s="370">
        <f t="shared" si="4"/>
        <v>0.73753394894079316</v>
      </c>
      <c r="AU37">
        <v>1095.8599999999999</v>
      </c>
      <c r="AV37" s="371">
        <v>0.38661869999999998</v>
      </c>
      <c r="AW37" s="371">
        <v>0.47567209999999999</v>
      </c>
      <c r="AX37" s="371">
        <v>0.1377092</v>
      </c>
      <c r="AY37">
        <v>1206</v>
      </c>
      <c r="AZ37">
        <v>455</v>
      </c>
      <c r="BA37">
        <v>552</v>
      </c>
      <c r="BB37">
        <v>720</v>
      </c>
      <c r="BC37">
        <v>2171</v>
      </c>
      <c r="BD37">
        <v>5104</v>
      </c>
      <c r="BE37">
        <v>332.77</v>
      </c>
      <c r="BF37">
        <v>256.85000000000002</v>
      </c>
      <c r="BG37">
        <v>38.71</v>
      </c>
      <c r="BH37">
        <v>104.61</v>
      </c>
      <c r="BI37">
        <v>1020.77</v>
      </c>
      <c r="BJ37">
        <v>1753.71</v>
      </c>
      <c r="BK37">
        <v>3.0000000000000001E-3</v>
      </c>
      <c r="BL37">
        <v>2.6200000000000001E-2</v>
      </c>
      <c r="BM37">
        <v>7.3700000000000002E-2</v>
      </c>
      <c r="BN37">
        <v>0.13150000000000001</v>
      </c>
      <c r="BO37">
        <v>0.19980000000000001</v>
      </c>
      <c r="BP37">
        <v>0.27789999999999998</v>
      </c>
      <c r="BQ37">
        <v>0.36159999999999998</v>
      </c>
      <c r="BR37">
        <v>0.45879999999999999</v>
      </c>
      <c r="BS37">
        <v>0.54010000000000002</v>
      </c>
      <c r="BT37">
        <v>0.62829999999999997</v>
      </c>
      <c r="BU37">
        <v>0.73780000000000001</v>
      </c>
      <c r="BV37">
        <v>0.90069999999999995</v>
      </c>
      <c r="BW37">
        <v>3.5999999999999999E-3</v>
      </c>
      <c r="BX37">
        <v>1.2200000000000001E-2</v>
      </c>
      <c r="BY37">
        <v>8.6599999999999996E-2</v>
      </c>
      <c r="BZ37">
        <v>0.1343</v>
      </c>
      <c r="CA37">
        <v>0.1983</v>
      </c>
      <c r="CB37">
        <v>0.26040000000000002</v>
      </c>
      <c r="CC37">
        <v>0.33339999999999997</v>
      </c>
      <c r="CD37">
        <v>0.45469999999999999</v>
      </c>
      <c r="CE37">
        <v>0.5151</v>
      </c>
      <c r="CF37">
        <v>0.53739999999999999</v>
      </c>
      <c r="CG37">
        <v>0.77310000000000001</v>
      </c>
      <c r="CH37">
        <v>0.77310000000000001</v>
      </c>
      <c r="CI37">
        <f t="shared" si="5"/>
        <v>11</v>
      </c>
      <c r="CJ37" s="370">
        <v>0.77310000000000001</v>
      </c>
      <c r="CK37" s="370">
        <f t="shared" si="6"/>
        <v>7.0281818181818181E-2</v>
      </c>
      <c r="CL37" s="370">
        <f t="shared" si="7"/>
        <v>0.93636262704764994</v>
      </c>
      <c r="CM37">
        <v>732.94</v>
      </c>
      <c r="CN37" s="371">
        <v>0.4540208</v>
      </c>
      <c r="CO37" s="371">
        <v>0.35043800000000003</v>
      </c>
      <c r="CP37" s="371">
        <v>0.1955412</v>
      </c>
      <c r="CQ37">
        <v>2838</v>
      </c>
      <c r="CR37">
        <v>674</v>
      </c>
      <c r="CS37">
        <v>772</v>
      </c>
      <c r="CT37">
        <v>1964</v>
      </c>
      <c r="CU37">
        <v>4626</v>
      </c>
      <c r="CV37">
        <v>10874</v>
      </c>
      <c r="CW37">
        <v>408.71</v>
      </c>
      <c r="CX37">
        <v>419.47</v>
      </c>
      <c r="CY37">
        <v>54.06</v>
      </c>
      <c r="CZ37">
        <v>137.46</v>
      </c>
      <c r="DA37">
        <v>802.73</v>
      </c>
      <c r="DB37">
        <v>1822.43</v>
      </c>
      <c r="DC37">
        <v>3.3E-3</v>
      </c>
      <c r="DD37">
        <v>1.61E-2</v>
      </c>
      <c r="DE37">
        <v>6.8099999999999994E-2</v>
      </c>
      <c r="DF37">
        <v>0.1346</v>
      </c>
      <c r="DG37">
        <v>0.20039999999999999</v>
      </c>
      <c r="DH37">
        <v>0.27800000000000002</v>
      </c>
      <c r="DI37">
        <v>0.35720000000000002</v>
      </c>
      <c r="DJ37">
        <v>0.45379999999999998</v>
      </c>
      <c r="DK37">
        <v>0.53039999999999998</v>
      </c>
      <c r="DL37">
        <v>0.61839999999999995</v>
      </c>
      <c r="DM37">
        <v>0.72360000000000002</v>
      </c>
      <c r="DN37">
        <v>0.86990000000000001</v>
      </c>
      <c r="DO37">
        <v>9.4000000000000004E-3</v>
      </c>
      <c r="DP37">
        <v>1.9599999999999999E-2</v>
      </c>
      <c r="DQ37">
        <v>9.4399999999999998E-2</v>
      </c>
      <c r="DR37">
        <v>0.159</v>
      </c>
      <c r="DS37">
        <v>0.2908</v>
      </c>
      <c r="DT37">
        <v>0.37419999999999998</v>
      </c>
      <c r="DU37">
        <v>0.43769999999999998</v>
      </c>
      <c r="DV37">
        <v>0.50029999999999997</v>
      </c>
      <c r="DW37">
        <v>0.57310000000000005</v>
      </c>
      <c r="DX37">
        <v>0.64080000000000004</v>
      </c>
      <c r="DY37">
        <v>0.74980000000000002</v>
      </c>
      <c r="DZ37">
        <v>0.89029999999999998</v>
      </c>
      <c r="EA37">
        <f t="shared" si="8"/>
        <v>12</v>
      </c>
      <c r="EB37" s="370">
        <v>0.89029999999999998</v>
      </c>
      <c r="EC37" s="370">
        <f t="shared" si="9"/>
        <v>7.419166666666667E-2</v>
      </c>
      <c r="ED37" s="370">
        <f t="shared" si="10"/>
        <v>1</v>
      </c>
      <c r="EE37">
        <v>1019.7</v>
      </c>
      <c r="EF37" s="371">
        <v>0.400814</v>
      </c>
      <c r="EG37" s="371">
        <v>0.41136610000000001</v>
      </c>
      <c r="EH37" s="371">
        <v>0.18781990000000001</v>
      </c>
      <c r="EI37">
        <v>2397</v>
      </c>
      <c r="EJ37">
        <v>887</v>
      </c>
      <c r="EK37">
        <v>864</v>
      </c>
      <c r="EL37">
        <v>1967</v>
      </c>
      <c r="EM37">
        <v>9468</v>
      </c>
      <c r="EN37">
        <v>15583</v>
      </c>
      <c r="EO37">
        <v>341.23</v>
      </c>
      <c r="EP37">
        <v>1087.0899999999999</v>
      </c>
      <c r="EQ37">
        <v>59.1</v>
      </c>
      <c r="ER37">
        <v>215.37</v>
      </c>
      <c r="ES37">
        <v>865.15</v>
      </c>
      <c r="ET37">
        <v>2567.94</v>
      </c>
      <c r="EU37">
        <v>1.2E-2</v>
      </c>
      <c r="EV37">
        <v>2.5999999999999999E-2</v>
      </c>
      <c r="EW37">
        <v>7.8200000000000006E-2</v>
      </c>
      <c r="EX37">
        <v>0.158</v>
      </c>
      <c r="EY37">
        <v>0.23699999999999999</v>
      </c>
      <c r="EZ37">
        <v>0.29670000000000002</v>
      </c>
      <c r="FA37">
        <v>0.38619999999999999</v>
      </c>
      <c r="FB37">
        <v>0.46500000000000002</v>
      </c>
      <c r="FC37">
        <v>0.52569999999999995</v>
      </c>
      <c r="FD37">
        <v>0.65</v>
      </c>
      <c r="FE37">
        <v>0.745</v>
      </c>
      <c r="FF37">
        <v>0.91</v>
      </c>
      <c r="FG37">
        <v>1.4E-2</v>
      </c>
      <c r="FH37">
        <v>3.2000000000000001E-2</v>
      </c>
      <c r="FI37">
        <v>9.0700000000000003E-2</v>
      </c>
      <c r="FJ37">
        <v>0.1729</v>
      </c>
      <c r="FK37">
        <v>0.28320000000000001</v>
      </c>
      <c r="FL37">
        <v>0.33389999999999997</v>
      </c>
      <c r="FM37">
        <v>0.41449999999999998</v>
      </c>
      <c r="FN37">
        <v>0.50280000000000002</v>
      </c>
      <c r="FO37">
        <v>0.50280000000000002</v>
      </c>
      <c r="FP37">
        <v>0</v>
      </c>
      <c r="FQ37">
        <v>0</v>
      </c>
      <c r="FR37">
        <v>0</v>
      </c>
      <c r="FS37">
        <f t="shared" si="11"/>
        <v>8</v>
      </c>
      <c r="FT37">
        <v>0.50280000000000002</v>
      </c>
      <c r="FU37" s="370">
        <f t="shared" si="12"/>
        <v>6.2850000000000003E-2</v>
      </c>
      <c r="FV37" s="370">
        <f t="shared" si="13"/>
        <v>0.82879120879120871</v>
      </c>
      <c r="FW37">
        <v>1702.79</v>
      </c>
      <c r="FX37">
        <v>0.20039460000000001</v>
      </c>
      <c r="FY37">
        <v>0.63841689999999995</v>
      </c>
      <c r="FZ37">
        <v>0.16118840000000001</v>
      </c>
    </row>
    <row r="38" spans="2:182" x14ac:dyDescent="0.25">
      <c r="B38" t="s">
        <v>162</v>
      </c>
      <c r="C38">
        <v>0</v>
      </c>
      <c r="D38">
        <f t="shared" si="0"/>
        <v>0</v>
      </c>
      <c r="E38">
        <f t="shared" si="1"/>
        <v>0</v>
      </c>
      <c r="F38" t="s">
        <v>197</v>
      </c>
      <c r="G38">
        <v>193</v>
      </c>
      <c r="H38">
        <v>714</v>
      </c>
      <c r="I38">
        <v>55</v>
      </c>
      <c r="J38">
        <v>63</v>
      </c>
      <c r="K38">
        <v>914</v>
      </c>
      <c r="L38">
        <v>1939</v>
      </c>
      <c r="M38">
        <v>109.01</v>
      </c>
      <c r="N38">
        <v>260.47000000000003</v>
      </c>
      <c r="O38">
        <v>5.86</v>
      </c>
      <c r="P38">
        <v>12.22</v>
      </c>
      <c r="Q38">
        <v>65.5</v>
      </c>
      <c r="R38">
        <v>453.06</v>
      </c>
      <c r="S38">
        <v>8.3299999999999999E-2</v>
      </c>
      <c r="T38">
        <v>0.16669999999999999</v>
      </c>
      <c r="U38">
        <v>0.25</v>
      </c>
      <c r="V38">
        <v>0.33329999999999999</v>
      </c>
      <c r="W38">
        <v>0.41670000000000001</v>
      </c>
      <c r="X38">
        <v>0.5</v>
      </c>
      <c r="Y38">
        <v>0.58330000000000004</v>
      </c>
      <c r="Z38">
        <v>0.66669999999999996</v>
      </c>
      <c r="AA38">
        <v>0.75</v>
      </c>
      <c r="AB38">
        <v>0.83330000000000004</v>
      </c>
      <c r="AC38">
        <v>0.90669999999999995</v>
      </c>
      <c r="AD38">
        <v>1</v>
      </c>
      <c r="AE38">
        <v>6.0900000000000003E-2</v>
      </c>
      <c r="AF38">
        <v>0.104</v>
      </c>
      <c r="AG38">
        <v>0.15</v>
      </c>
      <c r="AH38">
        <v>0.22969999999999999</v>
      </c>
      <c r="AI38">
        <v>0.31480000000000002</v>
      </c>
      <c r="AJ38">
        <v>0.38979999999999998</v>
      </c>
      <c r="AK38">
        <v>0.54879999999999995</v>
      </c>
      <c r="AL38">
        <v>0.60360000000000003</v>
      </c>
      <c r="AM38">
        <v>0.60360000000000003</v>
      </c>
      <c r="AN38">
        <v>0.60360000000000003</v>
      </c>
      <c r="AO38">
        <v>0.60360000000000003</v>
      </c>
      <c r="AP38">
        <v>0.60360000000000003</v>
      </c>
      <c r="AQ38">
        <f t="shared" si="2"/>
        <v>8</v>
      </c>
      <c r="AR38" s="370">
        <v>0.60360000000000003</v>
      </c>
      <c r="AS38" s="370">
        <f t="shared" si="3"/>
        <v>7.5450000000000003E-2</v>
      </c>
      <c r="AT38" s="370">
        <f t="shared" si="4"/>
        <v>0.90539999999999998</v>
      </c>
      <c r="AU38">
        <v>387.56</v>
      </c>
      <c r="AV38" s="371">
        <v>0.28127259999999998</v>
      </c>
      <c r="AW38" s="371">
        <v>0.67207660000000002</v>
      </c>
      <c r="AX38" s="371">
        <v>4.6650799999999999E-2</v>
      </c>
      <c r="AY38">
        <v>314</v>
      </c>
      <c r="AZ38">
        <v>880</v>
      </c>
      <c r="BA38">
        <v>112</v>
      </c>
      <c r="BB38">
        <v>50</v>
      </c>
      <c r="BC38">
        <v>858</v>
      </c>
      <c r="BD38">
        <v>2214</v>
      </c>
      <c r="BE38">
        <v>136.53</v>
      </c>
      <c r="BF38">
        <v>344.58</v>
      </c>
      <c r="BG38">
        <v>12.26</v>
      </c>
      <c r="BH38">
        <v>9.64</v>
      </c>
      <c r="BI38">
        <v>114.87</v>
      </c>
      <c r="BJ38">
        <v>617.88</v>
      </c>
      <c r="BK38">
        <v>7.9100000000000004E-2</v>
      </c>
      <c r="BL38">
        <v>0.1583</v>
      </c>
      <c r="BM38">
        <v>0.23749999999999999</v>
      </c>
      <c r="BN38">
        <v>0.31659999999999999</v>
      </c>
      <c r="BO38">
        <v>0.39579999999999999</v>
      </c>
      <c r="BP38">
        <v>0.47499999999999998</v>
      </c>
      <c r="BQ38">
        <v>0.55410000000000004</v>
      </c>
      <c r="BR38">
        <v>0.63329999999999997</v>
      </c>
      <c r="BS38">
        <v>0.71250000000000002</v>
      </c>
      <c r="BT38">
        <v>0.79159999999999997</v>
      </c>
      <c r="BU38">
        <v>0.87080000000000002</v>
      </c>
      <c r="BV38">
        <v>0.95</v>
      </c>
      <c r="BW38">
        <v>5.28E-2</v>
      </c>
      <c r="BX38">
        <v>5.28E-2</v>
      </c>
      <c r="BY38">
        <v>0.1072</v>
      </c>
      <c r="BZ38">
        <v>0.1827</v>
      </c>
      <c r="CA38">
        <v>0.3332</v>
      </c>
      <c r="CB38">
        <v>0.40350000000000003</v>
      </c>
      <c r="CC38">
        <v>0.40350000000000003</v>
      </c>
      <c r="CD38">
        <v>0.56499999999999995</v>
      </c>
      <c r="CE38">
        <v>0.67030000000000001</v>
      </c>
      <c r="CF38">
        <v>0.73309999999999997</v>
      </c>
      <c r="CG38">
        <v>0.82579999999999998</v>
      </c>
      <c r="CH38">
        <v>0.95199999999999996</v>
      </c>
      <c r="CI38">
        <f t="shared" si="5"/>
        <v>12</v>
      </c>
      <c r="CJ38" s="370">
        <v>0.95199999999999996</v>
      </c>
      <c r="CK38" s="370">
        <f t="shared" si="6"/>
        <v>7.9333333333333325E-2</v>
      </c>
      <c r="CL38" s="370">
        <f t="shared" si="7"/>
        <v>1</v>
      </c>
      <c r="CM38">
        <v>503.01</v>
      </c>
      <c r="CN38" s="371">
        <v>0.271426</v>
      </c>
      <c r="CO38" s="371">
        <v>0.68503610000000004</v>
      </c>
      <c r="CP38" s="371">
        <v>4.3537899999999997E-2</v>
      </c>
      <c r="CQ38">
        <v>367</v>
      </c>
      <c r="CR38">
        <v>795</v>
      </c>
      <c r="CS38">
        <v>114</v>
      </c>
      <c r="CT38">
        <v>96</v>
      </c>
      <c r="CU38">
        <v>1759</v>
      </c>
      <c r="CV38">
        <v>3131</v>
      </c>
      <c r="CW38">
        <v>166.93</v>
      </c>
      <c r="CX38">
        <v>287.08</v>
      </c>
      <c r="CY38">
        <v>12.54</v>
      </c>
      <c r="CZ38">
        <v>18.95</v>
      </c>
      <c r="DA38">
        <v>213.47</v>
      </c>
      <c r="DB38">
        <v>698.97</v>
      </c>
      <c r="DC38">
        <v>0.03</v>
      </c>
      <c r="DD38">
        <v>0.05</v>
      </c>
      <c r="DE38">
        <v>0.125</v>
      </c>
      <c r="DF38">
        <v>0.17499999999999999</v>
      </c>
      <c r="DG38">
        <v>0.25</v>
      </c>
      <c r="DH38">
        <v>0.35</v>
      </c>
      <c r="DI38">
        <v>0.4</v>
      </c>
      <c r="DJ38">
        <v>0.55000000000000004</v>
      </c>
      <c r="DK38">
        <v>0.65</v>
      </c>
      <c r="DL38">
        <v>0.72499999999999998</v>
      </c>
      <c r="DM38">
        <v>0.82499999999999996</v>
      </c>
      <c r="DN38">
        <v>0.96</v>
      </c>
      <c r="DO38">
        <v>1E-4</v>
      </c>
      <c r="DP38">
        <v>3.2000000000000001E-2</v>
      </c>
      <c r="DQ38">
        <v>6.7799999999999999E-2</v>
      </c>
      <c r="DR38">
        <v>0.1242</v>
      </c>
      <c r="DS38">
        <v>0.127</v>
      </c>
      <c r="DT38">
        <v>0.33260000000000001</v>
      </c>
      <c r="DU38">
        <v>0.47089999999999999</v>
      </c>
      <c r="DV38">
        <v>0.51329999999999998</v>
      </c>
      <c r="DW38">
        <v>0.57420000000000004</v>
      </c>
      <c r="DX38">
        <v>0.61860000000000004</v>
      </c>
      <c r="DY38">
        <v>0.7833</v>
      </c>
      <c r="DZ38">
        <v>0.95930000000000004</v>
      </c>
      <c r="EA38">
        <f t="shared" si="8"/>
        <v>12</v>
      </c>
      <c r="EB38" s="370">
        <v>0.95930000000000004</v>
      </c>
      <c r="EC38" s="370">
        <f t="shared" si="9"/>
        <v>7.9941666666666675E-2</v>
      </c>
      <c r="ED38" s="370">
        <f t="shared" si="10"/>
        <v>0.99927083333333344</v>
      </c>
      <c r="EE38">
        <v>485.5</v>
      </c>
      <c r="EF38" s="371">
        <v>0.3438311</v>
      </c>
      <c r="EG38" s="371">
        <v>0.5913079</v>
      </c>
      <c r="EH38" s="371">
        <v>6.4861000000000002E-2</v>
      </c>
      <c r="EI38">
        <v>303</v>
      </c>
      <c r="EJ38">
        <v>763</v>
      </c>
      <c r="EK38">
        <v>59</v>
      </c>
      <c r="EL38">
        <v>84</v>
      </c>
      <c r="EM38">
        <v>1958</v>
      </c>
      <c r="EN38">
        <v>3167</v>
      </c>
      <c r="EO38">
        <v>133.74</v>
      </c>
      <c r="EP38">
        <v>170.65</v>
      </c>
      <c r="EQ38">
        <v>4.3600000000000003</v>
      </c>
      <c r="ER38">
        <v>16.86</v>
      </c>
      <c r="ES38">
        <v>134.24</v>
      </c>
      <c r="ET38">
        <v>459.85</v>
      </c>
      <c r="EU38">
        <v>0.03</v>
      </c>
      <c r="EV38">
        <v>0.05</v>
      </c>
      <c r="EW38">
        <v>0.125</v>
      </c>
      <c r="EX38">
        <v>0.17499999999999999</v>
      </c>
      <c r="EY38">
        <v>0.25</v>
      </c>
      <c r="EZ38">
        <v>0.35</v>
      </c>
      <c r="FA38">
        <v>0.4</v>
      </c>
      <c r="FB38">
        <v>0.55000000000000004</v>
      </c>
      <c r="FC38">
        <v>0.65</v>
      </c>
      <c r="FD38">
        <v>0.72499999999999998</v>
      </c>
      <c r="FE38">
        <v>0.82499999999999996</v>
      </c>
      <c r="FF38">
        <v>0.96</v>
      </c>
      <c r="FG38">
        <v>5.04E-2</v>
      </c>
      <c r="FH38">
        <v>7.5899999999999995E-2</v>
      </c>
      <c r="FI38">
        <v>0.15310000000000001</v>
      </c>
      <c r="FJ38">
        <v>0.23960000000000001</v>
      </c>
      <c r="FK38">
        <v>0.29089999999999999</v>
      </c>
      <c r="FL38">
        <v>0.4042</v>
      </c>
      <c r="FM38">
        <v>0.53029999999999999</v>
      </c>
      <c r="FN38">
        <v>0.58409999999999995</v>
      </c>
      <c r="FO38">
        <v>0.58409999999999995</v>
      </c>
      <c r="FP38">
        <v>0</v>
      </c>
      <c r="FQ38">
        <v>0</v>
      </c>
      <c r="FR38">
        <v>0</v>
      </c>
      <c r="FS38">
        <f t="shared" si="11"/>
        <v>8</v>
      </c>
      <c r="FT38">
        <v>0.58409999999999995</v>
      </c>
      <c r="FU38" s="370">
        <f t="shared" si="12"/>
        <v>7.3012499999999994E-2</v>
      </c>
      <c r="FV38" s="370">
        <f t="shared" si="13"/>
        <v>0.91265625000000006</v>
      </c>
      <c r="FW38">
        <v>325.61</v>
      </c>
      <c r="FX38">
        <v>0.41073680000000001</v>
      </c>
      <c r="FY38">
        <v>0.52409320000000004</v>
      </c>
      <c r="FZ38">
        <v>6.5170000000000006E-2</v>
      </c>
    </row>
    <row r="39" spans="2:182" x14ac:dyDescent="0.25">
      <c r="B39" t="s">
        <v>162</v>
      </c>
      <c r="C39">
        <v>0</v>
      </c>
      <c r="D39">
        <f t="shared" si="0"/>
        <v>0</v>
      </c>
      <c r="E39">
        <f t="shared" si="1"/>
        <v>0</v>
      </c>
      <c r="F39" t="s">
        <v>198</v>
      </c>
      <c r="G39">
        <v>31</v>
      </c>
      <c r="H39">
        <v>207</v>
      </c>
      <c r="I39">
        <v>83</v>
      </c>
      <c r="J39">
        <v>0</v>
      </c>
      <c r="K39">
        <v>1265</v>
      </c>
      <c r="L39">
        <v>1586</v>
      </c>
      <c r="M39">
        <v>45.45</v>
      </c>
      <c r="N39">
        <v>318.64</v>
      </c>
      <c r="O39">
        <v>25.06</v>
      </c>
      <c r="P39">
        <v>0</v>
      </c>
      <c r="Q39">
        <v>0</v>
      </c>
      <c r="R39">
        <v>389.15</v>
      </c>
      <c r="S39">
        <v>0.03</v>
      </c>
      <c r="T39">
        <v>5.1999999999999998E-2</v>
      </c>
      <c r="U39">
        <v>0.10349999999999999</v>
      </c>
      <c r="V39">
        <v>0.20499999999999999</v>
      </c>
      <c r="W39">
        <v>0.25119999999999998</v>
      </c>
      <c r="X39">
        <v>0.28649999999999998</v>
      </c>
      <c r="Y39">
        <v>0.31580000000000003</v>
      </c>
      <c r="Z39">
        <v>0.45750000000000002</v>
      </c>
      <c r="AA39">
        <v>0.60680000000000001</v>
      </c>
      <c r="AB39">
        <v>0.6845</v>
      </c>
      <c r="AC39">
        <v>0.69499999999999995</v>
      </c>
      <c r="AD39">
        <v>0.75449999999999995</v>
      </c>
      <c r="AE39">
        <v>1.15E-2</v>
      </c>
      <c r="AF39">
        <v>3.2000000000000001E-2</v>
      </c>
      <c r="AG39">
        <v>6.25E-2</v>
      </c>
      <c r="AH39">
        <v>0.10349999999999999</v>
      </c>
      <c r="AI39">
        <v>0.17499999999999999</v>
      </c>
      <c r="AJ39">
        <v>0.255</v>
      </c>
      <c r="AK39">
        <v>0.316</v>
      </c>
      <c r="AL39">
        <v>0.49</v>
      </c>
      <c r="AM39">
        <v>0.49</v>
      </c>
      <c r="AN39">
        <v>0.49</v>
      </c>
      <c r="AO39">
        <v>0.49</v>
      </c>
      <c r="AP39">
        <v>0.49</v>
      </c>
      <c r="AQ39">
        <f t="shared" si="2"/>
        <v>8</v>
      </c>
      <c r="AR39" s="370">
        <v>0.49</v>
      </c>
      <c r="AS39" s="370">
        <f t="shared" si="3"/>
        <v>6.1249999999999999E-2</v>
      </c>
      <c r="AT39" s="370">
        <f t="shared" si="4"/>
        <v>0.97415506958250497</v>
      </c>
      <c r="AU39">
        <v>389.15</v>
      </c>
      <c r="AV39" s="371">
        <v>0.11679299999999999</v>
      </c>
      <c r="AW39" s="371">
        <v>0.81881020000000004</v>
      </c>
      <c r="AX39" s="371">
        <v>6.4396800000000004E-2</v>
      </c>
      <c r="AY39">
        <v>470</v>
      </c>
      <c r="AZ39">
        <v>610</v>
      </c>
      <c r="BA39">
        <v>191</v>
      </c>
      <c r="BB39">
        <v>1672</v>
      </c>
      <c r="BC39">
        <v>1410</v>
      </c>
      <c r="BD39">
        <v>4353</v>
      </c>
      <c r="BE39">
        <v>83.56</v>
      </c>
      <c r="BF39">
        <v>619.74</v>
      </c>
      <c r="BG39">
        <v>35.58</v>
      </c>
      <c r="BH39">
        <v>262.75</v>
      </c>
      <c r="BI39">
        <v>1675.1</v>
      </c>
      <c r="BJ39">
        <v>2676.73</v>
      </c>
      <c r="BK39">
        <v>0.02</v>
      </c>
      <c r="BL39">
        <v>5.1999999999999998E-2</v>
      </c>
      <c r="BM39">
        <v>0.10349999999999999</v>
      </c>
      <c r="BN39">
        <v>0.20499999999999999</v>
      </c>
      <c r="BO39">
        <v>0.25119999999999998</v>
      </c>
      <c r="BP39">
        <v>0.28649999999999998</v>
      </c>
      <c r="BQ39">
        <v>0.31590000000000001</v>
      </c>
      <c r="BR39">
        <v>0.45750000000000002</v>
      </c>
      <c r="BS39">
        <v>0.60680000000000001</v>
      </c>
      <c r="BT39">
        <v>0.6845</v>
      </c>
      <c r="BU39">
        <v>0.69499999999999995</v>
      </c>
      <c r="BV39">
        <v>0.75449999999999995</v>
      </c>
      <c r="BW39">
        <v>5.0000000000000001E-3</v>
      </c>
      <c r="BX39">
        <v>3.5999999999999997E-2</v>
      </c>
      <c r="BY39">
        <v>7.2099999999999997E-2</v>
      </c>
      <c r="BZ39">
        <v>0.1268</v>
      </c>
      <c r="CA39">
        <v>0.24299999999999999</v>
      </c>
      <c r="CB39">
        <v>0.4153</v>
      </c>
      <c r="CC39">
        <v>0.42909999999999998</v>
      </c>
      <c r="CD39">
        <v>0.50980000000000003</v>
      </c>
      <c r="CE39">
        <v>0.50980000000000003</v>
      </c>
      <c r="CF39">
        <v>0.62260000000000004</v>
      </c>
      <c r="CG39">
        <v>0.62260000000000004</v>
      </c>
      <c r="CH39">
        <v>0.62260000000000004</v>
      </c>
      <c r="CI39">
        <f t="shared" si="5"/>
        <v>10</v>
      </c>
      <c r="CJ39" s="370">
        <v>0.62260000000000004</v>
      </c>
      <c r="CK39" s="370">
        <f t="shared" si="6"/>
        <v>6.2260000000000003E-2</v>
      </c>
      <c r="CL39" s="370">
        <f t="shared" si="7"/>
        <v>0.99021868787276346</v>
      </c>
      <c r="CM39">
        <v>1001.63</v>
      </c>
      <c r="CN39" s="371">
        <v>8.3423999999999998E-2</v>
      </c>
      <c r="CO39" s="371">
        <v>0.61873140000000004</v>
      </c>
      <c r="CP39" s="371">
        <v>0.29784450000000001</v>
      </c>
      <c r="CQ39">
        <v>1618</v>
      </c>
      <c r="CR39">
        <v>2610</v>
      </c>
      <c r="CS39">
        <v>428</v>
      </c>
      <c r="CT39">
        <v>123</v>
      </c>
      <c r="CU39">
        <v>2529</v>
      </c>
      <c r="CV39">
        <v>7308</v>
      </c>
      <c r="CW39">
        <v>432.53</v>
      </c>
      <c r="CX39">
        <v>2060.2600000000002</v>
      </c>
      <c r="CY39">
        <v>103.55</v>
      </c>
      <c r="CZ39">
        <v>40.799999999999997</v>
      </c>
      <c r="DA39">
        <v>350.88</v>
      </c>
      <c r="DB39">
        <v>2988.02</v>
      </c>
      <c r="DC39">
        <v>2.5499999999999998E-2</v>
      </c>
      <c r="DD39">
        <v>6.3399999999999998E-2</v>
      </c>
      <c r="DE39">
        <v>0.1081</v>
      </c>
      <c r="DF39">
        <v>0.16489999999999999</v>
      </c>
      <c r="DG39">
        <v>0.21360000000000001</v>
      </c>
      <c r="DH39">
        <v>0.27260000000000001</v>
      </c>
      <c r="DI39">
        <v>0.33650000000000002</v>
      </c>
      <c r="DJ39">
        <v>0.3982</v>
      </c>
      <c r="DK39">
        <v>0.4607</v>
      </c>
      <c r="DL39">
        <v>0.52390000000000003</v>
      </c>
      <c r="DM39">
        <v>0.58930000000000005</v>
      </c>
      <c r="DN39">
        <v>0.6613</v>
      </c>
      <c r="DO39">
        <v>0</v>
      </c>
      <c r="DP39">
        <v>0</v>
      </c>
      <c r="DQ39">
        <v>0</v>
      </c>
      <c r="DR39">
        <v>0</v>
      </c>
      <c r="DS39">
        <v>0.2969</v>
      </c>
      <c r="DT39">
        <v>0.57609999999999995</v>
      </c>
      <c r="DU39">
        <v>0.57609999999999995</v>
      </c>
      <c r="DV39">
        <v>0.57809999999999995</v>
      </c>
      <c r="DW39">
        <v>0.63</v>
      </c>
      <c r="DX39">
        <v>0.66839999999999999</v>
      </c>
      <c r="DY39">
        <v>0.76400000000000001</v>
      </c>
      <c r="DZ39">
        <v>0.86599999999999999</v>
      </c>
      <c r="EA39">
        <f t="shared" si="8"/>
        <v>12</v>
      </c>
      <c r="EB39" s="370">
        <v>0.86599999999999999</v>
      </c>
      <c r="EC39" s="370">
        <f t="shared" si="9"/>
        <v>7.2166666666666671E-2</v>
      </c>
      <c r="ED39" s="370">
        <f t="shared" si="10"/>
        <v>1</v>
      </c>
      <c r="EE39">
        <v>2637.14</v>
      </c>
      <c r="EF39" s="371">
        <v>0.16401479999999999</v>
      </c>
      <c r="EG39" s="371">
        <v>0.7812479</v>
      </c>
      <c r="EH39" s="371">
        <v>5.4737300000000003E-2</v>
      </c>
      <c r="EI39">
        <v>1307</v>
      </c>
      <c r="EJ39">
        <v>865</v>
      </c>
      <c r="EK39">
        <v>195</v>
      </c>
      <c r="EL39">
        <v>232</v>
      </c>
      <c r="EM39">
        <v>3148</v>
      </c>
      <c r="EN39">
        <v>5747</v>
      </c>
      <c r="EO39">
        <v>298.04000000000002</v>
      </c>
      <c r="EP39">
        <v>444.69</v>
      </c>
      <c r="EQ39">
        <v>27.39</v>
      </c>
      <c r="ER39">
        <v>122.26</v>
      </c>
      <c r="ES39">
        <v>396.33</v>
      </c>
      <c r="ET39">
        <v>1288.71</v>
      </c>
      <c r="EU39">
        <v>0</v>
      </c>
      <c r="EV39">
        <v>0</v>
      </c>
      <c r="EW39">
        <v>0</v>
      </c>
      <c r="EX39">
        <v>0</v>
      </c>
      <c r="EY39">
        <v>0</v>
      </c>
      <c r="EZ39">
        <v>0</v>
      </c>
      <c r="FA39">
        <v>0</v>
      </c>
      <c r="FB39">
        <v>0</v>
      </c>
      <c r="FC39">
        <v>0</v>
      </c>
      <c r="FD39">
        <v>0</v>
      </c>
      <c r="FE39">
        <v>0</v>
      </c>
      <c r="FF39">
        <v>0</v>
      </c>
      <c r="FG39">
        <v>0</v>
      </c>
      <c r="FH39">
        <v>0</v>
      </c>
      <c r="FI39">
        <v>0</v>
      </c>
      <c r="FJ39">
        <v>0</v>
      </c>
      <c r="FK39">
        <v>0</v>
      </c>
      <c r="FL39">
        <v>0</v>
      </c>
      <c r="FM39">
        <v>0</v>
      </c>
      <c r="FN39">
        <v>0</v>
      </c>
      <c r="FO39">
        <v>0</v>
      </c>
      <c r="FP39">
        <v>0</v>
      </c>
      <c r="FQ39">
        <v>0</v>
      </c>
      <c r="FR39">
        <v>0</v>
      </c>
      <c r="FS39">
        <f t="shared" si="11"/>
        <v>0</v>
      </c>
      <c r="FT39">
        <v>0</v>
      </c>
      <c r="FU39" s="370">
        <f t="shared" si="12"/>
        <v>0</v>
      </c>
      <c r="FV39" s="370">
        <f t="shared" si="13"/>
        <v>0</v>
      </c>
      <c r="FW39">
        <v>892.38</v>
      </c>
      <c r="FX39">
        <v>0.33398329999999998</v>
      </c>
      <c r="FY39">
        <v>0.49831910000000001</v>
      </c>
      <c r="FZ39">
        <v>0.1676976</v>
      </c>
    </row>
    <row r="40" spans="2:182" x14ac:dyDescent="0.25">
      <c r="B40" t="s">
        <v>162</v>
      </c>
      <c r="C40">
        <v>2</v>
      </c>
      <c r="D40">
        <f t="shared" si="0"/>
        <v>1</v>
      </c>
      <c r="E40">
        <f t="shared" si="1"/>
        <v>0</v>
      </c>
      <c r="F40" t="s">
        <v>235</v>
      </c>
      <c r="G40">
        <v>907</v>
      </c>
      <c r="H40">
        <v>363</v>
      </c>
      <c r="I40">
        <v>139</v>
      </c>
      <c r="J40">
        <v>39</v>
      </c>
      <c r="K40">
        <v>670</v>
      </c>
      <c r="L40">
        <v>2118</v>
      </c>
      <c r="M40">
        <v>79.66</v>
      </c>
      <c r="N40">
        <v>131.96</v>
      </c>
      <c r="O40">
        <v>6.74</v>
      </c>
      <c r="P40">
        <v>1.87</v>
      </c>
      <c r="Q40">
        <v>215.69</v>
      </c>
      <c r="R40">
        <v>435.92</v>
      </c>
      <c r="S40">
        <v>7.0000000000000007E-2</v>
      </c>
      <c r="T40">
        <v>0.18</v>
      </c>
      <c r="U40">
        <v>0.25</v>
      </c>
      <c r="V40">
        <v>0.34</v>
      </c>
      <c r="W40">
        <v>0.43</v>
      </c>
      <c r="X40">
        <v>0.55000000000000004</v>
      </c>
      <c r="Y40">
        <v>0.65</v>
      </c>
      <c r="Z40">
        <v>0.73</v>
      </c>
      <c r="AA40">
        <v>0.81</v>
      </c>
      <c r="AB40">
        <v>0.89</v>
      </c>
      <c r="AC40">
        <v>0.95</v>
      </c>
      <c r="AD40">
        <v>1</v>
      </c>
      <c r="AE40">
        <v>0.04</v>
      </c>
      <c r="AF40">
        <v>9.3399999999999997E-2</v>
      </c>
      <c r="AG40">
        <v>0.14299999999999999</v>
      </c>
      <c r="AH40">
        <v>0</v>
      </c>
      <c r="AI40">
        <v>0</v>
      </c>
      <c r="AJ40">
        <v>0.32</v>
      </c>
      <c r="AK40">
        <v>0.47</v>
      </c>
      <c r="AL40">
        <v>0.54</v>
      </c>
      <c r="AM40">
        <v>0.54</v>
      </c>
      <c r="AN40">
        <v>0.54</v>
      </c>
      <c r="AO40">
        <v>0.54</v>
      </c>
      <c r="AP40">
        <v>0.54</v>
      </c>
      <c r="AQ40">
        <f t="shared" si="2"/>
        <v>8</v>
      </c>
      <c r="AR40" s="370">
        <v>0.54</v>
      </c>
      <c r="AS40" s="370">
        <f t="shared" si="3"/>
        <v>6.7500000000000004E-2</v>
      </c>
      <c r="AT40" s="370">
        <f t="shared" si="4"/>
        <v>0.81</v>
      </c>
      <c r="AU40">
        <v>220.23</v>
      </c>
      <c r="AV40" s="371">
        <v>0.3617128</v>
      </c>
      <c r="AW40" s="371">
        <v>0.59919169999999999</v>
      </c>
      <c r="AX40" s="371">
        <v>3.9095499999999998E-2</v>
      </c>
      <c r="AY40">
        <v>61</v>
      </c>
      <c r="AZ40">
        <v>88</v>
      </c>
      <c r="BA40">
        <v>23</v>
      </c>
      <c r="BB40">
        <v>0</v>
      </c>
      <c r="BC40">
        <v>68</v>
      </c>
      <c r="BD40">
        <v>240</v>
      </c>
      <c r="BE40">
        <v>31.1</v>
      </c>
      <c r="BF40">
        <v>151.27000000000001</v>
      </c>
      <c r="BG40">
        <v>5.56</v>
      </c>
      <c r="BH40">
        <v>0</v>
      </c>
      <c r="BI40">
        <v>7.37</v>
      </c>
      <c r="BJ40">
        <v>195.3</v>
      </c>
      <c r="BK40">
        <v>0.04</v>
      </c>
      <c r="BL40">
        <v>0.08</v>
      </c>
      <c r="BM40">
        <v>0.14000000000000001</v>
      </c>
      <c r="BN40">
        <v>0.21</v>
      </c>
      <c r="BO40">
        <v>0.28999999999999998</v>
      </c>
      <c r="BP40">
        <v>0.37</v>
      </c>
      <c r="BQ40">
        <v>0.45</v>
      </c>
      <c r="BR40">
        <v>0.54</v>
      </c>
      <c r="BS40">
        <v>0.63</v>
      </c>
      <c r="BT40">
        <v>0.72</v>
      </c>
      <c r="BU40">
        <v>0.82</v>
      </c>
      <c r="BV40">
        <v>0.95</v>
      </c>
      <c r="BW40">
        <v>3.5000000000000003E-2</v>
      </c>
      <c r="BX40">
        <v>0.08</v>
      </c>
      <c r="BY40">
        <v>0.12</v>
      </c>
      <c r="BZ40">
        <v>0</v>
      </c>
      <c r="CA40">
        <v>0.29249999999999998</v>
      </c>
      <c r="CB40">
        <v>0.41220000000000001</v>
      </c>
      <c r="CC40">
        <v>0.45269999999999999</v>
      </c>
      <c r="CD40">
        <v>0.55000000000000004</v>
      </c>
      <c r="CE40">
        <v>0.63</v>
      </c>
      <c r="CF40">
        <v>0.71</v>
      </c>
      <c r="CG40">
        <v>0.71</v>
      </c>
      <c r="CH40">
        <v>0.71</v>
      </c>
      <c r="CI40">
        <f t="shared" si="5"/>
        <v>10</v>
      </c>
      <c r="CJ40" s="370">
        <v>0.71</v>
      </c>
      <c r="CK40" s="370">
        <f t="shared" si="6"/>
        <v>7.0999999999999994E-2</v>
      </c>
      <c r="CL40" s="370">
        <f t="shared" si="7"/>
        <v>0.89684210526315777</v>
      </c>
      <c r="CM40">
        <v>187.93</v>
      </c>
      <c r="CN40" s="371">
        <v>0.1654872</v>
      </c>
      <c r="CO40" s="371">
        <v>0.80492730000000001</v>
      </c>
      <c r="CP40" s="371">
        <v>2.9585500000000001E-2</v>
      </c>
      <c r="CQ40">
        <v>1394</v>
      </c>
      <c r="CR40">
        <v>1005</v>
      </c>
      <c r="CS40">
        <v>373</v>
      </c>
      <c r="CT40">
        <v>72</v>
      </c>
      <c r="CU40">
        <v>1413</v>
      </c>
      <c r="CV40">
        <v>4257</v>
      </c>
      <c r="CW40">
        <v>133.07</v>
      </c>
      <c r="CX40">
        <v>488.06</v>
      </c>
      <c r="CY40">
        <v>20.61</v>
      </c>
      <c r="CZ40">
        <v>5.35</v>
      </c>
      <c r="DA40">
        <v>188.53</v>
      </c>
      <c r="DB40">
        <v>835.62</v>
      </c>
      <c r="DC40">
        <v>3.56E-2</v>
      </c>
      <c r="DD40">
        <v>7.1099999999999997E-2</v>
      </c>
      <c r="DE40">
        <v>0.1244</v>
      </c>
      <c r="DF40">
        <v>0.1867</v>
      </c>
      <c r="DG40">
        <v>0.25779999999999997</v>
      </c>
      <c r="DH40">
        <v>0.32890000000000003</v>
      </c>
      <c r="DI40">
        <v>0.4</v>
      </c>
      <c r="DJ40">
        <v>0.48</v>
      </c>
      <c r="DK40">
        <v>0.56000000000000005</v>
      </c>
      <c r="DL40">
        <v>0.63990000000000002</v>
      </c>
      <c r="DM40">
        <v>0.7288</v>
      </c>
      <c r="DN40">
        <v>0.88880000000000003</v>
      </c>
      <c r="DO40">
        <v>5.7500000000000002E-2</v>
      </c>
      <c r="DP40">
        <v>6.0699999999999997E-2</v>
      </c>
      <c r="DQ40">
        <v>9.3899999999999997E-2</v>
      </c>
      <c r="DR40">
        <v>0.14929999999999999</v>
      </c>
      <c r="DS40">
        <v>0.24310000000000001</v>
      </c>
      <c r="DT40">
        <v>0.39090000000000003</v>
      </c>
      <c r="DU40">
        <v>0.40550000000000003</v>
      </c>
      <c r="DV40">
        <v>0.47239999999999999</v>
      </c>
      <c r="DW40">
        <v>0.54649999999999999</v>
      </c>
      <c r="DX40">
        <v>0.63070000000000004</v>
      </c>
      <c r="DY40">
        <v>0.69769999999999999</v>
      </c>
      <c r="DZ40">
        <v>0.86129999999999995</v>
      </c>
      <c r="EA40">
        <f t="shared" si="8"/>
        <v>12</v>
      </c>
      <c r="EB40" s="370">
        <v>0.86129999999999995</v>
      </c>
      <c r="EC40" s="370">
        <f t="shared" si="9"/>
        <v>7.1774999999999992E-2</v>
      </c>
      <c r="ED40" s="370">
        <f t="shared" si="10"/>
        <v>0.96905940594059392</v>
      </c>
      <c r="EE40">
        <v>647.09</v>
      </c>
      <c r="EF40" s="371">
        <v>0.20564370000000001</v>
      </c>
      <c r="EG40" s="371">
        <v>0.75423819999999997</v>
      </c>
      <c r="EH40" s="371">
        <v>4.0118099999999997E-2</v>
      </c>
      <c r="EI40">
        <v>1513</v>
      </c>
      <c r="EJ40">
        <v>941</v>
      </c>
      <c r="EK40">
        <v>400</v>
      </c>
      <c r="EL40">
        <v>122</v>
      </c>
      <c r="EM40">
        <v>7246</v>
      </c>
      <c r="EN40">
        <v>10222</v>
      </c>
      <c r="EO40">
        <v>96.74</v>
      </c>
      <c r="EP40">
        <v>381.53</v>
      </c>
      <c r="EQ40">
        <v>23.12</v>
      </c>
      <c r="ER40">
        <v>8.17</v>
      </c>
      <c r="ES40">
        <v>384.27</v>
      </c>
      <c r="ET40">
        <v>893.83</v>
      </c>
      <c r="EU40">
        <v>7.5999999999999998E-2</v>
      </c>
      <c r="EV40">
        <v>0.15279999999999999</v>
      </c>
      <c r="EW40">
        <v>0.28010000000000002</v>
      </c>
      <c r="EX40">
        <v>0.3735</v>
      </c>
      <c r="EY40">
        <v>0.4536</v>
      </c>
      <c r="EZ40">
        <v>0.62539999999999996</v>
      </c>
      <c r="FA40">
        <v>0.7228</v>
      </c>
      <c r="FB40">
        <v>0.81089999999999995</v>
      </c>
      <c r="FC40">
        <v>0.85660000000000003</v>
      </c>
      <c r="FD40">
        <v>0.91259999999999997</v>
      </c>
      <c r="FE40">
        <v>0.95599999999999996</v>
      </c>
      <c r="FF40">
        <v>1</v>
      </c>
      <c r="FG40">
        <v>2.6200000000000001E-2</v>
      </c>
      <c r="FH40">
        <v>8.8900000000000007E-2</v>
      </c>
      <c r="FI40">
        <v>0.1158</v>
      </c>
      <c r="FJ40">
        <v>0.184</v>
      </c>
      <c r="FK40">
        <v>0.26450000000000001</v>
      </c>
      <c r="FL40">
        <v>0.36470000000000002</v>
      </c>
      <c r="FM40">
        <v>0.44390000000000002</v>
      </c>
      <c r="FN40">
        <v>0.52239999999999998</v>
      </c>
      <c r="FO40">
        <v>0.59309999999999996</v>
      </c>
      <c r="FP40">
        <v>0</v>
      </c>
      <c r="FQ40">
        <v>0</v>
      </c>
      <c r="FR40">
        <v>0</v>
      </c>
      <c r="FS40">
        <f t="shared" si="11"/>
        <v>9</v>
      </c>
      <c r="FT40">
        <v>0.59309999999999996</v>
      </c>
      <c r="FU40" s="370">
        <f t="shared" si="12"/>
        <v>6.59E-2</v>
      </c>
      <c r="FV40" s="370">
        <f t="shared" si="13"/>
        <v>0.79079999999999995</v>
      </c>
      <c r="FW40">
        <v>509.56</v>
      </c>
      <c r="FX40">
        <v>0.18985009999999999</v>
      </c>
      <c r="FY40">
        <v>0.74874399999999997</v>
      </c>
      <c r="FZ40">
        <v>6.1405899999999999E-2</v>
      </c>
    </row>
    <row r="41" spans="2:182" x14ac:dyDescent="0.25">
      <c r="B41" t="s">
        <v>2</v>
      </c>
      <c r="C41">
        <v>1</v>
      </c>
      <c r="D41">
        <f t="shared" si="0"/>
        <v>1</v>
      </c>
      <c r="E41">
        <f t="shared" si="1"/>
        <v>1</v>
      </c>
      <c r="F41" t="s">
        <v>199</v>
      </c>
      <c r="G41">
        <v>470</v>
      </c>
      <c r="H41">
        <v>522</v>
      </c>
      <c r="I41">
        <v>296</v>
      </c>
      <c r="J41">
        <v>22</v>
      </c>
      <c r="K41">
        <v>2187</v>
      </c>
      <c r="L41">
        <v>3497</v>
      </c>
      <c r="M41">
        <v>172.17</v>
      </c>
      <c r="N41">
        <v>568.46</v>
      </c>
      <c r="O41">
        <v>38.78</v>
      </c>
      <c r="P41">
        <v>7.99</v>
      </c>
      <c r="Q41">
        <v>514.41</v>
      </c>
      <c r="R41">
        <v>1301.81</v>
      </c>
      <c r="S41">
        <v>7.0000000000000007E-2</v>
      </c>
      <c r="T41">
        <v>0.1</v>
      </c>
      <c r="U41">
        <v>0.18</v>
      </c>
      <c r="V41">
        <v>0.25</v>
      </c>
      <c r="W41">
        <v>0.32</v>
      </c>
      <c r="X41">
        <v>0.41</v>
      </c>
      <c r="Y41">
        <v>0.52</v>
      </c>
      <c r="Z41">
        <v>0.6</v>
      </c>
      <c r="AA41">
        <v>0.64</v>
      </c>
      <c r="AB41">
        <v>0.72</v>
      </c>
      <c r="AC41">
        <v>0.8</v>
      </c>
      <c r="AD41">
        <v>0.93</v>
      </c>
      <c r="AE41">
        <v>0.03</v>
      </c>
      <c r="AF41">
        <v>0.03</v>
      </c>
      <c r="AG41">
        <v>0.1</v>
      </c>
      <c r="AH41">
        <v>0.1948</v>
      </c>
      <c r="AI41">
        <v>0.28660000000000002</v>
      </c>
      <c r="AJ41">
        <v>0.34</v>
      </c>
      <c r="AK41">
        <v>0.48</v>
      </c>
      <c r="AL41">
        <v>0.55000000000000004</v>
      </c>
      <c r="AM41">
        <v>0.55000000000000004</v>
      </c>
      <c r="AN41">
        <v>0.55000000000000004</v>
      </c>
      <c r="AO41">
        <v>0.55000000000000004</v>
      </c>
      <c r="AP41">
        <v>0.55000000000000004</v>
      </c>
      <c r="AQ41">
        <f t="shared" si="2"/>
        <v>8</v>
      </c>
      <c r="AR41" s="370">
        <v>0.55000000000000004</v>
      </c>
      <c r="AS41" s="370">
        <f t="shared" si="3"/>
        <v>6.8750000000000006E-2</v>
      </c>
      <c r="AT41" s="370">
        <f t="shared" si="4"/>
        <v>0.88709677419354838</v>
      </c>
      <c r="AU41">
        <v>787.4</v>
      </c>
      <c r="AV41" s="371">
        <v>0.2186563</v>
      </c>
      <c r="AW41" s="371">
        <v>0.72194559999999997</v>
      </c>
      <c r="AX41" s="371">
        <v>5.9397999999999999E-2</v>
      </c>
      <c r="AY41">
        <v>419</v>
      </c>
      <c r="AZ41">
        <v>707</v>
      </c>
      <c r="BA41">
        <v>389</v>
      </c>
      <c r="BB41">
        <v>47</v>
      </c>
      <c r="BC41">
        <v>2037</v>
      </c>
      <c r="BD41">
        <v>3599</v>
      </c>
      <c r="BE41">
        <v>173.43</v>
      </c>
      <c r="BF41">
        <v>763.91</v>
      </c>
      <c r="BG41">
        <v>118.36</v>
      </c>
      <c r="BH41">
        <v>8.18</v>
      </c>
      <c r="BI41">
        <v>508.02</v>
      </c>
      <c r="BJ41">
        <v>1571.9</v>
      </c>
      <c r="BK41">
        <v>7.0000000000000007E-2</v>
      </c>
      <c r="BL41">
        <v>0.1</v>
      </c>
      <c r="BM41">
        <v>0.18</v>
      </c>
      <c r="BN41">
        <v>0.25</v>
      </c>
      <c r="BO41">
        <v>0.32</v>
      </c>
      <c r="BP41">
        <v>0.41</v>
      </c>
      <c r="BQ41">
        <v>0.52</v>
      </c>
      <c r="BR41">
        <v>0.6</v>
      </c>
      <c r="BS41">
        <v>0.64</v>
      </c>
      <c r="BT41">
        <v>0.72</v>
      </c>
      <c r="BU41">
        <v>0.8</v>
      </c>
      <c r="BV41">
        <v>0.93</v>
      </c>
      <c r="BW41">
        <v>0.03</v>
      </c>
      <c r="BX41">
        <v>0.1</v>
      </c>
      <c r="BY41">
        <v>0.1424</v>
      </c>
      <c r="BZ41">
        <v>0.2233</v>
      </c>
      <c r="CA41">
        <v>0.30590000000000001</v>
      </c>
      <c r="CB41">
        <v>0.39579999999999999</v>
      </c>
      <c r="CC41">
        <v>0.44640000000000002</v>
      </c>
      <c r="CD41">
        <v>0.56589999999999996</v>
      </c>
      <c r="CE41">
        <v>0.627</v>
      </c>
      <c r="CF41">
        <v>0.70469999999999999</v>
      </c>
      <c r="CG41">
        <v>0.79920000000000002</v>
      </c>
      <c r="CH41">
        <v>0.8851</v>
      </c>
      <c r="CI41">
        <f t="shared" si="5"/>
        <v>12</v>
      </c>
      <c r="CJ41" s="370">
        <v>0.8851</v>
      </c>
      <c r="CK41" s="370">
        <f t="shared" si="6"/>
        <v>7.3758333333333329E-2</v>
      </c>
      <c r="CL41" s="370">
        <f t="shared" si="7"/>
        <v>0.95172043010752683</v>
      </c>
      <c r="CM41">
        <v>1063.8800000000001</v>
      </c>
      <c r="CN41" s="371">
        <v>0.16301650000000001</v>
      </c>
      <c r="CO41" s="371">
        <v>0.7180415</v>
      </c>
      <c r="CP41" s="371">
        <v>0.11894200000000001</v>
      </c>
      <c r="CQ41">
        <v>527</v>
      </c>
      <c r="CR41">
        <v>593</v>
      </c>
      <c r="CS41">
        <v>288</v>
      </c>
      <c r="CT41">
        <v>82</v>
      </c>
      <c r="CU41">
        <v>1785</v>
      </c>
      <c r="CV41">
        <v>3275</v>
      </c>
      <c r="CW41">
        <v>0</v>
      </c>
      <c r="CX41">
        <v>530.73</v>
      </c>
      <c r="CY41">
        <v>57.83</v>
      </c>
      <c r="CZ41">
        <v>32.18</v>
      </c>
      <c r="DA41">
        <v>481.68</v>
      </c>
      <c r="DB41">
        <v>1401.99</v>
      </c>
      <c r="DC41">
        <v>7.5399999999999995E-2</v>
      </c>
      <c r="DD41">
        <v>0.1507</v>
      </c>
      <c r="DE41">
        <v>0.2261</v>
      </c>
      <c r="DF41">
        <v>0.30149999999999999</v>
      </c>
      <c r="DG41">
        <v>0.37690000000000001</v>
      </c>
      <c r="DH41">
        <v>0.45219999999999999</v>
      </c>
      <c r="DI41">
        <v>0.52759999999999996</v>
      </c>
      <c r="DJ41">
        <v>0.60299999999999998</v>
      </c>
      <c r="DK41">
        <v>0.6784</v>
      </c>
      <c r="DL41">
        <v>0.75370000000000004</v>
      </c>
      <c r="DM41">
        <v>0.82909999999999995</v>
      </c>
      <c r="DN41">
        <v>0.84119999999999995</v>
      </c>
      <c r="DO41">
        <v>9.4999999999999998E-3</v>
      </c>
      <c r="DP41">
        <v>4.6899999999999997E-2</v>
      </c>
      <c r="DQ41">
        <v>9.1600000000000001E-2</v>
      </c>
      <c r="DR41">
        <v>0.13289999999999999</v>
      </c>
      <c r="DS41">
        <v>0.22900000000000001</v>
      </c>
      <c r="DT41">
        <v>0.2984</v>
      </c>
      <c r="DU41">
        <v>0.34599999999999997</v>
      </c>
      <c r="DV41">
        <v>0.42499999999999999</v>
      </c>
      <c r="DW41">
        <v>0.47299999999999998</v>
      </c>
      <c r="DX41">
        <v>0.56259999999999999</v>
      </c>
      <c r="DY41">
        <v>0.74180000000000001</v>
      </c>
      <c r="DZ41">
        <v>0.879</v>
      </c>
      <c r="EA41">
        <f t="shared" si="8"/>
        <v>12</v>
      </c>
      <c r="EB41" s="370">
        <v>0.879</v>
      </c>
      <c r="EC41" s="370">
        <f t="shared" si="9"/>
        <v>7.3249999999999996E-2</v>
      </c>
      <c r="ED41" s="370">
        <f t="shared" si="10"/>
        <v>1</v>
      </c>
      <c r="EE41">
        <v>620.74</v>
      </c>
      <c r="EF41" s="371">
        <v>0</v>
      </c>
      <c r="EG41" s="371">
        <v>0.85499570000000003</v>
      </c>
      <c r="EH41" s="371">
        <v>0.1450043</v>
      </c>
      <c r="EI41">
        <v>1178</v>
      </c>
      <c r="EJ41">
        <v>671</v>
      </c>
      <c r="EK41">
        <v>263</v>
      </c>
      <c r="EL41">
        <v>530</v>
      </c>
      <c r="EM41">
        <v>1381</v>
      </c>
      <c r="EN41">
        <v>4023</v>
      </c>
      <c r="EO41">
        <v>351</v>
      </c>
      <c r="EP41">
        <v>677.27</v>
      </c>
      <c r="EQ41">
        <v>27.97</v>
      </c>
      <c r="ER41">
        <v>43.15</v>
      </c>
      <c r="ES41">
        <v>471.25</v>
      </c>
      <c r="ET41">
        <v>1570.64</v>
      </c>
      <c r="EU41">
        <v>8.2000000000000003E-2</v>
      </c>
      <c r="EV41">
        <v>0.17330000000000001</v>
      </c>
      <c r="EW41">
        <v>0.25380000000000003</v>
      </c>
      <c r="EX41">
        <v>0.3286</v>
      </c>
      <c r="EY41">
        <v>0.40429999999999999</v>
      </c>
      <c r="EZ41">
        <v>0.5</v>
      </c>
      <c r="FA41">
        <v>0.58250000000000002</v>
      </c>
      <c r="FB41">
        <v>0.68540000000000001</v>
      </c>
      <c r="FC41">
        <v>0.74270000000000003</v>
      </c>
      <c r="FD41">
        <v>0.77769999999999995</v>
      </c>
      <c r="FE41">
        <v>0.81430000000000002</v>
      </c>
      <c r="FF41">
        <v>0.92720000000000002</v>
      </c>
      <c r="FG41">
        <v>0</v>
      </c>
      <c r="FH41">
        <v>6.8500000000000005E-2</v>
      </c>
      <c r="FI41">
        <v>0.1338</v>
      </c>
      <c r="FJ41">
        <v>0.1968</v>
      </c>
      <c r="FK41">
        <v>0.28899999999999998</v>
      </c>
      <c r="FL41">
        <v>0.35659999999999997</v>
      </c>
      <c r="FM41">
        <v>0.42849999999999999</v>
      </c>
      <c r="FN41">
        <v>0.51590000000000003</v>
      </c>
      <c r="FO41">
        <v>0.51590000000000003</v>
      </c>
      <c r="FP41">
        <v>0</v>
      </c>
      <c r="FQ41">
        <v>0</v>
      </c>
      <c r="FR41">
        <v>0</v>
      </c>
      <c r="FS41">
        <f t="shared" si="11"/>
        <v>8</v>
      </c>
      <c r="FT41">
        <v>0.51590000000000003</v>
      </c>
      <c r="FU41" s="370">
        <f t="shared" si="12"/>
        <v>6.4487500000000003E-2</v>
      </c>
      <c r="FV41" s="370">
        <f t="shared" si="13"/>
        <v>0.83460957722174289</v>
      </c>
      <c r="FW41">
        <v>1099.3900000000001</v>
      </c>
      <c r="FX41">
        <v>0.319268</v>
      </c>
      <c r="FY41">
        <v>0.61604159999999997</v>
      </c>
      <c r="FZ41">
        <v>6.4690399999999995E-2</v>
      </c>
    </row>
    <row r="42" spans="2:182" x14ac:dyDescent="0.25">
      <c r="B42" t="s">
        <v>2</v>
      </c>
      <c r="C42">
        <v>0</v>
      </c>
      <c r="D42">
        <f t="shared" si="0"/>
        <v>0</v>
      </c>
      <c r="E42">
        <f t="shared" si="1"/>
        <v>0</v>
      </c>
      <c r="F42" t="s">
        <v>200</v>
      </c>
      <c r="G42">
        <v>0</v>
      </c>
      <c r="H42">
        <v>0</v>
      </c>
      <c r="I42">
        <v>0</v>
      </c>
      <c r="J42">
        <v>0</v>
      </c>
      <c r="K42">
        <v>0</v>
      </c>
      <c r="L42">
        <v>0</v>
      </c>
      <c r="M42">
        <v>0</v>
      </c>
      <c r="N42">
        <v>0</v>
      </c>
      <c r="O42">
        <v>0</v>
      </c>
      <c r="P42">
        <v>0</v>
      </c>
      <c r="Q42">
        <v>0</v>
      </c>
      <c r="R42">
        <v>0</v>
      </c>
      <c r="S42">
        <v>0.02</v>
      </c>
      <c r="T42">
        <v>0.1</v>
      </c>
      <c r="U42">
        <v>0.22</v>
      </c>
      <c r="V42">
        <v>0.3</v>
      </c>
      <c r="W42">
        <v>0.42</v>
      </c>
      <c r="X42">
        <v>0.49</v>
      </c>
      <c r="Y42">
        <v>0.57999999999999996</v>
      </c>
      <c r="Z42">
        <v>0.67</v>
      </c>
      <c r="AA42">
        <v>0.72</v>
      </c>
      <c r="AB42">
        <v>0.8</v>
      </c>
      <c r="AC42">
        <v>0.87</v>
      </c>
      <c r="AD42">
        <v>0.96</v>
      </c>
      <c r="AE42">
        <v>0</v>
      </c>
      <c r="AF42">
        <v>0</v>
      </c>
      <c r="AG42">
        <v>0</v>
      </c>
      <c r="AH42">
        <v>0</v>
      </c>
      <c r="AI42">
        <v>0</v>
      </c>
      <c r="AJ42">
        <v>0</v>
      </c>
      <c r="AK42">
        <v>0.53</v>
      </c>
      <c r="AL42">
        <v>0.63</v>
      </c>
      <c r="AM42">
        <v>0.63</v>
      </c>
      <c r="AN42">
        <v>0.63</v>
      </c>
      <c r="AO42">
        <v>0.63</v>
      </c>
      <c r="AP42">
        <v>0.63</v>
      </c>
      <c r="AQ42">
        <f t="shared" si="2"/>
        <v>8</v>
      </c>
      <c r="AR42" s="370">
        <v>0.63</v>
      </c>
      <c r="AS42" s="370">
        <f t="shared" si="3"/>
        <v>7.8750000000000001E-2</v>
      </c>
      <c r="AT42" s="370">
        <f t="shared" si="4"/>
        <v>0.98437500000000011</v>
      </c>
      <c r="AU42">
        <v>0</v>
      </c>
      <c r="AV42" s="371">
        <v>0</v>
      </c>
      <c r="AW42" s="371">
        <v>0</v>
      </c>
      <c r="AX42" s="371">
        <v>0</v>
      </c>
      <c r="AY42">
        <v>350</v>
      </c>
      <c r="AZ42">
        <v>325</v>
      </c>
      <c r="BA42">
        <v>300</v>
      </c>
      <c r="BB42">
        <v>50</v>
      </c>
      <c r="BC42">
        <v>0</v>
      </c>
      <c r="BD42">
        <v>1025</v>
      </c>
      <c r="BE42">
        <v>0</v>
      </c>
      <c r="BF42">
        <v>0</v>
      </c>
      <c r="BG42">
        <v>0</v>
      </c>
      <c r="BH42">
        <v>0</v>
      </c>
      <c r="BI42">
        <v>0</v>
      </c>
      <c r="BJ42">
        <v>0</v>
      </c>
      <c r="BK42">
        <v>0.01</v>
      </c>
      <c r="BL42">
        <v>0.05</v>
      </c>
      <c r="BM42">
        <v>0.1</v>
      </c>
      <c r="BN42">
        <v>0.19</v>
      </c>
      <c r="BO42">
        <v>0.3</v>
      </c>
      <c r="BP42">
        <v>0.45</v>
      </c>
      <c r="BQ42">
        <v>0.56000000000000005</v>
      </c>
      <c r="BR42">
        <v>0.69</v>
      </c>
      <c r="BS42">
        <v>0.77</v>
      </c>
      <c r="BT42">
        <v>0.82</v>
      </c>
      <c r="BU42">
        <v>0.88</v>
      </c>
      <c r="BV42">
        <v>0.95</v>
      </c>
      <c r="BW42">
        <v>0.01</v>
      </c>
      <c r="BX42">
        <v>0.04</v>
      </c>
      <c r="BY42">
        <v>0.06</v>
      </c>
      <c r="BZ42">
        <v>0.18</v>
      </c>
      <c r="CA42">
        <v>0.24</v>
      </c>
      <c r="CB42">
        <v>0.34</v>
      </c>
      <c r="CC42">
        <v>0.43</v>
      </c>
      <c r="CD42">
        <v>0.49</v>
      </c>
      <c r="CE42">
        <v>0.56000000000000005</v>
      </c>
      <c r="CF42">
        <v>0.56000000000000005</v>
      </c>
      <c r="CG42">
        <v>0.66</v>
      </c>
      <c r="CH42">
        <v>0.75</v>
      </c>
      <c r="CI42">
        <f t="shared" si="5"/>
        <v>12</v>
      </c>
      <c r="CJ42" s="370">
        <v>0.75</v>
      </c>
      <c r="CK42" s="370">
        <f t="shared" si="6"/>
        <v>6.25E-2</v>
      </c>
      <c r="CL42" s="370">
        <f t="shared" si="7"/>
        <v>0.78947368421052633</v>
      </c>
      <c r="CM42">
        <v>0</v>
      </c>
      <c r="CN42" s="371">
        <v>0</v>
      </c>
      <c r="CO42" s="371">
        <v>0</v>
      </c>
      <c r="CP42" s="371">
        <v>0</v>
      </c>
      <c r="CQ42">
        <v>426</v>
      </c>
      <c r="CR42">
        <v>272</v>
      </c>
      <c r="CS42">
        <v>57</v>
      </c>
      <c r="CT42">
        <v>30</v>
      </c>
      <c r="CU42">
        <v>5</v>
      </c>
      <c r="CV42">
        <v>790</v>
      </c>
      <c r="CW42">
        <v>296.99</v>
      </c>
      <c r="CX42">
        <v>661.51</v>
      </c>
      <c r="CY42">
        <v>20.83</v>
      </c>
      <c r="CZ42">
        <v>12.63</v>
      </c>
      <c r="DA42">
        <v>2.92</v>
      </c>
      <c r="DB42">
        <v>994.88</v>
      </c>
      <c r="DC42">
        <v>0</v>
      </c>
      <c r="DD42">
        <v>0</v>
      </c>
      <c r="DE42">
        <v>0</v>
      </c>
      <c r="DF42">
        <v>0</v>
      </c>
      <c r="DG42">
        <v>0</v>
      </c>
      <c r="DH42">
        <v>0</v>
      </c>
      <c r="DI42">
        <v>0</v>
      </c>
      <c r="DJ42">
        <v>0</v>
      </c>
      <c r="DK42">
        <v>0</v>
      </c>
      <c r="DL42">
        <v>0</v>
      </c>
      <c r="DM42">
        <v>0</v>
      </c>
      <c r="DN42">
        <v>0</v>
      </c>
      <c r="DO42">
        <v>0</v>
      </c>
      <c r="DP42">
        <v>0</v>
      </c>
      <c r="DQ42">
        <v>0</v>
      </c>
      <c r="DR42">
        <v>0</v>
      </c>
      <c r="DS42">
        <v>0</v>
      </c>
      <c r="DT42">
        <v>0</v>
      </c>
      <c r="DU42">
        <v>0</v>
      </c>
      <c r="DV42">
        <v>0</v>
      </c>
      <c r="DW42">
        <v>0</v>
      </c>
      <c r="DX42">
        <v>0</v>
      </c>
      <c r="DY42">
        <v>0</v>
      </c>
      <c r="DZ42">
        <v>0</v>
      </c>
      <c r="EA42">
        <f t="shared" si="8"/>
        <v>0</v>
      </c>
      <c r="EB42" s="370">
        <v>0</v>
      </c>
      <c r="EC42" s="370">
        <f t="shared" si="9"/>
        <v>0</v>
      </c>
      <c r="ED42" s="370">
        <f t="shared" si="10"/>
        <v>0</v>
      </c>
      <c r="EE42">
        <v>991.96</v>
      </c>
      <c r="EF42" s="371">
        <v>0.29939710000000003</v>
      </c>
      <c r="EG42" s="371">
        <v>0.66687169999999996</v>
      </c>
      <c r="EH42" s="371">
        <v>3.3731200000000003E-2</v>
      </c>
      <c r="EI42">
        <v>405</v>
      </c>
      <c r="EJ42">
        <v>219</v>
      </c>
      <c r="EK42">
        <v>65</v>
      </c>
      <c r="EL42">
        <v>68</v>
      </c>
      <c r="EM42">
        <v>65</v>
      </c>
      <c r="EN42">
        <v>822</v>
      </c>
      <c r="EO42">
        <v>205.17</v>
      </c>
      <c r="EP42">
        <v>324.26</v>
      </c>
      <c r="EQ42">
        <v>15.81</v>
      </c>
      <c r="ER42">
        <v>11.45</v>
      </c>
      <c r="ES42">
        <v>67.650000000000006</v>
      </c>
      <c r="ET42">
        <v>624.34</v>
      </c>
      <c r="EU42">
        <v>0</v>
      </c>
      <c r="EV42">
        <v>0</v>
      </c>
      <c r="EW42">
        <v>0</v>
      </c>
      <c r="EX42">
        <v>0</v>
      </c>
      <c r="EY42">
        <v>0</v>
      </c>
      <c r="EZ42">
        <v>0</v>
      </c>
      <c r="FA42">
        <v>0</v>
      </c>
      <c r="FB42">
        <v>0</v>
      </c>
      <c r="FC42">
        <v>0</v>
      </c>
      <c r="FD42">
        <v>0</v>
      </c>
      <c r="FE42">
        <v>0</v>
      </c>
      <c r="FF42">
        <v>0</v>
      </c>
      <c r="FG42">
        <v>0</v>
      </c>
      <c r="FH42">
        <v>0</v>
      </c>
      <c r="FI42">
        <v>0</v>
      </c>
      <c r="FJ42">
        <v>0</v>
      </c>
      <c r="FK42">
        <v>0</v>
      </c>
      <c r="FL42">
        <v>0</v>
      </c>
      <c r="FM42">
        <v>0</v>
      </c>
      <c r="FN42">
        <v>0</v>
      </c>
      <c r="FO42">
        <v>0</v>
      </c>
      <c r="FP42">
        <v>0</v>
      </c>
      <c r="FQ42">
        <v>0</v>
      </c>
      <c r="FR42">
        <v>0</v>
      </c>
      <c r="FS42">
        <f t="shared" si="11"/>
        <v>0</v>
      </c>
      <c r="FT42">
        <v>0</v>
      </c>
      <c r="FU42" s="370">
        <f t="shared" si="12"/>
        <v>0</v>
      </c>
      <c r="FV42" s="370">
        <f t="shared" si="13"/>
        <v>0</v>
      </c>
      <c r="FW42">
        <v>556.69000000000005</v>
      </c>
      <c r="FX42">
        <v>0.36855339999999998</v>
      </c>
      <c r="FY42">
        <v>0.58247859999999996</v>
      </c>
      <c r="FZ42">
        <v>4.8967999999999998E-2</v>
      </c>
    </row>
    <row r="43" spans="2:182" x14ac:dyDescent="0.25">
      <c r="B43" t="s">
        <v>162</v>
      </c>
      <c r="C43">
        <v>1</v>
      </c>
      <c r="D43">
        <f t="shared" si="0"/>
        <v>1</v>
      </c>
      <c r="E43">
        <f t="shared" si="1"/>
        <v>1</v>
      </c>
      <c r="F43" t="s">
        <v>201</v>
      </c>
      <c r="G43">
        <v>292</v>
      </c>
      <c r="H43">
        <v>429</v>
      </c>
      <c r="I43">
        <v>133</v>
      </c>
      <c r="J43">
        <v>50</v>
      </c>
      <c r="K43">
        <v>3097</v>
      </c>
      <c r="L43">
        <v>4001</v>
      </c>
      <c r="M43">
        <v>134.12</v>
      </c>
      <c r="N43">
        <v>276.98</v>
      </c>
      <c r="O43">
        <v>13.7</v>
      </c>
      <c r="P43">
        <v>23.81</v>
      </c>
      <c r="Q43">
        <v>275.73</v>
      </c>
      <c r="R43">
        <v>724.34</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c r="AP43">
        <v>0</v>
      </c>
      <c r="AQ43">
        <f t="shared" si="2"/>
        <v>0</v>
      </c>
      <c r="AR43" s="370">
        <v>0</v>
      </c>
      <c r="AS43" s="370">
        <f t="shared" si="3"/>
        <v>0</v>
      </c>
      <c r="AT43" s="370">
        <f t="shared" si="4"/>
        <v>0</v>
      </c>
      <c r="AU43">
        <v>448.61</v>
      </c>
      <c r="AV43" s="371">
        <v>0.29896790000000001</v>
      </c>
      <c r="AW43" s="371">
        <v>0.61741820000000003</v>
      </c>
      <c r="AX43" s="371">
        <v>8.3613800000000002E-2</v>
      </c>
      <c r="AY43">
        <v>157</v>
      </c>
      <c r="AZ43">
        <v>459</v>
      </c>
      <c r="BA43">
        <v>186</v>
      </c>
      <c r="BB43">
        <v>579</v>
      </c>
      <c r="BC43">
        <v>1463</v>
      </c>
      <c r="BD43">
        <v>2844</v>
      </c>
      <c r="BE43">
        <v>75.02</v>
      </c>
      <c r="BF43">
        <v>201.62</v>
      </c>
      <c r="BG43">
        <v>13.8</v>
      </c>
      <c r="BH43">
        <v>9.1</v>
      </c>
      <c r="BI43">
        <v>169.14</v>
      </c>
      <c r="BJ43">
        <v>468.68</v>
      </c>
      <c r="BK43">
        <v>0.1</v>
      </c>
      <c r="BL43">
        <v>0</v>
      </c>
      <c r="BM43">
        <v>0.3</v>
      </c>
      <c r="BN43">
        <v>0.35</v>
      </c>
      <c r="BO43">
        <v>0.45</v>
      </c>
      <c r="BP43">
        <v>0.5</v>
      </c>
      <c r="BQ43">
        <v>0.6</v>
      </c>
      <c r="BR43">
        <v>0.7</v>
      </c>
      <c r="BS43">
        <v>0.8</v>
      </c>
      <c r="BT43">
        <v>0.85</v>
      </c>
      <c r="BU43">
        <v>0.95</v>
      </c>
      <c r="BV43">
        <v>1</v>
      </c>
      <c r="BW43">
        <v>0</v>
      </c>
      <c r="BX43">
        <v>2.1100000000000001E-2</v>
      </c>
      <c r="BY43">
        <v>4.5400000000000003E-2</v>
      </c>
      <c r="BZ43">
        <v>0.1028</v>
      </c>
      <c r="CA43">
        <v>0.15290000000000001</v>
      </c>
      <c r="CB43">
        <v>0.24460000000000001</v>
      </c>
      <c r="CC43">
        <v>0.2838</v>
      </c>
      <c r="CD43">
        <v>0.3503</v>
      </c>
      <c r="CE43">
        <v>0.42659999999999998</v>
      </c>
      <c r="CF43">
        <v>0.52990000000000004</v>
      </c>
      <c r="CG43">
        <v>0.54659999999999997</v>
      </c>
      <c r="CH43">
        <v>0.88439999999999996</v>
      </c>
      <c r="CI43">
        <f t="shared" si="5"/>
        <v>12</v>
      </c>
      <c r="CJ43" s="370">
        <v>0.88439999999999996</v>
      </c>
      <c r="CK43" s="370">
        <f t="shared" si="6"/>
        <v>7.3700000000000002E-2</v>
      </c>
      <c r="CL43" s="370">
        <f t="shared" si="7"/>
        <v>0.88440000000000007</v>
      </c>
      <c r="CM43">
        <v>299.54000000000002</v>
      </c>
      <c r="CN43" s="371">
        <v>0.25045070000000003</v>
      </c>
      <c r="CO43" s="371">
        <v>0.67309870000000005</v>
      </c>
      <c r="CP43" s="371">
        <v>7.6450599999999994E-2</v>
      </c>
      <c r="CQ43">
        <v>999</v>
      </c>
      <c r="CR43">
        <v>594</v>
      </c>
      <c r="CS43">
        <v>885</v>
      </c>
      <c r="CT43">
        <v>556</v>
      </c>
      <c r="CU43">
        <v>2318</v>
      </c>
      <c r="CV43">
        <v>5352</v>
      </c>
      <c r="CW43">
        <v>1039.81</v>
      </c>
      <c r="CX43">
        <v>189.19</v>
      </c>
      <c r="CY43">
        <v>20.59</v>
      </c>
      <c r="CZ43">
        <v>22.04</v>
      </c>
      <c r="DA43">
        <v>230.68</v>
      </c>
      <c r="DB43">
        <v>1502.31</v>
      </c>
      <c r="DC43">
        <v>1.7299999999999999E-2</v>
      </c>
      <c r="DD43">
        <v>4.8300000000000003E-2</v>
      </c>
      <c r="DE43">
        <v>0.1047</v>
      </c>
      <c r="DF43">
        <v>0.1643</v>
      </c>
      <c r="DG43">
        <v>0.2001</v>
      </c>
      <c r="DH43">
        <v>0.28199999999999997</v>
      </c>
      <c r="DI43">
        <v>0.36709999999999998</v>
      </c>
      <c r="DJ43">
        <v>0.43330000000000002</v>
      </c>
      <c r="DK43">
        <v>0.56779999999999997</v>
      </c>
      <c r="DL43">
        <v>0.63400000000000001</v>
      </c>
      <c r="DM43">
        <v>0.76849999999999996</v>
      </c>
      <c r="DN43">
        <v>0.90290000000000004</v>
      </c>
      <c r="DO43">
        <v>1.7299999999999999E-2</v>
      </c>
      <c r="DP43">
        <v>4.8300000000000003E-2</v>
      </c>
      <c r="DQ43">
        <v>0.1047</v>
      </c>
      <c r="DR43">
        <v>0.1643</v>
      </c>
      <c r="DS43">
        <v>0.2001</v>
      </c>
      <c r="DT43">
        <v>0.28310000000000002</v>
      </c>
      <c r="DU43">
        <v>0.38400000000000001</v>
      </c>
      <c r="DV43">
        <v>0.48799999999999999</v>
      </c>
      <c r="DW43">
        <v>0.5696</v>
      </c>
      <c r="DX43">
        <v>0.5696</v>
      </c>
      <c r="DY43">
        <v>0.5696</v>
      </c>
      <c r="DZ43">
        <v>0.5696</v>
      </c>
      <c r="EA43">
        <f t="shared" si="8"/>
        <v>9</v>
      </c>
      <c r="EB43" s="370">
        <v>0.5696</v>
      </c>
      <c r="EC43" s="370">
        <f t="shared" si="9"/>
        <v>6.3288888888888895E-2</v>
      </c>
      <c r="ED43" s="370">
        <f t="shared" si="10"/>
        <v>0.84114150699597601</v>
      </c>
      <c r="EE43">
        <v>1271.6300000000001</v>
      </c>
      <c r="EF43" s="371">
        <v>0.81769849999999999</v>
      </c>
      <c r="EG43" s="371">
        <v>0.14877760000000001</v>
      </c>
      <c r="EH43" s="371">
        <v>3.3523900000000002E-2</v>
      </c>
      <c r="EI43">
        <v>482</v>
      </c>
      <c r="EJ43">
        <v>406</v>
      </c>
      <c r="EK43">
        <v>203</v>
      </c>
      <c r="EL43">
        <v>272</v>
      </c>
      <c r="EM43">
        <v>2335</v>
      </c>
      <c r="EN43">
        <v>3698</v>
      </c>
      <c r="EO43">
        <v>0</v>
      </c>
      <c r="EP43">
        <v>224.73</v>
      </c>
      <c r="EQ43">
        <v>13.53</v>
      </c>
      <c r="ER43">
        <v>14.99</v>
      </c>
      <c r="ES43">
        <v>263.06</v>
      </c>
      <c r="ET43">
        <v>564.83000000000004</v>
      </c>
      <c r="EU43">
        <v>0</v>
      </c>
      <c r="EV43">
        <v>2.47E-2</v>
      </c>
      <c r="EW43">
        <v>2.8400000000000002E-2</v>
      </c>
      <c r="EX43">
        <v>0.13639999999999999</v>
      </c>
      <c r="EY43">
        <v>0.24429999999999999</v>
      </c>
      <c r="EZ43">
        <v>0.3523</v>
      </c>
      <c r="FA43">
        <v>0.4602</v>
      </c>
      <c r="FB43">
        <v>0.56820000000000004</v>
      </c>
      <c r="FC43">
        <v>0.67610000000000003</v>
      </c>
      <c r="FD43">
        <v>0.78410000000000002</v>
      </c>
      <c r="FE43">
        <v>0.89200000000000002</v>
      </c>
      <c r="FF43">
        <v>1</v>
      </c>
      <c r="FG43">
        <v>0</v>
      </c>
      <c r="FH43">
        <v>2.47E-2</v>
      </c>
      <c r="FI43">
        <v>2.8400000000000002E-2</v>
      </c>
      <c r="FJ43">
        <v>3.0499999999999999E-2</v>
      </c>
      <c r="FK43">
        <v>0.22309999999999999</v>
      </c>
      <c r="FL43">
        <v>0.29709999999999998</v>
      </c>
      <c r="FM43">
        <v>0.4194</v>
      </c>
      <c r="FN43">
        <v>0.51249999999999996</v>
      </c>
      <c r="FO43">
        <v>0.51249999999999996</v>
      </c>
      <c r="FP43">
        <v>0</v>
      </c>
      <c r="FQ43">
        <v>0</v>
      </c>
      <c r="FR43">
        <v>0</v>
      </c>
      <c r="FS43">
        <f t="shared" si="11"/>
        <v>8</v>
      </c>
      <c r="FT43">
        <v>0.51249999999999996</v>
      </c>
      <c r="FU43" s="370">
        <f t="shared" si="12"/>
        <v>6.4062499999999994E-2</v>
      </c>
      <c r="FV43" s="370">
        <f t="shared" si="13"/>
        <v>0.76874999999999993</v>
      </c>
      <c r="FW43">
        <v>253.25</v>
      </c>
      <c r="FX43">
        <v>0</v>
      </c>
      <c r="FY43">
        <v>0.88738399999999995</v>
      </c>
      <c r="FZ43">
        <v>0.11261599999999999</v>
      </c>
    </row>
    <row r="44" spans="2:182" x14ac:dyDescent="0.25">
      <c r="B44" t="s">
        <v>162</v>
      </c>
      <c r="C44">
        <v>0</v>
      </c>
      <c r="D44">
        <f t="shared" si="0"/>
        <v>0</v>
      </c>
      <c r="E44">
        <f t="shared" si="1"/>
        <v>0</v>
      </c>
      <c r="F44" t="s">
        <v>203</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f t="shared" si="2"/>
        <v>0</v>
      </c>
      <c r="AR44" s="370">
        <v>0</v>
      </c>
      <c r="AS44" s="370">
        <f t="shared" si="3"/>
        <v>0</v>
      </c>
      <c r="AT44" s="370">
        <f t="shared" si="4"/>
        <v>0</v>
      </c>
      <c r="AU44">
        <v>0</v>
      </c>
      <c r="AV44" s="371">
        <v>0</v>
      </c>
      <c r="AW44" s="371">
        <v>0</v>
      </c>
      <c r="AX44" s="371">
        <v>0</v>
      </c>
      <c r="AY44">
        <v>636</v>
      </c>
      <c r="AZ44">
        <v>484</v>
      </c>
      <c r="BA44">
        <v>252</v>
      </c>
      <c r="BB44">
        <v>216</v>
      </c>
      <c r="BC44">
        <v>2159</v>
      </c>
      <c r="BD44">
        <v>3747</v>
      </c>
      <c r="BE44">
        <v>100.73</v>
      </c>
      <c r="BF44">
        <v>237.48</v>
      </c>
      <c r="BG44">
        <v>14.76</v>
      </c>
      <c r="BH44">
        <v>30.57</v>
      </c>
      <c r="BI44">
        <v>134.52000000000001</v>
      </c>
      <c r="BJ44">
        <v>518.05999999999995</v>
      </c>
      <c r="BK44">
        <v>5.5E-2</v>
      </c>
      <c r="BL44">
        <v>0.1</v>
      </c>
      <c r="BM44">
        <v>0.255</v>
      </c>
      <c r="BN44">
        <v>0.30149999999999999</v>
      </c>
      <c r="BO44">
        <v>0.45100000000000001</v>
      </c>
      <c r="BP44">
        <v>0.55149999999999999</v>
      </c>
      <c r="BQ44">
        <v>0.60099999999999998</v>
      </c>
      <c r="BR44">
        <v>0.65</v>
      </c>
      <c r="BS44">
        <v>0.751</v>
      </c>
      <c r="BT44">
        <v>0.80049999999999999</v>
      </c>
      <c r="BU44">
        <v>0.90100000000000002</v>
      </c>
      <c r="BV44">
        <v>1</v>
      </c>
      <c r="BW44">
        <v>4.4999999999999998E-2</v>
      </c>
      <c r="BX44">
        <v>9.7500000000000003E-2</v>
      </c>
      <c r="BY44">
        <v>0.20499999999999999</v>
      </c>
      <c r="BZ44">
        <v>0.29099999999999998</v>
      </c>
      <c r="CA44">
        <v>0.35749999999999998</v>
      </c>
      <c r="CB44">
        <v>0.4975</v>
      </c>
      <c r="CC44">
        <v>0.4975</v>
      </c>
      <c r="CD44">
        <v>0.4975</v>
      </c>
      <c r="CE44">
        <v>0.4975</v>
      </c>
      <c r="CF44">
        <v>0.4975</v>
      </c>
      <c r="CG44">
        <v>0.4975</v>
      </c>
      <c r="CH44">
        <v>0.75</v>
      </c>
      <c r="CI44">
        <f t="shared" si="5"/>
        <v>12</v>
      </c>
      <c r="CJ44" s="370">
        <v>0.75</v>
      </c>
      <c r="CK44" s="370">
        <f t="shared" si="6"/>
        <v>6.25E-2</v>
      </c>
      <c r="CL44" s="370">
        <f t="shared" si="7"/>
        <v>0.75</v>
      </c>
      <c r="CM44">
        <v>383.54</v>
      </c>
      <c r="CN44" s="371">
        <v>0.26263229999999999</v>
      </c>
      <c r="CO44" s="371">
        <v>0.61917920000000004</v>
      </c>
      <c r="CP44" s="371">
        <v>0.1181885</v>
      </c>
      <c r="CQ44">
        <v>815</v>
      </c>
      <c r="CR44">
        <v>432</v>
      </c>
      <c r="CS44">
        <v>214</v>
      </c>
      <c r="CT44">
        <v>251</v>
      </c>
      <c r="CU44">
        <v>2203</v>
      </c>
      <c r="CV44">
        <v>3915</v>
      </c>
      <c r="CW44">
        <v>121.92</v>
      </c>
      <c r="CX44">
        <v>232.69</v>
      </c>
      <c r="CY44">
        <v>13.26</v>
      </c>
      <c r="CZ44">
        <v>19.07</v>
      </c>
      <c r="DA44">
        <v>94.83</v>
      </c>
      <c r="DB44">
        <v>481.77</v>
      </c>
      <c r="DC44">
        <v>4.7000000000000002E-3</v>
      </c>
      <c r="DD44">
        <v>5.1900000000000002E-2</v>
      </c>
      <c r="DE44">
        <v>7.0800000000000002E-2</v>
      </c>
      <c r="DF44">
        <v>9.9299999999999999E-2</v>
      </c>
      <c r="DG44">
        <v>0.20419999999999999</v>
      </c>
      <c r="DH44">
        <v>0.36020000000000002</v>
      </c>
      <c r="DI44">
        <v>0.4662</v>
      </c>
      <c r="DJ44">
        <v>0.55259999999999998</v>
      </c>
      <c r="DK44">
        <v>0.60140000000000005</v>
      </c>
      <c r="DL44">
        <v>0.71579999999999999</v>
      </c>
      <c r="DM44">
        <v>0.83020000000000005</v>
      </c>
      <c r="DN44">
        <v>0.94369999999999998</v>
      </c>
      <c r="DO44">
        <v>2.9999999999999997E-4</v>
      </c>
      <c r="DP44">
        <v>3.1099999999999999E-2</v>
      </c>
      <c r="DQ44">
        <v>5.3900000000000003E-2</v>
      </c>
      <c r="DR44">
        <v>9.9299999999999999E-2</v>
      </c>
      <c r="DS44">
        <v>0.20419999999999999</v>
      </c>
      <c r="DT44">
        <v>0.36020000000000002</v>
      </c>
      <c r="DU44">
        <v>0.4662</v>
      </c>
      <c r="DV44">
        <v>0.55259999999999998</v>
      </c>
      <c r="DW44">
        <v>0.60140000000000005</v>
      </c>
      <c r="DX44">
        <v>0.61450000000000005</v>
      </c>
      <c r="DY44">
        <v>0.78369999999999995</v>
      </c>
      <c r="DZ44">
        <v>0.78369999999999995</v>
      </c>
      <c r="EA44">
        <f t="shared" si="8"/>
        <v>11</v>
      </c>
      <c r="EB44" s="370">
        <v>0.78369999999999995</v>
      </c>
      <c r="EC44" s="370">
        <f t="shared" si="9"/>
        <v>7.1245454545454542E-2</v>
      </c>
      <c r="ED44" s="370">
        <f t="shared" si="10"/>
        <v>0.90595046576820437</v>
      </c>
      <c r="EE44">
        <v>386.94</v>
      </c>
      <c r="EF44" s="371">
        <v>0.31508760000000002</v>
      </c>
      <c r="EG44" s="371">
        <v>0.60135939999999999</v>
      </c>
      <c r="EH44" s="371">
        <v>8.3553000000000002E-2</v>
      </c>
      <c r="EI44">
        <v>309</v>
      </c>
      <c r="EJ44">
        <v>432</v>
      </c>
      <c r="EK44">
        <v>187</v>
      </c>
      <c r="EL44">
        <v>29</v>
      </c>
      <c r="EM44">
        <v>2109</v>
      </c>
      <c r="EN44">
        <v>3066</v>
      </c>
      <c r="EO44">
        <v>82.29</v>
      </c>
      <c r="EP44">
        <v>175.7</v>
      </c>
      <c r="EQ44">
        <v>9.11</v>
      </c>
      <c r="ER44">
        <v>14.19</v>
      </c>
      <c r="ES44">
        <v>93.72</v>
      </c>
      <c r="ET44">
        <v>375.01</v>
      </c>
      <c r="EU44">
        <v>0</v>
      </c>
      <c r="EV44">
        <v>0</v>
      </c>
      <c r="EW44">
        <v>0</v>
      </c>
      <c r="EX44">
        <v>0</v>
      </c>
      <c r="EY44">
        <v>0</v>
      </c>
      <c r="EZ44">
        <v>0</v>
      </c>
      <c r="FA44">
        <v>0</v>
      </c>
      <c r="FB44">
        <v>0</v>
      </c>
      <c r="FC44">
        <v>0</v>
      </c>
      <c r="FD44">
        <v>0</v>
      </c>
      <c r="FE44">
        <v>0</v>
      </c>
      <c r="FF44">
        <v>0</v>
      </c>
      <c r="FG44">
        <v>0</v>
      </c>
      <c r="FH44">
        <v>0</v>
      </c>
      <c r="FI44">
        <v>5.8900000000000001E-2</v>
      </c>
      <c r="FJ44">
        <v>0.1084</v>
      </c>
      <c r="FK44">
        <v>0.1084</v>
      </c>
      <c r="FL44">
        <v>0.1084</v>
      </c>
      <c r="FM44">
        <v>0.1084</v>
      </c>
      <c r="FN44">
        <v>0.1084</v>
      </c>
      <c r="FO44">
        <v>0.65</v>
      </c>
      <c r="FP44">
        <v>0</v>
      </c>
      <c r="FQ44">
        <v>0</v>
      </c>
      <c r="FR44">
        <v>0</v>
      </c>
      <c r="FS44">
        <f t="shared" si="11"/>
        <v>9</v>
      </c>
      <c r="FT44">
        <v>0.65</v>
      </c>
      <c r="FU44" s="370">
        <f t="shared" si="12"/>
        <v>7.2222222222222229E-2</v>
      </c>
      <c r="FV44" s="370">
        <f t="shared" si="13"/>
        <v>0.8666666666666667</v>
      </c>
      <c r="FW44">
        <v>281.29000000000002</v>
      </c>
      <c r="FX44">
        <v>0.2925451</v>
      </c>
      <c r="FY44">
        <v>0.62462229999999996</v>
      </c>
      <c r="FZ44">
        <v>8.2832699999999995E-2</v>
      </c>
    </row>
    <row r="45" spans="2:182" x14ac:dyDescent="0.25">
      <c r="B45" t="s">
        <v>162</v>
      </c>
      <c r="C45">
        <v>1</v>
      </c>
      <c r="D45">
        <f t="shared" si="0"/>
        <v>1</v>
      </c>
      <c r="E45">
        <f t="shared" si="1"/>
        <v>1</v>
      </c>
      <c r="F45" t="s">
        <v>204</v>
      </c>
      <c r="G45">
        <v>503</v>
      </c>
      <c r="H45">
        <v>757</v>
      </c>
      <c r="I45">
        <v>101</v>
      </c>
      <c r="J45">
        <v>55</v>
      </c>
      <c r="K45">
        <v>748</v>
      </c>
      <c r="L45">
        <v>2164</v>
      </c>
      <c r="M45">
        <v>69.91</v>
      </c>
      <c r="N45">
        <v>332.68</v>
      </c>
      <c r="O45">
        <v>14.27</v>
      </c>
      <c r="P45">
        <v>11.13</v>
      </c>
      <c r="Q45">
        <v>27.69</v>
      </c>
      <c r="R45">
        <v>455.68</v>
      </c>
      <c r="S45">
        <v>0.08</v>
      </c>
      <c r="T45">
        <v>0.17</v>
      </c>
      <c r="U45">
        <v>0.25</v>
      </c>
      <c r="V45">
        <v>0.33</v>
      </c>
      <c r="W45">
        <v>0.42</v>
      </c>
      <c r="X45">
        <v>0.5</v>
      </c>
      <c r="Y45">
        <v>0.57999999999999996</v>
      </c>
      <c r="Z45">
        <v>0.67</v>
      </c>
      <c r="AA45">
        <v>0.75</v>
      </c>
      <c r="AB45">
        <v>0.83</v>
      </c>
      <c r="AC45">
        <v>0.92</v>
      </c>
      <c r="AD45">
        <v>1</v>
      </c>
      <c r="AE45">
        <v>0</v>
      </c>
      <c r="AF45">
        <v>0</v>
      </c>
      <c r="AG45">
        <v>0</v>
      </c>
      <c r="AH45">
        <v>0</v>
      </c>
      <c r="AI45">
        <v>0</v>
      </c>
      <c r="AJ45">
        <v>0</v>
      </c>
      <c r="AK45">
        <v>0.39</v>
      </c>
      <c r="AL45">
        <v>0.5766</v>
      </c>
      <c r="AM45">
        <v>0.5766</v>
      </c>
      <c r="AN45">
        <v>0.5766</v>
      </c>
      <c r="AO45">
        <v>0.5766</v>
      </c>
      <c r="AP45">
        <v>0.5766</v>
      </c>
      <c r="AQ45">
        <f t="shared" si="2"/>
        <v>8</v>
      </c>
      <c r="AR45" s="370">
        <v>0.5766</v>
      </c>
      <c r="AS45" s="370">
        <f t="shared" si="3"/>
        <v>7.2075E-2</v>
      </c>
      <c r="AT45" s="370">
        <f t="shared" si="4"/>
        <v>0.8649</v>
      </c>
      <c r="AU45">
        <v>427.99</v>
      </c>
      <c r="AV45" s="371">
        <v>0.16334489999999999</v>
      </c>
      <c r="AW45" s="371">
        <v>0.77730790000000005</v>
      </c>
      <c r="AX45" s="371">
        <v>5.9347200000000003E-2</v>
      </c>
      <c r="AY45">
        <v>321</v>
      </c>
      <c r="AZ45">
        <v>823</v>
      </c>
      <c r="BA45">
        <v>89</v>
      </c>
      <c r="BB45">
        <v>56</v>
      </c>
      <c r="BC45">
        <v>0</v>
      </c>
      <c r="BD45">
        <v>1289</v>
      </c>
      <c r="BE45">
        <v>0</v>
      </c>
      <c r="BF45">
        <v>436.66</v>
      </c>
      <c r="BG45">
        <v>11.22</v>
      </c>
      <c r="BH45">
        <v>11.59</v>
      </c>
      <c r="BI45">
        <v>0</v>
      </c>
      <c r="BJ45">
        <v>530.98</v>
      </c>
      <c r="BK45">
        <v>0.05</v>
      </c>
      <c r="BL45">
        <v>0.12</v>
      </c>
      <c r="BM45">
        <v>0.18</v>
      </c>
      <c r="BN45">
        <v>0.26</v>
      </c>
      <c r="BO45">
        <v>0.38</v>
      </c>
      <c r="BP45">
        <v>0.48</v>
      </c>
      <c r="BQ45">
        <v>0.54</v>
      </c>
      <c r="BR45">
        <v>0.6</v>
      </c>
      <c r="BS45">
        <v>0.66</v>
      </c>
      <c r="BT45">
        <v>0.74</v>
      </c>
      <c r="BU45">
        <v>0.86</v>
      </c>
      <c r="BV45">
        <v>1</v>
      </c>
      <c r="BW45">
        <v>0.05</v>
      </c>
      <c r="BX45">
        <v>7.0000000000000007E-2</v>
      </c>
      <c r="BY45">
        <v>0.1</v>
      </c>
      <c r="BZ45">
        <v>0.123</v>
      </c>
      <c r="CA45">
        <v>0.17799999999999999</v>
      </c>
      <c r="CB45">
        <v>0.24</v>
      </c>
      <c r="CC45">
        <v>0.48</v>
      </c>
      <c r="CD45">
        <v>0.52</v>
      </c>
      <c r="CE45">
        <v>0.65</v>
      </c>
      <c r="CF45">
        <v>0.72</v>
      </c>
      <c r="CG45">
        <v>0.84</v>
      </c>
      <c r="CH45">
        <v>0.93</v>
      </c>
      <c r="CI45">
        <f t="shared" si="5"/>
        <v>12</v>
      </c>
      <c r="CJ45" s="370">
        <v>0.93</v>
      </c>
      <c r="CK45" s="370">
        <f t="shared" si="6"/>
        <v>7.7499999999999999E-2</v>
      </c>
      <c r="CL45" s="370">
        <f t="shared" si="7"/>
        <v>0.92999999999999994</v>
      </c>
      <c r="CM45">
        <v>459.47</v>
      </c>
      <c r="CN45" s="371">
        <v>0</v>
      </c>
      <c r="CO45" s="371">
        <v>0.95035579999999997</v>
      </c>
      <c r="CP45" s="371">
        <v>4.9644199999999999E-2</v>
      </c>
      <c r="CQ45">
        <v>342</v>
      </c>
      <c r="CR45">
        <v>733</v>
      </c>
      <c r="CS45">
        <v>87</v>
      </c>
      <c r="CT45">
        <v>20</v>
      </c>
      <c r="CU45">
        <v>437</v>
      </c>
      <c r="CV45">
        <v>1619</v>
      </c>
      <c r="CW45">
        <v>76.260000000000005</v>
      </c>
      <c r="CX45">
        <v>343.93</v>
      </c>
      <c r="CY45">
        <v>8.67</v>
      </c>
      <c r="CZ45">
        <v>2.38</v>
      </c>
      <c r="DA45">
        <v>32.14</v>
      </c>
      <c r="DB45">
        <v>463.38</v>
      </c>
      <c r="DC45">
        <v>2.6599999999999999E-2</v>
      </c>
      <c r="DD45">
        <v>5.33E-2</v>
      </c>
      <c r="DE45">
        <v>8.8800000000000004E-2</v>
      </c>
      <c r="DF45">
        <v>0.1421</v>
      </c>
      <c r="DG45">
        <v>0.21290000000000001</v>
      </c>
      <c r="DH45">
        <v>0.28339999999999999</v>
      </c>
      <c r="DI45">
        <v>0.39839999999999998</v>
      </c>
      <c r="DJ45">
        <v>0.47949999999999998</v>
      </c>
      <c r="DK45">
        <v>0.57820000000000005</v>
      </c>
      <c r="DL45">
        <v>0.66559999999999997</v>
      </c>
      <c r="DM45">
        <v>0.76290000000000002</v>
      </c>
      <c r="DN45">
        <v>0.88759999999999994</v>
      </c>
      <c r="DO45">
        <v>2.47E-2</v>
      </c>
      <c r="DP45">
        <v>4.9200000000000001E-2</v>
      </c>
      <c r="DQ45">
        <v>0.11020000000000001</v>
      </c>
      <c r="DR45">
        <v>0.13800000000000001</v>
      </c>
      <c r="DS45">
        <v>0.2137</v>
      </c>
      <c r="DT45">
        <v>0.27510000000000001</v>
      </c>
      <c r="DU45">
        <v>0.33579999999999999</v>
      </c>
      <c r="DV45">
        <v>0.41860000000000003</v>
      </c>
      <c r="DW45">
        <v>0.45429999999999998</v>
      </c>
      <c r="DX45">
        <v>0.53969999999999996</v>
      </c>
      <c r="DY45">
        <v>0.65029999999999999</v>
      </c>
      <c r="DZ45">
        <v>0.84440000000000004</v>
      </c>
      <c r="EA45">
        <f t="shared" si="8"/>
        <v>12</v>
      </c>
      <c r="EB45" s="370">
        <v>0.84440000000000004</v>
      </c>
      <c r="EC45" s="370">
        <f t="shared" si="9"/>
        <v>7.0366666666666675E-2</v>
      </c>
      <c r="ED45" s="370">
        <f t="shared" si="10"/>
        <v>0.95132942767012174</v>
      </c>
      <c r="EE45">
        <v>431.24</v>
      </c>
      <c r="EF45" s="371">
        <v>0.17683889999999999</v>
      </c>
      <c r="EG45" s="371">
        <v>0.7975373</v>
      </c>
      <c r="EH45" s="371">
        <v>2.5623799999999999E-2</v>
      </c>
      <c r="EI45">
        <v>392</v>
      </c>
      <c r="EJ45">
        <v>582</v>
      </c>
      <c r="EK45">
        <v>96</v>
      </c>
      <c r="EL45">
        <v>36</v>
      </c>
      <c r="EM45">
        <v>227</v>
      </c>
      <c r="EN45">
        <v>1333</v>
      </c>
      <c r="EO45">
        <v>97.88</v>
      </c>
      <c r="EP45">
        <v>390.21</v>
      </c>
      <c r="EQ45">
        <v>9.02</v>
      </c>
      <c r="ER45">
        <v>5.79</v>
      </c>
      <c r="ES45">
        <v>18.77</v>
      </c>
      <c r="ET45">
        <v>521.66999999999996</v>
      </c>
      <c r="EU45">
        <v>2.5000000000000001E-2</v>
      </c>
      <c r="EV45">
        <v>6.5000000000000002E-2</v>
      </c>
      <c r="EW45">
        <v>0.10199999999999999</v>
      </c>
      <c r="EX45">
        <v>0.15</v>
      </c>
      <c r="EY45">
        <v>0.21</v>
      </c>
      <c r="EZ45">
        <v>0.3</v>
      </c>
      <c r="FA45">
        <v>0.42009999999999997</v>
      </c>
      <c r="FB45">
        <v>0.52</v>
      </c>
      <c r="FC45">
        <v>0.62</v>
      </c>
      <c r="FD45">
        <v>0.7</v>
      </c>
      <c r="FE45">
        <v>0.82040000000000002</v>
      </c>
      <c r="FF45">
        <v>1</v>
      </c>
      <c r="FG45">
        <v>2.4400000000000002E-2</v>
      </c>
      <c r="FH45">
        <v>6.4000000000000001E-2</v>
      </c>
      <c r="FI45">
        <v>0.10059999999999999</v>
      </c>
      <c r="FJ45">
        <v>0.15140000000000001</v>
      </c>
      <c r="FK45">
        <v>0.23980000000000001</v>
      </c>
      <c r="FL45">
        <v>0.28710000000000002</v>
      </c>
      <c r="FM45">
        <v>0.36899999999999999</v>
      </c>
      <c r="FN45">
        <v>0.44600000000000001</v>
      </c>
      <c r="FO45">
        <v>0.44600000000000001</v>
      </c>
      <c r="FP45">
        <v>0</v>
      </c>
      <c r="FQ45">
        <v>0</v>
      </c>
      <c r="FR45">
        <v>0</v>
      </c>
      <c r="FS45">
        <f t="shared" si="11"/>
        <v>8</v>
      </c>
      <c r="FT45">
        <v>0.44600000000000001</v>
      </c>
      <c r="FU45" s="370">
        <f t="shared" si="12"/>
        <v>5.5750000000000001E-2</v>
      </c>
      <c r="FV45" s="370">
        <f t="shared" si="13"/>
        <v>0.66900000000000004</v>
      </c>
      <c r="FW45">
        <v>502.9</v>
      </c>
      <c r="FX45">
        <v>0.1946311</v>
      </c>
      <c r="FY45">
        <v>0.77591969999999999</v>
      </c>
      <c r="FZ45">
        <v>2.9449199999999998E-2</v>
      </c>
    </row>
    <row r="46" spans="2:182" x14ac:dyDescent="0.25">
      <c r="B46" t="s">
        <v>162</v>
      </c>
      <c r="C46">
        <v>0</v>
      </c>
      <c r="D46">
        <f t="shared" si="0"/>
        <v>0</v>
      </c>
      <c r="E46">
        <f t="shared" si="1"/>
        <v>0</v>
      </c>
      <c r="F46" t="s">
        <v>421</v>
      </c>
      <c r="G46">
        <v>97</v>
      </c>
      <c r="H46">
        <v>254</v>
      </c>
      <c r="I46">
        <v>23</v>
      </c>
      <c r="J46">
        <v>8</v>
      </c>
      <c r="K46">
        <v>70</v>
      </c>
      <c r="L46">
        <v>452</v>
      </c>
      <c r="M46">
        <v>24.67</v>
      </c>
      <c r="N46">
        <v>123.77</v>
      </c>
      <c r="O46">
        <v>5.49</v>
      </c>
      <c r="P46">
        <v>2.96</v>
      </c>
      <c r="Q46">
        <v>18.68</v>
      </c>
      <c r="R46">
        <v>175.57</v>
      </c>
      <c r="S46">
        <v>8.3299999999999999E-2</v>
      </c>
      <c r="T46">
        <v>0.16669999999999999</v>
      </c>
      <c r="U46">
        <v>0.25</v>
      </c>
      <c r="V46">
        <v>0.33329999999999999</v>
      </c>
      <c r="W46">
        <v>0.41670000000000001</v>
      </c>
      <c r="X46">
        <v>0.5</v>
      </c>
      <c r="Y46">
        <v>0.58330000000000004</v>
      </c>
      <c r="Z46">
        <v>0.66669999999999996</v>
      </c>
      <c r="AA46">
        <v>0.75</v>
      </c>
      <c r="AB46">
        <v>0.83330000000000004</v>
      </c>
      <c r="AC46">
        <v>0.90669999999999995</v>
      </c>
      <c r="AD46">
        <v>1</v>
      </c>
      <c r="AE46">
        <v>2.52E-2</v>
      </c>
      <c r="AF46">
        <v>5.3499999999999999E-2</v>
      </c>
      <c r="AG46">
        <v>0.1019</v>
      </c>
      <c r="AH46">
        <v>0.19409999999999999</v>
      </c>
      <c r="AI46">
        <v>0.28070000000000001</v>
      </c>
      <c r="AJ46">
        <v>0.34520000000000001</v>
      </c>
      <c r="AK46">
        <v>0.34520000000000001</v>
      </c>
      <c r="AL46">
        <v>0.54079999999999995</v>
      </c>
      <c r="AM46">
        <v>0.54079999999999995</v>
      </c>
      <c r="AN46">
        <v>0.54079999999999995</v>
      </c>
      <c r="AO46">
        <v>0.54079999999999995</v>
      </c>
      <c r="AP46">
        <v>0.54079999999999995</v>
      </c>
      <c r="AQ46">
        <f t="shared" si="2"/>
        <v>8</v>
      </c>
      <c r="AR46" s="370">
        <v>0.54079999999999995</v>
      </c>
      <c r="AS46" s="370">
        <f t="shared" si="3"/>
        <v>6.7599999999999993E-2</v>
      </c>
      <c r="AT46" s="370">
        <f t="shared" si="4"/>
        <v>0.81119999999999992</v>
      </c>
      <c r="AU46">
        <v>156.88999999999999</v>
      </c>
      <c r="AV46" s="371">
        <v>0.15724389999999999</v>
      </c>
      <c r="AW46" s="371">
        <v>0.78889670000000001</v>
      </c>
      <c r="AX46" s="371">
        <v>5.3859400000000002E-2</v>
      </c>
      <c r="AY46">
        <v>381</v>
      </c>
      <c r="AZ46">
        <v>339</v>
      </c>
      <c r="BA46">
        <v>143</v>
      </c>
      <c r="BB46">
        <v>73</v>
      </c>
      <c r="BC46">
        <v>114</v>
      </c>
      <c r="BD46">
        <v>1050</v>
      </c>
      <c r="BE46">
        <v>40.64</v>
      </c>
      <c r="BF46">
        <v>226.27</v>
      </c>
      <c r="BG46">
        <v>53.08</v>
      </c>
      <c r="BH46">
        <v>10.81</v>
      </c>
      <c r="BI46">
        <v>16.68</v>
      </c>
      <c r="BJ46">
        <v>347.48</v>
      </c>
      <c r="BK46">
        <v>2.7799999999999998E-2</v>
      </c>
      <c r="BL46">
        <v>6.6799999999999998E-2</v>
      </c>
      <c r="BM46">
        <v>0.12559999999999999</v>
      </c>
      <c r="BN46">
        <v>0.25469999999999998</v>
      </c>
      <c r="BO46">
        <v>0.3412</v>
      </c>
      <c r="BP46">
        <v>0.41539999999999999</v>
      </c>
      <c r="BQ46">
        <v>0.50780000000000003</v>
      </c>
      <c r="BR46">
        <v>0.58160000000000001</v>
      </c>
      <c r="BS46">
        <v>0.67749999999999999</v>
      </c>
      <c r="BT46">
        <v>0.75919999999999999</v>
      </c>
      <c r="BU46">
        <v>0.83160000000000001</v>
      </c>
      <c r="BV46">
        <v>0.93569999999999998</v>
      </c>
      <c r="BW46">
        <v>1.5299999999999999E-2</v>
      </c>
      <c r="BX46">
        <v>4.2200000000000001E-2</v>
      </c>
      <c r="BY46">
        <v>0.10290000000000001</v>
      </c>
      <c r="BZ46">
        <v>0.1885</v>
      </c>
      <c r="CA46">
        <v>0.27479999999999999</v>
      </c>
      <c r="CB46">
        <v>0.48480000000000001</v>
      </c>
      <c r="CC46">
        <v>0.48480000000000001</v>
      </c>
      <c r="CD46">
        <v>0.51129999999999998</v>
      </c>
      <c r="CE46">
        <v>0.5726</v>
      </c>
      <c r="CF46">
        <v>0.65300000000000002</v>
      </c>
      <c r="CG46">
        <v>0.65300000000000002</v>
      </c>
      <c r="CH46">
        <v>0.65300000000000002</v>
      </c>
      <c r="CI46">
        <f t="shared" si="5"/>
        <v>10</v>
      </c>
      <c r="CJ46" s="370">
        <v>0.65300000000000002</v>
      </c>
      <c r="CK46" s="370">
        <f t="shared" si="6"/>
        <v>6.5299999999999997E-2</v>
      </c>
      <c r="CL46" s="370">
        <f t="shared" si="7"/>
        <v>0.83744789996793845</v>
      </c>
      <c r="CM46">
        <v>330.8</v>
      </c>
      <c r="CN46" s="371">
        <v>0.1228537</v>
      </c>
      <c r="CO46" s="371">
        <v>0.68400850000000002</v>
      </c>
      <c r="CP46" s="371">
        <v>0.1931379</v>
      </c>
      <c r="CQ46">
        <v>230</v>
      </c>
      <c r="CR46">
        <v>167</v>
      </c>
      <c r="CS46">
        <v>14</v>
      </c>
      <c r="CT46">
        <v>81</v>
      </c>
      <c r="CU46">
        <v>1</v>
      </c>
      <c r="CV46">
        <v>493</v>
      </c>
      <c r="CW46">
        <v>45.91</v>
      </c>
      <c r="CX46">
        <v>204.78</v>
      </c>
      <c r="CY46">
        <v>3.76</v>
      </c>
      <c r="CZ46">
        <v>2.7</v>
      </c>
      <c r="DA46">
        <v>0.95</v>
      </c>
      <c r="DB46">
        <v>258.10000000000002</v>
      </c>
      <c r="DC46">
        <v>1.78E-2</v>
      </c>
      <c r="DD46">
        <v>4.9000000000000002E-2</v>
      </c>
      <c r="DE46">
        <v>0.1196</v>
      </c>
      <c r="DF46">
        <v>0.21909999999999999</v>
      </c>
      <c r="DG46">
        <v>0.31940000000000002</v>
      </c>
      <c r="DH46">
        <v>0.5635</v>
      </c>
      <c r="DI46">
        <v>0.58460000000000001</v>
      </c>
      <c r="DJ46">
        <v>0.59430000000000005</v>
      </c>
      <c r="DK46">
        <v>0.66549999999999998</v>
      </c>
      <c r="DL46">
        <v>0.75900000000000001</v>
      </c>
      <c r="DM46">
        <v>0.97950000000000004</v>
      </c>
      <c r="DN46">
        <v>1</v>
      </c>
      <c r="DO46">
        <v>3.0099999999999998E-2</v>
      </c>
      <c r="DP46">
        <v>7.3800000000000004E-2</v>
      </c>
      <c r="DQ46">
        <v>8.6300000000000002E-2</v>
      </c>
      <c r="DR46">
        <v>0.1376</v>
      </c>
      <c r="DS46">
        <v>0.19719999999999999</v>
      </c>
      <c r="DT46">
        <v>0.35510000000000003</v>
      </c>
      <c r="DU46">
        <v>0.46339999999999998</v>
      </c>
      <c r="DV46">
        <v>0.52869999999999995</v>
      </c>
      <c r="DW46">
        <v>0.57079999999999997</v>
      </c>
      <c r="DX46">
        <v>0.57079999999999997</v>
      </c>
      <c r="DY46">
        <v>0.58740000000000003</v>
      </c>
      <c r="DZ46">
        <v>0.58740000000000003</v>
      </c>
      <c r="EA46">
        <f t="shared" si="8"/>
        <v>11</v>
      </c>
      <c r="EB46" s="370">
        <v>0.58740000000000003</v>
      </c>
      <c r="EC46" s="370">
        <f t="shared" si="9"/>
        <v>5.3400000000000003E-2</v>
      </c>
      <c r="ED46" s="370">
        <f t="shared" si="10"/>
        <v>0.64080000000000004</v>
      </c>
      <c r="EE46">
        <v>257.14999999999998</v>
      </c>
      <c r="EF46" s="371">
        <v>0.1785339</v>
      </c>
      <c r="EG46" s="371">
        <v>0.79634450000000001</v>
      </c>
      <c r="EH46" s="371">
        <v>2.5121500000000001E-2</v>
      </c>
      <c r="EI46">
        <v>155</v>
      </c>
      <c r="EJ46">
        <v>81</v>
      </c>
      <c r="EK46">
        <v>31</v>
      </c>
      <c r="EL46">
        <v>18</v>
      </c>
      <c r="EM46">
        <v>0</v>
      </c>
      <c r="EN46">
        <v>285</v>
      </c>
      <c r="EO46">
        <v>53.04</v>
      </c>
      <c r="EP46">
        <v>180.4</v>
      </c>
      <c r="EQ46">
        <v>4.83</v>
      </c>
      <c r="ER46">
        <v>3.63</v>
      </c>
      <c r="ES46">
        <v>0</v>
      </c>
      <c r="ET46">
        <v>241.9</v>
      </c>
      <c r="EU46">
        <v>0</v>
      </c>
      <c r="EV46">
        <v>0</v>
      </c>
      <c r="EW46">
        <v>0</v>
      </c>
      <c r="EX46">
        <v>0</v>
      </c>
      <c r="EY46">
        <v>0</v>
      </c>
      <c r="EZ46">
        <v>0</v>
      </c>
      <c r="FA46">
        <v>0</v>
      </c>
      <c r="FB46">
        <v>0</v>
      </c>
      <c r="FC46">
        <v>0</v>
      </c>
      <c r="FD46">
        <v>0</v>
      </c>
      <c r="FE46">
        <v>0</v>
      </c>
      <c r="FF46">
        <v>0</v>
      </c>
      <c r="FG46">
        <v>1.7500000000000002E-2</v>
      </c>
      <c r="FH46">
        <v>3.5999999999999997E-2</v>
      </c>
      <c r="FI46">
        <v>6.7000000000000004E-2</v>
      </c>
      <c r="FJ46">
        <v>0.10390000000000001</v>
      </c>
      <c r="FK46">
        <v>0.1646</v>
      </c>
      <c r="FL46">
        <v>0.26350000000000001</v>
      </c>
      <c r="FM46">
        <v>0.37480000000000002</v>
      </c>
      <c r="FN46">
        <v>0.4425</v>
      </c>
      <c r="FO46">
        <v>0.4425</v>
      </c>
      <c r="FP46">
        <v>0</v>
      </c>
      <c r="FQ46">
        <v>0</v>
      </c>
      <c r="FR46">
        <v>0</v>
      </c>
      <c r="FS46">
        <f t="shared" si="11"/>
        <v>8</v>
      </c>
      <c r="FT46">
        <v>0.4425</v>
      </c>
      <c r="FU46" s="370">
        <f t="shared" si="12"/>
        <v>5.5312500000000001E-2</v>
      </c>
      <c r="FV46" s="370">
        <f t="shared" si="13"/>
        <v>0.66375000000000006</v>
      </c>
      <c r="FW46">
        <v>241.9</v>
      </c>
      <c r="FX46">
        <v>0.21926419999999999</v>
      </c>
      <c r="FY46">
        <v>0.7457627</v>
      </c>
      <c r="FZ46">
        <v>3.49731E-2</v>
      </c>
    </row>
    <row r="47" spans="2:182" x14ac:dyDescent="0.25">
      <c r="B47" t="s">
        <v>162</v>
      </c>
      <c r="C47">
        <v>1</v>
      </c>
      <c r="D47">
        <f t="shared" si="0"/>
        <v>1</v>
      </c>
      <c r="E47">
        <f t="shared" si="1"/>
        <v>1</v>
      </c>
      <c r="F47" t="s">
        <v>208</v>
      </c>
      <c r="G47">
        <v>633</v>
      </c>
      <c r="H47">
        <v>345</v>
      </c>
      <c r="I47">
        <v>67</v>
      </c>
      <c r="J47">
        <v>36</v>
      </c>
      <c r="K47">
        <v>1954</v>
      </c>
      <c r="L47">
        <v>3035</v>
      </c>
      <c r="M47">
        <v>52.12</v>
      </c>
      <c r="N47">
        <v>93.21</v>
      </c>
      <c r="O47">
        <v>5.52</v>
      </c>
      <c r="P47">
        <v>3.14</v>
      </c>
      <c r="Q47">
        <v>91.44</v>
      </c>
      <c r="R47">
        <v>245.43</v>
      </c>
      <c r="S47">
        <v>0.02</v>
      </c>
      <c r="T47">
        <v>0.05</v>
      </c>
      <c r="U47">
        <v>0.09</v>
      </c>
      <c r="V47">
        <v>0.14000000000000001</v>
      </c>
      <c r="W47">
        <v>0.18</v>
      </c>
      <c r="X47">
        <v>0.26</v>
      </c>
      <c r="Y47">
        <v>0.35</v>
      </c>
      <c r="Z47">
        <v>0.44</v>
      </c>
      <c r="AA47">
        <v>0.5</v>
      </c>
      <c r="AB47">
        <v>0.6</v>
      </c>
      <c r="AC47">
        <v>0.75</v>
      </c>
      <c r="AD47">
        <v>0.95</v>
      </c>
      <c r="AE47">
        <v>2.35E-2</v>
      </c>
      <c r="AF47">
        <v>4.7300000000000002E-2</v>
      </c>
      <c r="AG47">
        <v>8.3000000000000004E-2</v>
      </c>
      <c r="AH47">
        <v>0.1371</v>
      </c>
      <c r="AI47">
        <v>0.2064</v>
      </c>
      <c r="AJ47">
        <v>0.29260000000000003</v>
      </c>
      <c r="AK47">
        <v>0.40189999999999998</v>
      </c>
      <c r="AL47">
        <v>0.4874</v>
      </c>
      <c r="AM47">
        <v>0.4874</v>
      </c>
      <c r="AN47">
        <v>0.4874</v>
      </c>
      <c r="AO47">
        <v>0.4874</v>
      </c>
      <c r="AP47">
        <v>0.4874</v>
      </c>
      <c r="AQ47">
        <f t="shared" si="2"/>
        <v>8</v>
      </c>
      <c r="AR47" s="370">
        <v>0.4874</v>
      </c>
      <c r="AS47" s="370">
        <f t="shared" si="3"/>
        <v>6.0925E-2</v>
      </c>
      <c r="AT47" s="370">
        <f t="shared" si="4"/>
        <v>0.76957894736842103</v>
      </c>
      <c r="AU47">
        <v>153.99</v>
      </c>
      <c r="AV47" s="371">
        <v>0.33846349999999997</v>
      </c>
      <c r="AW47" s="371">
        <v>0.60529909999999998</v>
      </c>
      <c r="AX47" s="371">
        <v>5.62374E-2</v>
      </c>
      <c r="AY47">
        <v>258</v>
      </c>
      <c r="AZ47">
        <v>159</v>
      </c>
      <c r="BA47">
        <v>41</v>
      </c>
      <c r="BB47">
        <v>67</v>
      </c>
      <c r="BC47">
        <v>476</v>
      </c>
      <c r="BD47">
        <v>1001</v>
      </c>
      <c r="BE47">
        <v>18.350000000000001</v>
      </c>
      <c r="BF47">
        <v>103.37</v>
      </c>
      <c r="BG47">
        <v>2.72</v>
      </c>
      <c r="BH47">
        <v>2.17</v>
      </c>
      <c r="BI47">
        <v>25.68</v>
      </c>
      <c r="BJ47">
        <v>152.29</v>
      </c>
      <c r="BK47">
        <v>5.0000000000000001E-3</v>
      </c>
      <c r="BL47">
        <v>0.04</v>
      </c>
      <c r="BM47">
        <v>0.12</v>
      </c>
      <c r="BN47">
        <v>0.15</v>
      </c>
      <c r="BO47">
        <v>0</v>
      </c>
      <c r="BP47">
        <v>0.27</v>
      </c>
      <c r="BQ47">
        <v>0.38</v>
      </c>
      <c r="BR47">
        <v>0.45</v>
      </c>
      <c r="BS47">
        <v>0.53</v>
      </c>
      <c r="BT47">
        <v>0.6</v>
      </c>
      <c r="BU47">
        <v>0.7</v>
      </c>
      <c r="BV47">
        <v>0.92</v>
      </c>
      <c r="BW47">
        <v>6.1999999999999998E-3</v>
      </c>
      <c r="BX47">
        <v>4.36E-2</v>
      </c>
      <c r="BY47">
        <v>8.8900000000000007E-2</v>
      </c>
      <c r="BZ47">
        <v>8.8900000000000007E-2</v>
      </c>
      <c r="CA47">
        <v>0.22009999999999999</v>
      </c>
      <c r="CB47">
        <v>0.36130000000000001</v>
      </c>
      <c r="CC47">
        <v>0.42230000000000001</v>
      </c>
      <c r="CD47">
        <v>0.50190000000000001</v>
      </c>
      <c r="CE47">
        <v>0.52980000000000005</v>
      </c>
      <c r="CF47">
        <v>0.59499999999999997</v>
      </c>
      <c r="CG47">
        <v>0.68740000000000001</v>
      </c>
      <c r="CH47">
        <v>0.68740000000000001</v>
      </c>
      <c r="CI47">
        <f t="shared" si="5"/>
        <v>11</v>
      </c>
      <c r="CJ47" s="370">
        <v>0.68740000000000001</v>
      </c>
      <c r="CK47" s="370">
        <f t="shared" si="6"/>
        <v>6.249090909090909E-2</v>
      </c>
      <c r="CL47" s="370">
        <f t="shared" si="7"/>
        <v>0.8150988142292489</v>
      </c>
      <c r="CM47">
        <v>126.61</v>
      </c>
      <c r="CN47" s="371">
        <v>0.14493329999999999</v>
      </c>
      <c r="CO47" s="371">
        <v>0.81644419999999995</v>
      </c>
      <c r="CP47" s="371">
        <v>3.8622499999999997E-2</v>
      </c>
      <c r="CQ47">
        <v>264</v>
      </c>
      <c r="CR47">
        <v>184</v>
      </c>
      <c r="CS47">
        <v>56</v>
      </c>
      <c r="CT47">
        <v>27</v>
      </c>
      <c r="CU47">
        <v>816</v>
      </c>
      <c r="CV47">
        <v>1347</v>
      </c>
      <c r="CW47">
        <v>23.93</v>
      </c>
      <c r="CX47">
        <v>170.76</v>
      </c>
      <c r="CY47">
        <v>3.77</v>
      </c>
      <c r="CZ47">
        <v>2.2999999999999998</v>
      </c>
      <c r="DA47">
        <v>51.04</v>
      </c>
      <c r="DB47">
        <v>251.8</v>
      </c>
      <c r="DC47">
        <v>1E-3</v>
      </c>
      <c r="DD47">
        <v>0.05</v>
      </c>
      <c r="DE47">
        <v>0.21</v>
      </c>
      <c r="DF47">
        <v>0.21</v>
      </c>
      <c r="DG47">
        <v>0.28000000000000003</v>
      </c>
      <c r="DH47">
        <v>0.35</v>
      </c>
      <c r="DI47">
        <v>0.45</v>
      </c>
      <c r="DJ47">
        <v>0.55000000000000004</v>
      </c>
      <c r="DK47">
        <v>0.65</v>
      </c>
      <c r="DL47">
        <v>0.8</v>
      </c>
      <c r="DM47">
        <v>0.95</v>
      </c>
      <c r="DN47">
        <v>1</v>
      </c>
      <c r="DO47">
        <v>2.9999999999999997E-4</v>
      </c>
      <c r="DP47">
        <v>4.7300000000000002E-2</v>
      </c>
      <c r="DQ47">
        <v>8.6199999999999999E-2</v>
      </c>
      <c r="DR47">
        <v>0.1487</v>
      </c>
      <c r="DS47">
        <v>0.2094</v>
      </c>
      <c r="DT47">
        <v>0.32550000000000001</v>
      </c>
      <c r="DU47">
        <v>0.45400000000000001</v>
      </c>
      <c r="DV47">
        <v>0.51970000000000005</v>
      </c>
      <c r="DW47">
        <v>0.57640000000000002</v>
      </c>
      <c r="DX47">
        <v>0.65939999999999999</v>
      </c>
      <c r="DY47">
        <v>0.80959999999999999</v>
      </c>
      <c r="DZ47">
        <v>0.80959999999999999</v>
      </c>
      <c r="EA47">
        <f t="shared" si="8"/>
        <v>11</v>
      </c>
      <c r="EB47" s="370">
        <v>0.80959999999999999</v>
      </c>
      <c r="EC47" s="370">
        <f t="shared" si="9"/>
        <v>7.3599999999999999E-2</v>
      </c>
      <c r="ED47" s="370">
        <f t="shared" si="10"/>
        <v>0.88319999999999999</v>
      </c>
      <c r="EE47">
        <v>200.76</v>
      </c>
      <c r="EF47" s="371">
        <v>0.119197</v>
      </c>
      <c r="EG47" s="371">
        <v>0.85056779999999998</v>
      </c>
      <c r="EH47" s="371">
        <v>3.0235100000000001E-2</v>
      </c>
      <c r="EI47">
        <v>442</v>
      </c>
      <c r="EJ47">
        <v>114</v>
      </c>
      <c r="EK47">
        <v>39</v>
      </c>
      <c r="EL47">
        <v>33</v>
      </c>
      <c r="EM47">
        <v>1234</v>
      </c>
      <c r="EN47">
        <v>1862</v>
      </c>
      <c r="EO47">
        <v>355.03</v>
      </c>
      <c r="EP47">
        <v>100</v>
      </c>
      <c r="EQ47">
        <v>7.15</v>
      </c>
      <c r="ER47">
        <v>4.1100000000000003</v>
      </c>
      <c r="ES47">
        <v>95.62</v>
      </c>
      <c r="ET47">
        <v>561.91</v>
      </c>
      <c r="EU47">
        <v>0.01</v>
      </c>
      <c r="EV47">
        <v>0.05</v>
      </c>
      <c r="EW47">
        <v>0.15</v>
      </c>
      <c r="EX47">
        <v>0.21</v>
      </c>
      <c r="EY47">
        <v>0.28000000000000003</v>
      </c>
      <c r="EZ47">
        <v>0.35</v>
      </c>
      <c r="FA47">
        <v>0.45</v>
      </c>
      <c r="FB47">
        <v>0.55000000000000004</v>
      </c>
      <c r="FC47">
        <v>0.65</v>
      </c>
      <c r="FD47">
        <v>0.8</v>
      </c>
      <c r="FE47">
        <v>0.95</v>
      </c>
      <c r="FF47">
        <v>1</v>
      </c>
      <c r="FG47">
        <v>2.1899999999999999E-2</v>
      </c>
      <c r="FH47">
        <v>5.1900000000000002E-2</v>
      </c>
      <c r="FI47">
        <v>0.13800000000000001</v>
      </c>
      <c r="FJ47">
        <v>0.19170000000000001</v>
      </c>
      <c r="FK47">
        <v>0.25879999999999997</v>
      </c>
      <c r="FL47">
        <v>0.34520000000000001</v>
      </c>
      <c r="FM47">
        <v>0.48180000000000001</v>
      </c>
      <c r="FN47">
        <v>0.55089999999999995</v>
      </c>
      <c r="FO47">
        <v>0.55089999999999995</v>
      </c>
      <c r="FP47">
        <v>0</v>
      </c>
      <c r="FQ47">
        <v>0</v>
      </c>
      <c r="FR47">
        <v>0</v>
      </c>
      <c r="FS47">
        <f t="shared" si="11"/>
        <v>8</v>
      </c>
      <c r="FT47">
        <v>0.55089999999999995</v>
      </c>
      <c r="FU47" s="370">
        <f t="shared" si="12"/>
        <v>6.8862499999999993E-2</v>
      </c>
      <c r="FV47" s="370">
        <f t="shared" si="13"/>
        <v>0.82634999999999992</v>
      </c>
      <c r="FW47">
        <v>466.29</v>
      </c>
      <c r="FX47">
        <v>0.76139310000000004</v>
      </c>
      <c r="FY47">
        <v>0.2144588</v>
      </c>
      <c r="FZ47">
        <v>2.4148099999999999E-2</v>
      </c>
    </row>
    <row r="48" spans="2:182" x14ac:dyDescent="0.25">
      <c r="B48" t="s">
        <v>162</v>
      </c>
      <c r="C48">
        <v>1</v>
      </c>
      <c r="D48">
        <f t="shared" si="0"/>
        <v>1</v>
      </c>
      <c r="E48">
        <f t="shared" si="1"/>
        <v>1</v>
      </c>
      <c r="F48" t="s">
        <v>209</v>
      </c>
      <c r="G48">
        <v>802</v>
      </c>
      <c r="H48">
        <v>530</v>
      </c>
      <c r="I48">
        <v>493</v>
      </c>
      <c r="J48">
        <v>144</v>
      </c>
      <c r="K48">
        <v>1533</v>
      </c>
      <c r="L48">
        <v>3502</v>
      </c>
      <c r="M48">
        <v>55.07</v>
      </c>
      <c r="N48">
        <v>295.19</v>
      </c>
      <c r="O48">
        <v>13.85</v>
      </c>
      <c r="P48">
        <v>10.09</v>
      </c>
      <c r="Q48">
        <v>45.81</v>
      </c>
      <c r="R48">
        <v>420.01</v>
      </c>
      <c r="S48">
        <v>0.1</v>
      </c>
      <c r="T48">
        <v>0.15</v>
      </c>
      <c r="U48">
        <v>0</v>
      </c>
      <c r="V48">
        <v>0.25</v>
      </c>
      <c r="W48">
        <v>0.3</v>
      </c>
      <c r="X48">
        <v>0.35</v>
      </c>
      <c r="Y48">
        <v>0.4</v>
      </c>
      <c r="Z48">
        <v>0.45</v>
      </c>
      <c r="AA48">
        <v>0.5</v>
      </c>
      <c r="AB48">
        <v>0.6</v>
      </c>
      <c r="AC48">
        <v>0.8</v>
      </c>
      <c r="AD48">
        <v>1</v>
      </c>
      <c r="AE48">
        <v>4.4400000000000002E-2</v>
      </c>
      <c r="AF48">
        <v>9.6100000000000005E-2</v>
      </c>
      <c r="AG48">
        <v>0.1313</v>
      </c>
      <c r="AH48">
        <v>0.19339999999999999</v>
      </c>
      <c r="AI48">
        <v>0.23619999999999999</v>
      </c>
      <c r="AJ48">
        <v>0.32250000000000001</v>
      </c>
      <c r="AK48">
        <v>0.32250000000000001</v>
      </c>
      <c r="AL48">
        <v>0.46379999999999999</v>
      </c>
      <c r="AM48">
        <v>0.46379999999999999</v>
      </c>
      <c r="AN48">
        <v>0.46379999999999999</v>
      </c>
      <c r="AO48">
        <v>0.46379999999999999</v>
      </c>
      <c r="AP48">
        <v>0.46379999999999999</v>
      </c>
      <c r="AQ48">
        <f t="shared" si="2"/>
        <v>8</v>
      </c>
      <c r="AR48" s="370">
        <v>0.46379999999999999</v>
      </c>
      <c r="AS48" s="370">
        <f t="shared" si="3"/>
        <v>5.7974999999999999E-2</v>
      </c>
      <c r="AT48" s="370">
        <f t="shared" si="4"/>
        <v>0.69569999999999999</v>
      </c>
      <c r="AU48">
        <v>374.2</v>
      </c>
      <c r="AV48" s="371">
        <v>0.1471673</v>
      </c>
      <c r="AW48" s="371">
        <v>0.78885620000000001</v>
      </c>
      <c r="AX48" s="371">
        <v>6.3976500000000006E-2</v>
      </c>
      <c r="AY48">
        <v>552</v>
      </c>
      <c r="AZ48">
        <v>425</v>
      </c>
      <c r="BA48">
        <v>332</v>
      </c>
      <c r="BB48">
        <v>93</v>
      </c>
      <c r="BC48">
        <v>1674</v>
      </c>
      <c r="BD48">
        <v>3076</v>
      </c>
      <c r="BE48">
        <v>48.39</v>
      </c>
      <c r="BF48">
        <v>281.85000000000002</v>
      </c>
      <c r="BG48">
        <v>13.38</v>
      </c>
      <c r="BH48">
        <v>7.91</v>
      </c>
      <c r="BI48">
        <v>42.96</v>
      </c>
      <c r="BJ48">
        <v>394.49</v>
      </c>
      <c r="BK48">
        <v>0</v>
      </c>
      <c r="BL48">
        <v>0</v>
      </c>
      <c r="BM48">
        <v>0</v>
      </c>
      <c r="BN48">
        <v>0</v>
      </c>
      <c r="BO48">
        <v>0</v>
      </c>
      <c r="BP48">
        <v>0</v>
      </c>
      <c r="BQ48">
        <v>0</v>
      </c>
      <c r="BR48">
        <v>0</v>
      </c>
      <c r="BS48">
        <v>0</v>
      </c>
      <c r="BT48">
        <v>0</v>
      </c>
      <c r="BU48">
        <v>0</v>
      </c>
      <c r="BV48">
        <v>0</v>
      </c>
      <c r="BW48">
        <v>2.2100000000000002E-2</v>
      </c>
      <c r="BX48">
        <v>4.8300000000000003E-2</v>
      </c>
      <c r="BY48">
        <v>0.10580000000000001</v>
      </c>
      <c r="BZ48">
        <v>0.15790000000000001</v>
      </c>
      <c r="CA48">
        <v>0.26529999999999998</v>
      </c>
      <c r="CB48">
        <v>0.40339999999999998</v>
      </c>
      <c r="CC48">
        <v>0.4657</v>
      </c>
      <c r="CD48">
        <v>0.52700000000000002</v>
      </c>
      <c r="CE48">
        <v>0.64670000000000005</v>
      </c>
      <c r="CF48">
        <v>0.64670000000000005</v>
      </c>
      <c r="CG48">
        <v>0.64670000000000005</v>
      </c>
      <c r="CH48">
        <v>0.64670000000000005</v>
      </c>
      <c r="CI48">
        <f t="shared" si="5"/>
        <v>9</v>
      </c>
      <c r="CJ48" s="370">
        <v>0.64670000000000005</v>
      </c>
      <c r="CK48" s="370">
        <f t="shared" si="6"/>
        <v>7.1855555555555561E-2</v>
      </c>
      <c r="CL48" s="370">
        <f t="shared" si="7"/>
        <v>0.86226666666666674</v>
      </c>
      <c r="CM48">
        <v>351.53</v>
      </c>
      <c r="CN48" s="371">
        <v>0.13765540000000001</v>
      </c>
      <c r="CO48" s="371">
        <v>0.80178079999999996</v>
      </c>
      <c r="CP48" s="371">
        <v>6.0563800000000001E-2</v>
      </c>
      <c r="CQ48">
        <v>512</v>
      </c>
      <c r="CR48">
        <v>617</v>
      </c>
      <c r="CS48">
        <v>485</v>
      </c>
      <c r="CT48">
        <v>73</v>
      </c>
      <c r="CU48">
        <v>1737</v>
      </c>
      <c r="CV48">
        <v>3424</v>
      </c>
      <c r="CW48">
        <v>57.4</v>
      </c>
      <c r="CX48">
        <v>375.66</v>
      </c>
      <c r="CY48">
        <v>17.52</v>
      </c>
      <c r="CZ48">
        <v>8.07</v>
      </c>
      <c r="DA48">
        <v>48.67</v>
      </c>
      <c r="DB48">
        <v>507.32</v>
      </c>
      <c r="DC48">
        <v>4.07E-2</v>
      </c>
      <c r="DD48">
        <v>7.3200000000000001E-2</v>
      </c>
      <c r="DE48">
        <v>0.12189999999999999</v>
      </c>
      <c r="DF48">
        <v>0.20319999999999999</v>
      </c>
      <c r="DG48">
        <v>0.313</v>
      </c>
      <c r="DH48">
        <v>0.4471</v>
      </c>
      <c r="DI48">
        <v>0.60970000000000002</v>
      </c>
      <c r="DJ48">
        <v>0.77229999999999999</v>
      </c>
      <c r="DK48">
        <v>0.91869999999999996</v>
      </c>
      <c r="DL48">
        <v>0.96340000000000003</v>
      </c>
      <c r="DM48">
        <v>0.98409999999999997</v>
      </c>
      <c r="DN48">
        <v>1</v>
      </c>
      <c r="DO48">
        <v>2.0299999999999999E-2</v>
      </c>
      <c r="DP48">
        <v>4.4999999999999998E-2</v>
      </c>
      <c r="DQ48">
        <v>8.6499999999999994E-2</v>
      </c>
      <c r="DR48">
        <v>0.14000000000000001</v>
      </c>
      <c r="DS48">
        <v>0.30430000000000001</v>
      </c>
      <c r="DT48">
        <v>0.39389999999999997</v>
      </c>
      <c r="DU48">
        <v>0.48620000000000002</v>
      </c>
      <c r="DV48">
        <v>0.58830000000000005</v>
      </c>
      <c r="DW48">
        <v>0.65869999999999995</v>
      </c>
      <c r="DX48">
        <v>0.77380000000000004</v>
      </c>
      <c r="DY48">
        <v>0.87070000000000003</v>
      </c>
      <c r="DZ48">
        <v>0.99539999999999995</v>
      </c>
      <c r="EA48">
        <f t="shared" si="8"/>
        <v>12</v>
      </c>
      <c r="EB48" s="370">
        <v>0.99539999999999995</v>
      </c>
      <c r="EC48" s="370">
        <f t="shared" si="9"/>
        <v>8.2949999999999996E-2</v>
      </c>
      <c r="ED48" s="370">
        <f t="shared" si="10"/>
        <v>0.99539999999999995</v>
      </c>
      <c r="EE48">
        <v>458.65</v>
      </c>
      <c r="EF48" s="371">
        <v>0.12514990000000001</v>
      </c>
      <c r="EG48" s="371">
        <v>0.81905589999999995</v>
      </c>
      <c r="EH48" s="371">
        <v>5.5794200000000002E-2</v>
      </c>
      <c r="EI48">
        <v>698</v>
      </c>
      <c r="EJ48">
        <v>487</v>
      </c>
      <c r="EK48">
        <v>420</v>
      </c>
      <c r="EL48">
        <v>144</v>
      </c>
      <c r="EM48">
        <v>1097</v>
      </c>
      <c r="EN48">
        <v>2846</v>
      </c>
      <c r="EO48">
        <v>75.42</v>
      </c>
      <c r="EP48">
        <v>302.27999999999997</v>
      </c>
      <c r="EQ48">
        <v>17.21</v>
      </c>
      <c r="ER48">
        <v>9.93</v>
      </c>
      <c r="ES48">
        <v>138.71</v>
      </c>
      <c r="ET48">
        <v>543.54999999999995</v>
      </c>
      <c r="EU48">
        <v>5.0500000000000003E-2</v>
      </c>
      <c r="EV48">
        <v>6.1100000000000002E-2</v>
      </c>
      <c r="EW48">
        <v>7.2300000000000003E-2</v>
      </c>
      <c r="EX48">
        <v>0.105</v>
      </c>
      <c r="EY48">
        <v>0.19439999999999999</v>
      </c>
      <c r="EZ48">
        <v>0.3352</v>
      </c>
      <c r="FA48">
        <v>0.61439999999999995</v>
      </c>
      <c r="FB48">
        <v>0.76859999999999995</v>
      </c>
      <c r="FC48">
        <v>0.85040000000000004</v>
      </c>
      <c r="FD48">
        <v>0.92949999999999999</v>
      </c>
      <c r="FE48">
        <v>0.96930000000000005</v>
      </c>
      <c r="FF48">
        <v>1</v>
      </c>
      <c r="FG48">
        <v>2.23E-2</v>
      </c>
      <c r="FH48">
        <v>2.3300000000000001E-2</v>
      </c>
      <c r="FI48">
        <v>3.5499999999999997E-2</v>
      </c>
      <c r="FJ48">
        <v>0.15310000000000001</v>
      </c>
      <c r="FK48">
        <v>0</v>
      </c>
      <c r="FL48">
        <v>0.2727</v>
      </c>
      <c r="FM48">
        <v>0.3216</v>
      </c>
      <c r="FN48">
        <v>0.3216</v>
      </c>
      <c r="FO48">
        <v>0.3216</v>
      </c>
      <c r="FP48">
        <v>0</v>
      </c>
      <c r="FQ48">
        <v>0</v>
      </c>
      <c r="FR48">
        <v>0</v>
      </c>
      <c r="FS48">
        <f t="shared" si="11"/>
        <v>7</v>
      </c>
      <c r="FT48">
        <v>0.3216</v>
      </c>
      <c r="FU48" s="370">
        <f t="shared" si="12"/>
        <v>4.5942857142857139E-2</v>
      </c>
      <c r="FV48" s="370">
        <f t="shared" si="13"/>
        <v>0.55131428571428565</v>
      </c>
      <c r="FW48">
        <v>404.84</v>
      </c>
      <c r="FX48">
        <v>0.18629580000000001</v>
      </c>
      <c r="FY48">
        <v>0.74666540000000003</v>
      </c>
      <c r="FZ48">
        <v>6.7038799999999996E-2</v>
      </c>
    </row>
    <row r="49" spans="2:182" x14ac:dyDescent="0.25">
      <c r="B49" t="s">
        <v>2</v>
      </c>
      <c r="C49">
        <v>1</v>
      </c>
      <c r="D49">
        <f t="shared" si="0"/>
        <v>1</v>
      </c>
      <c r="E49">
        <f t="shared" si="1"/>
        <v>1</v>
      </c>
      <c r="F49" t="s">
        <v>210</v>
      </c>
      <c r="G49">
        <v>1124</v>
      </c>
      <c r="H49">
        <v>661</v>
      </c>
      <c r="I49">
        <v>287</v>
      </c>
      <c r="J49">
        <v>135</v>
      </c>
      <c r="K49">
        <v>0</v>
      </c>
      <c r="L49">
        <v>2207</v>
      </c>
      <c r="M49">
        <v>486.85</v>
      </c>
      <c r="N49">
        <v>655.59</v>
      </c>
      <c r="O49">
        <v>41.13</v>
      </c>
      <c r="P49">
        <v>23.52</v>
      </c>
      <c r="Q49">
        <v>0</v>
      </c>
      <c r="R49">
        <v>1207.0899999999999</v>
      </c>
      <c r="S49">
        <v>0.16950000000000001</v>
      </c>
      <c r="T49">
        <v>0.20699999999999999</v>
      </c>
      <c r="U49">
        <v>0.25769999999999998</v>
      </c>
      <c r="V49">
        <v>0.43230000000000002</v>
      </c>
      <c r="W49">
        <v>0.501</v>
      </c>
      <c r="X49">
        <v>0.55759999999999998</v>
      </c>
      <c r="Y49">
        <v>0.71260000000000001</v>
      </c>
      <c r="Z49">
        <v>0.76349999999999996</v>
      </c>
      <c r="AA49">
        <v>0.81089999999999995</v>
      </c>
      <c r="AB49">
        <v>0.95050000000000001</v>
      </c>
      <c r="AC49">
        <v>0.97650000000000003</v>
      </c>
      <c r="AD49">
        <v>0.98</v>
      </c>
      <c r="AE49">
        <v>0.03</v>
      </c>
      <c r="AF49">
        <v>7.1800000000000003E-2</v>
      </c>
      <c r="AG49">
        <v>0.11310000000000001</v>
      </c>
      <c r="AH49">
        <v>0.19109999999999999</v>
      </c>
      <c r="AI49">
        <v>0.33560000000000001</v>
      </c>
      <c r="AJ49">
        <v>0.39329999999999998</v>
      </c>
      <c r="AK49">
        <v>0.43469999999999998</v>
      </c>
      <c r="AL49">
        <v>0.55800000000000005</v>
      </c>
      <c r="AM49">
        <v>0.55800000000000005</v>
      </c>
      <c r="AN49">
        <v>0.55800000000000005</v>
      </c>
      <c r="AO49">
        <v>0.55800000000000005</v>
      </c>
      <c r="AP49">
        <v>0.55800000000000005</v>
      </c>
      <c r="AQ49">
        <f t="shared" si="2"/>
        <v>8</v>
      </c>
      <c r="AR49" s="370">
        <v>0.55800000000000005</v>
      </c>
      <c r="AS49" s="370">
        <f t="shared" si="3"/>
        <v>6.9750000000000006E-2</v>
      </c>
      <c r="AT49" s="370">
        <f t="shared" si="4"/>
        <v>0.85408163265306136</v>
      </c>
      <c r="AU49">
        <v>1207.0899999999999</v>
      </c>
      <c r="AV49" s="371">
        <v>0.4033253</v>
      </c>
      <c r="AW49" s="371">
        <v>0.54311609999999999</v>
      </c>
      <c r="AX49" s="371">
        <v>5.3558599999999998E-2</v>
      </c>
      <c r="AY49">
        <v>1237</v>
      </c>
      <c r="AZ49">
        <v>419</v>
      </c>
      <c r="BA49">
        <v>254</v>
      </c>
      <c r="BB49">
        <v>167</v>
      </c>
      <c r="BC49">
        <v>2106</v>
      </c>
      <c r="BD49">
        <v>4183</v>
      </c>
      <c r="BE49">
        <v>273.42</v>
      </c>
      <c r="BF49">
        <v>669.63</v>
      </c>
      <c r="BG49">
        <v>33.49</v>
      </c>
      <c r="BH49">
        <v>46.93</v>
      </c>
      <c r="BI49">
        <v>336.13</v>
      </c>
      <c r="BJ49">
        <v>1359.6</v>
      </c>
      <c r="BK49">
        <v>6.5000000000000002E-2</v>
      </c>
      <c r="BL49">
        <v>0.13270000000000001</v>
      </c>
      <c r="BM49">
        <v>0.20649999999999999</v>
      </c>
      <c r="BN49">
        <v>0.32319999999999999</v>
      </c>
      <c r="BO49">
        <v>0.4037</v>
      </c>
      <c r="BP49">
        <v>0.49890000000000001</v>
      </c>
      <c r="BQ49">
        <v>0.6119</v>
      </c>
      <c r="BR49">
        <v>0.68510000000000004</v>
      </c>
      <c r="BS49">
        <v>0.74929999999999997</v>
      </c>
      <c r="BT49">
        <v>0.84399999999999997</v>
      </c>
      <c r="BU49">
        <v>0.90280000000000005</v>
      </c>
      <c r="BV49">
        <v>0.95509999999999995</v>
      </c>
      <c r="BW49">
        <v>0.05</v>
      </c>
      <c r="BX49">
        <v>0.10340000000000001</v>
      </c>
      <c r="BY49">
        <v>0.1464</v>
      </c>
      <c r="BZ49">
        <v>0.24840000000000001</v>
      </c>
      <c r="CA49">
        <v>0.31609999999999999</v>
      </c>
      <c r="CB49">
        <v>0.4012</v>
      </c>
      <c r="CC49">
        <v>0.45079999999999998</v>
      </c>
      <c r="CD49">
        <v>0.59430000000000005</v>
      </c>
      <c r="CE49">
        <v>0.64700000000000002</v>
      </c>
      <c r="CF49">
        <v>0.67110000000000003</v>
      </c>
      <c r="CG49">
        <v>0.80600000000000005</v>
      </c>
      <c r="CH49">
        <v>0.80600000000000005</v>
      </c>
      <c r="CI49">
        <f t="shared" si="5"/>
        <v>11</v>
      </c>
      <c r="CJ49" s="370">
        <v>0.80600000000000005</v>
      </c>
      <c r="CK49" s="370">
        <f t="shared" si="6"/>
        <v>7.3272727272727281E-2</v>
      </c>
      <c r="CL49" s="370">
        <f t="shared" si="7"/>
        <v>0.92060802771723116</v>
      </c>
      <c r="CM49">
        <v>1023.47</v>
      </c>
      <c r="CN49" s="371">
        <v>0.26715</v>
      </c>
      <c r="CO49" s="371">
        <v>0.65427420000000003</v>
      </c>
      <c r="CP49" s="371">
        <v>7.8575800000000001E-2</v>
      </c>
      <c r="CQ49">
        <v>1818</v>
      </c>
      <c r="CR49">
        <v>1554</v>
      </c>
      <c r="CS49">
        <v>413</v>
      </c>
      <c r="CT49">
        <v>285</v>
      </c>
      <c r="CU49">
        <v>2370</v>
      </c>
      <c r="CV49">
        <v>6440</v>
      </c>
      <c r="CW49">
        <v>778.07</v>
      </c>
      <c r="CX49">
        <v>994.27</v>
      </c>
      <c r="CY49">
        <v>36.54</v>
      </c>
      <c r="CZ49">
        <v>27.3</v>
      </c>
      <c r="DA49">
        <v>232.43</v>
      </c>
      <c r="DB49">
        <v>2068.61</v>
      </c>
      <c r="DC49">
        <v>6.59E-2</v>
      </c>
      <c r="DD49">
        <v>0.13270000000000001</v>
      </c>
      <c r="DE49">
        <v>0.20649999999999999</v>
      </c>
      <c r="DF49">
        <v>0.31969999999999998</v>
      </c>
      <c r="DG49">
        <v>0.40889999999999999</v>
      </c>
      <c r="DH49">
        <v>0.49890000000000001</v>
      </c>
      <c r="DI49">
        <v>0.6119</v>
      </c>
      <c r="DJ49">
        <v>0.68510000000000004</v>
      </c>
      <c r="DK49">
        <v>0.74929999999999997</v>
      </c>
      <c r="DL49">
        <v>0.84399999999999997</v>
      </c>
      <c r="DM49">
        <v>0.90280000000000005</v>
      </c>
      <c r="DN49">
        <v>0.95499999999999996</v>
      </c>
      <c r="DO49">
        <v>2.1100000000000001E-2</v>
      </c>
      <c r="DP49">
        <v>6.7299999999999999E-2</v>
      </c>
      <c r="DQ49">
        <v>9.8100000000000007E-2</v>
      </c>
      <c r="DR49">
        <v>0.13730000000000001</v>
      </c>
      <c r="DS49">
        <v>0.26429999999999998</v>
      </c>
      <c r="DT49">
        <v>0.33979999999999999</v>
      </c>
      <c r="DU49">
        <v>0.39290000000000003</v>
      </c>
      <c r="DV49">
        <v>0.51770000000000005</v>
      </c>
      <c r="DW49">
        <v>0.58089999999999997</v>
      </c>
      <c r="DX49">
        <v>0.64790000000000003</v>
      </c>
      <c r="DY49">
        <v>0.76080000000000003</v>
      </c>
      <c r="DZ49">
        <v>0.95420000000000005</v>
      </c>
      <c r="EA49">
        <f t="shared" si="8"/>
        <v>12</v>
      </c>
      <c r="EB49" s="370">
        <v>0.95420000000000005</v>
      </c>
      <c r="EC49" s="370">
        <f t="shared" si="9"/>
        <v>7.9516666666666666E-2</v>
      </c>
      <c r="ED49" s="370">
        <f t="shared" si="10"/>
        <v>0.99916230366492143</v>
      </c>
      <c r="EE49">
        <v>1836.18</v>
      </c>
      <c r="EF49" s="371">
        <v>0.42374390000000001</v>
      </c>
      <c r="EG49" s="371">
        <v>0.54148830000000003</v>
      </c>
      <c r="EH49" s="371">
        <v>3.4767800000000001E-2</v>
      </c>
      <c r="EI49">
        <v>1283</v>
      </c>
      <c r="EJ49">
        <v>1807</v>
      </c>
      <c r="EK49">
        <v>412</v>
      </c>
      <c r="EL49">
        <v>297</v>
      </c>
      <c r="EM49">
        <v>4032</v>
      </c>
      <c r="EN49">
        <v>7831</v>
      </c>
      <c r="EO49">
        <v>648.52</v>
      </c>
      <c r="EP49">
        <v>933.34</v>
      </c>
      <c r="EQ49">
        <v>25.82</v>
      </c>
      <c r="ER49">
        <v>39.68</v>
      </c>
      <c r="ES49">
        <v>642.14</v>
      </c>
      <c r="ET49">
        <v>2289.5</v>
      </c>
      <c r="EU49">
        <v>6.59E-2</v>
      </c>
      <c r="EV49">
        <v>0.115</v>
      </c>
      <c r="EW49">
        <v>0</v>
      </c>
      <c r="EX49">
        <v>0.29499999999999998</v>
      </c>
      <c r="EY49">
        <v>0.38890000000000002</v>
      </c>
      <c r="EZ49">
        <v>0.5</v>
      </c>
      <c r="FA49">
        <v>0.60189999999999999</v>
      </c>
      <c r="FB49">
        <v>0.66510000000000002</v>
      </c>
      <c r="FC49">
        <v>0.73950000000000005</v>
      </c>
      <c r="FD49">
        <v>0.82450000000000001</v>
      </c>
      <c r="FE49">
        <v>0.90549999999999997</v>
      </c>
      <c r="FF49">
        <v>0.96699999999999997</v>
      </c>
      <c r="FG49">
        <v>2.4299999999999999E-2</v>
      </c>
      <c r="FH49">
        <v>0.1072</v>
      </c>
      <c r="FI49">
        <v>0.13469999999999999</v>
      </c>
      <c r="FJ49">
        <v>0.23250000000000001</v>
      </c>
      <c r="FK49">
        <v>0.32529999999999998</v>
      </c>
      <c r="FL49">
        <v>0.39529999999999998</v>
      </c>
      <c r="FM49">
        <v>0.49890000000000001</v>
      </c>
      <c r="FN49">
        <v>0.57469999999999999</v>
      </c>
      <c r="FO49">
        <v>0.64370000000000005</v>
      </c>
      <c r="FP49">
        <v>0</v>
      </c>
      <c r="FQ49">
        <v>0</v>
      </c>
      <c r="FR49">
        <v>0</v>
      </c>
      <c r="FS49">
        <f t="shared" si="11"/>
        <v>9</v>
      </c>
      <c r="FT49">
        <v>0.64370000000000005</v>
      </c>
      <c r="FU49" s="370">
        <f t="shared" si="12"/>
        <v>7.1522222222222223E-2</v>
      </c>
      <c r="FV49" s="370">
        <f t="shared" si="13"/>
        <v>0.88755601516718385</v>
      </c>
      <c r="FW49">
        <v>1647.36</v>
      </c>
      <c r="FX49">
        <v>0.39367229999999998</v>
      </c>
      <c r="FY49">
        <v>0.56656709999999999</v>
      </c>
      <c r="FZ49">
        <v>3.97606E-2</v>
      </c>
    </row>
    <row r="50" spans="2:182" x14ac:dyDescent="0.25">
      <c r="B50" t="s">
        <v>2</v>
      </c>
      <c r="C50">
        <v>1</v>
      </c>
      <c r="D50">
        <f t="shared" si="0"/>
        <v>1</v>
      </c>
      <c r="E50">
        <f t="shared" si="1"/>
        <v>1</v>
      </c>
      <c r="F50" t="s">
        <v>211</v>
      </c>
      <c r="G50">
        <v>1076</v>
      </c>
      <c r="H50">
        <v>251</v>
      </c>
      <c r="I50">
        <v>224</v>
      </c>
      <c r="J50">
        <v>67</v>
      </c>
      <c r="K50">
        <v>1673</v>
      </c>
      <c r="L50">
        <v>3291</v>
      </c>
      <c r="M50">
        <v>167.94</v>
      </c>
      <c r="N50">
        <v>380.78</v>
      </c>
      <c r="O50">
        <v>35.450000000000003</v>
      </c>
      <c r="P50">
        <v>20.04</v>
      </c>
      <c r="Q50">
        <v>631.57000000000005</v>
      </c>
      <c r="R50">
        <v>1235.78</v>
      </c>
      <c r="S50">
        <v>0.05</v>
      </c>
      <c r="T50">
        <v>0.1</v>
      </c>
      <c r="U50">
        <v>0.15</v>
      </c>
      <c r="V50">
        <v>0</v>
      </c>
      <c r="W50">
        <v>0.3</v>
      </c>
      <c r="X50">
        <v>0.4</v>
      </c>
      <c r="Y50">
        <v>0.5</v>
      </c>
      <c r="Z50">
        <v>0.63</v>
      </c>
      <c r="AA50">
        <v>0.75</v>
      </c>
      <c r="AB50">
        <v>0.85</v>
      </c>
      <c r="AC50">
        <v>0.95</v>
      </c>
      <c r="AD50">
        <v>1</v>
      </c>
      <c r="AE50">
        <v>0.02</v>
      </c>
      <c r="AF50">
        <v>0.05</v>
      </c>
      <c r="AG50">
        <v>7.5999999999999998E-2</v>
      </c>
      <c r="AH50">
        <v>0.13200000000000001</v>
      </c>
      <c r="AI50">
        <v>0.27210000000000001</v>
      </c>
      <c r="AJ50">
        <v>0.37559999999999999</v>
      </c>
      <c r="AK50">
        <v>0.50339999999999996</v>
      </c>
      <c r="AL50">
        <v>0.57579999999999998</v>
      </c>
      <c r="AM50">
        <v>0.57579999999999998</v>
      </c>
      <c r="AN50">
        <v>0.57579999999999998</v>
      </c>
      <c r="AO50">
        <v>0.57579999999999998</v>
      </c>
      <c r="AP50">
        <v>0.57579999999999998</v>
      </c>
      <c r="AQ50">
        <f t="shared" si="2"/>
        <v>8</v>
      </c>
      <c r="AR50" s="370">
        <v>0.57579999999999998</v>
      </c>
      <c r="AS50" s="370">
        <f t="shared" si="3"/>
        <v>7.1974999999999997E-2</v>
      </c>
      <c r="AT50" s="370">
        <f t="shared" si="4"/>
        <v>0.86369999999999991</v>
      </c>
      <c r="AU50">
        <v>604.21</v>
      </c>
      <c r="AV50" s="371">
        <v>0.27794970000000002</v>
      </c>
      <c r="AW50" s="371">
        <v>0.63021139999999998</v>
      </c>
      <c r="AX50" s="371">
        <v>9.1838900000000001E-2</v>
      </c>
      <c r="AY50">
        <v>704</v>
      </c>
      <c r="AZ50">
        <v>390</v>
      </c>
      <c r="BA50">
        <v>246</v>
      </c>
      <c r="BB50">
        <v>85</v>
      </c>
      <c r="BC50">
        <v>1368</v>
      </c>
      <c r="BD50">
        <v>2793</v>
      </c>
      <c r="BE50">
        <v>283.45</v>
      </c>
      <c r="BF50">
        <v>487.33</v>
      </c>
      <c r="BG50">
        <v>23.65</v>
      </c>
      <c r="BH50">
        <v>6.53</v>
      </c>
      <c r="BI50">
        <v>658.04</v>
      </c>
      <c r="BJ50">
        <v>1459</v>
      </c>
      <c r="BK50">
        <v>0.05</v>
      </c>
      <c r="BL50">
        <v>0.1</v>
      </c>
      <c r="BM50">
        <v>0.15</v>
      </c>
      <c r="BN50">
        <v>0</v>
      </c>
      <c r="BO50">
        <v>0.3</v>
      </c>
      <c r="BP50">
        <v>0.4</v>
      </c>
      <c r="BQ50">
        <v>0.5</v>
      </c>
      <c r="BR50">
        <v>0.6</v>
      </c>
      <c r="BS50">
        <v>0.73</v>
      </c>
      <c r="BT50">
        <v>0.85</v>
      </c>
      <c r="BU50">
        <v>0.95</v>
      </c>
      <c r="BV50">
        <v>1</v>
      </c>
      <c r="BW50">
        <v>2.01E-2</v>
      </c>
      <c r="BX50">
        <v>9.8699999999999996E-2</v>
      </c>
      <c r="BY50">
        <v>0.14019999999999999</v>
      </c>
      <c r="BZ50">
        <v>0.1721</v>
      </c>
      <c r="CA50">
        <v>0.23530000000000001</v>
      </c>
      <c r="CB50">
        <v>0.33110000000000001</v>
      </c>
      <c r="CC50">
        <v>0.40189999999999998</v>
      </c>
      <c r="CD50">
        <v>0.45800000000000002</v>
      </c>
      <c r="CE50">
        <v>0.58399999999999996</v>
      </c>
      <c r="CF50">
        <v>0.6462</v>
      </c>
      <c r="CG50">
        <v>0.74339999999999995</v>
      </c>
      <c r="CH50">
        <v>0.95</v>
      </c>
      <c r="CI50">
        <f t="shared" si="5"/>
        <v>12</v>
      </c>
      <c r="CJ50" s="370">
        <v>0.95</v>
      </c>
      <c r="CK50" s="370">
        <f t="shared" si="6"/>
        <v>7.9166666666666663E-2</v>
      </c>
      <c r="CL50" s="370">
        <f t="shared" si="7"/>
        <v>0.95</v>
      </c>
      <c r="CM50">
        <v>800.96</v>
      </c>
      <c r="CN50" s="371">
        <v>0.35388779999999997</v>
      </c>
      <c r="CO50" s="371">
        <v>0.60843239999999998</v>
      </c>
      <c r="CP50" s="371">
        <v>3.7679799999999999E-2</v>
      </c>
      <c r="CQ50">
        <v>1587</v>
      </c>
      <c r="CR50">
        <v>291</v>
      </c>
      <c r="CS50">
        <v>163</v>
      </c>
      <c r="CT50">
        <v>149</v>
      </c>
      <c r="CU50">
        <v>843</v>
      </c>
      <c r="CV50">
        <v>3033</v>
      </c>
      <c r="CW50">
        <v>354.68</v>
      </c>
      <c r="CX50">
        <v>516.42999999999995</v>
      </c>
      <c r="CY50">
        <v>38.86</v>
      </c>
      <c r="CZ50">
        <v>28.38</v>
      </c>
      <c r="DA50">
        <v>546.37</v>
      </c>
      <c r="DB50">
        <v>1484.72</v>
      </c>
      <c r="DC50">
        <v>4.4600000000000001E-2</v>
      </c>
      <c r="DD50">
        <v>9.3100000000000002E-2</v>
      </c>
      <c r="DE50">
        <v>0.1676</v>
      </c>
      <c r="DF50">
        <v>0.31659999999999999</v>
      </c>
      <c r="DG50">
        <v>0.46560000000000001</v>
      </c>
      <c r="DH50">
        <v>0.60529999999999995</v>
      </c>
      <c r="DI50">
        <v>0.66120000000000001</v>
      </c>
      <c r="DJ50">
        <v>0.71709999999999996</v>
      </c>
      <c r="DK50">
        <v>0.79159999999999997</v>
      </c>
      <c r="DL50">
        <v>0.83819999999999995</v>
      </c>
      <c r="DM50">
        <v>0.88470000000000004</v>
      </c>
      <c r="DN50">
        <v>1</v>
      </c>
      <c r="DO50">
        <v>0</v>
      </c>
      <c r="DP50">
        <v>8.1900000000000001E-2</v>
      </c>
      <c r="DQ50">
        <v>8.1900000000000001E-2</v>
      </c>
      <c r="DR50">
        <v>0.1235</v>
      </c>
      <c r="DS50">
        <v>0.33879999999999999</v>
      </c>
      <c r="DT50">
        <v>0.39340000000000003</v>
      </c>
      <c r="DU50">
        <v>0.45</v>
      </c>
      <c r="DV50">
        <v>0.52029999999999998</v>
      </c>
      <c r="DW50">
        <v>0.57110000000000005</v>
      </c>
      <c r="DX50">
        <v>0.66110000000000002</v>
      </c>
      <c r="DY50">
        <v>0.75349999999999995</v>
      </c>
      <c r="DZ50">
        <v>0.93310000000000004</v>
      </c>
      <c r="EA50">
        <f t="shared" si="8"/>
        <v>12</v>
      </c>
      <c r="EB50" s="370">
        <v>0.93310000000000004</v>
      </c>
      <c r="EC50" s="370">
        <f t="shared" si="9"/>
        <v>7.7758333333333332E-2</v>
      </c>
      <c r="ED50" s="370">
        <f t="shared" si="10"/>
        <v>0.93310000000000004</v>
      </c>
      <c r="EE50">
        <v>938.35</v>
      </c>
      <c r="EF50" s="371">
        <v>0.3779826</v>
      </c>
      <c r="EG50" s="371">
        <v>0.55035970000000001</v>
      </c>
      <c r="EH50" s="371">
        <v>7.1657700000000005E-2</v>
      </c>
      <c r="EI50">
        <v>1117</v>
      </c>
      <c r="EJ50">
        <v>327</v>
      </c>
      <c r="EK50">
        <v>242</v>
      </c>
      <c r="EL50">
        <v>103</v>
      </c>
      <c r="EM50">
        <v>1164</v>
      </c>
      <c r="EN50">
        <v>2953</v>
      </c>
      <c r="EO50">
        <v>343.22</v>
      </c>
      <c r="EP50">
        <v>468.63</v>
      </c>
      <c r="EQ50">
        <v>44.55</v>
      </c>
      <c r="ER50">
        <v>21.73</v>
      </c>
      <c r="ES50">
        <v>871.19</v>
      </c>
      <c r="ET50">
        <v>1749.32</v>
      </c>
      <c r="EU50">
        <v>0.05</v>
      </c>
      <c r="EV50">
        <v>0.14000000000000001</v>
      </c>
      <c r="EW50">
        <v>0.23</v>
      </c>
      <c r="EX50">
        <v>0.317</v>
      </c>
      <c r="EY50">
        <v>0.38869999999999999</v>
      </c>
      <c r="EZ50">
        <v>0.495</v>
      </c>
      <c r="FA50">
        <v>0.6</v>
      </c>
      <c r="FB50">
        <v>0.66</v>
      </c>
      <c r="FC50">
        <v>0.84</v>
      </c>
      <c r="FD50">
        <v>0.89200000000000002</v>
      </c>
      <c r="FE50">
        <v>0.92200000000000004</v>
      </c>
      <c r="FF50">
        <v>1</v>
      </c>
      <c r="FG50">
        <v>1.7500000000000002E-2</v>
      </c>
      <c r="FH50">
        <v>9.4700000000000006E-2</v>
      </c>
      <c r="FI50">
        <v>0.20250000000000001</v>
      </c>
      <c r="FJ50">
        <v>0.24340000000000001</v>
      </c>
      <c r="FK50">
        <v>0.39729999999999999</v>
      </c>
      <c r="FL50">
        <v>0.44390000000000002</v>
      </c>
      <c r="FM50">
        <v>0.53600000000000003</v>
      </c>
      <c r="FN50">
        <v>0.59430000000000005</v>
      </c>
      <c r="FO50">
        <v>0.59430000000000005</v>
      </c>
      <c r="FP50">
        <v>0</v>
      </c>
      <c r="FQ50">
        <v>0</v>
      </c>
      <c r="FR50">
        <v>0</v>
      </c>
      <c r="FS50">
        <f t="shared" si="11"/>
        <v>8</v>
      </c>
      <c r="FT50">
        <v>0.59430000000000005</v>
      </c>
      <c r="FU50" s="370">
        <f t="shared" si="12"/>
        <v>7.4287500000000006E-2</v>
      </c>
      <c r="FV50" s="370">
        <f t="shared" si="13"/>
        <v>0.89145000000000008</v>
      </c>
      <c r="FW50">
        <v>878.13</v>
      </c>
      <c r="FX50">
        <v>0.39085330000000001</v>
      </c>
      <c r="FY50">
        <v>0.53366820000000004</v>
      </c>
      <c r="FZ50">
        <v>7.5478600000000007E-2</v>
      </c>
    </row>
    <row r="51" spans="2:182" x14ac:dyDescent="0.25">
      <c r="B51" t="s">
        <v>162</v>
      </c>
      <c r="C51">
        <v>2</v>
      </c>
      <c r="D51">
        <f t="shared" si="0"/>
        <v>1</v>
      </c>
      <c r="E51">
        <f t="shared" si="1"/>
        <v>0</v>
      </c>
      <c r="F51" t="s">
        <v>236</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f t="shared" si="2"/>
        <v>0</v>
      </c>
      <c r="AR51" s="370">
        <v>0</v>
      </c>
      <c r="AS51" s="370">
        <f t="shared" si="3"/>
        <v>0</v>
      </c>
      <c r="AT51" s="370">
        <f t="shared" si="4"/>
        <v>0</v>
      </c>
      <c r="AU51">
        <v>0</v>
      </c>
      <c r="AV51" s="371">
        <v>0</v>
      </c>
      <c r="AW51" s="371">
        <v>0</v>
      </c>
      <c r="AX51" s="371">
        <v>0</v>
      </c>
      <c r="AY51">
        <v>26</v>
      </c>
      <c r="AZ51">
        <v>205</v>
      </c>
      <c r="BA51">
        <v>19</v>
      </c>
      <c r="BB51">
        <v>2</v>
      </c>
      <c r="BC51">
        <v>0</v>
      </c>
      <c r="BD51">
        <v>252</v>
      </c>
      <c r="BE51">
        <v>17.77</v>
      </c>
      <c r="BF51">
        <v>446.13</v>
      </c>
      <c r="BG51">
        <v>6.27</v>
      </c>
      <c r="BH51">
        <v>0.66</v>
      </c>
      <c r="BI51">
        <v>0</v>
      </c>
      <c r="BJ51">
        <v>470.83</v>
      </c>
      <c r="BK51">
        <v>0.12</v>
      </c>
      <c r="BL51">
        <v>0.187</v>
      </c>
      <c r="BM51">
        <v>0.36159999999999998</v>
      </c>
      <c r="BN51">
        <v>0.40870000000000001</v>
      </c>
      <c r="BO51">
        <v>0.46500000000000002</v>
      </c>
      <c r="BP51">
        <v>0.52190000000000003</v>
      </c>
      <c r="BQ51">
        <v>0.61550000000000005</v>
      </c>
      <c r="BR51">
        <v>0.6512</v>
      </c>
      <c r="BS51">
        <v>0.73680000000000001</v>
      </c>
      <c r="BT51">
        <v>0.80230000000000001</v>
      </c>
      <c r="BU51">
        <v>0.87939999999999996</v>
      </c>
      <c r="BV51">
        <v>1</v>
      </c>
      <c r="BW51">
        <v>9.1999999999999998E-2</v>
      </c>
      <c r="BX51">
        <v>0.13730000000000001</v>
      </c>
      <c r="BY51">
        <v>0.28570000000000001</v>
      </c>
      <c r="BZ51">
        <v>0.3362</v>
      </c>
      <c r="CA51">
        <v>0.3826</v>
      </c>
      <c r="CB51">
        <v>0.43269999999999997</v>
      </c>
      <c r="CC51">
        <v>0.50600000000000001</v>
      </c>
      <c r="CD51">
        <v>0.53490000000000004</v>
      </c>
      <c r="CE51">
        <v>0.53490000000000004</v>
      </c>
      <c r="CF51">
        <v>0.53490000000000004</v>
      </c>
      <c r="CG51">
        <v>0.53490000000000004</v>
      </c>
      <c r="CH51">
        <v>0.53490000000000004</v>
      </c>
      <c r="CI51">
        <f t="shared" si="5"/>
        <v>8</v>
      </c>
      <c r="CJ51" s="370">
        <v>0.53490000000000004</v>
      </c>
      <c r="CK51" s="370">
        <f t="shared" si="6"/>
        <v>6.6862500000000005E-2</v>
      </c>
      <c r="CL51" s="370">
        <f t="shared" si="7"/>
        <v>0.80235000000000012</v>
      </c>
      <c r="CM51">
        <v>470.83</v>
      </c>
      <c r="CN51" s="371">
        <v>3.7741900000000002E-2</v>
      </c>
      <c r="CO51" s="371">
        <v>0.94753940000000003</v>
      </c>
      <c r="CP51" s="371">
        <v>1.4718699999999999E-2</v>
      </c>
      <c r="CQ51">
        <v>154</v>
      </c>
      <c r="CR51">
        <v>408</v>
      </c>
      <c r="CS51">
        <v>107</v>
      </c>
      <c r="CT51">
        <v>14</v>
      </c>
      <c r="CU51">
        <v>170</v>
      </c>
      <c r="CV51">
        <v>853</v>
      </c>
      <c r="CW51">
        <v>68</v>
      </c>
      <c r="CX51">
        <v>298.23</v>
      </c>
      <c r="CY51">
        <v>26.03</v>
      </c>
      <c r="CZ51">
        <v>3.27</v>
      </c>
      <c r="DA51">
        <v>11.42</v>
      </c>
      <c r="DB51">
        <v>406.95</v>
      </c>
      <c r="DC51">
        <v>8.3299999999999999E-2</v>
      </c>
      <c r="DD51">
        <v>0.16669999999999999</v>
      </c>
      <c r="DE51">
        <v>0.25</v>
      </c>
      <c r="DF51">
        <v>0.33329999999999999</v>
      </c>
      <c r="DG51">
        <v>0.41670000000000001</v>
      </c>
      <c r="DH51">
        <v>0.5</v>
      </c>
      <c r="DI51">
        <v>0.58330000000000004</v>
      </c>
      <c r="DJ51">
        <v>0.66669999999999996</v>
      </c>
      <c r="DK51">
        <v>0.75</v>
      </c>
      <c r="DL51">
        <v>0.83330000000000004</v>
      </c>
      <c r="DM51">
        <v>0.90669999999999995</v>
      </c>
      <c r="DN51">
        <v>1</v>
      </c>
      <c r="DO51">
        <v>3.4599999999999999E-2</v>
      </c>
      <c r="DP51">
        <v>6.1899999999999997E-2</v>
      </c>
      <c r="DQ51">
        <v>0.14680000000000001</v>
      </c>
      <c r="DR51">
        <v>0.19539999999999999</v>
      </c>
      <c r="DS51">
        <v>0.2467</v>
      </c>
      <c r="DT51">
        <v>0.32950000000000002</v>
      </c>
      <c r="DU51">
        <v>0.45760000000000001</v>
      </c>
      <c r="DV51">
        <v>0.51180000000000003</v>
      </c>
      <c r="DW51">
        <v>0.56989999999999996</v>
      </c>
      <c r="DX51">
        <v>0.67210000000000003</v>
      </c>
      <c r="DY51">
        <v>0.73839999999999995</v>
      </c>
      <c r="DZ51">
        <v>0.87409999999999999</v>
      </c>
      <c r="EA51">
        <f t="shared" si="8"/>
        <v>12</v>
      </c>
      <c r="EB51" s="370">
        <v>0.87409999999999999</v>
      </c>
      <c r="EC51" s="370">
        <f t="shared" si="9"/>
        <v>7.2841666666666666E-2</v>
      </c>
      <c r="ED51" s="370">
        <f t="shared" si="10"/>
        <v>0.87409999999999999</v>
      </c>
      <c r="EE51">
        <v>395.53</v>
      </c>
      <c r="EF51" s="371">
        <v>0.1719212</v>
      </c>
      <c r="EG51" s="371">
        <v>0.75400100000000003</v>
      </c>
      <c r="EH51" s="371">
        <v>7.4077799999999999E-2</v>
      </c>
      <c r="EI51">
        <v>63</v>
      </c>
      <c r="EJ51">
        <v>144</v>
      </c>
      <c r="EK51">
        <v>26</v>
      </c>
      <c r="EL51">
        <v>19</v>
      </c>
      <c r="EM51">
        <v>75</v>
      </c>
      <c r="EN51">
        <v>327</v>
      </c>
      <c r="EO51">
        <v>22.93</v>
      </c>
      <c r="EP51">
        <v>207.79</v>
      </c>
      <c r="EQ51">
        <v>6.73</v>
      </c>
      <c r="ER51">
        <v>4.67</v>
      </c>
      <c r="ES51">
        <v>26.8</v>
      </c>
      <c r="ET51">
        <v>268.92</v>
      </c>
      <c r="EU51">
        <v>3.8699999999999998E-2</v>
      </c>
      <c r="EV51">
        <v>0.1221</v>
      </c>
      <c r="EW51">
        <v>0.2054</v>
      </c>
      <c r="EX51">
        <v>0.24410000000000001</v>
      </c>
      <c r="EY51">
        <v>0.32750000000000001</v>
      </c>
      <c r="EZ51">
        <v>0.4108</v>
      </c>
      <c r="FA51">
        <v>0.49409999999999998</v>
      </c>
      <c r="FB51">
        <v>0.5413</v>
      </c>
      <c r="FC51">
        <v>0.61619999999999997</v>
      </c>
      <c r="FD51">
        <v>0.74409999999999998</v>
      </c>
      <c r="FE51">
        <v>0.82750000000000001</v>
      </c>
      <c r="FF51">
        <v>0.91080000000000005</v>
      </c>
      <c r="FG51">
        <v>1.0800000000000001E-2</v>
      </c>
      <c r="FH51">
        <v>9.2700000000000005E-2</v>
      </c>
      <c r="FI51">
        <v>0.14180000000000001</v>
      </c>
      <c r="FJ51">
        <v>0.20119999999999999</v>
      </c>
      <c r="FK51">
        <v>0.25030000000000002</v>
      </c>
      <c r="FL51">
        <v>0.36</v>
      </c>
      <c r="FM51">
        <v>0.43130000000000002</v>
      </c>
      <c r="FN51">
        <v>0.49070000000000003</v>
      </c>
      <c r="FO51">
        <v>0.49070000000000003</v>
      </c>
      <c r="FP51">
        <v>0</v>
      </c>
      <c r="FQ51">
        <v>0</v>
      </c>
      <c r="FR51">
        <v>0</v>
      </c>
      <c r="FS51">
        <f t="shared" si="11"/>
        <v>8</v>
      </c>
      <c r="FT51">
        <v>0.49070000000000003</v>
      </c>
      <c r="FU51" s="370">
        <f t="shared" si="12"/>
        <v>6.1337500000000003E-2</v>
      </c>
      <c r="FV51" s="370">
        <f t="shared" si="13"/>
        <v>0.80813570487483533</v>
      </c>
      <c r="FW51">
        <v>242.12</v>
      </c>
      <c r="FX51">
        <v>9.47051E-2</v>
      </c>
      <c r="FY51">
        <v>0.85821080000000005</v>
      </c>
      <c r="FZ51">
        <v>4.7084099999999997E-2</v>
      </c>
    </row>
    <row r="52" spans="2:182" x14ac:dyDescent="0.25">
      <c r="B52" t="s">
        <v>162</v>
      </c>
      <c r="C52">
        <v>0</v>
      </c>
      <c r="D52">
        <f t="shared" si="0"/>
        <v>0</v>
      </c>
      <c r="E52">
        <f t="shared" si="1"/>
        <v>0</v>
      </c>
      <c r="F52" t="s">
        <v>212</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f t="shared" si="2"/>
        <v>0</v>
      </c>
      <c r="AR52" s="370">
        <v>0</v>
      </c>
      <c r="AS52" s="370">
        <f t="shared" si="3"/>
        <v>0</v>
      </c>
      <c r="AT52" s="370">
        <f t="shared" si="4"/>
        <v>0</v>
      </c>
      <c r="AU52">
        <v>0</v>
      </c>
      <c r="AV52" s="371">
        <v>0</v>
      </c>
      <c r="AW52" s="371">
        <v>0</v>
      </c>
      <c r="AX52" s="371">
        <v>0</v>
      </c>
      <c r="AY52">
        <v>105</v>
      </c>
      <c r="AZ52">
        <v>414</v>
      </c>
      <c r="BA52">
        <v>20</v>
      </c>
      <c r="BB52">
        <v>5</v>
      </c>
      <c r="BC52">
        <v>101</v>
      </c>
      <c r="BD52">
        <v>645</v>
      </c>
      <c r="BE52">
        <v>33.39</v>
      </c>
      <c r="BF52">
        <v>222.68</v>
      </c>
      <c r="BG52">
        <v>3.6</v>
      </c>
      <c r="BH52">
        <v>1.41</v>
      </c>
      <c r="BI52">
        <v>23.59</v>
      </c>
      <c r="BJ52">
        <v>284.67</v>
      </c>
      <c r="BK52">
        <v>0.03</v>
      </c>
      <c r="BL52">
        <v>0.06</v>
      </c>
      <c r="BM52">
        <v>0.1</v>
      </c>
      <c r="BN52">
        <v>0</v>
      </c>
      <c r="BO52">
        <v>0.25</v>
      </c>
      <c r="BP52">
        <v>0.35</v>
      </c>
      <c r="BQ52">
        <v>0.45</v>
      </c>
      <c r="BR52">
        <v>0.55000000000000004</v>
      </c>
      <c r="BS52">
        <v>0.65</v>
      </c>
      <c r="BT52">
        <v>0.75</v>
      </c>
      <c r="BU52">
        <v>0.85</v>
      </c>
      <c r="BV52">
        <v>0.9</v>
      </c>
      <c r="BW52">
        <v>2.3300000000000001E-2</v>
      </c>
      <c r="BX52">
        <v>5.2699999999999997E-2</v>
      </c>
      <c r="BY52">
        <v>9.4899999999999998E-2</v>
      </c>
      <c r="BZ52">
        <v>0.15590000000000001</v>
      </c>
      <c r="CA52">
        <v>0.22539999999999999</v>
      </c>
      <c r="CB52">
        <v>0.33750000000000002</v>
      </c>
      <c r="CC52">
        <v>0.40279999999999999</v>
      </c>
      <c r="CD52">
        <v>0.40279999999999999</v>
      </c>
      <c r="CE52">
        <v>0.40279999999999999</v>
      </c>
      <c r="CF52">
        <v>0.40279999999999999</v>
      </c>
      <c r="CG52">
        <v>0.40279999999999999</v>
      </c>
      <c r="CH52">
        <v>0.40279999999999999</v>
      </c>
      <c r="CI52">
        <f t="shared" si="5"/>
        <v>7</v>
      </c>
      <c r="CJ52" s="370">
        <v>0.40279999999999999</v>
      </c>
      <c r="CK52" s="370">
        <f t="shared" si="6"/>
        <v>5.7542857142857139E-2</v>
      </c>
      <c r="CL52" s="370">
        <f t="shared" si="7"/>
        <v>0.76723809523809516</v>
      </c>
      <c r="CM52">
        <v>261.08</v>
      </c>
      <c r="CN52" s="371">
        <v>0.1278918</v>
      </c>
      <c r="CO52" s="371">
        <v>0.85291859999999997</v>
      </c>
      <c r="CP52" s="371">
        <v>1.9189500000000002E-2</v>
      </c>
      <c r="CQ52">
        <v>217</v>
      </c>
      <c r="CR52">
        <v>422</v>
      </c>
      <c r="CS52">
        <v>19</v>
      </c>
      <c r="CT52">
        <v>65</v>
      </c>
      <c r="CU52">
        <v>40</v>
      </c>
      <c r="CV52">
        <v>763</v>
      </c>
      <c r="CW52">
        <v>92.22</v>
      </c>
      <c r="CX52">
        <v>246.89</v>
      </c>
      <c r="CY52">
        <v>7.21</v>
      </c>
      <c r="CZ52">
        <v>9.56</v>
      </c>
      <c r="DA52">
        <v>10.87</v>
      </c>
      <c r="DB52">
        <v>366.75</v>
      </c>
      <c r="DC52">
        <v>0</v>
      </c>
      <c r="DD52">
        <v>0</v>
      </c>
      <c r="DE52">
        <v>0</v>
      </c>
      <c r="DF52">
        <v>0</v>
      </c>
      <c r="DG52">
        <v>0</v>
      </c>
      <c r="DH52">
        <v>0</v>
      </c>
      <c r="DI52">
        <v>0</v>
      </c>
      <c r="DJ52">
        <v>0</v>
      </c>
      <c r="DK52">
        <v>0</v>
      </c>
      <c r="DL52">
        <v>0</v>
      </c>
      <c r="DM52">
        <v>0</v>
      </c>
      <c r="DN52">
        <v>0</v>
      </c>
      <c r="DO52">
        <v>2.87E-2</v>
      </c>
      <c r="DP52">
        <v>8.2299999999999998E-2</v>
      </c>
      <c r="DQ52">
        <v>0.1249</v>
      </c>
      <c r="DR52">
        <v>0.17019999999999999</v>
      </c>
      <c r="DS52">
        <v>0.25259999999999999</v>
      </c>
      <c r="DT52">
        <v>0.33610000000000001</v>
      </c>
      <c r="DU52">
        <v>0.43020000000000003</v>
      </c>
      <c r="DV52">
        <v>0.49659999999999999</v>
      </c>
      <c r="DW52">
        <v>0.56299999999999994</v>
      </c>
      <c r="DX52">
        <v>0.65039999999999998</v>
      </c>
      <c r="DY52">
        <v>0.753</v>
      </c>
      <c r="DZ52">
        <v>0.753</v>
      </c>
      <c r="EA52">
        <f t="shared" si="8"/>
        <v>11</v>
      </c>
      <c r="EB52" s="370">
        <v>0.753</v>
      </c>
      <c r="EC52" s="370">
        <f t="shared" si="9"/>
        <v>6.8454545454545448E-2</v>
      </c>
      <c r="ED52" s="370">
        <f t="shared" si="10"/>
        <v>0.82145454545454544</v>
      </c>
      <c r="EE52">
        <v>355.88</v>
      </c>
      <c r="EF52" s="371">
        <v>0.25913229999999998</v>
      </c>
      <c r="EG52" s="371">
        <v>0.6937451</v>
      </c>
      <c r="EH52" s="371">
        <v>4.7122600000000001E-2</v>
      </c>
      <c r="EI52">
        <v>232</v>
      </c>
      <c r="EJ52">
        <v>381</v>
      </c>
      <c r="EK52">
        <v>33</v>
      </c>
      <c r="EL52">
        <v>35</v>
      </c>
      <c r="EM52">
        <v>87</v>
      </c>
      <c r="EN52">
        <v>768</v>
      </c>
      <c r="EO52">
        <v>62.13</v>
      </c>
      <c r="EP52">
        <v>370.21</v>
      </c>
      <c r="EQ52">
        <v>8.8000000000000007</v>
      </c>
      <c r="ER52">
        <v>6.39</v>
      </c>
      <c r="ES52">
        <v>613.12</v>
      </c>
      <c r="ET52">
        <v>1060.6500000000001</v>
      </c>
      <c r="EU52">
        <v>8.3299999999999999E-2</v>
      </c>
      <c r="EV52">
        <v>0.16669999999999999</v>
      </c>
      <c r="EW52">
        <v>0.25</v>
      </c>
      <c r="EX52">
        <v>0.33329999999999999</v>
      </c>
      <c r="EY52">
        <v>0.41670000000000001</v>
      </c>
      <c r="EZ52">
        <v>0.5</v>
      </c>
      <c r="FA52">
        <v>0.58330000000000004</v>
      </c>
      <c r="FB52">
        <v>0.66659999999999997</v>
      </c>
      <c r="FC52">
        <v>0.75</v>
      </c>
      <c r="FD52">
        <v>0.83330000000000004</v>
      </c>
      <c r="FE52">
        <v>0.91659999999999997</v>
      </c>
      <c r="FF52">
        <v>1</v>
      </c>
      <c r="FG52">
        <v>2.0199999999999999E-2</v>
      </c>
      <c r="FH52">
        <v>4.9200000000000001E-2</v>
      </c>
      <c r="FI52">
        <v>0.1012</v>
      </c>
      <c r="FJ52">
        <v>0.1618</v>
      </c>
      <c r="FK52">
        <v>0.22339999999999999</v>
      </c>
      <c r="FL52">
        <v>0.34370000000000001</v>
      </c>
      <c r="FM52">
        <v>0.43759999999999999</v>
      </c>
      <c r="FN52">
        <v>0.52690000000000003</v>
      </c>
      <c r="FO52">
        <v>0.52690000000000003</v>
      </c>
      <c r="FP52">
        <v>0</v>
      </c>
      <c r="FQ52">
        <v>0</v>
      </c>
      <c r="FR52">
        <v>0</v>
      </c>
      <c r="FS52">
        <f t="shared" si="11"/>
        <v>8</v>
      </c>
      <c r="FT52">
        <v>0.52690000000000003</v>
      </c>
      <c r="FU52" s="370">
        <f t="shared" si="12"/>
        <v>6.5862500000000004E-2</v>
      </c>
      <c r="FV52" s="370">
        <f t="shared" si="13"/>
        <v>0.79035000000000011</v>
      </c>
      <c r="FW52">
        <v>447.53</v>
      </c>
      <c r="FX52">
        <v>0.1388287</v>
      </c>
      <c r="FY52">
        <v>0.8272294</v>
      </c>
      <c r="FZ52">
        <v>3.3941899999999997E-2</v>
      </c>
    </row>
    <row r="53" spans="2:182" x14ac:dyDescent="0.25">
      <c r="B53" t="s">
        <v>162</v>
      </c>
      <c r="C53">
        <v>0</v>
      </c>
      <c r="D53">
        <f t="shared" si="0"/>
        <v>0</v>
      </c>
      <c r="E53">
        <f t="shared" si="1"/>
        <v>0</v>
      </c>
      <c r="F53" t="s">
        <v>213</v>
      </c>
      <c r="G53">
        <v>0</v>
      </c>
      <c r="H53">
        <v>0</v>
      </c>
      <c r="I53">
        <v>0</v>
      </c>
      <c r="J53">
        <v>0</v>
      </c>
      <c r="K53">
        <v>0</v>
      </c>
      <c r="L53">
        <v>0</v>
      </c>
      <c r="M53">
        <v>0</v>
      </c>
      <c r="N53">
        <v>0</v>
      </c>
      <c r="O53">
        <v>0</v>
      </c>
      <c r="P53">
        <v>0</v>
      </c>
      <c r="Q53">
        <v>0</v>
      </c>
      <c r="R53">
        <v>0</v>
      </c>
      <c r="S53">
        <v>0</v>
      </c>
      <c r="T53">
        <v>6.59E-2</v>
      </c>
      <c r="U53">
        <v>0.22770000000000001</v>
      </c>
      <c r="V53">
        <v>0.29849999999999999</v>
      </c>
      <c r="W53">
        <v>0.36049999999999999</v>
      </c>
      <c r="X53">
        <v>0.5534</v>
      </c>
      <c r="Y53">
        <v>0.61470000000000002</v>
      </c>
      <c r="Z53">
        <v>0.67259999999999998</v>
      </c>
      <c r="AA53">
        <v>0.77</v>
      </c>
      <c r="AB53">
        <v>0.83289999999999997</v>
      </c>
      <c r="AC53">
        <v>0.87790000000000001</v>
      </c>
      <c r="AD53">
        <v>0.95150000000000001</v>
      </c>
      <c r="AE53">
        <v>1.1000000000000001E-3</v>
      </c>
      <c r="AF53">
        <v>2.3099999999999999E-2</v>
      </c>
      <c r="AG53">
        <v>7.1099999999999997E-2</v>
      </c>
      <c r="AH53">
        <v>0.1065</v>
      </c>
      <c r="AI53">
        <v>0.15629999999999999</v>
      </c>
      <c r="AJ53">
        <v>0.22359999999999999</v>
      </c>
      <c r="AK53">
        <v>0.31879999999999997</v>
      </c>
      <c r="AL53">
        <v>0.31879999999999997</v>
      </c>
      <c r="AM53">
        <v>0.31879999999999997</v>
      </c>
      <c r="AN53">
        <v>0.31879999999999997</v>
      </c>
      <c r="AO53">
        <v>0.31879999999999997</v>
      </c>
      <c r="AP53">
        <v>0.31879999999999997</v>
      </c>
      <c r="AQ53">
        <f t="shared" si="2"/>
        <v>7</v>
      </c>
      <c r="AR53" s="370">
        <v>0.31879999999999997</v>
      </c>
      <c r="AS53" s="370">
        <f t="shared" si="3"/>
        <v>4.5542857142857142E-2</v>
      </c>
      <c r="AT53" s="370">
        <f t="shared" si="4"/>
        <v>0.574371293446438</v>
      </c>
      <c r="AU53">
        <v>0</v>
      </c>
      <c r="AV53" s="371">
        <v>0</v>
      </c>
      <c r="AW53" s="371">
        <v>0</v>
      </c>
      <c r="AX53" s="371">
        <v>0</v>
      </c>
      <c r="AY53">
        <v>0</v>
      </c>
      <c r="AZ53">
        <v>0</v>
      </c>
      <c r="BA53">
        <v>0</v>
      </c>
      <c r="BB53">
        <v>0</v>
      </c>
      <c r="BC53">
        <v>0</v>
      </c>
      <c r="BD53">
        <v>0</v>
      </c>
      <c r="BE53">
        <v>0</v>
      </c>
      <c r="BF53">
        <v>0</v>
      </c>
      <c r="BG53">
        <v>0</v>
      </c>
      <c r="BH53">
        <v>0</v>
      </c>
      <c r="BI53">
        <v>0</v>
      </c>
      <c r="BJ53">
        <v>0</v>
      </c>
      <c r="BK53">
        <v>0</v>
      </c>
      <c r="BL53">
        <v>6.59E-2</v>
      </c>
      <c r="BM53">
        <v>0.22770000000000001</v>
      </c>
      <c r="BN53">
        <v>0.29849999999999999</v>
      </c>
      <c r="BO53">
        <v>0.36049999999999999</v>
      </c>
      <c r="BP53">
        <v>0.5534</v>
      </c>
      <c r="BQ53">
        <v>0.61470000000000002</v>
      </c>
      <c r="BR53">
        <v>0.67259999999999998</v>
      </c>
      <c r="BS53">
        <v>0.77</v>
      </c>
      <c r="BT53">
        <v>0.83289999999999997</v>
      </c>
      <c r="BU53">
        <v>0.87790000000000001</v>
      </c>
      <c r="BV53">
        <v>0.95150000000000001</v>
      </c>
      <c r="BW53">
        <v>0</v>
      </c>
      <c r="BX53">
        <v>2.0899999999999998E-2</v>
      </c>
      <c r="BY53">
        <v>5.0599999999999999E-2</v>
      </c>
      <c r="BZ53">
        <v>0.1009</v>
      </c>
      <c r="CA53">
        <v>0.16370000000000001</v>
      </c>
      <c r="CB53">
        <v>0.23200000000000001</v>
      </c>
      <c r="CC53">
        <v>0.30030000000000001</v>
      </c>
      <c r="CD53">
        <v>0.39229999999999998</v>
      </c>
      <c r="CE53">
        <v>0.4572</v>
      </c>
      <c r="CF53">
        <v>0.4572</v>
      </c>
      <c r="CG53">
        <v>0.54879999999999995</v>
      </c>
      <c r="CH53">
        <v>0.54879999999999995</v>
      </c>
      <c r="CI53">
        <f t="shared" si="5"/>
        <v>11</v>
      </c>
      <c r="CJ53" s="370">
        <v>0.54879999999999995</v>
      </c>
      <c r="CK53" s="370">
        <f t="shared" si="6"/>
        <v>4.989090909090909E-2</v>
      </c>
      <c r="CL53" s="370">
        <f t="shared" si="7"/>
        <v>0.62920747145655176</v>
      </c>
      <c r="CM53">
        <v>0</v>
      </c>
      <c r="CN53" s="371">
        <v>0</v>
      </c>
      <c r="CO53" s="371">
        <v>0</v>
      </c>
      <c r="CP53" s="371">
        <v>0</v>
      </c>
      <c r="CQ53">
        <v>2389</v>
      </c>
      <c r="CR53">
        <v>357</v>
      </c>
      <c r="CS53">
        <v>389</v>
      </c>
      <c r="CT53">
        <v>1899</v>
      </c>
      <c r="CU53">
        <v>1683</v>
      </c>
      <c r="CV53">
        <v>6717</v>
      </c>
      <c r="CW53">
        <v>228.46</v>
      </c>
      <c r="CX53">
        <v>392.64</v>
      </c>
      <c r="CY53">
        <v>16.97</v>
      </c>
      <c r="CZ53">
        <v>45.09</v>
      </c>
      <c r="DA53">
        <v>168.61</v>
      </c>
      <c r="DB53">
        <v>851.77</v>
      </c>
      <c r="DC53">
        <v>3.0999999999999999E-3</v>
      </c>
      <c r="DD53">
        <v>0.14849999999999999</v>
      </c>
      <c r="DE53">
        <v>0.251</v>
      </c>
      <c r="DF53">
        <v>0.34649999999999997</v>
      </c>
      <c r="DG53">
        <v>0.42930000000000001</v>
      </c>
      <c r="DH53">
        <v>0.51100000000000001</v>
      </c>
      <c r="DI53">
        <v>0.60550000000000004</v>
      </c>
      <c r="DJ53">
        <v>0.7087</v>
      </c>
      <c r="DK53">
        <v>0.8014</v>
      </c>
      <c r="DL53">
        <v>0.85950000000000004</v>
      </c>
      <c r="DM53">
        <v>0.97829999999999995</v>
      </c>
      <c r="DN53">
        <v>1</v>
      </c>
      <c r="DO53">
        <v>3.0999999999999999E-3</v>
      </c>
      <c r="DP53">
        <v>9.1999999999999998E-3</v>
      </c>
      <c r="DQ53">
        <v>8.2699999999999996E-2</v>
      </c>
      <c r="DR53">
        <v>8.2699999999999996E-2</v>
      </c>
      <c r="DS53">
        <v>0.14280000000000001</v>
      </c>
      <c r="DT53">
        <v>0.14280000000000001</v>
      </c>
      <c r="DU53">
        <v>0.22</v>
      </c>
      <c r="DV53">
        <v>0.47949999999999998</v>
      </c>
      <c r="DW53">
        <v>0.53769999999999996</v>
      </c>
      <c r="DX53">
        <v>0.63629999999999998</v>
      </c>
      <c r="DY53">
        <v>0.69379999999999997</v>
      </c>
      <c r="DZ53">
        <v>0.87890000000000001</v>
      </c>
      <c r="EA53">
        <f t="shared" si="8"/>
        <v>12</v>
      </c>
      <c r="EB53" s="370">
        <v>0.87890000000000001</v>
      </c>
      <c r="EC53" s="370">
        <f t="shared" si="9"/>
        <v>7.3241666666666663E-2</v>
      </c>
      <c r="ED53" s="370">
        <f t="shared" si="10"/>
        <v>0.87890000000000001</v>
      </c>
      <c r="EE53">
        <v>683.16</v>
      </c>
      <c r="EF53" s="371">
        <v>0.33441650000000001</v>
      </c>
      <c r="EG53" s="371">
        <v>0.5747409</v>
      </c>
      <c r="EH53" s="371">
        <v>9.0842599999999996E-2</v>
      </c>
      <c r="EI53">
        <v>1287</v>
      </c>
      <c r="EJ53">
        <v>225</v>
      </c>
      <c r="EK53">
        <v>197</v>
      </c>
      <c r="EL53">
        <v>1079</v>
      </c>
      <c r="EM53">
        <v>1521</v>
      </c>
      <c r="EN53">
        <v>4309</v>
      </c>
      <c r="EO53">
        <v>130.06</v>
      </c>
      <c r="EP53">
        <v>254.45</v>
      </c>
      <c r="EQ53">
        <v>9.5500000000000007</v>
      </c>
      <c r="ER53">
        <v>37.28</v>
      </c>
      <c r="ES53">
        <v>91.16</v>
      </c>
      <c r="ET53">
        <v>522.5</v>
      </c>
      <c r="EU53">
        <v>6.8599999999999994E-2</v>
      </c>
      <c r="EV53">
        <v>8.8599999999999998E-2</v>
      </c>
      <c r="EW53">
        <v>0.12720000000000001</v>
      </c>
      <c r="EX53">
        <v>0.17799999999999999</v>
      </c>
      <c r="EY53">
        <v>0.22170000000000001</v>
      </c>
      <c r="EZ53">
        <v>0.3014</v>
      </c>
      <c r="FA53">
        <v>0.42709999999999998</v>
      </c>
      <c r="FB53">
        <v>0.50339999999999996</v>
      </c>
      <c r="FC53">
        <v>0.6</v>
      </c>
      <c r="FD53">
        <v>0.71550000000000002</v>
      </c>
      <c r="FE53">
        <v>0.8044</v>
      </c>
      <c r="FF53">
        <v>1</v>
      </c>
      <c r="FG53">
        <v>3.5000000000000001E-3</v>
      </c>
      <c r="FH53">
        <v>6.7500000000000004E-2</v>
      </c>
      <c r="FI53">
        <v>0.1056</v>
      </c>
      <c r="FJ53">
        <v>0.14960000000000001</v>
      </c>
      <c r="FK53">
        <v>0.22170000000000001</v>
      </c>
      <c r="FL53">
        <v>0.30590000000000001</v>
      </c>
      <c r="FM53">
        <v>0.41120000000000001</v>
      </c>
      <c r="FN53">
        <v>0.50190000000000001</v>
      </c>
      <c r="FO53">
        <v>0.50190000000000001</v>
      </c>
      <c r="FP53">
        <v>0</v>
      </c>
      <c r="FQ53">
        <v>0</v>
      </c>
      <c r="FR53">
        <v>0</v>
      </c>
      <c r="FS53">
        <f t="shared" si="11"/>
        <v>8</v>
      </c>
      <c r="FT53">
        <v>0.50190000000000001</v>
      </c>
      <c r="FU53" s="370">
        <f t="shared" si="12"/>
        <v>6.2737500000000002E-2</v>
      </c>
      <c r="FV53" s="370">
        <f t="shared" si="13"/>
        <v>0.75285000000000002</v>
      </c>
      <c r="FW53">
        <v>431.34</v>
      </c>
      <c r="FX53">
        <v>0.3015255</v>
      </c>
      <c r="FY53">
        <v>0.58990589999999998</v>
      </c>
      <c r="FZ53">
        <v>0.1085686</v>
      </c>
    </row>
    <row r="54" spans="2:182" x14ac:dyDescent="0.25">
      <c r="B54" t="s">
        <v>162</v>
      </c>
      <c r="C54">
        <v>1</v>
      </c>
      <c r="D54">
        <f t="shared" si="0"/>
        <v>1</v>
      </c>
      <c r="E54">
        <f t="shared" si="1"/>
        <v>1</v>
      </c>
      <c r="F54" t="s">
        <v>214</v>
      </c>
      <c r="G54">
        <v>52</v>
      </c>
      <c r="H54">
        <v>295</v>
      </c>
      <c r="I54">
        <v>48</v>
      </c>
      <c r="J54">
        <v>5</v>
      </c>
      <c r="K54">
        <v>0</v>
      </c>
      <c r="L54">
        <v>400</v>
      </c>
      <c r="M54">
        <v>39.24</v>
      </c>
      <c r="N54">
        <v>219.57</v>
      </c>
      <c r="O54">
        <v>11.53</v>
      </c>
      <c r="P54">
        <v>1.82</v>
      </c>
      <c r="Q54">
        <v>0</v>
      </c>
      <c r="R54">
        <v>272.16000000000003</v>
      </c>
      <c r="S54">
        <v>3.2000000000000001E-2</v>
      </c>
      <c r="T54">
        <v>0.1</v>
      </c>
      <c r="U54">
        <v>0.4037</v>
      </c>
      <c r="V54">
        <v>0.42</v>
      </c>
      <c r="W54">
        <v>0.5</v>
      </c>
      <c r="X54">
        <v>0.70720000000000005</v>
      </c>
      <c r="Y54">
        <v>0.8</v>
      </c>
      <c r="Z54">
        <v>0.9</v>
      </c>
      <c r="AA54">
        <v>0.92020000000000002</v>
      </c>
      <c r="AB54">
        <v>0.93</v>
      </c>
      <c r="AC54">
        <v>0.96</v>
      </c>
      <c r="AD54">
        <v>1</v>
      </c>
      <c r="AE54">
        <v>2.24E-2</v>
      </c>
      <c r="AF54">
        <v>4.7899999999999998E-2</v>
      </c>
      <c r="AG54">
        <v>8.4199999999999997E-2</v>
      </c>
      <c r="AH54">
        <v>0.15040000000000001</v>
      </c>
      <c r="AI54">
        <v>0.19570000000000001</v>
      </c>
      <c r="AJ54">
        <v>0.24970000000000001</v>
      </c>
      <c r="AK54">
        <v>0.38440000000000002</v>
      </c>
      <c r="AL54">
        <v>0.44540000000000002</v>
      </c>
      <c r="AM54">
        <v>0.44540000000000002</v>
      </c>
      <c r="AN54">
        <v>0.44540000000000002</v>
      </c>
      <c r="AO54">
        <v>0.44540000000000002</v>
      </c>
      <c r="AP54">
        <v>0.44540000000000002</v>
      </c>
      <c r="AQ54">
        <f t="shared" si="2"/>
        <v>8</v>
      </c>
      <c r="AR54" s="370">
        <v>0.44540000000000002</v>
      </c>
      <c r="AS54" s="370">
        <f t="shared" si="3"/>
        <v>5.5675000000000002E-2</v>
      </c>
      <c r="AT54" s="370">
        <f t="shared" si="4"/>
        <v>0.66810000000000003</v>
      </c>
      <c r="AU54">
        <v>272.16000000000003</v>
      </c>
      <c r="AV54" s="371">
        <v>0.1441799</v>
      </c>
      <c r="AW54" s="371">
        <v>0.80676809999999999</v>
      </c>
      <c r="AX54" s="371">
        <v>4.9051999999999998E-2</v>
      </c>
      <c r="AY54">
        <v>32</v>
      </c>
      <c r="AZ54">
        <v>399</v>
      </c>
      <c r="BA54">
        <v>68</v>
      </c>
      <c r="BB54">
        <v>16</v>
      </c>
      <c r="BC54">
        <v>0</v>
      </c>
      <c r="BD54">
        <v>515</v>
      </c>
      <c r="BE54">
        <v>27.22</v>
      </c>
      <c r="BF54">
        <v>528.04</v>
      </c>
      <c r="BG54">
        <v>16.059999999999999</v>
      </c>
      <c r="BH54">
        <v>9.74</v>
      </c>
      <c r="BI54">
        <v>0</v>
      </c>
      <c r="BJ54">
        <v>581.05999999999995</v>
      </c>
      <c r="BK54">
        <v>0.16769999999999999</v>
      </c>
      <c r="BL54">
        <v>0.2029</v>
      </c>
      <c r="BM54">
        <v>0.23699999999999999</v>
      </c>
      <c r="BN54">
        <v>0.45619999999999999</v>
      </c>
      <c r="BO54">
        <v>0.50729999999999997</v>
      </c>
      <c r="BP54">
        <v>0.56889999999999996</v>
      </c>
      <c r="BQ54">
        <v>0.73209999999999997</v>
      </c>
      <c r="BR54">
        <v>0.77990000000000004</v>
      </c>
      <c r="BS54">
        <v>0.82850000000000001</v>
      </c>
      <c r="BT54">
        <v>0.9022</v>
      </c>
      <c r="BU54">
        <v>0.94950000000000001</v>
      </c>
      <c r="BV54">
        <v>1</v>
      </c>
      <c r="BW54">
        <v>1.7899999999999999E-2</v>
      </c>
      <c r="BX54">
        <v>4.5100000000000001E-2</v>
      </c>
      <c r="BY54">
        <v>7.85E-2</v>
      </c>
      <c r="BZ54">
        <v>0.14380000000000001</v>
      </c>
      <c r="CA54">
        <v>0.23269999999999999</v>
      </c>
      <c r="CB54">
        <v>0.3579</v>
      </c>
      <c r="CC54">
        <v>0.4123</v>
      </c>
      <c r="CD54">
        <v>0.46949999999999997</v>
      </c>
      <c r="CE54">
        <v>0.54410000000000003</v>
      </c>
      <c r="CF54">
        <v>0.61990000000000001</v>
      </c>
      <c r="CG54">
        <v>0.71830000000000005</v>
      </c>
      <c r="CH54">
        <v>0.89419999999999999</v>
      </c>
      <c r="CI54">
        <f t="shared" si="5"/>
        <v>12</v>
      </c>
      <c r="CJ54" s="370">
        <v>0.89419999999999999</v>
      </c>
      <c r="CK54" s="370">
        <f t="shared" si="6"/>
        <v>7.4516666666666662E-2</v>
      </c>
      <c r="CL54" s="370">
        <f t="shared" si="7"/>
        <v>0.89419999999999988</v>
      </c>
      <c r="CM54">
        <v>581.05999999999995</v>
      </c>
      <c r="CN54" s="371">
        <v>4.6845400000000002E-2</v>
      </c>
      <c r="CO54" s="371">
        <v>0.90875300000000003</v>
      </c>
      <c r="CP54" s="371">
        <v>4.4401599999999999E-2</v>
      </c>
      <c r="CQ54">
        <v>2964</v>
      </c>
      <c r="CR54">
        <v>1286</v>
      </c>
      <c r="CS54">
        <v>465</v>
      </c>
      <c r="CT54">
        <v>680</v>
      </c>
      <c r="CU54">
        <v>980</v>
      </c>
      <c r="CV54">
        <v>6375</v>
      </c>
      <c r="CW54">
        <v>239.89</v>
      </c>
      <c r="CX54">
        <v>477.11</v>
      </c>
      <c r="CY54">
        <v>34.81</v>
      </c>
      <c r="CZ54">
        <v>45.96</v>
      </c>
      <c r="DA54">
        <v>226.11</v>
      </c>
      <c r="DB54">
        <v>1023.88</v>
      </c>
      <c r="DC54">
        <v>9.5399999999999999E-2</v>
      </c>
      <c r="DD54">
        <v>0.19089999999999999</v>
      </c>
      <c r="DE54">
        <v>0.2863</v>
      </c>
      <c r="DF54">
        <v>0.41360000000000002</v>
      </c>
      <c r="DG54">
        <v>0.54090000000000005</v>
      </c>
      <c r="DH54">
        <v>0.66810000000000003</v>
      </c>
      <c r="DI54">
        <v>0.73180000000000001</v>
      </c>
      <c r="DJ54">
        <v>0.79530000000000001</v>
      </c>
      <c r="DK54">
        <v>0.85899999999999999</v>
      </c>
      <c r="DL54">
        <v>0.89080000000000004</v>
      </c>
      <c r="DM54">
        <v>0.92269999999999996</v>
      </c>
      <c r="DN54">
        <v>1</v>
      </c>
      <c r="DO54">
        <v>1.78E-2</v>
      </c>
      <c r="DP54">
        <v>3.6799999999999999E-2</v>
      </c>
      <c r="DQ54">
        <v>6.8900000000000003E-2</v>
      </c>
      <c r="DR54">
        <v>0.13320000000000001</v>
      </c>
      <c r="DS54">
        <v>0.26600000000000001</v>
      </c>
      <c r="DT54">
        <v>0.31929999999999997</v>
      </c>
      <c r="DU54">
        <v>0.39019999999999999</v>
      </c>
      <c r="DV54">
        <v>0.46039999999999998</v>
      </c>
      <c r="DW54">
        <v>0.52200000000000002</v>
      </c>
      <c r="DX54">
        <v>0.59119999999999995</v>
      </c>
      <c r="DY54">
        <v>0.70909999999999995</v>
      </c>
      <c r="DZ54">
        <v>0.92989999999999995</v>
      </c>
      <c r="EA54">
        <f t="shared" si="8"/>
        <v>12</v>
      </c>
      <c r="EB54" s="370">
        <v>0.92989999999999995</v>
      </c>
      <c r="EC54" s="370">
        <f t="shared" si="9"/>
        <v>7.7491666666666667E-2</v>
      </c>
      <c r="ED54" s="370">
        <f t="shared" si="10"/>
        <v>0.92989999999999995</v>
      </c>
      <c r="EE54">
        <v>797.77</v>
      </c>
      <c r="EF54" s="371">
        <v>0.30070069999999999</v>
      </c>
      <c r="EG54" s="371">
        <v>0.59805459999999999</v>
      </c>
      <c r="EH54" s="371">
        <v>0.10124470000000001</v>
      </c>
      <c r="EI54">
        <v>2429</v>
      </c>
      <c r="EJ54">
        <v>1051</v>
      </c>
      <c r="EK54">
        <v>452</v>
      </c>
      <c r="EL54">
        <v>671</v>
      </c>
      <c r="EM54">
        <v>667</v>
      </c>
      <c r="EN54">
        <v>5270</v>
      </c>
      <c r="EO54">
        <v>199.66</v>
      </c>
      <c r="EP54">
        <v>421.5</v>
      </c>
      <c r="EQ54">
        <v>24.71</v>
      </c>
      <c r="ER54">
        <v>35.1</v>
      </c>
      <c r="ES54">
        <v>85.59</v>
      </c>
      <c r="ET54">
        <v>766.56</v>
      </c>
      <c r="EU54">
        <v>0.1333</v>
      </c>
      <c r="EV54">
        <v>0.26669999999999999</v>
      </c>
      <c r="EW54">
        <v>0.4</v>
      </c>
      <c r="EX54">
        <v>0.5</v>
      </c>
      <c r="EY54">
        <v>0.6</v>
      </c>
      <c r="EZ54">
        <v>0.7</v>
      </c>
      <c r="FA54">
        <v>0</v>
      </c>
      <c r="FB54">
        <v>0.83330000000000004</v>
      </c>
      <c r="FC54">
        <v>0.9</v>
      </c>
      <c r="FD54">
        <v>0.93330000000000002</v>
      </c>
      <c r="FE54">
        <v>0.9667</v>
      </c>
      <c r="FF54">
        <v>1</v>
      </c>
      <c r="FG54">
        <v>3.3500000000000002E-2</v>
      </c>
      <c r="FH54">
        <v>6.4100000000000004E-2</v>
      </c>
      <c r="FI54">
        <v>0.10290000000000001</v>
      </c>
      <c r="FJ54">
        <v>0.1578</v>
      </c>
      <c r="FK54">
        <v>0.2424</v>
      </c>
      <c r="FL54">
        <v>0.31969999999999998</v>
      </c>
      <c r="FM54">
        <v>0.42680000000000001</v>
      </c>
      <c r="FN54">
        <v>0</v>
      </c>
      <c r="FO54">
        <v>0</v>
      </c>
      <c r="FP54">
        <v>0</v>
      </c>
      <c r="FQ54">
        <v>0</v>
      </c>
      <c r="FR54">
        <v>0</v>
      </c>
      <c r="FS54">
        <f t="shared" si="11"/>
        <v>7</v>
      </c>
      <c r="FT54">
        <v>0.42680000000000001</v>
      </c>
      <c r="FU54" s="370">
        <f t="shared" si="12"/>
        <v>6.0971428571428572E-2</v>
      </c>
      <c r="FV54" s="370">
        <f t="shared" si="13"/>
        <v>0.73165714285714289</v>
      </c>
      <c r="FW54">
        <v>680.97</v>
      </c>
      <c r="FX54">
        <v>0.2931994</v>
      </c>
      <c r="FY54">
        <v>0.61897000000000002</v>
      </c>
      <c r="FZ54">
        <v>8.7830599999999995E-2</v>
      </c>
    </row>
    <row r="55" spans="2:182" x14ac:dyDescent="0.25">
      <c r="B55" t="s">
        <v>162</v>
      </c>
      <c r="C55">
        <v>0</v>
      </c>
      <c r="D55">
        <f t="shared" si="0"/>
        <v>0</v>
      </c>
      <c r="E55">
        <f t="shared" si="1"/>
        <v>0</v>
      </c>
      <c r="F55" t="s">
        <v>422</v>
      </c>
      <c r="G55">
        <v>201</v>
      </c>
      <c r="H55">
        <v>503</v>
      </c>
      <c r="I55">
        <v>250</v>
      </c>
      <c r="J55">
        <v>47</v>
      </c>
      <c r="K55">
        <v>1621</v>
      </c>
      <c r="L55">
        <v>2622</v>
      </c>
      <c r="M55">
        <v>58.46</v>
      </c>
      <c r="N55">
        <v>294.31</v>
      </c>
      <c r="O55">
        <v>12.37</v>
      </c>
      <c r="P55">
        <v>12.39</v>
      </c>
      <c r="Q55">
        <v>183.82</v>
      </c>
      <c r="R55">
        <v>561.35</v>
      </c>
      <c r="S55">
        <v>3.0099999999999998E-2</v>
      </c>
      <c r="T55">
        <v>6.4500000000000002E-2</v>
      </c>
      <c r="U55">
        <v>0.10340000000000001</v>
      </c>
      <c r="V55">
        <v>0.1555</v>
      </c>
      <c r="W55">
        <v>0.21779999999999999</v>
      </c>
      <c r="X55">
        <v>0.27750000000000002</v>
      </c>
      <c r="Y55">
        <v>0.3589</v>
      </c>
      <c r="Z55">
        <v>0.46450000000000002</v>
      </c>
      <c r="AA55">
        <v>0.58330000000000004</v>
      </c>
      <c r="AB55">
        <v>0.70450000000000002</v>
      </c>
      <c r="AC55">
        <v>0.82230000000000003</v>
      </c>
      <c r="AD55">
        <v>0.97</v>
      </c>
      <c r="AE55">
        <v>2.5100000000000001E-2</v>
      </c>
      <c r="AF55">
        <v>5.6899999999999999E-2</v>
      </c>
      <c r="AG55">
        <v>9.1200000000000003E-2</v>
      </c>
      <c r="AH55">
        <v>0.1552</v>
      </c>
      <c r="AI55">
        <v>0.2044</v>
      </c>
      <c r="AJ55">
        <v>0.26550000000000001</v>
      </c>
      <c r="AK55">
        <v>0.36380000000000001</v>
      </c>
      <c r="AL55">
        <v>0.47849999999999998</v>
      </c>
      <c r="AM55">
        <v>0.47849999999999998</v>
      </c>
      <c r="AN55">
        <v>0.47849999999999998</v>
      </c>
      <c r="AO55">
        <v>0.47849999999999998</v>
      </c>
      <c r="AP55">
        <v>0.47849999999999998</v>
      </c>
      <c r="AQ55">
        <f t="shared" si="2"/>
        <v>8</v>
      </c>
      <c r="AR55" s="370">
        <v>0.47849999999999998</v>
      </c>
      <c r="AS55" s="370">
        <f t="shared" si="3"/>
        <v>5.9812499999999998E-2</v>
      </c>
      <c r="AT55" s="370">
        <f t="shared" si="4"/>
        <v>0.73994845360824746</v>
      </c>
      <c r="AU55">
        <v>377.53</v>
      </c>
      <c r="AV55" s="371">
        <v>0.1548486</v>
      </c>
      <c r="AW55" s="371">
        <v>0.77956720000000002</v>
      </c>
      <c r="AX55" s="371">
        <v>6.5584199999999995E-2</v>
      </c>
      <c r="AY55">
        <v>72</v>
      </c>
      <c r="AZ55">
        <v>334</v>
      </c>
      <c r="BA55">
        <v>85</v>
      </c>
      <c r="BB55">
        <v>59</v>
      </c>
      <c r="BC55">
        <v>0</v>
      </c>
      <c r="BD55">
        <v>550</v>
      </c>
      <c r="BE55">
        <v>30.98</v>
      </c>
      <c r="BF55">
        <v>335.32</v>
      </c>
      <c r="BG55">
        <v>6.82</v>
      </c>
      <c r="BH55">
        <v>2.99</v>
      </c>
      <c r="BI55">
        <v>0</v>
      </c>
      <c r="BJ55">
        <v>376.11</v>
      </c>
      <c r="BK55">
        <v>3.0099999999999998E-2</v>
      </c>
      <c r="BL55">
        <v>6.4500000000000002E-2</v>
      </c>
      <c r="BM55">
        <v>0.10340000000000001</v>
      </c>
      <c r="BN55">
        <v>0.1555</v>
      </c>
      <c r="BO55">
        <v>0.21779999999999999</v>
      </c>
      <c r="BP55">
        <v>0.27750000000000002</v>
      </c>
      <c r="BQ55">
        <v>0.3589</v>
      </c>
      <c r="BR55">
        <v>0.46450000000000002</v>
      </c>
      <c r="BS55">
        <v>0.58330000000000004</v>
      </c>
      <c r="BT55">
        <v>0.70469999999999999</v>
      </c>
      <c r="BU55">
        <v>0.82230000000000003</v>
      </c>
      <c r="BV55">
        <v>0.97</v>
      </c>
      <c r="BW55">
        <v>3.0499999999999999E-2</v>
      </c>
      <c r="BX55">
        <v>3.4200000000000001E-2</v>
      </c>
      <c r="BY55">
        <v>9.4200000000000006E-2</v>
      </c>
      <c r="BZ55">
        <v>0.17199999999999999</v>
      </c>
      <c r="CA55">
        <v>0.25919999999999999</v>
      </c>
      <c r="CB55">
        <v>0.34599999999999997</v>
      </c>
      <c r="CC55">
        <v>0.43070000000000003</v>
      </c>
      <c r="CD55">
        <v>0.4919</v>
      </c>
      <c r="CE55">
        <v>0.54190000000000005</v>
      </c>
      <c r="CF55">
        <v>0.63880000000000003</v>
      </c>
      <c r="CG55">
        <v>0.72089999999999999</v>
      </c>
      <c r="CH55">
        <v>0.72089999999999999</v>
      </c>
      <c r="CI55">
        <f t="shared" si="5"/>
        <v>11</v>
      </c>
      <c r="CJ55" s="370">
        <v>0.72089999999999999</v>
      </c>
      <c r="CK55" s="370">
        <f t="shared" si="6"/>
        <v>6.5536363636363629E-2</v>
      </c>
      <c r="CL55" s="370">
        <f t="shared" si="7"/>
        <v>0.81075913776944708</v>
      </c>
      <c r="CM55">
        <v>376.11</v>
      </c>
      <c r="CN55" s="371">
        <v>8.2369499999999998E-2</v>
      </c>
      <c r="CO55" s="371">
        <v>0.89154770000000005</v>
      </c>
      <c r="CP55" s="371">
        <v>2.60828E-2</v>
      </c>
      <c r="CQ55">
        <v>278</v>
      </c>
      <c r="CR55">
        <v>438</v>
      </c>
      <c r="CS55">
        <v>254</v>
      </c>
      <c r="CT55">
        <v>28</v>
      </c>
      <c r="CU55">
        <v>1770</v>
      </c>
      <c r="CV55">
        <v>2768</v>
      </c>
      <c r="CW55">
        <v>86.2</v>
      </c>
      <c r="CX55">
        <v>240.55</v>
      </c>
      <c r="CY55">
        <v>22.4</v>
      </c>
      <c r="CZ55">
        <v>4.5999999999999996</v>
      </c>
      <c r="DA55">
        <v>269.14999999999998</v>
      </c>
      <c r="DB55">
        <v>622.9</v>
      </c>
      <c r="DC55">
        <v>3.1600000000000003E-2</v>
      </c>
      <c r="DD55">
        <v>6.2899999999999998E-2</v>
      </c>
      <c r="DE55">
        <v>0.1154</v>
      </c>
      <c r="DF55">
        <v>0.18110000000000001</v>
      </c>
      <c r="DG55">
        <v>0.25640000000000002</v>
      </c>
      <c r="DH55">
        <v>0.33489999999999998</v>
      </c>
      <c r="DI55">
        <v>0.41899999999999998</v>
      </c>
      <c r="DJ55">
        <v>0.47760000000000002</v>
      </c>
      <c r="DK55">
        <v>0.54759999999999998</v>
      </c>
      <c r="DL55">
        <v>0.71330000000000005</v>
      </c>
      <c r="DM55">
        <v>0.81269999999999998</v>
      </c>
      <c r="DN55">
        <v>0.97350000000000003</v>
      </c>
      <c r="DO55">
        <v>2.0299999999999999E-2</v>
      </c>
      <c r="DP55">
        <v>4.3299999999999998E-2</v>
      </c>
      <c r="DQ55">
        <v>9.4799999999999995E-2</v>
      </c>
      <c r="DR55">
        <v>0.1502</v>
      </c>
      <c r="DS55">
        <v>0.2477</v>
      </c>
      <c r="DT55">
        <v>0.33079999999999998</v>
      </c>
      <c r="DU55">
        <v>0.3911</v>
      </c>
      <c r="DV55">
        <v>0.47739999999999999</v>
      </c>
      <c r="DW55">
        <v>0.52300000000000002</v>
      </c>
      <c r="DX55">
        <v>0.622</v>
      </c>
      <c r="DY55">
        <v>0.71899999999999997</v>
      </c>
      <c r="DZ55">
        <v>0.94510000000000005</v>
      </c>
      <c r="EA55">
        <f t="shared" si="8"/>
        <v>12</v>
      </c>
      <c r="EB55" s="370">
        <v>0.94510000000000005</v>
      </c>
      <c r="EC55" s="370">
        <f t="shared" si="9"/>
        <v>7.8758333333333333E-2</v>
      </c>
      <c r="ED55" s="370">
        <f t="shared" si="10"/>
        <v>0.97082691319979453</v>
      </c>
      <c r="EE55">
        <v>353.75</v>
      </c>
      <c r="EF55" s="371">
        <v>0.2436749</v>
      </c>
      <c r="EG55" s="371">
        <v>0.68</v>
      </c>
      <c r="EH55" s="371">
        <v>7.6325100000000007E-2</v>
      </c>
      <c r="EI55">
        <v>275</v>
      </c>
      <c r="EJ55">
        <v>454</v>
      </c>
      <c r="EK55">
        <v>116</v>
      </c>
      <c r="EL55">
        <v>27</v>
      </c>
      <c r="EM55">
        <v>1692</v>
      </c>
      <c r="EN55">
        <v>2564</v>
      </c>
      <c r="EO55">
        <v>69.959999999999994</v>
      </c>
      <c r="EP55">
        <v>240.09</v>
      </c>
      <c r="EQ55">
        <v>11.7</v>
      </c>
      <c r="ER55">
        <v>6.69</v>
      </c>
      <c r="ES55">
        <v>283.83</v>
      </c>
      <c r="ET55">
        <v>612.27</v>
      </c>
      <c r="EU55">
        <v>3.6900000000000002E-2</v>
      </c>
      <c r="EV55">
        <v>4.4299999999999999E-2</v>
      </c>
      <c r="EW55">
        <v>9.6699999999999994E-2</v>
      </c>
      <c r="EX55">
        <v>0.15440000000000001</v>
      </c>
      <c r="EY55">
        <v>0.25419999999999998</v>
      </c>
      <c r="EZ55">
        <v>0.33960000000000001</v>
      </c>
      <c r="FA55">
        <v>0.40139999999999998</v>
      </c>
      <c r="FB55">
        <v>0.4909</v>
      </c>
      <c r="FC55">
        <v>0.5383</v>
      </c>
      <c r="FD55">
        <v>0.64019999999999999</v>
      </c>
      <c r="FE55">
        <v>0.74</v>
      </c>
      <c r="FF55">
        <v>0.97260000000000002</v>
      </c>
      <c r="FG55">
        <v>3.6900000000000002E-2</v>
      </c>
      <c r="FH55">
        <v>3.9600000000000003E-2</v>
      </c>
      <c r="FI55">
        <v>9.0300000000000005E-2</v>
      </c>
      <c r="FJ55">
        <v>0.1915</v>
      </c>
      <c r="FK55">
        <v>0.26229999999999998</v>
      </c>
      <c r="FL55">
        <v>0.3473</v>
      </c>
      <c r="FM55">
        <v>0.4803</v>
      </c>
      <c r="FN55">
        <v>0.52510000000000001</v>
      </c>
      <c r="FO55">
        <v>0.52510000000000001</v>
      </c>
      <c r="FP55">
        <v>0</v>
      </c>
      <c r="FQ55">
        <v>0</v>
      </c>
      <c r="FR55">
        <v>0</v>
      </c>
      <c r="FS55">
        <f t="shared" si="11"/>
        <v>8</v>
      </c>
      <c r="FT55">
        <v>0.52510000000000001</v>
      </c>
      <c r="FU55" s="370">
        <f t="shared" si="12"/>
        <v>6.5637500000000001E-2</v>
      </c>
      <c r="FV55" s="370">
        <f t="shared" si="13"/>
        <v>0.80983960518198639</v>
      </c>
      <c r="FW55">
        <v>328.44</v>
      </c>
      <c r="FX55">
        <v>0.2130069</v>
      </c>
      <c r="FY55">
        <v>0.73100109999999996</v>
      </c>
      <c r="FZ55">
        <v>5.5992E-2</v>
      </c>
    </row>
    <row r="56" spans="2:182" x14ac:dyDescent="0.25">
      <c r="B56" t="s">
        <v>162</v>
      </c>
      <c r="C56">
        <v>1</v>
      </c>
      <c r="D56">
        <f t="shared" si="0"/>
        <v>1</v>
      </c>
      <c r="E56">
        <f t="shared" si="1"/>
        <v>1</v>
      </c>
      <c r="F56" t="s">
        <v>216</v>
      </c>
      <c r="G56">
        <v>506</v>
      </c>
      <c r="H56">
        <v>310</v>
      </c>
      <c r="I56">
        <v>299</v>
      </c>
      <c r="J56">
        <v>78</v>
      </c>
      <c r="K56">
        <v>1819</v>
      </c>
      <c r="L56">
        <v>3012</v>
      </c>
      <c r="M56">
        <v>47.86</v>
      </c>
      <c r="N56">
        <v>174.36</v>
      </c>
      <c r="O56">
        <v>13.24</v>
      </c>
      <c r="P56">
        <v>8.42</v>
      </c>
      <c r="Q56">
        <v>164.85</v>
      </c>
      <c r="R56">
        <v>408.73</v>
      </c>
      <c r="S56">
        <v>0.08</v>
      </c>
      <c r="T56">
        <v>0.15</v>
      </c>
      <c r="U56">
        <v>0</v>
      </c>
      <c r="V56">
        <v>0.25</v>
      </c>
      <c r="W56">
        <v>0.35</v>
      </c>
      <c r="X56">
        <v>0.5</v>
      </c>
      <c r="Y56">
        <v>0.65</v>
      </c>
      <c r="Z56">
        <v>0.75</v>
      </c>
      <c r="AA56">
        <v>0.85</v>
      </c>
      <c r="AB56">
        <v>0.9</v>
      </c>
      <c r="AC56">
        <v>1</v>
      </c>
      <c r="AD56">
        <v>1</v>
      </c>
      <c r="AE56">
        <v>0</v>
      </c>
      <c r="AF56">
        <v>0</v>
      </c>
      <c r="AG56">
        <v>0</v>
      </c>
      <c r="AH56">
        <v>0</v>
      </c>
      <c r="AI56">
        <v>0</v>
      </c>
      <c r="AJ56">
        <v>0.15840000000000001</v>
      </c>
      <c r="AK56">
        <v>0.15840000000000001</v>
      </c>
      <c r="AL56">
        <v>0.15840000000000001</v>
      </c>
      <c r="AM56">
        <v>0.15840000000000001</v>
      </c>
      <c r="AN56">
        <v>0.15840000000000001</v>
      </c>
      <c r="AO56">
        <v>0.15840000000000001</v>
      </c>
      <c r="AP56">
        <v>0.15840000000000001</v>
      </c>
      <c r="AQ56">
        <f t="shared" si="2"/>
        <v>6</v>
      </c>
      <c r="AR56" s="370">
        <v>0.15840000000000001</v>
      </c>
      <c r="AS56" s="370">
        <f t="shared" si="3"/>
        <v>2.6400000000000003E-2</v>
      </c>
      <c r="AT56" s="370">
        <f t="shared" si="4"/>
        <v>0.31680000000000003</v>
      </c>
      <c r="AU56">
        <v>243.88</v>
      </c>
      <c r="AV56" s="371">
        <v>0.1962441</v>
      </c>
      <c r="AW56" s="371">
        <v>0.71494179999999996</v>
      </c>
      <c r="AX56" s="371">
        <v>8.8814199999999996E-2</v>
      </c>
      <c r="AY56">
        <v>630</v>
      </c>
      <c r="AZ56">
        <v>308</v>
      </c>
      <c r="BA56">
        <v>245</v>
      </c>
      <c r="BB56">
        <v>116</v>
      </c>
      <c r="BC56">
        <v>2139</v>
      </c>
      <c r="BD56">
        <v>3438</v>
      </c>
      <c r="BE56">
        <v>139.83000000000001</v>
      </c>
      <c r="BF56">
        <v>191.32</v>
      </c>
      <c r="BG56">
        <v>13</v>
      </c>
      <c r="BH56">
        <v>130.01</v>
      </c>
      <c r="BI56">
        <v>247.3</v>
      </c>
      <c r="BJ56">
        <v>721.46</v>
      </c>
      <c r="BK56">
        <v>0.08</v>
      </c>
      <c r="BL56">
        <v>0.15</v>
      </c>
      <c r="BM56">
        <v>0</v>
      </c>
      <c r="BN56">
        <v>0.25</v>
      </c>
      <c r="BO56">
        <v>0.35</v>
      </c>
      <c r="BP56">
        <v>0.5</v>
      </c>
      <c r="BQ56">
        <v>0.65</v>
      </c>
      <c r="BR56">
        <v>0.75</v>
      </c>
      <c r="BS56">
        <v>0.85</v>
      </c>
      <c r="BT56">
        <v>0.9</v>
      </c>
      <c r="BU56">
        <v>0.95</v>
      </c>
      <c r="BV56">
        <v>1</v>
      </c>
      <c r="BW56">
        <v>0</v>
      </c>
      <c r="BX56">
        <v>0</v>
      </c>
      <c r="BY56">
        <v>0</v>
      </c>
      <c r="BZ56">
        <v>9.1700000000000004E-2</v>
      </c>
      <c r="CA56">
        <v>9.1700000000000004E-2</v>
      </c>
      <c r="CB56">
        <v>9.1700000000000004E-2</v>
      </c>
      <c r="CC56">
        <v>0.3306</v>
      </c>
      <c r="CD56">
        <v>0.5</v>
      </c>
      <c r="CE56">
        <v>0.5</v>
      </c>
      <c r="CF56">
        <v>0.5</v>
      </c>
      <c r="CG56">
        <v>0.5</v>
      </c>
      <c r="CH56">
        <v>0.5</v>
      </c>
      <c r="CI56">
        <f t="shared" si="5"/>
        <v>8</v>
      </c>
      <c r="CJ56" s="370">
        <v>0.5</v>
      </c>
      <c r="CK56" s="370">
        <f t="shared" si="6"/>
        <v>6.25E-2</v>
      </c>
      <c r="CL56" s="370">
        <f t="shared" si="7"/>
        <v>0.75</v>
      </c>
      <c r="CM56">
        <v>474.16</v>
      </c>
      <c r="CN56" s="371">
        <v>0.29490040000000001</v>
      </c>
      <c r="CO56" s="371">
        <v>0.40349249999999998</v>
      </c>
      <c r="CP56" s="371">
        <v>0.30160700000000001</v>
      </c>
      <c r="CQ56">
        <v>283</v>
      </c>
      <c r="CR56">
        <v>427</v>
      </c>
      <c r="CS56">
        <v>216</v>
      </c>
      <c r="CT56">
        <v>39</v>
      </c>
      <c r="CU56">
        <v>2438</v>
      </c>
      <c r="CV56">
        <v>3403</v>
      </c>
      <c r="CW56">
        <v>1800.56</v>
      </c>
      <c r="CX56">
        <v>4416.09</v>
      </c>
      <c r="CY56">
        <v>11.16</v>
      </c>
      <c r="CZ56">
        <v>2.95</v>
      </c>
      <c r="DA56">
        <v>411.68</v>
      </c>
      <c r="DB56">
        <v>6642.44</v>
      </c>
      <c r="DC56">
        <v>0</v>
      </c>
      <c r="DD56">
        <v>0</v>
      </c>
      <c r="DE56">
        <v>0</v>
      </c>
      <c r="DF56">
        <v>0</v>
      </c>
      <c r="DG56">
        <v>0</v>
      </c>
      <c r="DH56">
        <v>0</v>
      </c>
      <c r="DI56">
        <v>0</v>
      </c>
      <c r="DJ56">
        <v>0</v>
      </c>
      <c r="DK56">
        <v>0</v>
      </c>
      <c r="DL56">
        <v>0</v>
      </c>
      <c r="DM56">
        <v>0</v>
      </c>
      <c r="DN56">
        <v>0</v>
      </c>
      <c r="DO56">
        <v>4.9200000000000001E-2</v>
      </c>
      <c r="DP56">
        <v>8.9300000000000004E-2</v>
      </c>
      <c r="DQ56">
        <v>0.1263</v>
      </c>
      <c r="DR56">
        <v>0.19600000000000001</v>
      </c>
      <c r="DS56">
        <v>0.23400000000000001</v>
      </c>
      <c r="DT56">
        <v>0.32550000000000001</v>
      </c>
      <c r="DU56">
        <v>0.39200000000000002</v>
      </c>
      <c r="DV56">
        <v>0.39200000000000002</v>
      </c>
      <c r="DW56">
        <v>0.48320000000000002</v>
      </c>
      <c r="DX56">
        <v>0.48320000000000002</v>
      </c>
      <c r="DY56">
        <v>0.48320000000000002</v>
      </c>
      <c r="DZ56">
        <v>0.69099999999999995</v>
      </c>
      <c r="EA56">
        <f t="shared" si="8"/>
        <v>12</v>
      </c>
      <c r="EB56" s="370">
        <v>0.69099999999999995</v>
      </c>
      <c r="EC56" s="370">
        <f t="shared" si="9"/>
        <v>5.7583333333333327E-2</v>
      </c>
      <c r="ED56" s="370">
        <f t="shared" si="10"/>
        <v>0.69099999999999995</v>
      </c>
      <c r="EE56">
        <v>6230.76</v>
      </c>
      <c r="EF56" s="371">
        <v>0.28897919999999999</v>
      </c>
      <c r="EG56" s="371">
        <v>0.70875619999999995</v>
      </c>
      <c r="EH56" s="371">
        <v>2.2645999999999999E-3</v>
      </c>
      <c r="EI56">
        <v>298</v>
      </c>
      <c r="EJ56">
        <v>199</v>
      </c>
      <c r="EK56">
        <v>182</v>
      </c>
      <c r="EL56">
        <v>57</v>
      </c>
      <c r="EM56">
        <v>1567</v>
      </c>
      <c r="EN56">
        <v>2303</v>
      </c>
      <c r="EO56">
        <v>37.49</v>
      </c>
      <c r="EP56">
        <v>197.17</v>
      </c>
      <c r="EQ56">
        <v>13.38</v>
      </c>
      <c r="ER56">
        <v>7.23</v>
      </c>
      <c r="ES56">
        <v>472.41</v>
      </c>
      <c r="ET56">
        <v>727.68</v>
      </c>
      <c r="EU56">
        <v>0</v>
      </c>
      <c r="EV56">
        <v>0</v>
      </c>
      <c r="EW56">
        <v>0</v>
      </c>
      <c r="EX56">
        <v>0</v>
      </c>
      <c r="EY56">
        <v>0</v>
      </c>
      <c r="EZ56">
        <v>0</v>
      </c>
      <c r="FA56">
        <v>0</v>
      </c>
      <c r="FB56">
        <v>0</v>
      </c>
      <c r="FC56">
        <v>0</v>
      </c>
      <c r="FD56">
        <v>0</v>
      </c>
      <c r="FE56">
        <v>0</v>
      </c>
      <c r="FF56">
        <v>0</v>
      </c>
      <c r="FG56">
        <v>0</v>
      </c>
      <c r="FH56">
        <v>6.3E-3</v>
      </c>
      <c r="FI56">
        <v>7.7399999999999997E-2</v>
      </c>
      <c r="FJ56">
        <v>9.7600000000000006E-2</v>
      </c>
      <c r="FK56">
        <v>9.7600000000000006E-2</v>
      </c>
      <c r="FL56">
        <v>0.42459999999999998</v>
      </c>
      <c r="FM56">
        <v>0.44569999999999999</v>
      </c>
      <c r="FN56">
        <v>0.58420000000000005</v>
      </c>
      <c r="FO56">
        <v>0.58420000000000005</v>
      </c>
      <c r="FP56">
        <v>0</v>
      </c>
      <c r="FQ56">
        <v>0</v>
      </c>
      <c r="FR56">
        <v>0</v>
      </c>
      <c r="FS56">
        <f t="shared" si="11"/>
        <v>8</v>
      </c>
      <c r="FT56">
        <v>0.58420000000000005</v>
      </c>
      <c r="FU56" s="370">
        <f t="shared" si="12"/>
        <v>7.3025000000000007E-2</v>
      </c>
      <c r="FV56" s="370">
        <f t="shared" si="13"/>
        <v>0.87630000000000008</v>
      </c>
      <c r="FW56">
        <v>255.27</v>
      </c>
      <c r="FX56">
        <v>0.1468641</v>
      </c>
      <c r="FY56">
        <v>0.77239789999999997</v>
      </c>
      <c r="FZ56">
        <v>8.0738000000000004E-2</v>
      </c>
    </row>
    <row r="57" spans="2:182" x14ac:dyDescent="0.25">
      <c r="B57" t="s">
        <v>165</v>
      </c>
      <c r="C57">
        <v>0</v>
      </c>
      <c r="D57">
        <f t="shared" si="0"/>
        <v>0</v>
      </c>
      <c r="E57">
        <f t="shared" si="1"/>
        <v>0</v>
      </c>
      <c r="F57" t="s">
        <v>217</v>
      </c>
      <c r="G57">
        <v>123</v>
      </c>
      <c r="H57">
        <v>222</v>
      </c>
      <c r="I57">
        <v>37</v>
      </c>
      <c r="J57">
        <v>22</v>
      </c>
      <c r="K57">
        <v>0</v>
      </c>
      <c r="L57">
        <v>404</v>
      </c>
      <c r="M57">
        <v>17.350000000000001</v>
      </c>
      <c r="N57">
        <v>111.86</v>
      </c>
      <c r="O57">
        <v>5.91</v>
      </c>
      <c r="P57">
        <v>2.46</v>
      </c>
      <c r="Q57">
        <v>0</v>
      </c>
      <c r="R57">
        <v>137.58000000000001</v>
      </c>
      <c r="S57">
        <v>2.5000000000000001E-2</v>
      </c>
      <c r="T57">
        <v>0.05</v>
      </c>
      <c r="U57">
        <v>0.1</v>
      </c>
      <c r="V57">
        <v>0.15</v>
      </c>
      <c r="W57">
        <v>0</v>
      </c>
      <c r="X57">
        <v>0.3</v>
      </c>
      <c r="Y57">
        <v>0.4</v>
      </c>
      <c r="Z57">
        <v>0.5</v>
      </c>
      <c r="AA57">
        <v>0.6</v>
      </c>
      <c r="AB57">
        <v>0.7</v>
      </c>
      <c r="AC57">
        <v>0.8</v>
      </c>
      <c r="AD57">
        <v>1</v>
      </c>
      <c r="AE57">
        <v>2.3E-2</v>
      </c>
      <c r="AF57">
        <v>5.4300000000000001E-2</v>
      </c>
      <c r="AG57">
        <v>0.10340000000000001</v>
      </c>
      <c r="AH57">
        <v>0.157</v>
      </c>
      <c r="AI57">
        <v>0.2072</v>
      </c>
      <c r="AJ57">
        <v>0.25890000000000002</v>
      </c>
      <c r="AK57">
        <v>0.32979999999999998</v>
      </c>
      <c r="AL57">
        <v>0.32979999999999998</v>
      </c>
      <c r="AM57">
        <v>0.32979999999999998</v>
      </c>
      <c r="AN57">
        <v>0.32979999999999998</v>
      </c>
      <c r="AO57">
        <v>0.32979999999999998</v>
      </c>
      <c r="AP57">
        <v>0.32979999999999998</v>
      </c>
      <c r="AQ57">
        <f t="shared" si="2"/>
        <v>7</v>
      </c>
      <c r="AR57" s="370">
        <v>0.32979999999999998</v>
      </c>
      <c r="AS57" s="370">
        <f t="shared" si="3"/>
        <v>4.7114285714285713E-2</v>
      </c>
      <c r="AT57" s="370">
        <f t="shared" si="4"/>
        <v>0.56537142857142852</v>
      </c>
      <c r="AU57">
        <v>137.58000000000001</v>
      </c>
      <c r="AV57" s="371">
        <v>0.12610850000000001</v>
      </c>
      <c r="AW57" s="371">
        <v>0.81305419999999995</v>
      </c>
      <c r="AX57" s="371">
        <v>6.0837299999999997E-2</v>
      </c>
      <c r="AY57">
        <v>130</v>
      </c>
      <c r="AZ57">
        <v>188</v>
      </c>
      <c r="BA57">
        <v>28</v>
      </c>
      <c r="BB57">
        <v>17</v>
      </c>
      <c r="BC57">
        <v>0</v>
      </c>
      <c r="BD57">
        <v>363</v>
      </c>
      <c r="BE57">
        <v>30.33</v>
      </c>
      <c r="BF57">
        <v>95.66</v>
      </c>
      <c r="BG57">
        <v>5.0599999999999996</v>
      </c>
      <c r="BH57">
        <v>1</v>
      </c>
      <c r="BI57">
        <v>0</v>
      </c>
      <c r="BJ57">
        <v>132.05000000000001</v>
      </c>
      <c r="BK57">
        <v>2.5000000000000001E-2</v>
      </c>
      <c r="BL57">
        <v>0.05</v>
      </c>
      <c r="BM57">
        <v>0.1</v>
      </c>
      <c r="BN57">
        <v>0.15</v>
      </c>
      <c r="BO57">
        <v>0</v>
      </c>
      <c r="BP57">
        <v>0.3</v>
      </c>
      <c r="BQ57">
        <v>0.4</v>
      </c>
      <c r="BR57">
        <v>0.5</v>
      </c>
      <c r="BS57">
        <v>0.6</v>
      </c>
      <c r="BT57">
        <v>0.7</v>
      </c>
      <c r="BU57">
        <v>0.8</v>
      </c>
      <c r="BV57">
        <v>1</v>
      </c>
      <c r="BW57">
        <v>0</v>
      </c>
      <c r="BX57">
        <v>4.65E-2</v>
      </c>
      <c r="BY57">
        <v>8.5000000000000006E-2</v>
      </c>
      <c r="BZ57">
        <v>0.16400000000000001</v>
      </c>
      <c r="CA57">
        <v>0.22509999999999999</v>
      </c>
      <c r="CB57">
        <v>0.3095</v>
      </c>
      <c r="CC57">
        <v>0.34510000000000002</v>
      </c>
      <c r="CD57">
        <v>0.42549999999999999</v>
      </c>
      <c r="CE57">
        <v>0.48370000000000002</v>
      </c>
      <c r="CF57">
        <v>0.54630000000000001</v>
      </c>
      <c r="CG57">
        <v>0.54630000000000001</v>
      </c>
      <c r="CH57">
        <v>0.54630000000000001</v>
      </c>
      <c r="CI57">
        <f t="shared" si="5"/>
        <v>10</v>
      </c>
      <c r="CJ57" s="370">
        <v>0.54630000000000001</v>
      </c>
      <c r="CK57" s="370">
        <f t="shared" si="6"/>
        <v>5.4629999999999998E-2</v>
      </c>
      <c r="CL57" s="370">
        <f t="shared" si="7"/>
        <v>0.65555999999999992</v>
      </c>
      <c r="CM57">
        <v>132.05000000000001</v>
      </c>
      <c r="CN57" s="371">
        <v>0.22968569999999999</v>
      </c>
      <c r="CO57" s="371">
        <v>0.72442260000000003</v>
      </c>
      <c r="CP57" s="371">
        <v>4.5891700000000001E-2</v>
      </c>
      <c r="CQ57">
        <v>2629</v>
      </c>
      <c r="CR57">
        <v>341</v>
      </c>
      <c r="CS57">
        <v>65</v>
      </c>
      <c r="CT57">
        <v>1366</v>
      </c>
      <c r="CU57">
        <v>2260</v>
      </c>
      <c r="CV57">
        <v>6661</v>
      </c>
      <c r="CW57">
        <v>87.63</v>
      </c>
      <c r="CX57">
        <v>148.74</v>
      </c>
      <c r="CY57">
        <v>6.37</v>
      </c>
      <c r="CZ57">
        <v>24.6</v>
      </c>
      <c r="DA57">
        <v>124.01</v>
      </c>
      <c r="DB57">
        <v>391.35</v>
      </c>
      <c r="DC57">
        <v>0.10050000000000001</v>
      </c>
      <c r="DD57">
        <v>0.2009</v>
      </c>
      <c r="DE57">
        <v>0.3014</v>
      </c>
      <c r="DF57">
        <v>0.33679999999999999</v>
      </c>
      <c r="DG57">
        <v>0.40300000000000002</v>
      </c>
      <c r="DH57">
        <v>0.4385</v>
      </c>
      <c r="DI57">
        <v>0.46539999999999998</v>
      </c>
      <c r="DJ57">
        <v>0.49380000000000002</v>
      </c>
      <c r="DK57">
        <v>0.57769999999999999</v>
      </c>
      <c r="DL57">
        <v>0.67549999999999999</v>
      </c>
      <c r="DM57">
        <v>0.75</v>
      </c>
      <c r="DN57">
        <v>1</v>
      </c>
      <c r="DO57">
        <v>1.8700000000000001E-2</v>
      </c>
      <c r="DP57">
        <v>5.9799999999999999E-2</v>
      </c>
      <c r="DQ57">
        <v>0.1142</v>
      </c>
      <c r="DR57">
        <v>0.18709999999999999</v>
      </c>
      <c r="DS57">
        <v>0.2442</v>
      </c>
      <c r="DT57">
        <v>0.3322</v>
      </c>
      <c r="DU57">
        <v>0.40350000000000003</v>
      </c>
      <c r="DV57">
        <v>0.48270000000000002</v>
      </c>
      <c r="DW57">
        <v>0.56740000000000002</v>
      </c>
      <c r="DX57">
        <v>0.65229999999999999</v>
      </c>
      <c r="DY57">
        <v>0.71299999999999997</v>
      </c>
      <c r="DZ57">
        <v>0.90359999999999996</v>
      </c>
      <c r="EA57">
        <f t="shared" si="8"/>
        <v>12</v>
      </c>
      <c r="EB57" s="370">
        <v>0.90359999999999996</v>
      </c>
      <c r="EC57" s="370">
        <f t="shared" si="9"/>
        <v>7.5299999999999992E-2</v>
      </c>
      <c r="ED57" s="370">
        <f t="shared" si="10"/>
        <v>0.90359999999999996</v>
      </c>
      <c r="EE57">
        <v>267.33999999999997</v>
      </c>
      <c r="EF57" s="371">
        <v>0.32778479999999999</v>
      </c>
      <c r="EG57" s="371">
        <v>0.55637009999999998</v>
      </c>
      <c r="EH57" s="371">
        <v>0.115845</v>
      </c>
      <c r="EI57">
        <v>179</v>
      </c>
      <c r="EJ57">
        <v>165</v>
      </c>
      <c r="EK57">
        <v>50</v>
      </c>
      <c r="EL57">
        <v>17</v>
      </c>
      <c r="EM57">
        <v>3921</v>
      </c>
      <c r="EN57">
        <v>4332</v>
      </c>
      <c r="EO57">
        <v>40.98</v>
      </c>
      <c r="EP57">
        <v>88.58</v>
      </c>
      <c r="EQ57">
        <v>3.75</v>
      </c>
      <c r="ER57">
        <v>2.4</v>
      </c>
      <c r="ES57">
        <v>150.77000000000001</v>
      </c>
      <c r="ET57">
        <v>286.48</v>
      </c>
      <c r="EU57">
        <v>8.3299999999999999E-2</v>
      </c>
      <c r="EV57">
        <v>0.16669999999999999</v>
      </c>
      <c r="EW57">
        <v>0.25</v>
      </c>
      <c r="EX57">
        <v>0.33329999999999999</v>
      </c>
      <c r="EY57">
        <v>0.41670000000000001</v>
      </c>
      <c r="EZ57">
        <v>0.5</v>
      </c>
      <c r="FA57">
        <v>0.58330000000000004</v>
      </c>
      <c r="FB57">
        <v>0.66669999999999996</v>
      </c>
      <c r="FC57">
        <v>0.75</v>
      </c>
      <c r="FD57">
        <v>0.83330000000000004</v>
      </c>
      <c r="FE57">
        <v>0.90669999999999995</v>
      </c>
      <c r="FF57">
        <v>1</v>
      </c>
      <c r="FG57">
        <v>3.9600000000000003E-2</v>
      </c>
      <c r="FH57">
        <v>7.8299999999999995E-2</v>
      </c>
      <c r="FI57">
        <v>0.13320000000000001</v>
      </c>
      <c r="FJ57">
        <v>0.1825</v>
      </c>
      <c r="FK57">
        <v>0.26219999999999999</v>
      </c>
      <c r="FL57">
        <v>0.32729999999999998</v>
      </c>
      <c r="FM57">
        <v>0.40160000000000001</v>
      </c>
      <c r="FN57">
        <v>0.40160000000000001</v>
      </c>
      <c r="FO57">
        <v>0.40160000000000001</v>
      </c>
      <c r="FP57">
        <v>0</v>
      </c>
      <c r="FQ57">
        <v>0</v>
      </c>
      <c r="FR57">
        <v>0</v>
      </c>
      <c r="FS57">
        <f t="shared" si="11"/>
        <v>7</v>
      </c>
      <c r="FT57">
        <v>0.40160000000000001</v>
      </c>
      <c r="FU57" s="370">
        <f t="shared" si="12"/>
        <v>5.7371428571428573E-2</v>
      </c>
      <c r="FV57" s="370">
        <f t="shared" si="13"/>
        <v>0.68845714285714288</v>
      </c>
      <c r="FW57">
        <v>135.71</v>
      </c>
      <c r="FX57">
        <v>0.3019674</v>
      </c>
      <c r="FY57">
        <v>0.6527153</v>
      </c>
      <c r="FZ57">
        <v>4.5317200000000002E-2</v>
      </c>
    </row>
    <row r="58" spans="2:182" x14ac:dyDescent="0.25">
      <c r="B58" t="s">
        <v>162</v>
      </c>
      <c r="C58">
        <v>0</v>
      </c>
      <c r="D58">
        <f t="shared" si="0"/>
        <v>0</v>
      </c>
      <c r="E58">
        <f t="shared" si="1"/>
        <v>0</v>
      </c>
      <c r="F58" t="s">
        <v>218</v>
      </c>
      <c r="G58">
        <v>2</v>
      </c>
      <c r="H58">
        <v>1</v>
      </c>
      <c r="I58">
        <v>0</v>
      </c>
      <c r="J58">
        <v>0</v>
      </c>
      <c r="K58">
        <v>0</v>
      </c>
      <c r="L58">
        <v>3</v>
      </c>
      <c r="M58">
        <v>1.47</v>
      </c>
      <c r="N58">
        <v>13.05</v>
      </c>
      <c r="O58">
        <v>0</v>
      </c>
      <c r="P58">
        <v>0</v>
      </c>
      <c r="Q58">
        <v>0</v>
      </c>
      <c r="R58">
        <v>14.52</v>
      </c>
      <c r="S58">
        <v>0.1341</v>
      </c>
      <c r="T58">
        <v>0.20619999999999999</v>
      </c>
      <c r="U58">
        <v>0.27500000000000002</v>
      </c>
      <c r="V58">
        <v>0.38200000000000001</v>
      </c>
      <c r="W58">
        <v>0.45329999999999998</v>
      </c>
      <c r="X58">
        <v>0.54590000000000005</v>
      </c>
      <c r="Y58">
        <v>0.68489999999999995</v>
      </c>
      <c r="Z58">
        <v>0.75739999999999996</v>
      </c>
      <c r="AA58">
        <v>0.79990000000000006</v>
      </c>
      <c r="AB58">
        <v>0.93489999999999995</v>
      </c>
      <c r="AC58">
        <v>0.97960000000000003</v>
      </c>
      <c r="AD58">
        <v>1</v>
      </c>
      <c r="AE58">
        <v>5.5599999999999997E-2</v>
      </c>
      <c r="AF58">
        <v>0.1008</v>
      </c>
      <c r="AG58">
        <v>0.16070000000000001</v>
      </c>
      <c r="AH58">
        <v>0.2109</v>
      </c>
      <c r="AI58">
        <v>0.28260000000000002</v>
      </c>
      <c r="AJ58">
        <v>0.30120000000000002</v>
      </c>
      <c r="AK58">
        <v>0.30120000000000002</v>
      </c>
      <c r="AL58">
        <v>0.48759999999999998</v>
      </c>
      <c r="AM58">
        <v>0.48759999999999998</v>
      </c>
      <c r="AN58">
        <v>0.48759999999999998</v>
      </c>
      <c r="AO58">
        <v>0.48759999999999998</v>
      </c>
      <c r="AP58">
        <v>0.48759999999999998</v>
      </c>
      <c r="AQ58">
        <f t="shared" si="2"/>
        <v>8</v>
      </c>
      <c r="AR58" s="370">
        <v>0.48759999999999998</v>
      </c>
      <c r="AS58" s="370">
        <f t="shared" si="3"/>
        <v>6.0949999999999997E-2</v>
      </c>
      <c r="AT58" s="370">
        <f t="shared" si="4"/>
        <v>0.73139999999999994</v>
      </c>
      <c r="AU58">
        <v>14.52</v>
      </c>
      <c r="AV58" s="371">
        <v>0.1012397</v>
      </c>
      <c r="AW58" s="371">
        <v>0.89876029999999996</v>
      </c>
      <c r="AX58" s="371">
        <v>0</v>
      </c>
      <c r="AY58">
        <v>229</v>
      </c>
      <c r="AZ58">
        <v>567</v>
      </c>
      <c r="BA58">
        <v>231</v>
      </c>
      <c r="BB58">
        <v>43</v>
      </c>
      <c r="BC58">
        <v>1719</v>
      </c>
      <c r="BD58">
        <v>2789</v>
      </c>
      <c r="BE58">
        <v>136.56</v>
      </c>
      <c r="BF58">
        <v>434.38</v>
      </c>
      <c r="BG58">
        <v>17.28</v>
      </c>
      <c r="BH58">
        <v>7.23</v>
      </c>
      <c r="BI58">
        <v>225.31</v>
      </c>
      <c r="BJ58">
        <v>820.76</v>
      </c>
      <c r="BK58">
        <v>9.9199999999999997E-2</v>
      </c>
      <c r="BL58">
        <v>0.1517</v>
      </c>
      <c r="BM58">
        <v>0.20649999999999999</v>
      </c>
      <c r="BN58">
        <v>0.31929999999999997</v>
      </c>
      <c r="BO58">
        <v>0.38290000000000002</v>
      </c>
      <c r="BP58">
        <v>0.48749999999999999</v>
      </c>
      <c r="BQ58">
        <v>0.6099</v>
      </c>
      <c r="BR58">
        <v>0.67679999999999996</v>
      </c>
      <c r="BS58">
        <v>0.7278</v>
      </c>
      <c r="BT58">
        <v>0.8992</v>
      </c>
      <c r="BU58">
        <v>0.96340000000000003</v>
      </c>
      <c r="BV58">
        <v>1</v>
      </c>
      <c r="BW58">
        <v>4.1099999999999998E-2</v>
      </c>
      <c r="BX58">
        <v>7.4800000000000005E-2</v>
      </c>
      <c r="BY58">
        <v>0.1583</v>
      </c>
      <c r="BZ58">
        <v>0.22059999999999999</v>
      </c>
      <c r="CA58">
        <v>0.2666</v>
      </c>
      <c r="CB58">
        <v>0.36330000000000001</v>
      </c>
      <c r="CC58">
        <v>0.41689999999999999</v>
      </c>
      <c r="CD58">
        <v>0</v>
      </c>
      <c r="CE58">
        <v>0.55630000000000002</v>
      </c>
      <c r="CF58">
        <v>0.64049999999999996</v>
      </c>
      <c r="CG58">
        <v>0.66610000000000003</v>
      </c>
      <c r="CH58">
        <v>0.66610000000000003</v>
      </c>
      <c r="CI58">
        <f t="shared" si="5"/>
        <v>11</v>
      </c>
      <c r="CJ58" s="370">
        <v>0.66610000000000003</v>
      </c>
      <c r="CK58" s="370">
        <f t="shared" si="6"/>
        <v>6.0554545454545458E-2</v>
      </c>
      <c r="CL58" s="370">
        <f t="shared" si="7"/>
        <v>0.72665454545454544</v>
      </c>
      <c r="CM58">
        <v>595.45000000000005</v>
      </c>
      <c r="CN58" s="371">
        <v>0.22933919999999999</v>
      </c>
      <c r="CO58" s="371">
        <v>0.72949870000000006</v>
      </c>
      <c r="CP58" s="371">
        <v>4.11621E-2</v>
      </c>
      <c r="CQ58">
        <v>75</v>
      </c>
      <c r="CR58">
        <v>289</v>
      </c>
      <c r="CS58">
        <v>105</v>
      </c>
      <c r="CT58">
        <v>7</v>
      </c>
      <c r="CU58">
        <v>2179</v>
      </c>
      <c r="CV58">
        <v>2655</v>
      </c>
      <c r="CW58">
        <v>33.340000000000003</v>
      </c>
      <c r="CX58">
        <v>442.47</v>
      </c>
      <c r="CY58">
        <v>12.46</v>
      </c>
      <c r="CZ58">
        <v>1.76</v>
      </c>
      <c r="DA58">
        <v>192.24</v>
      </c>
      <c r="DB58">
        <v>682.27</v>
      </c>
      <c r="DC58">
        <v>0.1273</v>
      </c>
      <c r="DD58">
        <v>0.18859999999999999</v>
      </c>
      <c r="DE58">
        <v>0.34770000000000001</v>
      </c>
      <c r="DF58">
        <v>0.45350000000000001</v>
      </c>
      <c r="DG58">
        <v>0.50949999999999995</v>
      </c>
      <c r="DH58">
        <v>0.59109999999999996</v>
      </c>
      <c r="DI58">
        <v>0.69179999999999997</v>
      </c>
      <c r="DJ58">
        <v>0.74050000000000005</v>
      </c>
      <c r="DK58">
        <v>0.79849999999999999</v>
      </c>
      <c r="DL58">
        <v>0.92090000000000005</v>
      </c>
      <c r="DM58">
        <v>0.97040000000000004</v>
      </c>
      <c r="DN58">
        <v>1</v>
      </c>
      <c r="DO58">
        <v>2.8500000000000001E-2</v>
      </c>
      <c r="DP58">
        <v>4.6600000000000003E-2</v>
      </c>
      <c r="DQ58">
        <v>0.1171</v>
      </c>
      <c r="DR58">
        <v>0.187</v>
      </c>
      <c r="DS58">
        <v>0.24149999999999999</v>
      </c>
      <c r="DT58">
        <v>0.31469999999999998</v>
      </c>
      <c r="DU58">
        <v>0.39250000000000002</v>
      </c>
      <c r="DV58">
        <v>0.42420000000000002</v>
      </c>
      <c r="DW58">
        <v>0.46929999999999999</v>
      </c>
      <c r="DX58">
        <v>0.52749999999999997</v>
      </c>
      <c r="DY58">
        <v>0.63170000000000004</v>
      </c>
      <c r="DZ58">
        <v>0.749</v>
      </c>
      <c r="EA58">
        <f t="shared" si="8"/>
        <v>12</v>
      </c>
      <c r="EB58" s="370">
        <v>0.749</v>
      </c>
      <c r="EC58" s="370">
        <f t="shared" si="9"/>
        <v>6.2416666666666669E-2</v>
      </c>
      <c r="ED58" s="370">
        <f t="shared" si="10"/>
        <v>0.749</v>
      </c>
      <c r="EE58">
        <v>490.03</v>
      </c>
      <c r="EF58" s="371">
        <v>6.8036700000000006E-2</v>
      </c>
      <c r="EG58" s="371">
        <v>0.90294470000000004</v>
      </c>
      <c r="EH58" s="371">
        <v>2.9018599999999999E-2</v>
      </c>
      <c r="EI58">
        <v>43</v>
      </c>
      <c r="EJ58">
        <v>199</v>
      </c>
      <c r="EK58">
        <v>80</v>
      </c>
      <c r="EL58">
        <v>3</v>
      </c>
      <c r="EM58">
        <v>2876</v>
      </c>
      <c r="EN58">
        <v>3201</v>
      </c>
      <c r="EO58">
        <v>20.53</v>
      </c>
      <c r="EP58">
        <v>228.65</v>
      </c>
      <c r="EQ58">
        <v>7.59</v>
      </c>
      <c r="ER58">
        <v>1.75</v>
      </c>
      <c r="ES58">
        <v>340.64</v>
      </c>
      <c r="ET58">
        <v>599.16</v>
      </c>
      <c r="EU58">
        <v>9.1999999999999998E-2</v>
      </c>
      <c r="EV58">
        <v>0.2135</v>
      </c>
      <c r="EW58">
        <v>0.28760000000000002</v>
      </c>
      <c r="EX58">
        <v>0.39929999999999999</v>
      </c>
      <c r="EY58">
        <v>0.46289999999999998</v>
      </c>
      <c r="EZ58">
        <v>0.53659999999999997</v>
      </c>
      <c r="FA58">
        <v>0.62849999999999995</v>
      </c>
      <c r="FB58">
        <v>0.67930000000000001</v>
      </c>
      <c r="FC58">
        <v>0.71989999999999998</v>
      </c>
      <c r="FD58">
        <v>0.82099999999999995</v>
      </c>
      <c r="FE58">
        <v>0.85970000000000002</v>
      </c>
      <c r="FF58">
        <v>0.89039999999999997</v>
      </c>
      <c r="FG58">
        <v>2.92E-2</v>
      </c>
      <c r="FH58">
        <v>5.9700000000000003E-2</v>
      </c>
      <c r="FI58">
        <v>0.1082</v>
      </c>
      <c r="FJ58">
        <v>0.1502</v>
      </c>
      <c r="FK58">
        <v>0.19989999999999999</v>
      </c>
      <c r="FL58">
        <v>0.28179999999999999</v>
      </c>
      <c r="FM58">
        <v>0.29930000000000001</v>
      </c>
      <c r="FN58">
        <v>0.4173</v>
      </c>
      <c r="FO58">
        <v>0.4173</v>
      </c>
      <c r="FP58">
        <v>0</v>
      </c>
      <c r="FQ58">
        <v>0</v>
      </c>
      <c r="FR58">
        <v>0</v>
      </c>
      <c r="FS58">
        <f t="shared" si="11"/>
        <v>8</v>
      </c>
      <c r="FT58">
        <v>0.4173</v>
      </c>
      <c r="FU58" s="370">
        <f t="shared" si="12"/>
        <v>5.2162500000000001E-2</v>
      </c>
      <c r="FV58" s="370">
        <f t="shared" si="13"/>
        <v>0.70299865229110514</v>
      </c>
      <c r="FW58">
        <v>258.52</v>
      </c>
      <c r="FX58">
        <v>7.9413600000000001E-2</v>
      </c>
      <c r="FY58">
        <v>0.88445770000000001</v>
      </c>
      <c r="FZ58">
        <v>3.61287E-2</v>
      </c>
    </row>
    <row r="59" spans="2:182" x14ac:dyDescent="0.25">
      <c r="B59" t="s">
        <v>162</v>
      </c>
      <c r="C59">
        <v>1</v>
      </c>
      <c r="D59">
        <f t="shared" si="0"/>
        <v>1</v>
      </c>
      <c r="E59">
        <f t="shared" si="1"/>
        <v>1</v>
      </c>
      <c r="F59" t="s">
        <v>219</v>
      </c>
      <c r="G59">
        <v>779</v>
      </c>
      <c r="H59">
        <v>523</v>
      </c>
      <c r="I59">
        <v>186</v>
      </c>
      <c r="J59">
        <v>161</v>
      </c>
      <c r="K59">
        <v>173</v>
      </c>
      <c r="L59">
        <v>1822</v>
      </c>
      <c r="M59">
        <v>43.33</v>
      </c>
      <c r="N59">
        <v>139.33000000000001</v>
      </c>
      <c r="O59">
        <v>7.25</v>
      </c>
      <c r="P59">
        <v>12.13</v>
      </c>
      <c r="Q59">
        <v>31.61</v>
      </c>
      <c r="R59">
        <v>233.65</v>
      </c>
      <c r="S59">
        <v>0.05</v>
      </c>
      <c r="T59">
        <v>0.1</v>
      </c>
      <c r="U59">
        <v>0.15</v>
      </c>
      <c r="V59">
        <v>0</v>
      </c>
      <c r="W59">
        <v>0.25</v>
      </c>
      <c r="X59">
        <v>0.27</v>
      </c>
      <c r="Y59">
        <v>0.3</v>
      </c>
      <c r="Z59">
        <v>0.4</v>
      </c>
      <c r="AA59">
        <v>0.5</v>
      </c>
      <c r="AB59">
        <v>0.7</v>
      </c>
      <c r="AC59">
        <v>0.8</v>
      </c>
      <c r="AD59">
        <v>1</v>
      </c>
      <c r="AE59">
        <v>2.8000000000000001E-2</v>
      </c>
      <c r="AF59">
        <v>6.3E-2</v>
      </c>
      <c r="AG59">
        <v>9.9000000000000005E-2</v>
      </c>
      <c r="AH59">
        <v>0.15659999999999999</v>
      </c>
      <c r="AI59">
        <v>0.19950000000000001</v>
      </c>
      <c r="AJ59">
        <v>0.28689999999999999</v>
      </c>
      <c r="AK59">
        <v>0.39250000000000002</v>
      </c>
      <c r="AL59">
        <v>0.47839999999999999</v>
      </c>
      <c r="AM59">
        <v>0.47839999999999999</v>
      </c>
      <c r="AN59">
        <v>0.47839999999999999</v>
      </c>
      <c r="AO59">
        <v>0.47839999999999999</v>
      </c>
      <c r="AP59">
        <v>0.47839999999999999</v>
      </c>
      <c r="AQ59">
        <f t="shared" si="2"/>
        <v>8</v>
      </c>
      <c r="AR59" s="370">
        <v>0.47839999999999999</v>
      </c>
      <c r="AS59" s="370">
        <f t="shared" si="3"/>
        <v>5.9799999999999999E-2</v>
      </c>
      <c r="AT59" s="370">
        <f t="shared" si="4"/>
        <v>0.71760000000000002</v>
      </c>
      <c r="AU59">
        <v>202.04</v>
      </c>
      <c r="AV59" s="371">
        <v>0.2144625</v>
      </c>
      <c r="AW59" s="371">
        <v>0.68961589999999995</v>
      </c>
      <c r="AX59" s="371">
        <v>9.5921599999999996E-2</v>
      </c>
      <c r="AY59">
        <v>560</v>
      </c>
      <c r="AZ59">
        <v>582</v>
      </c>
      <c r="BA59">
        <v>183</v>
      </c>
      <c r="BB59">
        <v>117</v>
      </c>
      <c r="BC59">
        <v>145</v>
      </c>
      <c r="BD59">
        <v>1587</v>
      </c>
      <c r="BE59">
        <v>82.63</v>
      </c>
      <c r="BF59">
        <v>168.91</v>
      </c>
      <c r="BG59">
        <v>20.51</v>
      </c>
      <c r="BH59">
        <v>12.04</v>
      </c>
      <c r="BI59">
        <v>9.6</v>
      </c>
      <c r="BJ59">
        <v>293.69</v>
      </c>
      <c r="BK59">
        <v>3.6600000000000001E-2</v>
      </c>
      <c r="BL59">
        <v>0</v>
      </c>
      <c r="BM59">
        <v>0.1724</v>
      </c>
      <c r="BN59">
        <v>0.2545</v>
      </c>
      <c r="BO59">
        <v>0.3306</v>
      </c>
      <c r="BP59">
        <v>0.40529999999999999</v>
      </c>
      <c r="BQ59">
        <v>0.47249999999999998</v>
      </c>
      <c r="BR59">
        <v>0.53749999999999998</v>
      </c>
      <c r="BS59">
        <v>0.5927</v>
      </c>
      <c r="BT59">
        <v>0.65749999999999997</v>
      </c>
      <c r="BU59">
        <v>0.6986</v>
      </c>
      <c r="BV59">
        <v>1</v>
      </c>
      <c r="BW59">
        <v>2.9600000000000001E-2</v>
      </c>
      <c r="BX59">
        <v>6.7299999999999999E-2</v>
      </c>
      <c r="BY59">
        <v>0.1171</v>
      </c>
      <c r="BZ59">
        <v>0.1825</v>
      </c>
      <c r="CA59">
        <v>0.2346</v>
      </c>
      <c r="CB59">
        <v>0.37890000000000001</v>
      </c>
      <c r="CC59">
        <v>0.46889999999999998</v>
      </c>
      <c r="CD59">
        <v>0.55400000000000005</v>
      </c>
      <c r="CE59">
        <v>0.56789999999999996</v>
      </c>
      <c r="CF59">
        <v>0.65749999999999997</v>
      </c>
      <c r="CG59">
        <v>0.76149999999999995</v>
      </c>
      <c r="CH59">
        <v>0.76149999999999995</v>
      </c>
      <c r="CI59">
        <f t="shared" si="5"/>
        <v>11</v>
      </c>
      <c r="CJ59" s="370">
        <v>0.76149999999999995</v>
      </c>
      <c r="CK59" s="370">
        <f t="shared" si="6"/>
        <v>6.9227272727272721E-2</v>
      </c>
      <c r="CL59" s="370">
        <f t="shared" si="7"/>
        <v>0.83072727272727265</v>
      </c>
      <c r="CM59">
        <v>284.08999999999997</v>
      </c>
      <c r="CN59" s="371">
        <v>0.29085850000000002</v>
      </c>
      <c r="CO59" s="371">
        <v>0.59456509999999996</v>
      </c>
      <c r="CP59" s="371">
        <v>0.11457639999999999</v>
      </c>
      <c r="CQ59">
        <v>657</v>
      </c>
      <c r="CR59">
        <v>768</v>
      </c>
      <c r="CS59">
        <v>253</v>
      </c>
      <c r="CT59">
        <v>184</v>
      </c>
      <c r="CU59">
        <v>92</v>
      </c>
      <c r="CV59">
        <v>1954</v>
      </c>
      <c r="CW59">
        <v>83.11</v>
      </c>
      <c r="CX59">
        <v>183.54</v>
      </c>
      <c r="CY59">
        <v>8.59</v>
      </c>
      <c r="CZ59">
        <v>18.190000000000001</v>
      </c>
      <c r="DA59">
        <v>5.57</v>
      </c>
      <c r="DB59">
        <v>299</v>
      </c>
      <c r="DC59">
        <v>2.5999999999999999E-2</v>
      </c>
      <c r="DD59">
        <v>7.2800000000000004E-2</v>
      </c>
      <c r="DE59">
        <v>0.1462</v>
      </c>
      <c r="DF59">
        <v>0.2172</v>
      </c>
      <c r="DG59">
        <v>0.29360000000000003</v>
      </c>
      <c r="DH59">
        <v>0.41610000000000003</v>
      </c>
      <c r="DI59">
        <v>0.49609999999999999</v>
      </c>
      <c r="DJ59">
        <v>0.57909999999999995</v>
      </c>
      <c r="DK59">
        <v>0.67649999999999999</v>
      </c>
      <c r="DL59">
        <v>0.76390000000000002</v>
      </c>
      <c r="DM59">
        <v>0.90210000000000001</v>
      </c>
      <c r="DN59">
        <v>0.99780000000000002</v>
      </c>
      <c r="DO59">
        <v>2.5999999999999999E-2</v>
      </c>
      <c r="DP59">
        <v>6.3500000000000001E-2</v>
      </c>
      <c r="DQ59">
        <v>0.1056</v>
      </c>
      <c r="DR59">
        <v>0.2334</v>
      </c>
      <c r="DS59">
        <v>0.36020000000000002</v>
      </c>
      <c r="DT59">
        <v>0.5131</v>
      </c>
      <c r="DU59">
        <v>0.64</v>
      </c>
      <c r="DV59">
        <v>0.72519999999999996</v>
      </c>
      <c r="DW59">
        <v>0.83089999999999997</v>
      </c>
      <c r="DX59">
        <v>0.83089999999999997</v>
      </c>
      <c r="DY59">
        <v>0.83089999999999997</v>
      </c>
      <c r="DZ59">
        <v>0.83089999999999997</v>
      </c>
      <c r="EA59">
        <f t="shared" si="8"/>
        <v>9</v>
      </c>
      <c r="EB59" s="370">
        <v>0.83089999999999997</v>
      </c>
      <c r="EC59" s="370">
        <f t="shared" si="9"/>
        <v>9.2322222222222222E-2</v>
      </c>
      <c r="ED59" s="370">
        <f t="shared" si="10"/>
        <v>1</v>
      </c>
      <c r="EE59">
        <v>293.43</v>
      </c>
      <c r="EF59" s="371">
        <v>0.28323619999999999</v>
      </c>
      <c r="EG59" s="371">
        <v>0.62549840000000001</v>
      </c>
      <c r="EH59" s="371">
        <v>9.1265399999999997E-2</v>
      </c>
      <c r="EI59">
        <v>1035</v>
      </c>
      <c r="EJ59">
        <v>727</v>
      </c>
      <c r="EK59">
        <v>138</v>
      </c>
      <c r="EL59">
        <v>492</v>
      </c>
      <c r="EM59">
        <v>426</v>
      </c>
      <c r="EN59">
        <v>2818</v>
      </c>
      <c r="EO59">
        <v>76.17</v>
      </c>
      <c r="EP59">
        <v>175.04</v>
      </c>
      <c r="EQ59">
        <v>7.19</v>
      </c>
      <c r="ER59">
        <v>30.18</v>
      </c>
      <c r="ES59">
        <v>61.83</v>
      </c>
      <c r="ET59">
        <v>350.41</v>
      </c>
      <c r="EU59">
        <v>2.3400000000000001E-2</v>
      </c>
      <c r="EV59">
        <v>5.3600000000000002E-2</v>
      </c>
      <c r="EW59">
        <v>0.1023</v>
      </c>
      <c r="EX59">
        <v>0.2094</v>
      </c>
      <c r="EY59">
        <v>0.31740000000000002</v>
      </c>
      <c r="EZ59">
        <v>0.44340000000000002</v>
      </c>
      <c r="FA59">
        <v>0.56999999999999995</v>
      </c>
      <c r="FB59">
        <v>0.66220000000000001</v>
      </c>
      <c r="FC59">
        <v>0.72470000000000001</v>
      </c>
      <c r="FD59">
        <v>0.79810000000000003</v>
      </c>
      <c r="FE59">
        <v>0.90129999999999999</v>
      </c>
      <c r="FF59">
        <v>0.99790000000000001</v>
      </c>
      <c r="FG59">
        <v>2.3400000000000001E-2</v>
      </c>
      <c r="FH59">
        <v>5.3600000000000002E-2</v>
      </c>
      <c r="FI59">
        <v>0.1023</v>
      </c>
      <c r="FJ59">
        <v>0.21199999999999999</v>
      </c>
      <c r="FK59">
        <v>0.30880000000000002</v>
      </c>
      <c r="FL59">
        <v>0.4425</v>
      </c>
      <c r="FM59">
        <v>0.56920000000000004</v>
      </c>
      <c r="FN59">
        <v>0.66220000000000001</v>
      </c>
      <c r="FO59">
        <v>0.66220000000000001</v>
      </c>
      <c r="FP59">
        <v>0</v>
      </c>
      <c r="FQ59">
        <v>0</v>
      </c>
      <c r="FR59">
        <v>0</v>
      </c>
      <c r="FS59">
        <f t="shared" si="11"/>
        <v>8</v>
      </c>
      <c r="FT59">
        <v>0.66220000000000001</v>
      </c>
      <c r="FU59" s="370">
        <f t="shared" si="12"/>
        <v>8.2775000000000001E-2</v>
      </c>
      <c r="FV59" s="370">
        <f t="shared" si="13"/>
        <v>0.99539031967130986</v>
      </c>
      <c r="FW59">
        <v>288.58</v>
      </c>
      <c r="FX59">
        <v>0.2639476</v>
      </c>
      <c r="FY59">
        <v>0.60655619999999999</v>
      </c>
      <c r="FZ59">
        <v>0.12949620000000001</v>
      </c>
    </row>
    <row r="60" spans="2:182" x14ac:dyDescent="0.25">
      <c r="B60" t="s">
        <v>162</v>
      </c>
      <c r="C60">
        <v>2</v>
      </c>
      <c r="D60">
        <f t="shared" si="0"/>
        <v>1</v>
      </c>
      <c r="E60">
        <f t="shared" si="1"/>
        <v>0</v>
      </c>
      <c r="F60" t="s">
        <v>220</v>
      </c>
      <c r="G60">
        <v>137</v>
      </c>
      <c r="H60">
        <v>489</v>
      </c>
      <c r="I60">
        <v>54</v>
      </c>
      <c r="J60">
        <v>18</v>
      </c>
      <c r="K60">
        <v>71</v>
      </c>
      <c r="L60">
        <v>769</v>
      </c>
      <c r="M60">
        <v>51.02</v>
      </c>
      <c r="N60">
        <v>81.900000000000006</v>
      </c>
      <c r="O60">
        <v>1.04</v>
      </c>
      <c r="P60">
        <v>1.23</v>
      </c>
      <c r="Q60">
        <v>11.53</v>
      </c>
      <c r="R60">
        <v>146.72</v>
      </c>
      <c r="S60">
        <v>0.23569999999999999</v>
      </c>
      <c r="T60">
        <v>0.32040000000000002</v>
      </c>
      <c r="U60">
        <v>0.39319999999999999</v>
      </c>
      <c r="V60">
        <v>0.55069999999999997</v>
      </c>
      <c r="W60">
        <v>0.6018</v>
      </c>
      <c r="X60">
        <v>0.67190000000000005</v>
      </c>
      <c r="Y60">
        <v>0.77080000000000004</v>
      </c>
      <c r="Z60">
        <v>0.82240000000000002</v>
      </c>
      <c r="AA60">
        <v>0.86619999999999997</v>
      </c>
      <c r="AB60">
        <v>0.92420000000000002</v>
      </c>
      <c r="AC60">
        <v>0.96489999999999998</v>
      </c>
      <c r="AD60">
        <v>1</v>
      </c>
      <c r="AE60">
        <v>5.1400000000000001E-2</v>
      </c>
      <c r="AF60">
        <v>8.43E-2</v>
      </c>
      <c r="AG60">
        <v>0.12429999999999999</v>
      </c>
      <c r="AH60">
        <v>0.1716</v>
      </c>
      <c r="AI60">
        <v>0.27160000000000001</v>
      </c>
      <c r="AJ60">
        <v>0.3382</v>
      </c>
      <c r="AK60">
        <v>0.50239999999999996</v>
      </c>
      <c r="AL60">
        <v>0.56659999999999999</v>
      </c>
      <c r="AM60">
        <v>0.56659999999999999</v>
      </c>
      <c r="AN60">
        <v>0.56659999999999999</v>
      </c>
      <c r="AO60">
        <v>0.56659999999999999</v>
      </c>
      <c r="AP60">
        <v>0.56659999999999999</v>
      </c>
      <c r="AQ60">
        <f t="shared" si="2"/>
        <v>8</v>
      </c>
      <c r="AR60" s="370">
        <v>0.56659999999999999</v>
      </c>
      <c r="AS60" s="370">
        <f t="shared" si="3"/>
        <v>7.0824999999999999E-2</v>
      </c>
      <c r="AT60" s="370">
        <f t="shared" si="4"/>
        <v>0.84989999999999999</v>
      </c>
      <c r="AU60">
        <v>135.19</v>
      </c>
      <c r="AV60" s="371">
        <v>0.37739479999999997</v>
      </c>
      <c r="AW60" s="371">
        <v>0.60581399999999996</v>
      </c>
      <c r="AX60" s="371">
        <v>1.6791199999999999E-2</v>
      </c>
      <c r="AY60">
        <v>0</v>
      </c>
      <c r="AZ60">
        <v>0</v>
      </c>
      <c r="BA60">
        <v>0</v>
      </c>
      <c r="BB60">
        <v>0</v>
      </c>
      <c r="BC60">
        <v>0</v>
      </c>
      <c r="BD60">
        <v>0</v>
      </c>
      <c r="BE60">
        <v>0</v>
      </c>
      <c r="BF60">
        <v>0</v>
      </c>
      <c r="BG60">
        <v>0</v>
      </c>
      <c r="BH60">
        <v>0</v>
      </c>
      <c r="BI60">
        <v>0</v>
      </c>
      <c r="BJ60">
        <v>0</v>
      </c>
      <c r="BK60">
        <v>0.05</v>
      </c>
      <c r="BL60">
        <v>0.1</v>
      </c>
      <c r="BM60">
        <v>0</v>
      </c>
      <c r="BN60">
        <v>0.3</v>
      </c>
      <c r="BO60">
        <v>0.4</v>
      </c>
      <c r="BP60">
        <v>0.5</v>
      </c>
      <c r="BQ60">
        <v>0.6</v>
      </c>
      <c r="BR60">
        <v>0.7</v>
      </c>
      <c r="BS60">
        <v>0.8</v>
      </c>
      <c r="BT60">
        <v>0.85</v>
      </c>
      <c r="BU60">
        <v>0.95</v>
      </c>
      <c r="BV60">
        <v>1</v>
      </c>
      <c r="BW60">
        <v>2.8299999999999999E-2</v>
      </c>
      <c r="BX60">
        <v>6.1699999999999998E-2</v>
      </c>
      <c r="BY60">
        <v>9.69E-2</v>
      </c>
      <c r="BZ60">
        <v>0.16769999999999999</v>
      </c>
      <c r="CA60">
        <v>0.22850000000000001</v>
      </c>
      <c r="CB60">
        <v>0.39739999999999998</v>
      </c>
      <c r="CC60">
        <v>0.45469999999999999</v>
      </c>
      <c r="CD60">
        <v>0.54110000000000003</v>
      </c>
      <c r="CE60">
        <v>0.59899999999999998</v>
      </c>
      <c r="CF60">
        <v>0.68910000000000005</v>
      </c>
      <c r="CG60">
        <v>0.77680000000000005</v>
      </c>
      <c r="CH60">
        <v>0.77680000000000005</v>
      </c>
      <c r="CI60">
        <f t="shared" si="5"/>
        <v>11</v>
      </c>
      <c r="CJ60" s="370">
        <v>0.77680000000000005</v>
      </c>
      <c r="CK60" s="370">
        <f t="shared" si="6"/>
        <v>7.0618181818181816E-2</v>
      </c>
      <c r="CL60" s="370">
        <f t="shared" si="7"/>
        <v>0.84741818181818185</v>
      </c>
      <c r="CM60">
        <v>0</v>
      </c>
      <c r="CN60" s="371">
        <v>0</v>
      </c>
      <c r="CO60" s="371">
        <v>0</v>
      </c>
      <c r="CP60" s="371">
        <v>0</v>
      </c>
      <c r="CQ60">
        <v>1932</v>
      </c>
      <c r="CR60">
        <v>2538</v>
      </c>
      <c r="CS60">
        <v>344</v>
      </c>
      <c r="CT60">
        <v>721</v>
      </c>
      <c r="CU60">
        <v>2899</v>
      </c>
      <c r="CV60">
        <v>8434</v>
      </c>
      <c r="CW60">
        <v>260.26</v>
      </c>
      <c r="CX60">
        <v>628.64</v>
      </c>
      <c r="CY60">
        <v>22.71</v>
      </c>
      <c r="CZ60">
        <v>22.29</v>
      </c>
      <c r="DA60">
        <v>113.73</v>
      </c>
      <c r="DB60">
        <v>1047.6300000000001</v>
      </c>
      <c r="DC60">
        <v>9.8299999999999998E-2</v>
      </c>
      <c r="DD60">
        <v>0.14799999999999999</v>
      </c>
      <c r="DE60">
        <v>0.2114</v>
      </c>
      <c r="DF60">
        <v>0.35239999999999999</v>
      </c>
      <c r="DG60">
        <v>0.42430000000000001</v>
      </c>
      <c r="DH60">
        <v>0.56430000000000002</v>
      </c>
      <c r="DI60">
        <v>0.66320000000000001</v>
      </c>
      <c r="DJ60">
        <v>0.72409999999999997</v>
      </c>
      <c r="DK60">
        <v>0.77910000000000001</v>
      </c>
      <c r="DL60">
        <v>0.88100000000000001</v>
      </c>
      <c r="DM60">
        <v>0.95450000000000002</v>
      </c>
      <c r="DN60">
        <v>1</v>
      </c>
      <c r="DO60">
        <v>1.67E-2</v>
      </c>
      <c r="DP60">
        <v>4.0500000000000001E-2</v>
      </c>
      <c r="DQ60">
        <v>7.6899999999999996E-2</v>
      </c>
      <c r="DR60">
        <v>0.16669999999999999</v>
      </c>
      <c r="DS60">
        <v>0.21679999999999999</v>
      </c>
      <c r="DT60">
        <v>0.31269999999999998</v>
      </c>
      <c r="DU60">
        <v>0.39019999999999999</v>
      </c>
      <c r="DV60">
        <v>0.43590000000000001</v>
      </c>
      <c r="DW60">
        <v>0.53049999999999997</v>
      </c>
      <c r="DX60">
        <v>0.57640000000000002</v>
      </c>
      <c r="DY60">
        <v>0.67179999999999995</v>
      </c>
      <c r="DZ60">
        <v>0.90810000000000002</v>
      </c>
      <c r="EA60">
        <f t="shared" si="8"/>
        <v>12</v>
      </c>
      <c r="EB60" s="370">
        <v>0.90810000000000002</v>
      </c>
      <c r="EC60" s="370">
        <f t="shared" si="9"/>
        <v>7.5675000000000006E-2</v>
      </c>
      <c r="ED60" s="370">
        <f t="shared" si="10"/>
        <v>0.90810000000000013</v>
      </c>
      <c r="EE60">
        <v>933.9</v>
      </c>
      <c r="EF60" s="371">
        <v>0.27868080000000001</v>
      </c>
      <c r="EG60" s="371">
        <v>0.67313409999999996</v>
      </c>
      <c r="EH60" s="371">
        <v>4.8184999999999999E-2</v>
      </c>
      <c r="EI60">
        <v>2454</v>
      </c>
      <c r="EJ60">
        <v>1670</v>
      </c>
      <c r="EK60">
        <v>405</v>
      </c>
      <c r="EL60">
        <v>685</v>
      </c>
      <c r="EM60">
        <v>3310</v>
      </c>
      <c r="EN60">
        <v>8524</v>
      </c>
      <c r="EO60">
        <v>261.77</v>
      </c>
      <c r="EP60">
        <v>580.54</v>
      </c>
      <c r="EQ60">
        <v>38.15</v>
      </c>
      <c r="ER60">
        <v>26.16</v>
      </c>
      <c r="ES60">
        <v>235.91</v>
      </c>
      <c r="ET60">
        <v>1142.53</v>
      </c>
      <c r="EU60">
        <v>0.12770000000000001</v>
      </c>
      <c r="EV60">
        <v>0.1991</v>
      </c>
      <c r="EW60">
        <v>0.29210000000000003</v>
      </c>
      <c r="EX60">
        <v>0.42859999999999998</v>
      </c>
      <c r="EY60">
        <v>0.5</v>
      </c>
      <c r="EZ60">
        <v>0.61939999999999995</v>
      </c>
      <c r="FA60">
        <v>0.71109999999999995</v>
      </c>
      <c r="FB60">
        <v>0.79520000000000002</v>
      </c>
      <c r="FC60">
        <v>0.84860000000000002</v>
      </c>
      <c r="FD60">
        <v>0.9284</v>
      </c>
      <c r="FE60">
        <v>0.96699999999999997</v>
      </c>
      <c r="FF60">
        <v>1.0044999999999999</v>
      </c>
      <c r="FG60">
        <v>0.04</v>
      </c>
      <c r="FH60">
        <v>4.6800000000000001E-2</v>
      </c>
      <c r="FI60">
        <v>9.4200000000000006E-2</v>
      </c>
      <c r="FJ60">
        <v>0.1714</v>
      </c>
      <c r="FK60">
        <v>0.23230000000000001</v>
      </c>
      <c r="FL60">
        <v>0.36499999999999999</v>
      </c>
      <c r="FM60">
        <v>0.42820000000000003</v>
      </c>
      <c r="FN60">
        <v>0.50539999999999996</v>
      </c>
      <c r="FO60">
        <v>0.50539999999999996</v>
      </c>
      <c r="FP60">
        <v>0</v>
      </c>
      <c r="FQ60">
        <v>0</v>
      </c>
      <c r="FR60">
        <v>0</v>
      </c>
      <c r="FS60">
        <f t="shared" si="11"/>
        <v>8</v>
      </c>
      <c r="FT60">
        <v>0.50539999999999996</v>
      </c>
      <c r="FU60" s="370">
        <f t="shared" si="12"/>
        <v>6.3174999999999995E-2</v>
      </c>
      <c r="FV60" s="370">
        <f t="shared" si="13"/>
        <v>0.75470383275261332</v>
      </c>
      <c r="FW60">
        <v>906.62</v>
      </c>
      <c r="FX60">
        <v>0.28873179999999998</v>
      </c>
      <c r="FY60">
        <v>0.64033439999999997</v>
      </c>
      <c r="FZ60">
        <v>7.0933800000000005E-2</v>
      </c>
    </row>
    <row r="61" spans="2:182" x14ac:dyDescent="0.25">
      <c r="B61" t="s">
        <v>165</v>
      </c>
      <c r="C61">
        <v>1</v>
      </c>
      <c r="D61">
        <f t="shared" si="0"/>
        <v>1</v>
      </c>
      <c r="E61">
        <f t="shared" si="1"/>
        <v>1</v>
      </c>
      <c r="F61" t="s">
        <v>220</v>
      </c>
      <c r="G61">
        <v>872</v>
      </c>
      <c r="H61">
        <v>157</v>
      </c>
      <c r="I61">
        <v>52</v>
      </c>
      <c r="J61">
        <v>129</v>
      </c>
      <c r="K61">
        <v>0</v>
      </c>
      <c r="L61">
        <v>1210</v>
      </c>
      <c r="M61">
        <v>65.38</v>
      </c>
      <c r="N61">
        <v>63.27</v>
      </c>
      <c r="O61">
        <v>5.01</v>
      </c>
      <c r="P61">
        <v>4.76</v>
      </c>
      <c r="Q61">
        <v>0</v>
      </c>
      <c r="R61">
        <v>138.41999999999999</v>
      </c>
      <c r="S61">
        <v>8.8099999999999998E-2</v>
      </c>
      <c r="T61">
        <v>0.154</v>
      </c>
      <c r="U61">
        <v>0.2031</v>
      </c>
      <c r="V61">
        <v>0.29299999999999998</v>
      </c>
      <c r="W61">
        <v>0.36720000000000003</v>
      </c>
      <c r="X61">
        <v>0.48530000000000001</v>
      </c>
      <c r="Y61">
        <v>0.55600000000000005</v>
      </c>
      <c r="Z61">
        <v>0.65429999999999999</v>
      </c>
      <c r="AA61">
        <v>0.71230000000000004</v>
      </c>
      <c r="AB61">
        <v>0.8014</v>
      </c>
      <c r="AC61">
        <v>0.88700000000000001</v>
      </c>
      <c r="AD61">
        <v>0.95630000000000004</v>
      </c>
      <c r="AE61">
        <v>4.3099999999999999E-2</v>
      </c>
      <c r="AF61">
        <v>6.88E-2</v>
      </c>
      <c r="AG61">
        <v>9.8699999999999996E-2</v>
      </c>
      <c r="AH61">
        <v>0.1648</v>
      </c>
      <c r="AI61">
        <v>0.21640000000000001</v>
      </c>
      <c r="AJ61">
        <v>0.27629999999999999</v>
      </c>
      <c r="AK61">
        <v>0.27629999999999999</v>
      </c>
      <c r="AL61">
        <v>0.45639999999999997</v>
      </c>
      <c r="AM61">
        <v>0.45639999999999997</v>
      </c>
      <c r="AN61">
        <v>0.45639999999999997</v>
      </c>
      <c r="AO61">
        <v>0.45639999999999997</v>
      </c>
      <c r="AP61">
        <v>0.45639999999999997</v>
      </c>
      <c r="AQ61">
        <f t="shared" si="2"/>
        <v>8</v>
      </c>
      <c r="AR61" s="370">
        <v>0.45639999999999997</v>
      </c>
      <c r="AS61" s="370">
        <f t="shared" si="3"/>
        <v>5.7049999999999997E-2</v>
      </c>
      <c r="AT61" s="370">
        <f t="shared" si="4"/>
        <v>0.71588413677716189</v>
      </c>
      <c r="AU61">
        <v>138.41999999999999</v>
      </c>
      <c r="AV61" s="371">
        <v>0.47233059999999999</v>
      </c>
      <c r="AW61" s="371">
        <v>0.45708710000000002</v>
      </c>
      <c r="AX61" s="371">
        <v>7.0582300000000001E-2</v>
      </c>
      <c r="AY61">
        <v>0</v>
      </c>
      <c r="AZ61">
        <v>0</v>
      </c>
      <c r="BA61">
        <v>0</v>
      </c>
      <c r="BB61">
        <v>0</v>
      </c>
      <c r="BC61">
        <v>0</v>
      </c>
      <c r="BD61">
        <v>0</v>
      </c>
      <c r="BE61">
        <v>0</v>
      </c>
      <c r="BF61">
        <v>0</v>
      </c>
      <c r="BG61">
        <v>0</v>
      </c>
      <c r="BH61">
        <v>0</v>
      </c>
      <c r="BI61">
        <v>0</v>
      </c>
      <c r="BJ61">
        <v>0</v>
      </c>
      <c r="BK61">
        <v>7.3499999999999996E-2</v>
      </c>
      <c r="BL61">
        <v>0.14249999999999999</v>
      </c>
      <c r="BM61">
        <v>0.20349999999999999</v>
      </c>
      <c r="BN61">
        <v>0.28620000000000001</v>
      </c>
      <c r="BO61">
        <v>0.3473</v>
      </c>
      <c r="BP61">
        <v>0.46550000000000002</v>
      </c>
      <c r="BQ61">
        <v>0.52680000000000005</v>
      </c>
      <c r="BR61">
        <v>0.63719999999999999</v>
      </c>
      <c r="BS61">
        <v>0.70450000000000002</v>
      </c>
      <c r="BT61">
        <v>0.80430000000000001</v>
      </c>
      <c r="BU61">
        <v>0.85650000000000004</v>
      </c>
      <c r="BV61">
        <v>0.94730000000000003</v>
      </c>
      <c r="BW61">
        <v>4.6300000000000001E-2</v>
      </c>
      <c r="BX61">
        <v>8.72E-2</v>
      </c>
      <c r="BY61">
        <v>0.12180000000000001</v>
      </c>
      <c r="BZ61">
        <v>0.17630000000000001</v>
      </c>
      <c r="CA61">
        <v>0.22650000000000001</v>
      </c>
      <c r="CB61">
        <v>0.30420000000000003</v>
      </c>
      <c r="CC61">
        <v>0.30420000000000003</v>
      </c>
      <c r="CD61">
        <v>0.58760000000000001</v>
      </c>
      <c r="CE61">
        <v>0.58760000000000001</v>
      </c>
      <c r="CF61">
        <v>0.58760000000000001</v>
      </c>
      <c r="CG61">
        <v>0.58760000000000001</v>
      </c>
      <c r="CH61">
        <v>0.58760000000000001</v>
      </c>
      <c r="CI61">
        <f t="shared" si="5"/>
        <v>8</v>
      </c>
      <c r="CJ61" s="370">
        <v>0.58760000000000001</v>
      </c>
      <c r="CK61" s="370">
        <f t="shared" si="6"/>
        <v>7.3450000000000001E-2</v>
      </c>
      <c r="CL61" s="370">
        <f t="shared" si="7"/>
        <v>0.93043386466800371</v>
      </c>
      <c r="CM61">
        <v>0</v>
      </c>
      <c r="CN61" s="371">
        <v>0</v>
      </c>
      <c r="CO61" s="371">
        <v>0</v>
      </c>
      <c r="CP61" s="371">
        <v>0</v>
      </c>
      <c r="CQ61">
        <v>1250</v>
      </c>
      <c r="CR61">
        <v>278</v>
      </c>
      <c r="CS61">
        <v>76</v>
      </c>
      <c r="CT61">
        <v>212</v>
      </c>
      <c r="CU61">
        <v>549</v>
      </c>
      <c r="CV61">
        <v>2365</v>
      </c>
      <c r="CW61">
        <v>172.08</v>
      </c>
      <c r="CX61">
        <v>129.26</v>
      </c>
      <c r="CY61">
        <v>5.54</v>
      </c>
      <c r="CZ61">
        <v>11.94</v>
      </c>
      <c r="DA61">
        <v>76.790000000000006</v>
      </c>
      <c r="DB61">
        <v>395.61</v>
      </c>
      <c r="DC61">
        <v>4.3400000000000001E-2</v>
      </c>
      <c r="DD61">
        <v>7.8200000000000006E-2</v>
      </c>
      <c r="DE61">
        <v>0.1042</v>
      </c>
      <c r="DF61">
        <v>0.15629999999999999</v>
      </c>
      <c r="DG61">
        <v>0.21709999999999999</v>
      </c>
      <c r="DH61">
        <v>0.30399999999999999</v>
      </c>
      <c r="DI61">
        <v>0.39090000000000003</v>
      </c>
      <c r="DJ61">
        <v>0.47770000000000001</v>
      </c>
      <c r="DK61">
        <v>0.58189999999999997</v>
      </c>
      <c r="DL61">
        <v>0.65139999999999998</v>
      </c>
      <c r="DM61">
        <v>0.73829999999999996</v>
      </c>
      <c r="DN61">
        <v>0.85119999999999996</v>
      </c>
      <c r="DO61">
        <v>0.02</v>
      </c>
      <c r="DP61">
        <v>2.6100000000000002E-2</v>
      </c>
      <c r="DQ61">
        <v>0.1222</v>
      </c>
      <c r="DR61">
        <v>0.17910000000000001</v>
      </c>
      <c r="DS61">
        <v>0.25580000000000003</v>
      </c>
      <c r="DT61">
        <v>0.35010000000000002</v>
      </c>
      <c r="DU61">
        <v>0.432</v>
      </c>
      <c r="DV61">
        <v>0.4849</v>
      </c>
      <c r="DW61">
        <v>0.55330000000000001</v>
      </c>
      <c r="DX61">
        <v>0.61560000000000004</v>
      </c>
      <c r="DY61">
        <v>0.7056</v>
      </c>
      <c r="DZ61">
        <v>0.87790000000000001</v>
      </c>
      <c r="EA61">
        <f t="shared" si="8"/>
        <v>12</v>
      </c>
      <c r="EB61" s="370">
        <v>0.87790000000000001</v>
      </c>
      <c r="EC61" s="370">
        <f t="shared" si="9"/>
        <v>7.3158333333333339E-2</v>
      </c>
      <c r="ED61" s="370">
        <f t="shared" si="10"/>
        <v>1</v>
      </c>
      <c r="EE61">
        <v>318.82</v>
      </c>
      <c r="EF61" s="371">
        <v>0.53974029999999995</v>
      </c>
      <c r="EG61" s="371">
        <v>0.40543249999999997</v>
      </c>
      <c r="EH61" s="371">
        <v>5.48272E-2</v>
      </c>
      <c r="EI61">
        <v>2883</v>
      </c>
      <c r="EJ61">
        <v>185</v>
      </c>
      <c r="EK61">
        <v>78</v>
      </c>
      <c r="EL61">
        <v>967</v>
      </c>
      <c r="EM61">
        <v>1124</v>
      </c>
      <c r="EN61">
        <v>5.2370000000000001</v>
      </c>
      <c r="EO61">
        <v>113.36</v>
      </c>
      <c r="EP61">
        <v>72.86</v>
      </c>
      <c r="EQ61">
        <v>4.97</v>
      </c>
      <c r="ER61">
        <v>20.32</v>
      </c>
      <c r="ES61">
        <v>65.209999999999994</v>
      </c>
      <c r="ET61">
        <v>276.72000000000003</v>
      </c>
      <c r="EU61">
        <v>4.3900000000000002E-2</v>
      </c>
      <c r="EV61">
        <v>7.6100000000000001E-2</v>
      </c>
      <c r="EW61">
        <v>9.7600000000000006E-2</v>
      </c>
      <c r="EX61">
        <v>0.1464</v>
      </c>
      <c r="EY61">
        <v>0.2049</v>
      </c>
      <c r="EZ61">
        <v>0.2928</v>
      </c>
      <c r="FA61">
        <v>0.38059999999999999</v>
      </c>
      <c r="FB61">
        <v>0.54649999999999999</v>
      </c>
      <c r="FC61">
        <v>0.57579999999999998</v>
      </c>
      <c r="FD61">
        <v>0.63429999999999997</v>
      </c>
      <c r="FE61">
        <v>0.7319</v>
      </c>
      <c r="FF61">
        <v>0.9173</v>
      </c>
      <c r="FG61">
        <v>3.8399999999999997E-2</v>
      </c>
      <c r="FH61">
        <v>8.6999999999999994E-2</v>
      </c>
      <c r="FI61">
        <v>0.14360000000000001</v>
      </c>
      <c r="FJ61">
        <v>0.2316</v>
      </c>
      <c r="FK61">
        <v>0.31490000000000001</v>
      </c>
      <c r="FL61">
        <v>0.4027</v>
      </c>
      <c r="FM61">
        <v>0.49819999999999998</v>
      </c>
      <c r="FN61">
        <v>0.5716</v>
      </c>
      <c r="FO61">
        <v>0.5716</v>
      </c>
      <c r="FP61">
        <v>0</v>
      </c>
      <c r="FQ61">
        <v>0</v>
      </c>
      <c r="FR61">
        <v>0</v>
      </c>
      <c r="FS61">
        <f t="shared" si="11"/>
        <v>8</v>
      </c>
      <c r="FT61">
        <v>0.5716</v>
      </c>
      <c r="FU61" s="370">
        <f t="shared" si="12"/>
        <v>7.145E-2</v>
      </c>
      <c r="FV61" s="370">
        <f t="shared" si="13"/>
        <v>0.93469966205167332</v>
      </c>
      <c r="FW61">
        <v>211.51</v>
      </c>
      <c r="FX61">
        <v>0.53595570000000003</v>
      </c>
      <c r="FY61">
        <v>0.34447539999999999</v>
      </c>
      <c r="FZ61">
        <v>0.1195688</v>
      </c>
    </row>
    <row r="62" spans="2:182" x14ac:dyDescent="0.25">
      <c r="B62" t="s">
        <v>2</v>
      </c>
      <c r="C62">
        <v>0</v>
      </c>
      <c r="D62">
        <f t="shared" si="0"/>
        <v>0</v>
      </c>
      <c r="E62">
        <f t="shared" si="1"/>
        <v>0</v>
      </c>
      <c r="F62" t="s">
        <v>202</v>
      </c>
      <c r="G62">
        <v>556</v>
      </c>
      <c r="H62">
        <v>906</v>
      </c>
      <c r="I62">
        <v>367</v>
      </c>
      <c r="J62">
        <v>70</v>
      </c>
      <c r="K62">
        <v>0</v>
      </c>
      <c r="L62">
        <v>1899</v>
      </c>
      <c r="M62">
        <v>87.44</v>
      </c>
      <c r="N62">
        <v>357.38</v>
      </c>
      <c r="O62">
        <v>83.17</v>
      </c>
      <c r="P62">
        <v>10.02</v>
      </c>
      <c r="Q62">
        <v>0</v>
      </c>
      <c r="R62">
        <v>538.01</v>
      </c>
      <c r="S62">
        <v>0.05</v>
      </c>
      <c r="T62">
        <v>0.1</v>
      </c>
      <c r="U62">
        <v>0.15</v>
      </c>
      <c r="V62">
        <v>0.25</v>
      </c>
      <c r="W62">
        <v>0.35</v>
      </c>
      <c r="X62">
        <v>0.4</v>
      </c>
      <c r="Y62">
        <v>0.45</v>
      </c>
      <c r="Z62">
        <v>0.5</v>
      </c>
      <c r="AA62">
        <v>0.6</v>
      </c>
      <c r="AB62">
        <v>0.7</v>
      </c>
      <c r="AC62">
        <v>0.8</v>
      </c>
      <c r="AD62">
        <v>1</v>
      </c>
      <c r="AE62">
        <v>7.7999999999999996E-3</v>
      </c>
      <c r="AF62">
        <v>7.9600000000000004E-2</v>
      </c>
      <c r="AG62">
        <v>9.2600000000000002E-2</v>
      </c>
      <c r="AH62">
        <v>0.13150000000000001</v>
      </c>
      <c r="AI62">
        <v>0.2298</v>
      </c>
      <c r="AJ62">
        <v>0.32400000000000001</v>
      </c>
      <c r="AK62">
        <v>0.4194</v>
      </c>
      <c r="AL62">
        <v>0.4718</v>
      </c>
      <c r="AM62">
        <v>0.4718</v>
      </c>
      <c r="AN62">
        <v>0.4718</v>
      </c>
      <c r="AO62">
        <v>0.4718</v>
      </c>
      <c r="AP62">
        <v>0.4718</v>
      </c>
      <c r="AQ62">
        <f t="shared" si="2"/>
        <v>8</v>
      </c>
      <c r="AR62" s="370">
        <v>0.4718</v>
      </c>
      <c r="AS62" s="370">
        <f t="shared" si="3"/>
        <v>5.8975E-2</v>
      </c>
      <c r="AT62" s="370">
        <f t="shared" si="4"/>
        <v>0.7077</v>
      </c>
      <c r="AU62">
        <v>538.01</v>
      </c>
      <c r="AV62" s="371">
        <v>0.1625249</v>
      </c>
      <c r="AW62" s="371">
        <v>0.66426280000000004</v>
      </c>
      <c r="AX62" s="371">
        <v>0.17321239999999999</v>
      </c>
      <c r="AY62">
        <v>898</v>
      </c>
      <c r="AZ62">
        <v>854</v>
      </c>
      <c r="BA62">
        <v>933</v>
      </c>
      <c r="BB62">
        <v>206</v>
      </c>
      <c r="BC62">
        <v>0</v>
      </c>
      <c r="BD62">
        <v>2891</v>
      </c>
      <c r="BE62">
        <v>348.65</v>
      </c>
      <c r="BF62">
        <v>592.95000000000005</v>
      </c>
      <c r="BG62">
        <v>39.04</v>
      </c>
      <c r="BH62">
        <v>36.049999999999997</v>
      </c>
      <c r="BI62">
        <v>0</v>
      </c>
      <c r="BJ62">
        <v>1016.69</v>
      </c>
      <c r="BK62">
        <v>0.01</v>
      </c>
      <c r="BL62">
        <v>0.05</v>
      </c>
      <c r="BM62">
        <v>0.1</v>
      </c>
      <c r="BN62">
        <v>0.15</v>
      </c>
      <c r="BO62">
        <v>0.25</v>
      </c>
      <c r="BP62">
        <v>0.35</v>
      </c>
      <c r="BQ62">
        <v>0.45</v>
      </c>
      <c r="BR62">
        <v>0.48</v>
      </c>
      <c r="BS62">
        <v>0.55000000000000004</v>
      </c>
      <c r="BT62">
        <v>0.65</v>
      </c>
      <c r="BU62">
        <v>0.75</v>
      </c>
      <c r="BV62">
        <v>1</v>
      </c>
      <c r="BW62">
        <v>6.1999999999999998E-3</v>
      </c>
      <c r="BX62">
        <v>5.8900000000000001E-2</v>
      </c>
      <c r="BY62">
        <v>9.0399999999999994E-2</v>
      </c>
      <c r="BZ62">
        <v>0.18</v>
      </c>
      <c r="CA62">
        <v>0.2268</v>
      </c>
      <c r="CB62">
        <v>0.34610000000000002</v>
      </c>
      <c r="CC62">
        <v>0.45200000000000001</v>
      </c>
      <c r="CD62">
        <v>0.50670000000000004</v>
      </c>
      <c r="CE62">
        <v>0.55259999999999998</v>
      </c>
      <c r="CF62">
        <v>0.55259999999999998</v>
      </c>
      <c r="CG62">
        <v>0.72199999999999998</v>
      </c>
      <c r="CH62">
        <v>0.95669999999999999</v>
      </c>
      <c r="CI62">
        <f t="shared" si="5"/>
        <v>12</v>
      </c>
      <c r="CJ62" s="370">
        <v>0.95669999999999999</v>
      </c>
      <c r="CK62" s="370">
        <f t="shared" si="6"/>
        <v>7.9725000000000004E-2</v>
      </c>
      <c r="CL62" s="370">
        <f t="shared" si="7"/>
        <v>0.95670000000000011</v>
      </c>
      <c r="CM62">
        <v>1016.69</v>
      </c>
      <c r="CN62" s="371">
        <v>0.34292660000000003</v>
      </c>
      <c r="CO62" s="371">
        <v>0.58321610000000002</v>
      </c>
      <c r="CP62" s="371">
        <v>7.3857300000000001E-2</v>
      </c>
      <c r="CQ62">
        <v>662</v>
      </c>
      <c r="CR62">
        <v>841</v>
      </c>
      <c r="CS62">
        <v>615</v>
      </c>
      <c r="CT62">
        <v>132</v>
      </c>
      <c r="CU62">
        <v>1318</v>
      </c>
      <c r="CV62">
        <v>3568</v>
      </c>
      <c r="CW62">
        <v>316.52999999999997</v>
      </c>
      <c r="CX62">
        <v>262.92</v>
      </c>
      <c r="CY62">
        <v>21.72</v>
      </c>
      <c r="CZ62">
        <v>16</v>
      </c>
      <c r="DA62">
        <v>254.21</v>
      </c>
      <c r="DB62">
        <v>871.38</v>
      </c>
      <c r="DC62">
        <v>0.1157</v>
      </c>
      <c r="DD62">
        <v>0.20619999999999999</v>
      </c>
      <c r="DE62">
        <v>0.34449999999999997</v>
      </c>
      <c r="DF62">
        <v>0.47260000000000002</v>
      </c>
      <c r="DG62">
        <v>0.54</v>
      </c>
      <c r="DH62">
        <v>0</v>
      </c>
      <c r="DI62">
        <v>0.71220000000000006</v>
      </c>
      <c r="DJ62">
        <v>0.78480000000000005</v>
      </c>
      <c r="DK62">
        <v>0.82430000000000003</v>
      </c>
      <c r="DL62">
        <v>0.90339999999999998</v>
      </c>
      <c r="DM62">
        <v>0.96830000000000005</v>
      </c>
      <c r="DN62">
        <v>1</v>
      </c>
      <c r="DO62">
        <v>3.78E-2</v>
      </c>
      <c r="DP62">
        <v>6.9000000000000006E-2</v>
      </c>
      <c r="DQ62">
        <v>0.12839999999999999</v>
      </c>
      <c r="DR62">
        <v>0.184</v>
      </c>
      <c r="DS62">
        <v>0.2492</v>
      </c>
      <c r="DT62">
        <v>0.3649</v>
      </c>
      <c r="DU62">
        <v>0.42449999999999999</v>
      </c>
      <c r="DV62">
        <v>0.52600000000000002</v>
      </c>
      <c r="DW62">
        <v>0.57640000000000002</v>
      </c>
      <c r="DX62">
        <v>0.63590000000000002</v>
      </c>
      <c r="DY62">
        <v>0.69199999999999995</v>
      </c>
      <c r="DZ62">
        <v>0.93100000000000005</v>
      </c>
      <c r="EA62">
        <f t="shared" si="8"/>
        <v>12</v>
      </c>
      <c r="EB62" s="370">
        <v>0.93100000000000005</v>
      </c>
      <c r="EC62" s="370">
        <f t="shared" si="9"/>
        <v>7.7583333333333337E-2</v>
      </c>
      <c r="ED62" s="370">
        <f t="shared" si="10"/>
        <v>0.93100000000000005</v>
      </c>
      <c r="EE62">
        <v>617.16999999999996</v>
      </c>
      <c r="EF62" s="371">
        <v>0.51287329999999998</v>
      </c>
      <c r="EG62" s="371">
        <v>0.42600900000000003</v>
      </c>
      <c r="EH62" s="371">
        <v>6.1117699999999997E-2</v>
      </c>
      <c r="EI62">
        <v>588</v>
      </c>
      <c r="EJ62">
        <v>222</v>
      </c>
      <c r="EK62">
        <v>297</v>
      </c>
      <c r="EL62">
        <v>114</v>
      </c>
      <c r="EM62">
        <v>1177</v>
      </c>
      <c r="EN62">
        <v>2398</v>
      </c>
      <c r="EO62">
        <v>345.95</v>
      </c>
      <c r="EP62">
        <v>254.17</v>
      </c>
      <c r="EQ62">
        <v>19.14</v>
      </c>
      <c r="ER62">
        <v>17.579999999999998</v>
      </c>
      <c r="ES62">
        <v>198.54</v>
      </c>
      <c r="ET62">
        <v>835.38</v>
      </c>
      <c r="EU62">
        <v>4.6399999999999997E-2</v>
      </c>
      <c r="EV62">
        <v>0.18140000000000001</v>
      </c>
      <c r="EW62">
        <v>0.32250000000000001</v>
      </c>
      <c r="EX62">
        <v>0.48499999999999999</v>
      </c>
      <c r="EY62">
        <v>0.5514</v>
      </c>
      <c r="EZ62">
        <v>0.6452</v>
      </c>
      <c r="FA62">
        <v>0.76629999999999998</v>
      </c>
      <c r="FB62">
        <v>0.82769999999999999</v>
      </c>
      <c r="FC62">
        <v>0.88439999999999996</v>
      </c>
      <c r="FD62">
        <v>0.94450000000000001</v>
      </c>
      <c r="FE62">
        <v>0.96889999999999998</v>
      </c>
      <c r="FF62">
        <v>1</v>
      </c>
      <c r="FG62">
        <v>1.3299999999999999E-2</v>
      </c>
      <c r="FH62">
        <v>4.7699999999999999E-2</v>
      </c>
      <c r="FI62">
        <v>7.6100000000000001E-2</v>
      </c>
      <c r="FJ62">
        <v>0.15989999999999999</v>
      </c>
      <c r="FK62">
        <v>0.23139999999999999</v>
      </c>
      <c r="FL62">
        <v>0.31140000000000001</v>
      </c>
      <c r="FM62">
        <v>0.43940000000000001</v>
      </c>
      <c r="FN62">
        <v>0.53059999999999996</v>
      </c>
      <c r="FO62">
        <v>0.57120000000000004</v>
      </c>
      <c r="FP62">
        <v>0</v>
      </c>
      <c r="FQ62">
        <v>0</v>
      </c>
      <c r="FR62">
        <v>0</v>
      </c>
      <c r="FS62">
        <f t="shared" si="11"/>
        <v>9</v>
      </c>
      <c r="FT62">
        <v>0.57120000000000004</v>
      </c>
      <c r="FU62" s="370">
        <f t="shared" si="12"/>
        <v>6.3466666666666671E-2</v>
      </c>
      <c r="FV62" s="370">
        <f t="shared" si="13"/>
        <v>0.76160000000000005</v>
      </c>
      <c r="FW62">
        <v>636.84</v>
      </c>
      <c r="FX62">
        <v>0.54322899999999996</v>
      </c>
      <c r="FY62">
        <v>0.3991112</v>
      </c>
      <c r="FZ62">
        <v>5.7659700000000001E-2</v>
      </c>
    </row>
    <row r="63" spans="2:182" x14ac:dyDescent="0.25">
      <c r="B63" t="s">
        <v>2</v>
      </c>
      <c r="C63">
        <v>2</v>
      </c>
      <c r="D63">
        <f t="shared" si="0"/>
        <v>1</v>
      </c>
      <c r="E63">
        <f t="shared" si="1"/>
        <v>0</v>
      </c>
      <c r="F63" t="s">
        <v>221</v>
      </c>
      <c r="G63">
        <v>471</v>
      </c>
      <c r="H63">
        <v>338</v>
      </c>
      <c r="I63">
        <v>477</v>
      </c>
      <c r="J63">
        <v>72</v>
      </c>
      <c r="K63">
        <v>0</v>
      </c>
      <c r="L63">
        <v>1358</v>
      </c>
      <c r="M63">
        <v>72.900000000000006</v>
      </c>
      <c r="N63">
        <v>418.53</v>
      </c>
      <c r="O63">
        <v>52.24</v>
      </c>
      <c r="P63">
        <v>19.96</v>
      </c>
      <c r="Q63">
        <v>0</v>
      </c>
      <c r="R63">
        <v>563.63</v>
      </c>
      <c r="S63">
        <v>3.4099999999999998E-2</v>
      </c>
      <c r="T63">
        <v>0.22969999999999999</v>
      </c>
      <c r="U63">
        <v>0.32340000000000002</v>
      </c>
      <c r="V63">
        <v>0.44419999999999998</v>
      </c>
      <c r="W63">
        <v>0.5091</v>
      </c>
      <c r="X63">
        <v>0.59440000000000004</v>
      </c>
      <c r="Y63">
        <v>0.8125</v>
      </c>
      <c r="Z63">
        <v>0.86270000000000002</v>
      </c>
      <c r="AA63">
        <v>0.90280000000000005</v>
      </c>
      <c r="AB63">
        <v>0.94520000000000004</v>
      </c>
      <c r="AC63">
        <v>0.9748</v>
      </c>
      <c r="AD63">
        <v>1</v>
      </c>
      <c r="AE63">
        <v>2.6800000000000001E-2</v>
      </c>
      <c r="AF63">
        <v>9.0999999999999998E-2</v>
      </c>
      <c r="AG63">
        <v>0.1414</v>
      </c>
      <c r="AH63">
        <v>0.23530000000000001</v>
      </c>
      <c r="AI63">
        <v>0.30099999999999999</v>
      </c>
      <c r="AJ63">
        <v>0.36030000000000001</v>
      </c>
      <c r="AK63">
        <v>0.50700000000000001</v>
      </c>
      <c r="AL63">
        <v>0.56920000000000004</v>
      </c>
      <c r="AM63">
        <v>0.56920000000000004</v>
      </c>
      <c r="AN63">
        <v>0.56920000000000004</v>
      </c>
      <c r="AO63">
        <v>0.56920000000000004</v>
      </c>
      <c r="AP63">
        <v>0.56920000000000004</v>
      </c>
      <c r="AQ63">
        <f t="shared" si="2"/>
        <v>8</v>
      </c>
      <c r="AR63" s="370">
        <v>0.56920000000000004</v>
      </c>
      <c r="AS63" s="370">
        <f t="shared" si="3"/>
        <v>7.1150000000000005E-2</v>
      </c>
      <c r="AT63" s="370">
        <f t="shared" si="4"/>
        <v>0.85380000000000011</v>
      </c>
      <c r="AU63">
        <v>563.63</v>
      </c>
      <c r="AV63" s="371">
        <v>0.12934019999999999</v>
      </c>
      <c r="AW63" s="371">
        <v>0.74256160000000004</v>
      </c>
      <c r="AX63" s="371">
        <v>0.1280982</v>
      </c>
      <c r="AY63">
        <v>690</v>
      </c>
      <c r="AZ63">
        <v>440</v>
      </c>
      <c r="BA63">
        <v>739</v>
      </c>
      <c r="BB63">
        <v>135</v>
      </c>
      <c r="BC63">
        <v>2429</v>
      </c>
      <c r="BD63">
        <v>4433</v>
      </c>
      <c r="BE63">
        <v>315.66000000000003</v>
      </c>
      <c r="BF63">
        <v>836.61</v>
      </c>
      <c r="BG63">
        <v>100.19</v>
      </c>
      <c r="BH63">
        <v>146.27000000000001</v>
      </c>
      <c r="BI63">
        <v>418.11</v>
      </c>
      <c r="BJ63">
        <v>1816.84</v>
      </c>
      <c r="BK63">
        <v>2.5700000000000001E-2</v>
      </c>
      <c r="BL63">
        <v>0.18629999999999999</v>
      </c>
      <c r="BM63">
        <v>0.2487</v>
      </c>
      <c r="BN63">
        <v>0.43919999999999998</v>
      </c>
      <c r="BO63">
        <v>0.50449999999999995</v>
      </c>
      <c r="BP63">
        <v>0.60029999999999994</v>
      </c>
      <c r="BQ63">
        <v>0.7238</v>
      </c>
      <c r="BR63">
        <v>0.79339999999999999</v>
      </c>
      <c r="BS63">
        <v>0.8488</v>
      </c>
      <c r="BT63">
        <v>0.93940000000000001</v>
      </c>
      <c r="BU63">
        <v>0.97799999999999998</v>
      </c>
      <c r="BV63">
        <v>1</v>
      </c>
      <c r="BW63">
        <v>1.8800000000000001E-2</v>
      </c>
      <c r="BX63">
        <v>7.9000000000000001E-2</v>
      </c>
      <c r="BY63">
        <v>0.11840000000000001</v>
      </c>
      <c r="BZ63">
        <v>0.189</v>
      </c>
      <c r="CA63">
        <v>0.28010000000000002</v>
      </c>
      <c r="CB63">
        <v>0.37059999999999998</v>
      </c>
      <c r="CC63">
        <v>0.42659999999999998</v>
      </c>
      <c r="CD63">
        <v>0.55479999999999996</v>
      </c>
      <c r="CE63">
        <v>0.61619999999999997</v>
      </c>
      <c r="CF63">
        <v>0.61619999999999997</v>
      </c>
      <c r="CG63">
        <v>0.61619999999999997</v>
      </c>
      <c r="CH63">
        <v>0.61619999999999997</v>
      </c>
      <c r="CI63">
        <f t="shared" si="5"/>
        <v>9</v>
      </c>
      <c r="CJ63" s="370">
        <v>0.61619999999999997</v>
      </c>
      <c r="CK63" s="370">
        <f t="shared" si="6"/>
        <v>6.8466666666666662E-2</v>
      </c>
      <c r="CL63" s="370">
        <f t="shared" si="7"/>
        <v>0.82159999999999989</v>
      </c>
      <c r="CM63">
        <v>1398.73</v>
      </c>
      <c r="CN63" s="371">
        <v>0.22567609999999999</v>
      </c>
      <c r="CO63" s="371">
        <v>0.59812120000000002</v>
      </c>
      <c r="CP63" s="371">
        <v>0.17620269999999999</v>
      </c>
      <c r="CQ63">
        <v>597</v>
      </c>
      <c r="CR63">
        <v>471</v>
      </c>
      <c r="CS63">
        <v>576</v>
      </c>
      <c r="CT63">
        <v>123</v>
      </c>
      <c r="CU63">
        <v>1965</v>
      </c>
      <c r="CV63">
        <v>3732</v>
      </c>
      <c r="CW63">
        <v>351.45</v>
      </c>
      <c r="CX63">
        <v>723.94</v>
      </c>
      <c r="CY63">
        <v>59.3</v>
      </c>
      <c r="CZ63">
        <v>31.8</v>
      </c>
      <c r="DA63">
        <v>633.98</v>
      </c>
      <c r="DB63">
        <v>1800.47</v>
      </c>
      <c r="DC63">
        <v>3.9899999999999998E-2</v>
      </c>
      <c r="DD63">
        <v>0.17530000000000001</v>
      </c>
      <c r="DE63">
        <v>0.2944</v>
      </c>
      <c r="DF63">
        <v>0.3574</v>
      </c>
      <c r="DG63">
        <v>0.42080000000000001</v>
      </c>
      <c r="DH63">
        <v>0.55089999999999995</v>
      </c>
      <c r="DI63">
        <v>0.61229999999999996</v>
      </c>
      <c r="DJ63">
        <v>0.7036</v>
      </c>
      <c r="DK63">
        <v>0.80610000000000004</v>
      </c>
      <c r="DL63">
        <v>0.92789999999999995</v>
      </c>
      <c r="DM63">
        <v>0.96150000000000002</v>
      </c>
      <c r="DN63">
        <v>1</v>
      </c>
      <c r="DO63">
        <v>2.5700000000000001E-2</v>
      </c>
      <c r="DP63">
        <v>5.5300000000000002E-2</v>
      </c>
      <c r="DQ63">
        <v>8.4000000000000005E-2</v>
      </c>
      <c r="DR63">
        <v>0.13619999999999999</v>
      </c>
      <c r="DS63">
        <v>0.2054</v>
      </c>
      <c r="DT63">
        <v>0.31090000000000001</v>
      </c>
      <c r="DU63">
        <v>0.43419999999999997</v>
      </c>
      <c r="DV63">
        <v>0.49769999999999998</v>
      </c>
      <c r="DW63">
        <v>0.57010000000000005</v>
      </c>
      <c r="DX63">
        <v>0.63880000000000003</v>
      </c>
      <c r="DY63">
        <v>0.72640000000000005</v>
      </c>
      <c r="DZ63">
        <v>0.90710000000000002</v>
      </c>
      <c r="EA63">
        <f t="shared" si="8"/>
        <v>12</v>
      </c>
      <c r="EB63" s="370">
        <v>0.90710000000000002</v>
      </c>
      <c r="EC63" s="370">
        <f t="shared" si="9"/>
        <v>7.5591666666666668E-2</v>
      </c>
      <c r="ED63" s="370">
        <f t="shared" si="10"/>
        <v>0.90710000000000002</v>
      </c>
      <c r="EE63">
        <v>1166.49</v>
      </c>
      <c r="EF63" s="371">
        <v>0.30128850000000001</v>
      </c>
      <c r="EG63" s="371">
        <v>0.620614</v>
      </c>
      <c r="EH63" s="371">
        <v>7.80975E-2</v>
      </c>
      <c r="EI63">
        <v>463</v>
      </c>
      <c r="EJ63">
        <v>368</v>
      </c>
      <c r="EK63">
        <v>462</v>
      </c>
      <c r="EL63">
        <v>81</v>
      </c>
      <c r="EM63">
        <v>1788</v>
      </c>
      <c r="EN63">
        <v>3162</v>
      </c>
      <c r="EO63">
        <v>360.09</v>
      </c>
      <c r="EP63">
        <v>428.78</v>
      </c>
      <c r="EQ63">
        <v>40.200000000000003</v>
      </c>
      <c r="ER63">
        <v>33.44</v>
      </c>
      <c r="ES63">
        <v>590.67999999999995</v>
      </c>
      <c r="ET63">
        <v>1453.19</v>
      </c>
      <c r="EU63">
        <v>7.4300000000000005E-2</v>
      </c>
      <c r="EV63">
        <v>0.2031</v>
      </c>
      <c r="EW63">
        <v>0.29670000000000002</v>
      </c>
      <c r="EX63">
        <v>0.41589999999999999</v>
      </c>
      <c r="EY63">
        <v>0.5504</v>
      </c>
      <c r="EZ63">
        <v>0.62139999999999995</v>
      </c>
      <c r="FA63">
        <v>0.72270000000000001</v>
      </c>
      <c r="FB63">
        <v>0.79949999999999999</v>
      </c>
      <c r="FC63">
        <v>0.84889999999999999</v>
      </c>
      <c r="FD63">
        <v>0.93540000000000001</v>
      </c>
      <c r="FE63">
        <v>0.98160000000000003</v>
      </c>
      <c r="FF63">
        <v>1</v>
      </c>
      <c r="FG63">
        <v>2.1399999999999999E-2</v>
      </c>
      <c r="FH63">
        <v>4.3700000000000003E-2</v>
      </c>
      <c r="FI63">
        <v>8.5999999999999993E-2</v>
      </c>
      <c r="FJ63">
        <v>0.25240000000000001</v>
      </c>
      <c r="FK63">
        <v>0.30499999999999999</v>
      </c>
      <c r="FL63">
        <v>0.43909999999999999</v>
      </c>
      <c r="FM63">
        <v>0.52470000000000006</v>
      </c>
      <c r="FN63">
        <v>0.60389999999999999</v>
      </c>
      <c r="FO63">
        <v>0.60389999999999999</v>
      </c>
      <c r="FP63">
        <v>0</v>
      </c>
      <c r="FQ63">
        <v>0</v>
      </c>
      <c r="FR63">
        <v>0</v>
      </c>
      <c r="FS63">
        <f t="shared" si="11"/>
        <v>8</v>
      </c>
      <c r="FT63">
        <v>0.60389999999999999</v>
      </c>
      <c r="FU63" s="370">
        <f t="shared" si="12"/>
        <v>7.5487499999999999E-2</v>
      </c>
      <c r="FV63" s="370">
        <f t="shared" si="13"/>
        <v>0.90585000000000004</v>
      </c>
      <c r="FW63">
        <v>862.51</v>
      </c>
      <c r="FX63">
        <v>0.4174908</v>
      </c>
      <c r="FY63">
        <v>0.49713049999999998</v>
      </c>
      <c r="FZ63">
        <v>8.5378700000000002E-2</v>
      </c>
    </row>
    <row r="64" spans="2:182" x14ac:dyDescent="0.25">
      <c r="B64" t="s">
        <v>162</v>
      </c>
      <c r="C64">
        <v>2</v>
      </c>
      <c r="D64">
        <f t="shared" si="0"/>
        <v>1</v>
      </c>
      <c r="E64">
        <f t="shared" si="1"/>
        <v>0</v>
      </c>
      <c r="F64" t="s">
        <v>237</v>
      </c>
      <c r="G64">
        <v>1541</v>
      </c>
      <c r="H64">
        <v>406</v>
      </c>
      <c r="I64">
        <v>191</v>
      </c>
      <c r="J64">
        <v>44</v>
      </c>
      <c r="K64">
        <v>1067</v>
      </c>
      <c r="L64">
        <v>3249</v>
      </c>
      <c r="M64">
        <v>95.06</v>
      </c>
      <c r="N64">
        <v>130.05000000000001</v>
      </c>
      <c r="O64">
        <v>6.28</v>
      </c>
      <c r="P64">
        <v>3.9</v>
      </c>
      <c r="Q64">
        <v>69.89</v>
      </c>
      <c r="R64">
        <v>305.18</v>
      </c>
      <c r="S64">
        <v>7.2800000000000004E-2</v>
      </c>
      <c r="T64">
        <v>0.14019999999999999</v>
      </c>
      <c r="U64">
        <v>0.2167</v>
      </c>
      <c r="V64">
        <v>0.30990000000000001</v>
      </c>
      <c r="W64">
        <v>0.373</v>
      </c>
      <c r="X64">
        <v>0.50349999999999995</v>
      </c>
      <c r="Y64">
        <v>0.60529999999999995</v>
      </c>
      <c r="Z64">
        <v>0.66879999999999995</v>
      </c>
      <c r="AA64">
        <v>0.77439999999999998</v>
      </c>
      <c r="AB64">
        <v>0.89480000000000004</v>
      </c>
      <c r="AC64">
        <v>0.95820000000000005</v>
      </c>
      <c r="AD64">
        <v>1</v>
      </c>
      <c r="AE64">
        <v>2.53E-2</v>
      </c>
      <c r="AF64">
        <v>7.9100000000000004E-2</v>
      </c>
      <c r="AG64">
        <v>0.14860000000000001</v>
      </c>
      <c r="AH64">
        <v>0.25640000000000002</v>
      </c>
      <c r="AI64">
        <v>0.25640000000000002</v>
      </c>
      <c r="AJ64">
        <v>0.25640000000000002</v>
      </c>
      <c r="AK64">
        <v>0.25640000000000002</v>
      </c>
      <c r="AL64">
        <v>0.25640000000000002</v>
      </c>
      <c r="AM64">
        <v>0.25640000000000002</v>
      </c>
      <c r="AN64">
        <v>0.25640000000000002</v>
      </c>
      <c r="AO64">
        <v>0.25640000000000002</v>
      </c>
      <c r="AP64">
        <v>0.25640000000000002</v>
      </c>
      <c r="AQ64">
        <f t="shared" si="2"/>
        <v>4</v>
      </c>
      <c r="AR64" s="370">
        <v>0.25640000000000002</v>
      </c>
      <c r="AS64" s="370">
        <f t="shared" si="3"/>
        <v>6.4100000000000004E-2</v>
      </c>
      <c r="AT64" s="370">
        <f t="shared" si="4"/>
        <v>0.76920000000000011</v>
      </c>
      <c r="AU64">
        <v>235.29</v>
      </c>
      <c r="AV64" s="371">
        <v>0.40401209999999999</v>
      </c>
      <c r="AW64" s="371">
        <v>0.55272220000000005</v>
      </c>
      <c r="AX64" s="371">
        <v>4.32658E-2</v>
      </c>
      <c r="AY64">
        <v>18</v>
      </c>
      <c r="AZ64">
        <v>68</v>
      </c>
      <c r="BA64">
        <v>11</v>
      </c>
      <c r="BB64">
        <v>1</v>
      </c>
      <c r="BC64">
        <v>0</v>
      </c>
      <c r="BD64">
        <v>98</v>
      </c>
      <c r="BE64">
        <v>17.02</v>
      </c>
      <c r="BF64">
        <v>94.68</v>
      </c>
      <c r="BG64">
        <v>2.3199999999999998</v>
      </c>
      <c r="BH64">
        <v>0.42</v>
      </c>
      <c r="BI64">
        <v>0</v>
      </c>
      <c r="BJ64">
        <v>114.44</v>
      </c>
      <c r="BK64">
        <v>6.8000000000000005E-2</v>
      </c>
      <c r="BL64">
        <v>0.13550000000000001</v>
      </c>
      <c r="BM64">
        <v>0.23669999999999999</v>
      </c>
      <c r="BN64">
        <v>0.32929999999999998</v>
      </c>
      <c r="BO64">
        <v>0.40210000000000001</v>
      </c>
      <c r="BP64">
        <v>0.55710000000000004</v>
      </c>
      <c r="BQ64">
        <v>0.64080000000000004</v>
      </c>
      <c r="BR64">
        <v>0.70909999999999995</v>
      </c>
      <c r="BS64">
        <v>0.80320000000000003</v>
      </c>
      <c r="BT64">
        <v>0.87429999999999997</v>
      </c>
      <c r="BU64">
        <v>0.93479999999999996</v>
      </c>
      <c r="BV64">
        <v>1</v>
      </c>
      <c r="BW64">
        <v>0</v>
      </c>
      <c r="BX64">
        <v>8.3400000000000002E-2</v>
      </c>
      <c r="BY64">
        <v>0.16450000000000001</v>
      </c>
      <c r="BZ64">
        <v>0.1812</v>
      </c>
      <c r="CA64">
        <v>0.28360000000000002</v>
      </c>
      <c r="CB64">
        <v>0.37369999999999998</v>
      </c>
      <c r="CC64">
        <v>0.37759999999999999</v>
      </c>
      <c r="CD64">
        <v>0.56430000000000002</v>
      </c>
      <c r="CE64">
        <v>0.61629999999999996</v>
      </c>
      <c r="CF64">
        <v>0.61629999999999996</v>
      </c>
      <c r="CG64">
        <v>0.77880000000000005</v>
      </c>
      <c r="CH64">
        <v>0.77880000000000005</v>
      </c>
      <c r="CI64">
        <f t="shared" si="5"/>
        <v>11</v>
      </c>
      <c r="CJ64" s="370">
        <v>0.77880000000000005</v>
      </c>
      <c r="CK64" s="370">
        <f t="shared" si="6"/>
        <v>7.0800000000000002E-2</v>
      </c>
      <c r="CL64" s="370">
        <f t="shared" si="7"/>
        <v>0.84960000000000002</v>
      </c>
      <c r="CM64">
        <v>114.44</v>
      </c>
      <c r="CN64" s="371">
        <v>0.1487242</v>
      </c>
      <c r="CO64" s="371">
        <v>0.82733310000000004</v>
      </c>
      <c r="CP64" s="371">
        <v>2.3942700000000001E-2</v>
      </c>
      <c r="CQ64">
        <v>381</v>
      </c>
      <c r="CR64">
        <v>125</v>
      </c>
      <c r="CS64">
        <v>102</v>
      </c>
      <c r="CT64">
        <v>17</v>
      </c>
      <c r="CU64">
        <v>759</v>
      </c>
      <c r="CV64">
        <v>1384</v>
      </c>
      <c r="CW64">
        <v>48.36</v>
      </c>
      <c r="CX64">
        <v>184.67</v>
      </c>
      <c r="CY64">
        <v>7.5</v>
      </c>
      <c r="CZ64">
        <v>2.23</v>
      </c>
      <c r="DA64">
        <v>94.76</v>
      </c>
      <c r="DB64">
        <v>337.52</v>
      </c>
      <c r="DC64">
        <v>7.6700000000000004E-2</v>
      </c>
      <c r="DD64">
        <v>0.15329999999999999</v>
      </c>
      <c r="DE64">
        <v>0.23</v>
      </c>
      <c r="DF64">
        <v>0.31330000000000002</v>
      </c>
      <c r="DG64">
        <v>0.39829999999999999</v>
      </c>
      <c r="DH64">
        <v>0.48</v>
      </c>
      <c r="DI64">
        <v>0.56999999999999995</v>
      </c>
      <c r="DJ64">
        <v>0.66</v>
      </c>
      <c r="DK64">
        <v>0.75</v>
      </c>
      <c r="DL64">
        <v>0.83330000000000004</v>
      </c>
      <c r="DM64">
        <v>0.90669999999999995</v>
      </c>
      <c r="DN64">
        <v>1</v>
      </c>
      <c r="DO64">
        <v>2.1600000000000001E-2</v>
      </c>
      <c r="DP64">
        <v>4.3099999999999999E-2</v>
      </c>
      <c r="DQ64">
        <v>8.5199999999999998E-2</v>
      </c>
      <c r="DR64">
        <v>9.7799999999999998E-2</v>
      </c>
      <c r="DS64">
        <v>0.21959999999999999</v>
      </c>
      <c r="DT64">
        <v>0.33560000000000001</v>
      </c>
      <c r="DU64">
        <v>0.4173</v>
      </c>
      <c r="DV64">
        <v>0.49940000000000001</v>
      </c>
      <c r="DW64">
        <v>0.55459999999999998</v>
      </c>
      <c r="DX64">
        <v>0.65680000000000005</v>
      </c>
      <c r="DY64">
        <v>0.75819999999999999</v>
      </c>
      <c r="DZ64">
        <v>0.93489999999999995</v>
      </c>
      <c r="EA64">
        <f t="shared" si="8"/>
        <v>12</v>
      </c>
      <c r="EB64" s="370">
        <v>0.93489999999999995</v>
      </c>
      <c r="EC64" s="370">
        <f t="shared" si="9"/>
        <v>7.7908333333333329E-2</v>
      </c>
      <c r="ED64" s="370">
        <f t="shared" si="10"/>
        <v>0.93489999999999995</v>
      </c>
      <c r="EE64">
        <v>242.76</v>
      </c>
      <c r="EF64" s="371">
        <v>0.1992091</v>
      </c>
      <c r="EG64" s="371">
        <v>0.7607102</v>
      </c>
      <c r="EH64" s="371">
        <v>4.0080699999999997E-2</v>
      </c>
      <c r="EI64">
        <v>815</v>
      </c>
      <c r="EJ64">
        <v>288</v>
      </c>
      <c r="EK64">
        <v>180</v>
      </c>
      <c r="EL64">
        <v>205</v>
      </c>
      <c r="EM64">
        <v>899</v>
      </c>
      <c r="EN64">
        <v>2387</v>
      </c>
      <c r="EO64">
        <v>53.36</v>
      </c>
      <c r="EP64">
        <v>158.32</v>
      </c>
      <c r="EQ64">
        <v>13.31</v>
      </c>
      <c r="ER64">
        <v>2.92</v>
      </c>
      <c r="ES64">
        <v>65.55</v>
      </c>
      <c r="ET64">
        <v>293.45999999999998</v>
      </c>
      <c r="EU64">
        <v>7.5300000000000006E-2</v>
      </c>
      <c r="EV64">
        <v>0.1507</v>
      </c>
      <c r="EW64">
        <v>0.22600000000000001</v>
      </c>
      <c r="EX64">
        <v>0.32419999999999999</v>
      </c>
      <c r="EY64">
        <v>0.42249999999999999</v>
      </c>
      <c r="EZ64">
        <v>0.52080000000000004</v>
      </c>
      <c r="FA64">
        <v>0.60260000000000002</v>
      </c>
      <c r="FB64">
        <v>0.6845</v>
      </c>
      <c r="FC64">
        <v>0.76639999999999997</v>
      </c>
      <c r="FD64">
        <v>0.83840000000000003</v>
      </c>
      <c r="FE64">
        <v>0.91049999999999998</v>
      </c>
      <c r="FF64">
        <v>0.98260000000000003</v>
      </c>
      <c r="FG64">
        <v>2.46E-2</v>
      </c>
      <c r="FH64">
        <v>5.79E-2</v>
      </c>
      <c r="FI64">
        <v>0.10630000000000001</v>
      </c>
      <c r="FJ64">
        <v>0.16950000000000001</v>
      </c>
      <c r="FK64">
        <v>0.23899999999999999</v>
      </c>
      <c r="FL64">
        <v>0.31890000000000002</v>
      </c>
      <c r="FM64">
        <v>0.44829999999999998</v>
      </c>
      <c r="FN64">
        <v>0.5212</v>
      </c>
      <c r="FO64">
        <v>0.5212</v>
      </c>
      <c r="FP64">
        <v>0</v>
      </c>
      <c r="FQ64">
        <v>0</v>
      </c>
      <c r="FR64">
        <v>0</v>
      </c>
      <c r="FS64">
        <f t="shared" si="11"/>
        <v>8</v>
      </c>
      <c r="FT64">
        <v>0.5212</v>
      </c>
      <c r="FU64" s="370">
        <f t="shared" si="12"/>
        <v>6.515E-2</v>
      </c>
      <c r="FV64" s="370">
        <f t="shared" si="13"/>
        <v>0.79564420924078982</v>
      </c>
      <c r="FW64">
        <v>227.91</v>
      </c>
      <c r="FX64">
        <v>0.23412749999999999</v>
      </c>
      <c r="FY64">
        <v>0.69466019999999995</v>
      </c>
      <c r="FZ64">
        <v>7.1212300000000006E-2</v>
      </c>
    </row>
    <row r="65" spans="2:182" x14ac:dyDescent="0.25">
      <c r="B65" t="s">
        <v>162</v>
      </c>
      <c r="C65">
        <v>0</v>
      </c>
      <c r="D65">
        <f t="shared" si="0"/>
        <v>0</v>
      </c>
      <c r="E65">
        <f t="shared" si="1"/>
        <v>0</v>
      </c>
      <c r="F65" t="s">
        <v>222</v>
      </c>
      <c r="G65">
        <v>718</v>
      </c>
      <c r="H65">
        <v>376</v>
      </c>
      <c r="I65">
        <v>191</v>
      </c>
      <c r="J65">
        <v>88</v>
      </c>
      <c r="K65">
        <v>1348</v>
      </c>
      <c r="L65">
        <v>2721</v>
      </c>
      <c r="M65">
        <v>73.989999999999995</v>
      </c>
      <c r="N65">
        <v>308.67</v>
      </c>
      <c r="O65">
        <v>15.02</v>
      </c>
      <c r="P65">
        <v>12.57</v>
      </c>
      <c r="Q65">
        <v>125.83</v>
      </c>
      <c r="R65">
        <v>536.08000000000004</v>
      </c>
      <c r="S65">
        <v>4.7300000000000002E-2</v>
      </c>
      <c r="T65">
        <v>0.1203</v>
      </c>
      <c r="U65">
        <v>0.2712</v>
      </c>
      <c r="V65">
        <v>0.378</v>
      </c>
      <c r="W65">
        <v>0.45329999999999998</v>
      </c>
      <c r="X65">
        <v>0.56310000000000004</v>
      </c>
      <c r="Y65">
        <v>0.65720000000000001</v>
      </c>
      <c r="Z65">
        <v>0.70920000000000005</v>
      </c>
      <c r="AA65">
        <v>0.82089999999999996</v>
      </c>
      <c r="AB65">
        <v>0</v>
      </c>
      <c r="AC65">
        <v>0</v>
      </c>
      <c r="AD65">
        <v>0</v>
      </c>
      <c r="AE65">
        <v>0</v>
      </c>
      <c r="AF65">
        <v>0</v>
      </c>
      <c r="AG65">
        <v>0</v>
      </c>
      <c r="AH65">
        <v>0</v>
      </c>
      <c r="AI65">
        <v>0</v>
      </c>
      <c r="AJ65">
        <v>0</v>
      </c>
      <c r="AK65">
        <v>0</v>
      </c>
      <c r="AL65">
        <v>0</v>
      </c>
      <c r="AM65">
        <v>0</v>
      </c>
      <c r="AN65">
        <v>0</v>
      </c>
      <c r="AO65">
        <v>0</v>
      </c>
      <c r="AP65">
        <v>0</v>
      </c>
      <c r="AQ65">
        <f t="shared" si="2"/>
        <v>0</v>
      </c>
      <c r="AR65" s="370">
        <v>0</v>
      </c>
      <c r="AS65" s="370">
        <f t="shared" si="3"/>
        <v>0</v>
      </c>
      <c r="AT65" s="370">
        <f t="shared" si="4"/>
        <v>0</v>
      </c>
      <c r="AU65">
        <v>410.25</v>
      </c>
      <c r="AV65" s="371">
        <v>0.1803534</v>
      </c>
      <c r="AW65" s="371">
        <v>0.75239489999999998</v>
      </c>
      <c r="AX65" s="371">
        <v>6.7251699999999998E-2</v>
      </c>
      <c r="AY65">
        <v>471</v>
      </c>
      <c r="AZ65">
        <v>267</v>
      </c>
      <c r="BA65">
        <v>319</v>
      </c>
      <c r="BB65">
        <v>74</v>
      </c>
      <c r="BC65">
        <v>1168</v>
      </c>
      <c r="BD65">
        <v>2299</v>
      </c>
      <c r="BE65">
        <v>57.39</v>
      </c>
      <c r="BF65">
        <v>440.54</v>
      </c>
      <c r="BG65">
        <v>36.520000000000003</v>
      </c>
      <c r="BH65">
        <v>7.67</v>
      </c>
      <c r="BI65">
        <v>132.12</v>
      </c>
      <c r="BJ65">
        <v>674.24</v>
      </c>
      <c r="BK65">
        <v>0.1125</v>
      </c>
      <c r="BL65">
        <v>0.18779999999999999</v>
      </c>
      <c r="BM65">
        <v>0.27060000000000001</v>
      </c>
      <c r="BN65">
        <v>0.46</v>
      </c>
      <c r="BO65">
        <v>0.52239999999999998</v>
      </c>
      <c r="BP65">
        <v>0.5968</v>
      </c>
      <c r="BQ65">
        <v>0.72370000000000001</v>
      </c>
      <c r="BR65">
        <v>0.80789999999999995</v>
      </c>
      <c r="BS65">
        <v>0.85629999999999995</v>
      </c>
      <c r="BT65">
        <v>0.91610000000000003</v>
      </c>
      <c r="BU65">
        <v>0.9577</v>
      </c>
      <c r="BV65">
        <v>1</v>
      </c>
      <c r="BW65">
        <v>2.01E-2</v>
      </c>
      <c r="BX65">
        <v>4.5999999999999999E-2</v>
      </c>
      <c r="BY65">
        <v>7.9699999999999993E-2</v>
      </c>
      <c r="BZ65">
        <v>0.1168</v>
      </c>
      <c r="CA65">
        <v>0.16739999999999999</v>
      </c>
      <c r="CB65">
        <v>0.2873</v>
      </c>
      <c r="CC65">
        <v>0.33410000000000001</v>
      </c>
      <c r="CD65">
        <v>0.39839999999999998</v>
      </c>
      <c r="CE65">
        <v>0.51119999999999999</v>
      </c>
      <c r="CF65">
        <v>0.59099999999999997</v>
      </c>
      <c r="CG65">
        <v>0.59099999999999997</v>
      </c>
      <c r="CH65">
        <v>0.59099999999999997</v>
      </c>
      <c r="CI65">
        <f t="shared" si="5"/>
        <v>10</v>
      </c>
      <c r="CJ65" s="370">
        <v>0.59099999999999997</v>
      </c>
      <c r="CK65" s="370">
        <f t="shared" si="6"/>
        <v>5.91E-2</v>
      </c>
      <c r="CL65" s="370">
        <f t="shared" si="7"/>
        <v>0.70920000000000005</v>
      </c>
      <c r="CM65">
        <v>542.12</v>
      </c>
      <c r="CN65" s="371">
        <v>0.1058622</v>
      </c>
      <c r="CO65" s="371">
        <v>0.81262449999999997</v>
      </c>
      <c r="CP65" s="371">
        <v>8.1513299999999997E-2</v>
      </c>
      <c r="CQ65">
        <v>383</v>
      </c>
      <c r="CR65">
        <v>237</v>
      </c>
      <c r="CS65">
        <v>236</v>
      </c>
      <c r="CT65">
        <v>44</v>
      </c>
      <c r="CU65">
        <v>356</v>
      </c>
      <c r="CV65">
        <v>1256</v>
      </c>
      <c r="CW65">
        <v>82.03</v>
      </c>
      <c r="CX65">
        <v>280.22000000000003</v>
      </c>
      <c r="CY65">
        <v>20.39</v>
      </c>
      <c r="CZ65">
        <v>149.68</v>
      </c>
      <c r="DA65">
        <v>31.36</v>
      </c>
      <c r="DB65">
        <v>563.67999999999995</v>
      </c>
      <c r="DC65">
        <v>6.7500000000000004E-2</v>
      </c>
      <c r="DD65">
        <v>0.12720000000000001</v>
      </c>
      <c r="DE65">
        <v>0.1953</v>
      </c>
      <c r="DF65">
        <v>0.32819999999999999</v>
      </c>
      <c r="DG65">
        <v>0.39119999999999999</v>
      </c>
      <c r="DH65">
        <v>0.4879</v>
      </c>
      <c r="DI65">
        <v>0.63919999999999999</v>
      </c>
      <c r="DJ65">
        <v>0.68799999999999994</v>
      </c>
      <c r="DK65">
        <v>0.74250000000000005</v>
      </c>
      <c r="DL65">
        <v>0.80120000000000002</v>
      </c>
      <c r="DM65">
        <v>0.83660000000000001</v>
      </c>
      <c r="DN65">
        <v>0.86929999999999996</v>
      </c>
      <c r="DO65">
        <v>0.02</v>
      </c>
      <c r="DP65">
        <v>4.2700000000000002E-2</v>
      </c>
      <c r="DQ65">
        <v>7.2300000000000003E-2</v>
      </c>
      <c r="DR65">
        <v>0.12189999999999999</v>
      </c>
      <c r="DS65">
        <v>0.18490000000000001</v>
      </c>
      <c r="DT65">
        <v>0.29170000000000001</v>
      </c>
      <c r="DU65">
        <v>0.36020000000000002</v>
      </c>
      <c r="DV65">
        <v>0.42430000000000001</v>
      </c>
      <c r="DW65">
        <v>0.47489999999999999</v>
      </c>
      <c r="DX65">
        <v>0.47489999999999999</v>
      </c>
      <c r="DY65">
        <v>0.47489999999999999</v>
      </c>
      <c r="DZ65">
        <v>0.47489999999999999</v>
      </c>
      <c r="EA65">
        <f t="shared" si="8"/>
        <v>9</v>
      </c>
      <c r="EB65" s="370">
        <v>0.47489999999999999</v>
      </c>
      <c r="EC65" s="370">
        <f t="shared" si="9"/>
        <v>5.2766666666666663E-2</v>
      </c>
      <c r="ED65" s="370">
        <f t="shared" si="10"/>
        <v>0.72840216265961122</v>
      </c>
      <c r="EE65">
        <v>532.32000000000005</v>
      </c>
      <c r="EF65" s="371">
        <v>0.15409900000000001</v>
      </c>
      <c r="EG65" s="371">
        <v>0.52641269999999996</v>
      </c>
      <c r="EH65" s="371">
        <v>0.3194883</v>
      </c>
      <c r="EI65">
        <v>533</v>
      </c>
      <c r="EJ65">
        <v>326</v>
      </c>
      <c r="EK65">
        <v>118</v>
      </c>
      <c r="EL65">
        <v>74</v>
      </c>
      <c r="EM65">
        <v>1212</v>
      </c>
      <c r="EN65">
        <v>2263</v>
      </c>
      <c r="EO65">
        <v>52.46</v>
      </c>
      <c r="EP65">
        <v>303.93</v>
      </c>
      <c r="EQ65">
        <v>9.5299999999999994</v>
      </c>
      <c r="ER65">
        <v>5.94</v>
      </c>
      <c r="ES65">
        <v>55.77</v>
      </c>
      <c r="ET65">
        <v>427.63</v>
      </c>
      <c r="EU65">
        <v>6.2799999999999995E-2</v>
      </c>
      <c r="EV65">
        <v>0.12570000000000001</v>
      </c>
      <c r="EW65">
        <v>0.21990000000000001</v>
      </c>
      <c r="EX65">
        <v>0.28270000000000001</v>
      </c>
      <c r="EY65">
        <v>0.34549999999999997</v>
      </c>
      <c r="EZ65">
        <v>0</v>
      </c>
      <c r="FA65">
        <v>0.47120000000000001</v>
      </c>
      <c r="FB65">
        <v>0.53400000000000003</v>
      </c>
      <c r="FC65">
        <v>0.59689999999999999</v>
      </c>
      <c r="FD65">
        <v>0.69110000000000005</v>
      </c>
      <c r="FE65">
        <v>0.81669999999999998</v>
      </c>
      <c r="FF65">
        <v>1</v>
      </c>
      <c r="FG65">
        <v>4.8099999999999997E-2</v>
      </c>
      <c r="FH65">
        <v>6.4699999999999994E-2</v>
      </c>
      <c r="FI65">
        <v>9.6600000000000005E-2</v>
      </c>
      <c r="FJ65">
        <v>0.1537</v>
      </c>
      <c r="FK65">
        <v>0.19350000000000001</v>
      </c>
      <c r="FL65">
        <v>0.3301</v>
      </c>
      <c r="FM65">
        <v>0.40550000000000003</v>
      </c>
      <c r="FN65">
        <v>0.46200000000000002</v>
      </c>
      <c r="FO65">
        <v>0.46200000000000002</v>
      </c>
      <c r="FP65">
        <v>0</v>
      </c>
      <c r="FQ65">
        <v>0</v>
      </c>
      <c r="FR65">
        <v>0</v>
      </c>
      <c r="FS65">
        <f t="shared" si="11"/>
        <v>8</v>
      </c>
      <c r="FT65">
        <v>0.46200000000000002</v>
      </c>
      <c r="FU65" s="370">
        <f t="shared" si="12"/>
        <v>5.7750000000000003E-2</v>
      </c>
      <c r="FV65" s="370">
        <f t="shared" si="13"/>
        <v>0.69300000000000006</v>
      </c>
      <c r="FW65">
        <v>371.86</v>
      </c>
      <c r="FX65">
        <v>0.14107459999999999</v>
      </c>
      <c r="FY65">
        <v>0.81732369999999999</v>
      </c>
      <c r="FZ65">
        <v>4.1601699999999998E-2</v>
      </c>
    </row>
    <row r="66" spans="2:182" x14ac:dyDescent="0.25">
      <c r="B66" t="s">
        <v>162</v>
      </c>
      <c r="C66">
        <v>0</v>
      </c>
      <c r="D66">
        <f t="shared" si="0"/>
        <v>0</v>
      </c>
      <c r="E66">
        <f t="shared" si="1"/>
        <v>0</v>
      </c>
      <c r="F66" t="s">
        <v>223</v>
      </c>
      <c r="G66">
        <v>30</v>
      </c>
      <c r="H66">
        <v>36</v>
      </c>
      <c r="I66">
        <v>13</v>
      </c>
      <c r="J66">
        <v>0</v>
      </c>
      <c r="K66">
        <v>0</v>
      </c>
      <c r="L66">
        <v>79</v>
      </c>
      <c r="M66">
        <v>23.01</v>
      </c>
      <c r="N66">
        <v>42.11</v>
      </c>
      <c r="O66">
        <v>2.13</v>
      </c>
      <c r="P66">
        <v>0</v>
      </c>
      <c r="Q66">
        <v>0</v>
      </c>
      <c r="R66">
        <v>67.25</v>
      </c>
      <c r="S66">
        <v>8.4599999999999995E-2</v>
      </c>
      <c r="T66">
        <v>0.16919999999999999</v>
      </c>
      <c r="U66">
        <v>0.25380000000000003</v>
      </c>
      <c r="V66">
        <v>0.3382</v>
      </c>
      <c r="W66">
        <v>0.42259999999999998</v>
      </c>
      <c r="X66">
        <v>0.50680000000000003</v>
      </c>
      <c r="Y66">
        <v>0.59050000000000002</v>
      </c>
      <c r="Z66">
        <v>0.67420000000000002</v>
      </c>
      <c r="AA66">
        <v>0.75329999999999997</v>
      </c>
      <c r="AB66">
        <v>0.83660000000000001</v>
      </c>
      <c r="AC66">
        <v>0.91990000000000005</v>
      </c>
      <c r="AD66">
        <v>1</v>
      </c>
      <c r="AE66">
        <v>3.85E-2</v>
      </c>
      <c r="AF66">
        <v>7.9699999999999993E-2</v>
      </c>
      <c r="AG66">
        <v>0.1246</v>
      </c>
      <c r="AH66">
        <v>0.17299999999999999</v>
      </c>
      <c r="AI66">
        <v>0.25940000000000002</v>
      </c>
      <c r="AJ66">
        <v>0.39579999999999999</v>
      </c>
      <c r="AK66">
        <v>0.40570000000000001</v>
      </c>
      <c r="AL66">
        <v>0.40570000000000001</v>
      </c>
      <c r="AM66">
        <v>0.59940000000000004</v>
      </c>
      <c r="AN66">
        <v>0.59940000000000004</v>
      </c>
      <c r="AO66">
        <v>0.59940000000000004</v>
      </c>
      <c r="AP66">
        <v>0.59940000000000004</v>
      </c>
      <c r="AQ66">
        <f t="shared" si="2"/>
        <v>9</v>
      </c>
      <c r="AR66" s="370">
        <v>0.59940000000000004</v>
      </c>
      <c r="AS66" s="370">
        <f t="shared" si="3"/>
        <v>6.6600000000000006E-2</v>
      </c>
      <c r="AT66" s="370">
        <f t="shared" si="4"/>
        <v>0.79920000000000013</v>
      </c>
      <c r="AU66">
        <v>67.25</v>
      </c>
      <c r="AV66" s="371">
        <v>0.34215610000000002</v>
      </c>
      <c r="AW66" s="371">
        <v>0.62617100000000003</v>
      </c>
      <c r="AX66" s="371">
        <v>3.1672899999999997E-2</v>
      </c>
      <c r="AY66">
        <v>379</v>
      </c>
      <c r="AZ66">
        <v>182</v>
      </c>
      <c r="BA66">
        <v>73</v>
      </c>
      <c r="BB66">
        <v>44</v>
      </c>
      <c r="BC66">
        <v>0</v>
      </c>
      <c r="BD66">
        <v>678</v>
      </c>
      <c r="BE66">
        <v>62.2</v>
      </c>
      <c r="BF66">
        <v>167.27</v>
      </c>
      <c r="BG66">
        <v>3.92</v>
      </c>
      <c r="BH66">
        <v>85.85</v>
      </c>
      <c r="BI66">
        <v>0</v>
      </c>
      <c r="BJ66">
        <v>319.24</v>
      </c>
      <c r="BK66">
        <v>7.6100000000000001E-2</v>
      </c>
      <c r="BL66">
        <v>0.1522</v>
      </c>
      <c r="BM66">
        <v>0.2283</v>
      </c>
      <c r="BN66">
        <v>0.32240000000000002</v>
      </c>
      <c r="BO66">
        <v>0.41649999999999998</v>
      </c>
      <c r="BP66">
        <v>0.51060000000000005</v>
      </c>
      <c r="BQ66">
        <v>0.59930000000000005</v>
      </c>
      <c r="BR66">
        <v>0.68810000000000004</v>
      </c>
      <c r="BS66">
        <v>0.77680000000000005</v>
      </c>
      <c r="BT66">
        <v>0.85119999999999996</v>
      </c>
      <c r="BU66">
        <v>0.92559999999999998</v>
      </c>
      <c r="BV66">
        <v>1</v>
      </c>
      <c r="BW66">
        <v>3.3700000000000001E-2</v>
      </c>
      <c r="BX66">
        <v>9.6000000000000002E-2</v>
      </c>
      <c r="BY66">
        <v>9.6000000000000002E-2</v>
      </c>
      <c r="BZ66">
        <v>0.20519999999999999</v>
      </c>
      <c r="CA66">
        <v>0.23899999999999999</v>
      </c>
      <c r="CB66">
        <v>0.38340000000000002</v>
      </c>
      <c r="CC66">
        <v>0.45950000000000002</v>
      </c>
      <c r="CD66">
        <v>0.5454</v>
      </c>
      <c r="CE66">
        <v>0.56230000000000002</v>
      </c>
      <c r="CF66">
        <v>0.67090000000000005</v>
      </c>
      <c r="CG66">
        <v>0.67090000000000005</v>
      </c>
      <c r="CH66">
        <v>0.67090000000000005</v>
      </c>
      <c r="CI66">
        <f t="shared" si="5"/>
        <v>10</v>
      </c>
      <c r="CJ66" s="370">
        <v>0.67090000000000005</v>
      </c>
      <c r="CK66" s="370">
        <f t="shared" si="6"/>
        <v>6.7090000000000011E-2</v>
      </c>
      <c r="CL66" s="370">
        <f t="shared" si="7"/>
        <v>0.80508000000000013</v>
      </c>
      <c r="CM66">
        <v>319.24</v>
      </c>
      <c r="CN66" s="371">
        <v>0.1948377</v>
      </c>
      <c r="CO66" s="371">
        <v>0.52396319999999996</v>
      </c>
      <c r="CP66" s="371">
        <v>0.28119909999999998</v>
      </c>
      <c r="CQ66">
        <v>735</v>
      </c>
      <c r="CR66">
        <v>255</v>
      </c>
      <c r="CS66">
        <v>106</v>
      </c>
      <c r="CT66">
        <v>70</v>
      </c>
      <c r="CU66">
        <v>5416</v>
      </c>
      <c r="CV66">
        <v>6582</v>
      </c>
      <c r="CW66">
        <v>145.85</v>
      </c>
      <c r="CX66">
        <v>453.73</v>
      </c>
      <c r="CY66">
        <v>7.18</v>
      </c>
      <c r="CZ66">
        <v>43.83</v>
      </c>
      <c r="DA66">
        <v>433.13</v>
      </c>
      <c r="DB66">
        <v>1083.72</v>
      </c>
      <c r="DC66">
        <v>4.8099999999999997E-2</v>
      </c>
      <c r="DD66">
        <v>9.6299999999999997E-2</v>
      </c>
      <c r="DE66">
        <v>0.21160000000000001</v>
      </c>
      <c r="DF66">
        <v>0.3105</v>
      </c>
      <c r="DG66">
        <v>0.40939999999999999</v>
      </c>
      <c r="DH66">
        <v>0.50829999999999997</v>
      </c>
      <c r="DI66">
        <v>0.59309999999999996</v>
      </c>
      <c r="DJ66">
        <v>0.67800000000000005</v>
      </c>
      <c r="DK66">
        <v>0.76290000000000002</v>
      </c>
      <c r="DL66">
        <v>0.82979999999999998</v>
      </c>
      <c r="DM66">
        <v>0.87090000000000001</v>
      </c>
      <c r="DN66">
        <v>1</v>
      </c>
      <c r="DO66">
        <v>1.7999999999999999E-2</v>
      </c>
      <c r="DP66">
        <v>5.91E-2</v>
      </c>
      <c r="DQ66">
        <v>0.1018</v>
      </c>
      <c r="DR66">
        <v>0</v>
      </c>
      <c r="DS66">
        <v>0.2361</v>
      </c>
      <c r="DT66">
        <v>0.32429999999999998</v>
      </c>
      <c r="DU66">
        <v>0.40079999999999999</v>
      </c>
      <c r="DV66">
        <v>0.47239999999999999</v>
      </c>
      <c r="DW66">
        <v>0.55710000000000004</v>
      </c>
      <c r="DX66">
        <v>0.60470000000000002</v>
      </c>
      <c r="DY66">
        <v>0.66120000000000001</v>
      </c>
      <c r="DZ66">
        <v>0.85240000000000005</v>
      </c>
      <c r="EA66">
        <f t="shared" si="8"/>
        <v>12</v>
      </c>
      <c r="EB66" s="370">
        <v>0.85240000000000005</v>
      </c>
      <c r="EC66" s="370">
        <f t="shared" si="9"/>
        <v>7.1033333333333337E-2</v>
      </c>
      <c r="ED66" s="370">
        <f t="shared" si="10"/>
        <v>0.85240000000000005</v>
      </c>
      <c r="EE66">
        <v>650.59</v>
      </c>
      <c r="EF66" s="371">
        <v>0.22418109999999999</v>
      </c>
      <c r="EG66" s="371">
        <v>0.69741310000000001</v>
      </c>
      <c r="EH66" s="371">
        <v>7.8405799999999998E-2</v>
      </c>
      <c r="EI66">
        <v>668</v>
      </c>
      <c r="EJ66">
        <v>364</v>
      </c>
      <c r="EK66">
        <v>87</v>
      </c>
      <c r="EL66">
        <v>57</v>
      </c>
      <c r="EM66">
        <v>5090</v>
      </c>
      <c r="EN66">
        <v>6266</v>
      </c>
      <c r="EO66">
        <v>136.47</v>
      </c>
      <c r="EP66">
        <v>458.4</v>
      </c>
      <c r="EQ66">
        <v>9.5</v>
      </c>
      <c r="ER66">
        <v>28.8</v>
      </c>
      <c r="ES66">
        <v>242.99</v>
      </c>
      <c r="ET66">
        <v>876.16</v>
      </c>
      <c r="EU66">
        <v>0.05</v>
      </c>
      <c r="EV66">
        <v>0.08</v>
      </c>
      <c r="EW66">
        <v>0.15</v>
      </c>
      <c r="EX66">
        <v>0.24990000000000001</v>
      </c>
      <c r="EY66">
        <v>0.2999</v>
      </c>
      <c r="EZ66">
        <v>0.39989999999999998</v>
      </c>
      <c r="FA66">
        <v>0.49990000000000001</v>
      </c>
      <c r="FB66">
        <v>0.54990000000000006</v>
      </c>
      <c r="FC66">
        <v>0.59989999999999999</v>
      </c>
      <c r="FD66">
        <v>0.69979999999999998</v>
      </c>
      <c r="FE66">
        <v>0.8498</v>
      </c>
      <c r="FF66">
        <v>0.99980000000000002</v>
      </c>
      <c r="FG66">
        <v>2.3E-2</v>
      </c>
      <c r="FH66">
        <v>8.6499999999999994E-2</v>
      </c>
      <c r="FI66">
        <v>0.14599999999999999</v>
      </c>
      <c r="FJ66">
        <v>0.1925</v>
      </c>
      <c r="FK66">
        <v>0.29609999999999997</v>
      </c>
      <c r="FL66">
        <v>0.35639999999999999</v>
      </c>
      <c r="FM66">
        <v>0.4677</v>
      </c>
      <c r="FN66">
        <v>0.54920000000000002</v>
      </c>
      <c r="FO66">
        <v>0.54920000000000002</v>
      </c>
      <c r="FP66">
        <v>0</v>
      </c>
      <c r="FQ66">
        <v>0</v>
      </c>
      <c r="FR66">
        <v>0</v>
      </c>
      <c r="FS66">
        <f t="shared" si="11"/>
        <v>8</v>
      </c>
      <c r="FT66">
        <v>0.54920000000000002</v>
      </c>
      <c r="FU66" s="370">
        <f t="shared" si="12"/>
        <v>6.8650000000000003E-2</v>
      </c>
      <c r="FV66" s="370">
        <f t="shared" si="13"/>
        <v>0.82396479295859182</v>
      </c>
      <c r="FW66">
        <v>633.16999999999996</v>
      </c>
      <c r="FX66">
        <v>0.21553449999999999</v>
      </c>
      <c r="FY66">
        <v>0.72397619999999996</v>
      </c>
      <c r="FZ66">
        <v>6.0489300000000003E-2</v>
      </c>
    </row>
    <row r="67" spans="2:182" x14ac:dyDescent="0.25">
      <c r="B67" t="s">
        <v>165</v>
      </c>
      <c r="C67">
        <v>1</v>
      </c>
      <c r="D67">
        <f t="shared" si="0"/>
        <v>1</v>
      </c>
      <c r="E67">
        <f t="shared" si="1"/>
        <v>1</v>
      </c>
      <c r="F67" t="s">
        <v>224</v>
      </c>
      <c r="G67">
        <v>120</v>
      </c>
      <c r="H67">
        <v>378</v>
      </c>
      <c r="I67">
        <v>145</v>
      </c>
      <c r="J67">
        <v>0</v>
      </c>
      <c r="K67">
        <v>0</v>
      </c>
      <c r="L67">
        <v>643</v>
      </c>
      <c r="M67">
        <v>0</v>
      </c>
      <c r="N67">
        <v>0</v>
      </c>
      <c r="O67">
        <v>0</v>
      </c>
      <c r="P67">
        <v>0</v>
      </c>
      <c r="Q67">
        <v>0</v>
      </c>
      <c r="R67">
        <v>0</v>
      </c>
      <c r="S67">
        <v>9.8100000000000007E-2</v>
      </c>
      <c r="T67">
        <v>0.2261</v>
      </c>
      <c r="U67">
        <v>0.29830000000000001</v>
      </c>
      <c r="V67">
        <v>0.42249999999999999</v>
      </c>
      <c r="W67">
        <v>0.53249999999999997</v>
      </c>
      <c r="X67">
        <v>0.59189999999999998</v>
      </c>
      <c r="Y67">
        <v>0.69979999999999998</v>
      </c>
      <c r="Z67">
        <v>0.79490000000000005</v>
      </c>
      <c r="AA67">
        <v>0.83740000000000003</v>
      </c>
      <c r="AB67">
        <v>0.90390000000000004</v>
      </c>
      <c r="AC67">
        <v>0.97309999999999997</v>
      </c>
      <c r="AD67">
        <v>1</v>
      </c>
      <c r="AE67">
        <v>1.89E-2</v>
      </c>
      <c r="AF67">
        <v>5.1400000000000001E-2</v>
      </c>
      <c r="AG67">
        <v>0.1152</v>
      </c>
      <c r="AH67">
        <v>0.17280000000000001</v>
      </c>
      <c r="AI67">
        <v>0.21690000000000001</v>
      </c>
      <c r="AJ67">
        <v>0.27129999999999999</v>
      </c>
      <c r="AK67">
        <v>0.34039999999999998</v>
      </c>
      <c r="AL67">
        <v>0.42630000000000001</v>
      </c>
      <c r="AM67">
        <v>0.42630000000000001</v>
      </c>
      <c r="AN67">
        <v>0.42630000000000001</v>
      </c>
      <c r="AO67">
        <v>0.42630000000000001</v>
      </c>
      <c r="AP67">
        <v>0.42630000000000001</v>
      </c>
      <c r="AQ67">
        <f t="shared" si="2"/>
        <v>8</v>
      </c>
      <c r="AR67" s="370">
        <v>0.42630000000000001</v>
      </c>
      <c r="AS67" s="370">
        <f t="shared" si="3"/>
        <v>5.3287500000000002E-2</v>
      </c>
      <c r="AT67" s="370">
        <f t="shared" si="4"/>
        <v>0.63945000000000007</v>
      </c>
      <c r="AU67">
        <v>0</v>
      </c>
      <c r="AV67" s="371">
        <v>0</v>
      </c>
      <c r="AW67" s="371">
        <v>0</v>
      </c>
      <c r="AX67" s="371">
        <v>0</v>
      </c>
      <c r="AY67">
        <v>832</v>
      </c>
      <c r="AZ67">
        <v>1037</v>
      </c>
      <c r="BA67">
        <v>386</v>
      </c>
      <c r="BB67">
        <v>175</v>
      </c>
      <c r="BC67">
        <v>1330</v>
      </c>
      <c r="BD67">
        <v>3760</v>
      </c>
      <c r="BE67">
        <v>202.49</v>
      </c>
      <c r="BF67">
        <v>1101.99</v>
      </c>
      <c r="BG67">
        <v>58.56</v>
      </c>
      <c r="BH67">
        <v>66.260000000000005</v>
      </c>
      <c r="BI67">
        <v>294.04000000000002</v>
      </c>
      <c r="BJ67">
        <v>1723.34</v>
      </c>
      <c r="BK67">
        <v>4.19E-2</v>
      </c>
      <c r="BL67">
        <v>6.9000000000000006E-2</v>
      </c>
      <c r="BM67">
        <v>0.25990000000000002</v>
      </c>
      <c r="BN67">
        <v>0.3332</v>
      </c>
      <c r="BO67">
        <v>0.41649999999999998</v>
      </c>
      <c r="BP67">
        <v>0.49980000000000002</v>
      </c>
      <c r="BQ67">
        <v>0.58330000000000004</v>
      </c>
      <c r="BR67">
        <v>0.66659999999999997</v>
      </c>
      <c r="BS67">
        <v>0.74990000000000001</v>
      </c>
      <c r="BT67">
        <v>0.83320000000000005</v>
      </c>
      <c r="BU67">
        <v>0.91649999999999998</v>
      </c>
      <c r="BV67">
        <v>1</v>
      </c>
      <c r="BW67">
        <v>3.1399999999999997E-2</v>
      </c>
      <c r="BX67">
        <v>5.1499999999999997E-2</v>
      </c>
      <c r="BY67">
        <v>0.1507</v>
      </c>
      <c r="BZ67">
        <v>0.20810000000000001</v>
      </c>
      <c r="CA67">
        <v>0.25080000000000002</v>
      </c>
      <c r="CB67">
        <v>0.32519999999999999</v>
      </c>
      <c r="CC67">
        <v>0.38850000000000001</v>
      </c>
      <c r="CD67">
        <v>0.43640000000000001</v>
      </c>
      <c r="CE67">
        <v>0.48509999999999998</v>
      </c>
      <c r="CF67">
        <v>0.53049999999999997</v>
      </c>
      <c r="CG67">
        <v>0.53049999999999997</v>
      </c>
      <c r="CH67">
        <v>0.84050000000000002</v>
      </c>
      <c r="CI67">
        <f t="shared" si="5"/>
        <v>12</v>
      </c>
      <c r="CJ67" s="370">
        <v>0.84050000000000002</v>
      </c>
      <c r="CK67" s="370">
        <f t="shared" si="6"/>
        <v>7.0041666666666669E-2</v>
      </c>
      <c r="CL67" s="370">
        <f t="shared" si="7"/>
        <v>0.84050000000000002</v>
      </c>
      <c r="CM67">
        <v>1429.3</v>
      </c>
      <c r="CN67" s="371">
        <v>0.14167070000000001</v>
      </c>
      <c r="CO67" s="371">
        <v>0.77099980000000001</v>
      </c>
      <c r="CP67" s="371">
        <v>8.7329500000000004E-2</v>
      </c>
      <c r="CQ67">
        <v>1654</v>
      </c>
      <c r="CR67">
        <v>1898</v>
      </c>
      <c r="CS67">
        <v>497</v>
      </c>
      <c r="CT67">
        <v>387</v>
      </c>
      <c r="CU67">
        <v>1998</v>
      </c>
      <c r="CV67">
        <v>6434</v>
      </c>
      <c r="CW67">
        <v>368.64</v>
      </c>
      <c r="CX67">
        <v>943.55</v>
      </c>
      <c r="CY67">
        <v>63.06</v>
      </c>
      <c r="CZ67">
        <v>75.88</v>
      </c>
      <c r="DA67">
        <v>718.38</v>
      </c>
      <c r="DB67">
        <v>2169.5100000000002</v>
      </c>
      <c r="DC67">
        <v>7.6899999999999996E-2</v>
      </c>
      <c r="DD67">
        <v>0.1678</v>
      </c>
      <c r="DE67">
        <v>0.26279999999999998</v>
      </c>
      <c r="DF67">
        <v>0.3407</v>
      </c>
      <c r="DG67">
        <v>0.4098</v>
      </c>
      <c r="DH67">
        <v>0.54110000000000003</v>
      </c>
      <c r="DI67">
        <v>0.60489999999999999</v>
      </c>
      <c r="DJ67">
        <v>0.67830000000000001</v>
      </c>
      <c r="DK67">
        <v>0.76559999999999995</v>
      </c>
      <c r="DL67">
        <v>0.84770000000000001</v>
      </c>
      <c r="DM67">
        <v>0.89539999999999997</v>
      </c>
      <c r="DN67">
        <v>0.96719999999999995</v>
      </c>
      <c r="DO67">
        <v>3.5000000000000001E-3</v>
      </c>
      <c r="DP67">
        <v>2.12E-2</v>
      </c>
      <c r="DQ67">
        <v>4.6600000000000003E-2</v>
      </c>
      <c r="DR67">
        <v>5.62E-2</v>
      </c>
      <c r="DS67">
        <v>0.1085</v>
      </c>
      <c r="DT67">
        <v>0.13789999999999999</v>
      </c>
      <c r="DU67">
        <v>0.30780000000000002</v>
      </c>
      <c r="DV67">
        <v>0.35149999999999998</v>
      </c>
      <c r="DW67">
        <v>0.45660000000000001</v>
      </c>
      <c r="DX67">
        <v>0.52300000000000002</v>
      </c>
      <c r="DY67">
        <v>0.6028</v>
      </c>
      <c r="DZ67">
        <v>0.85509999999999997</v>
      </c>
      <c r="EA67">
        <f t="shared" si="8"/>
        <v>12</v>
      </c>
      <c r="EB67" s="370">
        <v>0.85509999999999997</v>
      </c>
      <c r="EC67" s="370">
        <f t="shared" si="9"/>
        <v>7.1258333333333326E-2</v>
      </c>
      <c r="ED67" s="370">
        <f t="shared" si="10"/>
        <v>0.88409842845326714</v>
      </c>
      <c r="EE67">
        <v>1451.13</v>
      </c>
      <c r="EF67" s="371">
        <v>0.2540365</v>
      </c>
      <c r="EG67" s="371">
        <v>0.65021739999999995</v>
      </c>
      <c r="EH67" s="371">
        <v>9.5746100000000001E-2</v>
      </c>
      <c r="EI67">
        <v>1639</v>
      </c>
      <c r="EJ67">
        <v>1059</v>
      </c>
      <c r="EK67">
        <v>629</v>
      </c>
      <c r="EL67">
        <v>386</v>
      </c>
      <c r="EM67">
        <v>1838</v>
      </c>
      <c r="EN67">
        <v>5551</v>
      </c>
      <c r="EO67">
        <v>258.22000000000003</v>
      </c>
      <c r="EP67">
        <v>778.73</v>
      </c>
      <c r="EQ67">
        <v>58.03</v>
      </c>
      <c r="ER67">
        <v>76.95</v>
      </c>
      <c r="ES67">
        <v>721.93</v>
      </c>
      <c r="ET67">
        <v>1893.86</v>
      </c>
      <c r="EU67">
        <v>9.6000000000000002E-2</v>
      </c>
      <c r="EV67">
        <v>0.1802</v>
      </c>
      <c r="EW67">
        <v>0.27039999999999997</v>
      </c>
      <c r="EX67">
        <v>0.38200000000000001</v>
      </c>
      <c r="EY67">
        <v>0.4541</v>
      </c>
      <c r="EZ67">
        <v>0.55659999999999998</v>
      </c>
      <c r="FA67">
        <v>0.64790000000000003</v>
      </c>
      <c r="FB67">
        <v>0.71230000000000004</v>
      </c>
      <c r="FC67">
        <v>0.78480000000000005</v>
      </c>
      <c r="FD67">
        <v>0.86370000000000002</v>
      </c>
      <c r="FE67">
        <v>0.92600000000000005</v>
      </c>
      <c r="FF67">
        <v>1</v>
      </c>
      <c r="FG67">
        <v>3.1E-2</v>
      </c>
      <c r="FH67">
        <v>5.5599999999999997E-2</v>
      </c>
      <c r="FI67">
        <v>0.1111</v>
      </c>
      <c r="FJ67">
        <v>0.24249999999999999</v>
      </c>
      <c r="FK67">
        <v>0.30470000000000003</v>
      </c>
      <c r="FL67">
        <v>0.36709999999999998</v>
      </c>
      <c r="FM67">
        <v>0.44019999999999998</v>
      </c>
      <c r="FN67">
        <v>0.44019999999999998</v>
      </c>
      <c r="FO67">
        <v>0.44019999999999998</v>
      </c>
      <c r="FP67">
        <v>0</v>
      </c>
      <c r="FQ67">
        <v>0</v>
      </c>
      <c r="FR67">
        <v>0</v>
      </c>
      <c r="FS67">
        <f t="shared" si="11"/>
        <v>7</v>
      </c>
      <c r="FT67">
        <v>0.44019999999999998</v>
      </c>
      <c r="FU67" s="370">
        <f t="shared" si="12"/>
        <v>6.2885714285714281E-2</v>
      </c>
      <c r="FV67" s="370">
        <f t="shared" si="13"/>
        <v>0.75462857142857143</v>
      </c>
      <c r="FW67">
        <v>1171.93</v>
      </c>
      <c r="FX67">
        <v>0.22033739999999999</v>
      </c>
      <c r="FY67">
        <v>0.66448510000000005</v>
      </c>
      <c r="FZ67">
        <v>0.1151775</v>
      </c>
    </row>
    <row r="68" spans="2:182" x14ac:dyDescent="0.25">
      <c r="B68" t="s">
        <v>162</v>
      </c>
      <c r="C68">
        <v>0</v>
      </c>
      <c r="D68">
        <f t="shared" si="0"/>
        <v>0</v>
      </c>
      <c r="E68">
        <f t="shared" si="1"/>
        <v>0</v>
      </c>
      <c r="F68" t="s">
        <v>226</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f t="shared" si="2"/>
        <v>0</v>
      </c>
      <c r="AR68" s="370">
        <v>0</v>
      </c>
      <c r="AS68" s="370">
        <f t="shared" si="3"/>
        <v>0</v>
      </c>
      <c r="AT68" s="370">
        <f t="shared" si="4"/>
        <v>0</v>
      </c>
      <c r="AU68">
        <v>0</v>
      </c>
      <c r="AV68" s="371">
        <v>0</v>
      </c>
      <c r="AW68" s="371">
        <v>0</v>
      </c>
      <c r="AX68" s="371">
        <v>0</v>
      </c>
      <c r="AY68">
        <v>0</v>
      </c>
      <c r="AZ68">
        <v>0</v>
      </c>
      <c r="BA68">
        <v>0</v>
      </c>
      <c r="BB68">
        <v>0</v>
      </c>
      <c r="BC68">
        <v>0</v>
      </c>
      <c r="BD68">
        <v>0</v>
      </c>
      <c r="BE68">
        <v>0</v>
      </c>
      <c r="BF68">
        <v>0</v>
      </c>
      <c r="BG68">
        <v>0</v>
      </c>
      <c r="BH68">
        <v>0</v>
      </c>
      <c r="BI68">
        <v>0</v>
      </c>
      <c r="BJ68">
        <v>0</v>
      </c>
      <c r="BK68">
        <v>0</v>
      </c>
      <c r="BL68">
        <v>0</v>
      </c>
      <c r="BM68">
        <v>0</v>
      </c>
      <c r="BN68">
        <v>0</v>
      </c>
      <c r="BO68">
        <v>0</v>
      </c>
      <c r="BP68">
        <v>0</v>
      </c>
      <c r="BQ68">
        <v>0</v>
      </c>
      <c r="BR68">
        <v>0</v>
      </c>
      <c r="BS68">
        <v>0</v>
      </c>
      <c r="BT68">
        <v>0</v>
      </c>
      <c r="BU68">
        <v>0</v>
      </c>
      <c r="BV68">
        <v>0</v>
      </c>
      <c r="BW68">
        <v>0</v>
      </c>
      <c r="BX68">
        <v>0</v>
      </c>
      <c r="BY68">
        <v>0</v>
      </c>
      <c r="BZ68">
        <v>0</v>
      </c>
      <c r="CA68">
        <v>0</v>
      </c>
      <c r="CB68">
        <v>0</v>
      </c>
      <c r="CC68">
        <v>0</v>
      </c>
      <c r="CD68">
        <v>0</v>
      </c>
      <c r="CE68">
        <v>0</v>
      </c>
      <c r="CF68">
        <v>0</v>
      </c>
      <c r="CG68">
        <v>0</v>
      </c>
      <c r="CH68">
        <v>0</v>
      </c>
      <c r="CI68">
        <f t="shared" si="5"/>
        <v>0</v>
      </c>
      <c r="CJ68" s="370">
        <v>0</v>
      </c>
      <c r="CK68" s="370">
        <f t="shared" si="6"/>
        <v>0</v>
      </c>
      <c r="CL68" s="370">
        <f t="shared" si="7"/>
        <v>0</v>
      </c>
      <c r="CM68">
        <v>0</v>
      </c>
      <c r="CN68" s="371">
        <v>0</v>
      </c>
      <c r="CO68" s="371">
        <v>0</v>
      </c>
      <c r="CP68" s="371">
        <v>0</v>
      </c>
      <c r="CQ68">
        <v>334</v>
      </c>
      <c r="CR68">
        <v>313</v>
      </c>
      <c r="CS68">
        <v>240</v>
      </c>
      <c r="CT68">
        <v>49</v>
      </c>
      <c r="CU68">
        <v>336</v>
      </c>
      <c r="CV68">
        <v>1272</v>
      </c>
      <c r="CW68">
        <v>56.15</v>
      </c>
      <c r="CX68">
        <v>355.33</v>
      </c>
      <c r="CY68">
        <v>29.72</v>
      </c>
      <c r="CZ68">
        <v>4.4000000000000004</v>
      </c>
      <c r="DA68">
        <v>68.959999999999994</v>
      </c>
      <c r="DB68">
        <v>514.55999999999995</v>
      </c>
      <c r="DC68">
        <v>0</v>
      </c>
      <c r="DD68">
        <v>0</v>
      </c>
      <c r="DE68">
        <v>0</v>
      </c>
      <c r="DF68">
        <v>0</v>
      </c>
      <c r="DG68">
        <v>0</v>
      </c>
      <c r="DH68">
        <v>0</v>
      </c>
      <c r="DI68">
        <v>0</v>
      </c>
      <c r="DJ68">
        <v>0</v>
      </c>
      <c r="DK68">
        <v>0</v>
      </c>
      <c r="DL68">
        <v>0</v>
      </c>
      <c r="DM68">
        <v>0</v>
      </c>
      <c r="DN68">
        <v>0</v>
      </c>
      <c r="DO68">
        <v>0</v>
      </c>
      <c r="DP68">
        <v>0</v>
      </c>
      <c r="DQ68">
        <v>0</v>
      </c>
      <c r="DR68">
        <v>0</v>
      </c>
      <c r="DS68">
        <v>0</v>
      </c>
      <c r="DT68">
        <v>0</v>
      </c>
      <c r="DU68">
        <v>0</v>
      </c>
      <c r="DV68">
        <v>0</v>
      </c>
      <c r="DW68">
        <v>0</v>
      </c>
      <c r="DX68">
        <v>0</v>
      </c>
      <c r="DY68">
        <v>0</v>
      </c>
      <c r="DZ68">
        <v>0</v>
      </c>
      <c r="EA68">
        <f t="shared" si="8"/>
        <v>0</v>
      </c>
      <c r="EB68" s="370">
        <v>0</v>
      </c>
      <c r="EC68" s="370">
        <f t="shared" si="9"/>
        <v>0</v>
      </c>
      <c r="ED68" s="370">
        <f t="shared" si="10"/>
        <v>0</v>
      </c>
      <c r="EE68">
        <v>445.6</v>
      </c>
      <c r="EF68" s="371">
        <v>0.12600990000000001</v>
      </c>
      <c r="EG68" s="371">
        <v>0.79741919999999999</v>
      </c>
      <c r="EH68" s="371">
        <v>7.6570899999999997E-2</v>
      </c>
      <c r="EI68">
        <v>316</v>
      </c>
      <c r="EJ68">
        <v>379</v>
      </c>
      <c r="EK68">
        <v>187</v>
      </c>
      <c r="EL68">
        <v>62</v>
      </c>
      <c r="EM68">
        <v>782</v>
      </c>
      <c r="EN68">
        <v>1726</v>
      </c>
      <c r="EO68">
        <v>41.98</v>
      </c>
      <c r="EP68">
        <v>289.63</v>
      </c>
      <c r="EQ68">
        <v>23.91</v>
      </c>
      <c r="ER68">
        <v>7.91</v>
      </c>
      <c r="ES68">
        <v>61.35</v>
      </c>
      <c r="ET68">
        <v>424.78</v>
      </c>
      <c r="EU68">
        <v>8.3299999999999999E-2</v>
      </c>
      <c r="EV68">
        <v>0.16669999999999999</v>
      </c>
      <c r="EW68">
        <v>0.25</v>
      </c>
      <c r="EX68">
        <v>0.33329999999999999</v>
      </c>
      <c r="EY68">
        <v>0.41670000000000001</v>
      </c>
      <c r="EZ68">
        <v>0.5</v>
      </c>
      <c r="FA68">
        <v>0.58330000000000004</v>
      </c>
      <c r="FB68">
        <v>0.66669999999999996</v>
      </c>
      <c r="FC68">
        <v>0.75</v>
      </c>
      <c r="FD68">
        <v>0.83330000000000004</v>
      </c>
      <c r="FE68">
        <v>0.90669999999999995</v>
      </c>
      <c r="FF68">
        <v>1</v>
      </c>
      <c r="FG68">
        <v>1.78E-2</v>
      </c>
      <c r="FH68">
        <v>5.0299999999999997E-2</v>
      </c>
      <c r="FI68">
        <v>8.9800000000000005E-2</v>
      </c>
      <c r="FJ68">
        <v>0.14050000000000001</v>
      </c>
      <c r="FK68">
        <v>0.2029</v>
      </c>
      <c r="FL68">
        <v>0.2702</v>
      </c>
      <c r="FM68">
        <v>0.4073</v>
      </c>
      <c r="FN68">
        <v>0.52259999999999995</v>
      </c>
      <c r="FO68">
        <v>0.52259999999999995</v>
      </c>
      <c r="FP68">
        <v>0</v>
      </c>
      <c r="FQ68">
        <v>0</v>
      </c>
      <c r="FR68">
        <v>0</v>
      </c>
      <c r="FS68">
        <f t="shared" si="11"/>
        <v>8</v>
      </c>
      <c r="FT68">
        <v>0.52259999999999995</v>
      </c>
      <c r="FU68" s="370">
        <f t="shared" si="12"/>
        <v>6.5324999999999994E-2</v>
      </c>
      <c r="FV68" s="370">
        <f t="shared" si="13"/>
        <v>0.78389999999999993</v>
      </c>
      <c r="FW68">
        <v>363.43</v>
      </c>
      <c r="FX68">
        <v>0.1155106</v>
      </c>
      <c r="FY68">
        <v>0.79693480000000005</v>
      </c>
      <c r="FZ68">
        <v>8.7554699999999999E-2</v>
      </c>
    </row>
    <row r="69" spans="2:182" x14ac:dyDescent="0.25">
      <c r="B69" t="s">
        <v>162</v>
      </c>
      <c r="C69">
        <v>0</v>
      </c>
      <c r="D69">
        <f t="shared" si="0"/>
        <v>0</v>
      </c>
      <c r="E69">
        <f t="shared" si="1"/>
        <v>0</v>
      </c>
      <c r="F69" t="s">
        <v>227</v>
      </c>
      <c r="G69">
        <v>0</v>
      </c>
      <c r="H69">
        <v>0</v>
      </c>
      <c r="I69">
        <v>0</v>
      </c>
      <c r="J69">
        <v>0</v>
      </c>
      <c r="K69">
        <v>0</v>
      </c>
      <c r="L69">
        <v>0</v>
      </c>
      <c r="M69">
        <v>0</v>
      </c>
      <c r="N69">
        <v>0</v>
      </c>
      <c r="O69">
        <v>0</v>
      </c>
      <c r="P69">
        <v>0</v>
      </c>
      <c r="Q69">
        <v>0</v>
      </c>
      <c r="R69">
        <v>0</v>
      </c>
      <c r="S69">
        <v>8.3299999999999999E-2</v>
      </c>
      <c r="T69">
        <v>0.1666</v>
      </c>
      <c r="U69">
        <v>0.24990000000000001</v>
      </c>
      <c r="V69">
        <v>0.3332</v>
      </c>
      <c r="W69">
        <v>0.41649999999999998</v>
      </c>
      <c r="X69">
        <v>0.49980000000000002</v>
      </c>
      <c r="Y69">
        <v>0.58309999999999995</v>
      </c>
      <c r="Z69">
        <v>0.66639999999999999</v>
      </c>
      <c r="AA69">
        <v>0.74970000000000003</v>
      </c>
      <c r="AB69">
        <v>0.83299999999999996</v>
      </c>
      <c r="AC69">
        <v>0.9163</v>
      </c>
      <c r="AD69">
        <v>1</v>
      </c>
      <c r="AE69">
        <v>2.5100000000000001E-2</v>
      </c>
      <c r="AF69">
        <v>6.1199999999999997E-2</v>
      </c>
      <c r="AG69">
        <v>0.109</v>
      </c>
      <c r="AH69">
        <v>0.15859999999999999</v>
      </c>
      <c r="AI69">
        <v>0.15859999999999999</v>
      </c>
      <c r="AJ69">
        <v>0.15859999999999999</v>
      </c>
      <c r="AK69">
        <v>0.15859999999999999</v>
      </c>
      <c r="AL69">
        <v>0.15859999999999999</v>
      </c>
      <c r="AM69">
        <v>0.15859999999999999</v>
      </c>
      <c r="AN69">
        <v>0.15859999999999999</v>
      </c>
      <c r="AO69">
        <v>0.15859999999999999</v>
      </c>
      <c r="AP69">
        <v>0.15859999999999999</v>
      </c>
      <c r="AQ69">
        <f t="shared" si="2"/>
        <v>4</v>
      </c>
      <c r="AR69" s="370">
        <v>0.15859999999999999</v>
      </c>
      <c r="AS69" s="370">
        <f t="shared" si="3"/>
        <v>3.9649999999999998E-2</v>
      </c>
      <c r="AT69" s="370">
        <f t="shared" si="4"/>
        <v>0.4758</v>
      </c>
      <c r="AU69">
        <v>0</v>
      </c>
      <c r="AV69" s="371">
        <v>0</v>
      </c>
      <c r="AW69" s="371">
        <v>0</v>
      </c>
      <c r="AX69" s="371">
        <v>0</v>
      </c>
      <c r="AY69">
        <v>0</v>
      </c>
      <c r="AZ69">
        <v>0</v>
      </c>
      <c r="BA69">
        <v>0</v>
      </c>
      <c r="BB69">
        <v>0</v>
      </c>
      <c r="BC69">
        <v>0</v>
      </c>
      <c r="BD69">
        <v>0</v>
      </c>
      <c r="BE69">
        <v>0</v>
      </c>
      <c r="BF69">
        <v>0</v>
      </c>
      <c r="BG69">
        <v>0</v>
      </c>
      <c r="BH69">
        <v>0</v>
      </c>
      <c r="BI69">
        <v>0</v>
      </c>
      <c r="BJ69">
        <v>0</v>
      </c>
      <c r="BK69">
        <v>0</v>
      </c>
      <c r="BL69">
        <v>0</v>
      </c>
      <c r="BM69">
        <v>0</v>
      </c>
      <c r="BN69">
        <v>0</v>
      </c>
      <c r="BO69">
        <v>0</v>
      </c>
      <c r="BP69">
        <v>0</v>
      </c>
      <c r="BQ69">
        <v>0</v>
      </c>
      <c r="BR69">
        <v>0</v>
      </c>
      <c r="BS69">
        <v>0</v>
      </c>
      <c r="BT69">
        <v>0</v>
      </c>
      <c r="BU69">
        <v>0</v>
      </c>
      <c r="BV69">
        <v>0</v>
      </c>
      <c r="BW69">
        <v>0</v>
      </c>
      <c r="BX69">
        <v>0</v>
      </c>
      <c r="BY69">
        <v>0</v>
      </c>
      <c r="BZ69">
        <v>0</v>
      </c>
      <c r="CA69">
        <v>0</v>
      </c>
      <c r="CB69">
        <v>0</v>
      </c>
      <c r="CC69">
        <v>0</v>
      </c>
      <c r="CD69">
        <v>0</v>
      </c>
      <c r="CE69">
        <v>0</v>
      </c>
      <c r="CF69">
        <v>0</v>
      </c>
      <c r="CG69">
        <v>0</v>
      </c>
      <c r="CH69">
        <v>0</v>
      </c>
      <c r="CI69">
        <f t="shared" si="5"/>
        <v>0</v>
      </c>
      <c r="CJ69" s="370">
        <v>0</v>
      </c>
      <c r="CK69" s="370">
        <f t="shared" si="6"/>
        <v>0</v>
      </c>
      <c r="CL69" s="370">
        <f t="shared" si="7"/>
        <v>0</v>
      </c>
      <c r="CM69">
        <v>0</v>
      </c>
      <c r="CN69" s="371">
        <v>0</v>
      </c>
      <c r="CO69" s="371">
        <v>0</v>
      </c>
      <c r="CP69" s="371">
        <v>0</v>
      </c>
      <c r="CQ69">
        <v>157</v>
      </c>
      <c r="CR69">
        <v>153</v>
      </c>
      <c r="CS69">
        <v>199</v>
      </c>
      <c r="CT69">
        <v>19</v>
      </c>
      <c r="CU69">
        <v>1837</v>
      </c>
      <c r="CV69">
        <v>2365</v>
      </c>
      <c r="CW69">
        <v>33.94</v>
      </c>
      <c r="CX69">
        <v>187.53</v>
      </c>
      <c r="CY69">
        <v>28.59</v>
      </c>
      <c r="CZ69">
        <v>2.48</v>
      </c>
      <c r="DA69">
        <v>170.3</v>
      </c>
      <c r="DB69">
        <v>422.84</v>
      </c>
      <c r="DC69">
        <v>6.8599999999999994E-2</v>
      </c>
      <c r="DD69">
        <v>0.1258</v>
      </c>
      <c r="DE69">
        <v>0.18579999999999999</v>
      </c>
      <c r="DF69">
        <v>0.21690000000000001</v>
      </c>
      <c r="DG69">
        <v>0.2475</v>
      </c>
      <c r="DH69">
        <v>0.46150000000000002</v>
      </c>
      <c r="DI69">
        <v>0.53049999999999997</v>
      </c>
      <c r="DJ69">
        <v>0.6038</v>
      </c>
      <c r="DK69">
        <v>0.64490000000000003</v>
      </c>
      <c r="DL69">
        <v>0.72340000000000004</v>
      </c>
      <c r="DM69">
        <v>0.85419999999999996</v>
      </c>
      <c r="DN69">
        <v>0.94969999999999999</v>
      </c>
      <c r="DO69">
        <v>1.66E-2</v>
      </c>
      <c r="DP69">
        <v>6.3399999999999998E-2</v>
      </c>
      <c r="DQ69">
        <v>9.7900000000000001E-2</v>
      </c>
      <c r="DR69">
        <v>0.15240000000000001</v>
      </c>
      <c r="DS69">
        <v>0.17710000000000001</v>
      </c>
      <c r="DT69">
        <v>0.35809999999999997</v>
      </c>
      <c r="DU69">
        <v>0.42120000000000002</v>
      </c>
      <c r="DV69">
        <v>0.48730000000000001</v>
      </c>
      <c r="DW69">
        <v>0.58140000000000003</v>
      </c>
      <c r="DX69">
        <v>0.64929999999999999</v>
      </c>
      <c r="DY69">
        <v>0.75490000000000002</v>
      </c>
      <c r="DZ69">
        <v>0.89349999999999996</v>
      </c>
      <c r="EA69">
        <f t="shared" si="8"/>
        <v>12</v>
      </c>
      <c r="EB69" s="370">
        <v>0.89349999999999996</v>
      </c>
      <c r="EC69" s="370">
        <f t="shared" si="9"/>
        <v>7.4458333333333335E-2</v>
      </c>
      <c r="ED69" s="370">
        <f t="shared" si="10"/>
        <v>0.94082341792144886</v>
      </c>
      <c r="EE69">
        <v>252.54</v>
      </c>
      <c r="EF69" s="371">
        <v>0.1343946</v>
      </c>
      <c r="EG69" s="371">
        <v>0.7425754</v>
      </c>
      <c r="EH69" s="371">
        <v>0.12303</v>
      </c>
      <c r="EI69">
        <v>55</v>
      </c>
      <c r="EJ69">
        <v>206</v>
      </c>
      <c r="EK69">
        <v>100</v>
      </c>
      <c r="EL69">
        <v>35</v>
      </c>
      <c r="EM69">
        <v>862</v>
      </c>
      <c r="EN69">
        <v>1258</v>
      </c>
      <c r="EO69">
        <v>34.06</v>
      </c>
      <c r="EP69">
        <v>206.32</v>
      </c>
      <c r="EQ69">
        <v>7.39</v>
      </c>
      <c r="ER69">
        <v>4.2</v>
      </c>
      <c r="ES69">
        <v>86.22</v>
      </c>
      <c r="ET69">
        <v>338.19</v>
      </c>
      <c r="EU69">
        <v>0.05</v>
      </c>
      <c r="EV69">
        <v>0.1</v>
      </c>
      <c r="EW69">
        <v>0.15</v>
      </c>
      <c r="EX69">
        <v>0</v>
      </c>
      <c r="EY69">
        <v>0.3</v>
      </c>
      <c r="EZ69">
        <v>0.35</v>
      </c>
      <c r="FA69">
        <v>0.4</v>
      </c>
      <c r="FB69">
        <v>0.45</v>
      </c>
      <c r="FC69">
        <v>0.55000000000000004</v>
      </c>
      <c r="FD69">
        <v>0.65</v>
      </c>
      <c r="FE69">
        <v>0.75</v>
      </c>
      <c r="FF69">
        <v>0.85</v>
      </c>
      <c r="FG69">
        <v>3.6299999999999999E-2</v>
      </c>
      <c r="FH69">
        <v>8.3699999999999997E-2</v>
      </c>
      <c r="FI69">
        <v>0.1009</v>
      </c>
      <c r="FJ69">
        <v>0.18479999999999999</v>
      </c>
      <c r="FK69">
        <v>0.27750000000000002</v>
      </c>
      <c r="FL69">
        <v>0.33610000000000001</v>
      </c>
      <c r="FM69">
        <v>0.33610000000000001</v>
      </c>
      <c r="FN69">
        <v>0.33610000000000001</v>
      </c>
      <c r="FO69">
        <v>0.33610000000000001</v>
      </c>
      <c r="FP69">
        <v>0</v>
      </c>
      <c r="FQ69">
        <v>0</v>
      </c>
      <c r="FR69">
        <v>0</v>
      </c>
      <c r="FS69">
        <f t="shared" si="11"/>
        <v>6</v>
      </c>
      <c r="FT69">
        <v>0.33610000000000001</v>
      </c>
      <c r="FU69" s="370">
        <f t="shared" si="12"/>
        <v>5.6016666666666666E-2</v>
      </c>
      <c r="FV69" s="370">
        <f t="shared" si="13"/>
        <v>0.7908235294117647</v>
      </c>
      <c r="FW69">
        <v>251.97</v>
      </c>
      <c r="FX69">
        <v>0.13517480000000001</v>
      </c>
      <c r="FY69">
        <v>0.81882759999999999</v>
      </c>
      <c r="FZ69">
        <v>4.5997499999999997E-2</v>
      </c>
    </row>
    <row r="70" spans="2:182" x14ac:dyDescent="0.25">
      <c r="B70" t="s">
        <v>162</v>
      </c>
      <c r="C70">
        <v>0</v>
      </c>
      <c r="D70">
        <f t="shared" si="0"/>
        <v>0</v>
      </c>
      <c r="E70">
        <f t="shared" si="1"/>
        <v>0</v>
      </c>
      <c r="F70" t="s">
        <v>228</v>
      </c>
      <c r="G70">
        <v>405</v>
      </c>
      <c r="H70">
        <v>220</v>
      </c>
      <c r="I70">
        <v>60</v>
      </c>
      <c r="J70">
        <v>50</v>
      </c>
      <c r="K70">
        <v>2147</v>
      </c>
      <c r="L70">
        <v>2882</v>
      </c>
      <c r="M70">
        <v>56.82</v>
      </c>
      <c r="N70">
        <v>81.81</v>
      </c>
      <c r="O70">
        <v>2.98</v>
      </c>
      <c r="P70">
        <v>3.38</v>
      </c>
      <c r="Q70">
        <v>134.33000000000001</v>
      </c>
      <c r="R70">
        <v>279.32</v>
      </c>
      <c r="S70">
        <v>3.0499999999999999E-2</v>
      </c>
      <c r="T70">
        <v>6.7699999999999996E-2</v>
      </c>
      <c r="U70">
        <v>0.1459</v>
      </c>
      <c r="V70">
        <v>0.22869999999999999</v>
      </c>
      <c r="W70">
        <v>0.28260000000000002</v>
      </c>
      <c r="X70">
        <v>0.40899999999999997</v>
      </c>
      <c r="Y70">
        <v>0.50039999999999996</v>
      </c>
      <c r="Z70">
        <v>0.59199999999999997</v>
      </c>
      <c r="AA70">
        <v>0.60150000000000003</v>
      </c>
      <c r="AB70">
        <v>0.6391</v>
      </c>
      <c r="AC70">
        <v>0.72240000000000004</v>
      </c>
      <c r="AD70">
        <v>0.79449999999999998</v>
      </c>
      <c r="AE70">
        <v>0</v>
      </c>
      <c r="AF70">
        <v>0</v>
      </c>
      <c r="AG70">
        <v>0</v>
      </c>
      <c r="AH70">
        <v>0</v>
      </c>
      <c r="AI70">
        <v>0</v>
      </c>
      <c r="AJ70">
        <v>0</v>
      </c>
      <c r="AK70">
        <v>0</v>
      </c>
      <c r="AL70">
        <v>0.40550000000000003</v>
      </c>
      <c r="AM70">
        <v>0.89880000000000004</v>
      </c>
      <c r="AN70">
        <v>0.89880000000000004</v>
      </c>
      <c r="AO70">
        <v>0.89880000000000004</v>
      </c>
      <c r="AP70">
        <v>0.89880000000000004</v>
      </c>
      <c r="AQ70">
        <f t="shared" si="2"/>
        <v>9</v>
      </c>
      <c r="AR70" s="370">
        <v>0.89880000000000004</v>
      </c>
      <c r="AS70" s="370">
        <f t="shared" si="3"/>
        <v>9.9866666666666673E-2</v>
      </c>
      <c r="AT70" s="370">
        <f t="shared" si="4"/>
        <v>1</v>
      </c>
      <c r="AU70">
        <v>144.99</v>
      </c>
      <c r="AV70" s="371">
        <v>0.39188909999999999</v>
      </c>
      <c r="AW70" s="371">
        <v>0.56424580000000002</v>
      </c>
      <c r="AX70" s="371">
        <v>4.3865099999999997E-2</v>
      </c>
      <c r="AY70">
        <v>755</v>
      </c>
      <c r="AZ70">
        <v>231</v>
      </c>
      <c r="BA70">
        <v>77</v>
      </c>
      <c r="BB70">
        <v>895</v>
      </c>
      <c r="BC70">
        <v>5935</v>
      </c>
      <c r="BD70">
        <v>7893</v>
      </c>
      <c r="BE70">
        <v>59.53</v>
      </c>
      <c r="BF70">
        <v>140.18</v>
      </c>
      <c r="BG70">
        <v>5.7</v>
      </c>
      <c r="BH70">
        <v>159.94</v>
      </c>
      <c r="BI70">
        <v>582.15</v>
      </c>
      <c r="BJ70">
        <v>947.5</v>
      </c>
      <c r="BK70">
        <v>0.03</v>
      </c>
      <c r="BL70">
        <v>0.08</v>
      </c>
      <c r="BM70">
        <v>0.15</v>
      </c>
      <c r="BN70">
        <v>0.25</v>
      </c>
      <c r="BO70">
        <v>0.3</v>
      </c>
      <c r="BP70">
        <v>0.45</v>
      </c>
      <c r="BQ70">
        <v>0.55000000000000004</v>
      </c>
      <c r="BR70">
        <v>0.65</v>
      </c>
      <c r="BS70">
        <v>0.75</v>
      </c>
      <c r="BT70">
        <v>0.8</v>
      </c>
      <c r="BU70">
        <v>0.9</v>
      </c>
      <c r="BV70">
        <v>0.98</v>
      </c>
      <c r="BW70">
        <v>2.5000000000000001E-2</v>
      </c>
      <c r="BX70">
        <v>5.6099999999999997E-2</v>
      </c>
      <c r="BY70">
        <v>0.12520000000000001</v>
      </c>
      <c r="BZ70">
        <v>0.12520000000000001</v>
      </c>
      <c r="CA70">
        <v>0.2021</v>
      </c>
      <c r="CB70">
        <v>0.2903</v>
      </c>
      <c r="CC70">
        <v>0.41360000000000002</v>
      </c>
      <c r="CD70">
        <v>0.50149999999999995</v>
      </c>
      <c r="CE70">
        <v>0.60780000000000001</v>
      </c>
      <c r="CF70">
        <v>0.60780000000000001</v>
      </c>
      <c r="CG70">
        <v>0.69620000000000004</v>
      </c>
      <c r="CH70">
        <v>0.69620000000000004</v>
      </c>
      <c r="CI70">
        <f t="shared" si="5"/>
        <v>11</v>
      </c>
      <c r="CJ70" s="370">
        <v>0.69620000000000004</v>
      </c>
      <c r="CK70" s="370">
        <f t="shared" si="6"/>
        <v>6.3290909090909092E-2</v>
      </c>
      <c r="CL70" s="370">
        <f t="shared" si="7"/>
        <v>0.77499072356215215</v>
      </c>
      <c r="CM70">
        <v>365.35</v>
      </c>
      <c r="CN70" s="371">
        <v>0.16293969999999999</v>
      </c>
      <c r="CO70" s="371">
        <v>0.3836869</v>
      </c>
      <c r="CP70" s="371">
        <v>0.45337349999999998</v>
      </c>
      <c r="CQ70">
        <v>467</v>
      </c>
      <c r="CR70">
        <v>387</v>
      </c>
      <c r="CS70">
        <v>183</v>
      </c>
      <c r="CT70">
        <v>32</v>
      </c>
      <c r="CU70">
        <v>4456</v>
      </c>
      <c r="CV70">
        <v>5525</v>
      </c>
      <c r="CW70">
        <v>101.11</v>
      </c>
      <c r="CX70">
        <v>189.99</v>
      </c>
      <c r="CY70">
        <v>7.49</v>
      </c>
      <c r="CZ70">
        <v>2.84</v>
      </c>
      <c r="DA70">
        <v>810.32</v>
      </c>
      <c r="DB70">
        <v>1111.75</v>
      </c>
      <c r="DC70">
        <v>2.2700000000000001E-2</v>
      </c>
      <c r="DD70">
        <v>4.36E-2</v>
      </c>
      <c r="DE70">
        <v>0.12790000000000001</v>
      </c>
      <c r="DF70">
        <v>0.21299999999999999</v>
      </c>
      <c r="DG70">
        <v>0.30299999999999999</v>
      </c>
      <c r="DH70">
        <v>0.40260000000000001</v>
      </c>
      <c r="DI70">
        <v>0.54720000000000002</v>
      </c>
      <c r="DJ70">
        <v>0.64029999999999998</v>
      </c>
      <c r="DK70">
        <v>0.73070000000000002</v>
      </c>
      <c r="DL70">
        <v>0.79849999999999999</v>
      </c>
      <c r="DM70">
        <v>0.89770000000000005</v>
      </c>
      <c r="DN70">
        <v>0.95089999999999997</v>
      </c>
      <c r="DO70">
        <v>1.95E-2</v>
      </c>
      <c r="DP70">
        <v>4.1000000000000002E-2</v>
      </c>
      <c r="DQ70">
        <v>8.5300000000000001E-2</v>
      </c>
      <c r="DR70">
        <v>0.121</v>
      </c>
      <c r="DS70">
        <v>0.1618</v>
      </c>
      <c r="DT70">
        <v>0.2213</v>
      </c>
      <c r="DU70">
        <v>0.32219999999999999</v>
      </c>
      <c r="DV70">
        <v>0.47010000000000002</v>
      </c>
      <c r="DW70">
        <v>0.52780000000000005</v>
      </c>
      <c r="DX70">
        <v>0.61919999999999997</v>
      </c>
      <c r="DY70">
        <v>0.72799999999999998</v>
      </c>
      <c r="DZ70">
        <v>0.8992</v>
      </c>
      <c r="EA70">
        <f t="shared" si="8"/>
        <v>12</v>
      </c>
      <c r="EB70" s="370">
        <v>0.8992</v>
      </c>
      <c r="EC70" s="370">
        <f t="shared" si="9"/>
        <v>7.4933333333333338E-2</v>
      </c>
      <c r="ED70" s="370">
        <f t="shared" si="10"/>
        <v>0.94563045535808188</v>
      </c>
      <c r="EE70">
        <v>301.43</v>
      </c>
      <c r="EF70" s="371">
        <v>0.33543440000000002</v>
      </c>
      <c r="EG70" s="371">
        <v>0.63029559999999996</v>
      </c>
      <c r="EH70" s="371">
        <v>3.4270000000000002E-2</v>
      </c>
      <c r="EI70">
        <v>411</v>
      </c>
      <c r="EJ70">
        <v>271</v>
      </c>
      <c r="EK70">
        <v>151</v>
      </c>
      <c r="EL70">
        <v>34</v>
      </c>
      <c r="EM70">
        <v>3663</v>
      </c>
      <c r="EN70">
        <v>4530</v>
      </c>
      <c r="EO70">
        <v>57.18</v>
      </c>
      <c r="EP70">
        <v>127.02</v>
      </c>
      <c r="EQ70">
        <v>5.25</v>
      </c>
      <c r="ER70">
        <v>9.93</v>
      </c>
      <c r="ES70">
        <v>112.47</v>
      </c>
      <c r="ET70">
        <v>311.85000000000002</v>
      </c>
      <c r="EU70">
        <v>2.9899999999999999E-2</v>
      </c>
      <c r="EV70">
        <v>4.9799999999999997E-2</v>
      </c>
      <c r="EW70">
        <v>0.14949999999999999</v>
      </c>
      <c r="EX70">
        <v>0.24909999999999999</v>
      </c>
      <c r="EY70">
        <v>0.34870000000000001</v>
      </c>
      <c r="EZ70">
        <v>0.44840000000000002</v>
      </c>
      <c r="FA70">
        <v>0.54800000000000004</v>
      </c>
      <c r="FB70">
        <v>0.64759999999999995</v>
      </c>
      <c r="FC70">
        <v>0.74729999999999996</v>
      </c>
      <c r="FD70">
        <v>0.79710000000000003</v>
      </c>
      <c r="FE70">
        <v>0.89670000000000005</v>
      </c>
      <c r="FF70">
        <v>0.94650000000000001</v>
      </c>
      <c r="FG70">
        <v>0.01</v>
      </c>
      <c r="FH70">
        <v>4.8099999999999997E-2</v>
      </c>
      <c r="FI70">
        <v>8.72E-2</v>
      </c>
      <c r="FJ70">
        <v>0.1552</v>
      </c>
      <c r="FK70">
        <v>0.21110000000000001</v>
      </c>
      <c r="FL70">
        <v>0.34189999999999998</v>
      </c>
      <c r="FM70">
        <v>0.44729999999999998</v>
      </c>
      <c r="FN70">
        <v>0.5242</v>
      </c>
      <c r="FO70">
        <v>0.5242</v>
      </c>
      <c r="FP70">
        <v>0</v>
      </c>
      <c r="FQ70">
        <v>0</v>
      </c>
      <c r="FR70">
        <v>0</v>
      </c>
      <c r="FS70">
        <f t="shared" si="11"/>
        <v>8</v>
      </c>
      <c r="FT70">
        <v>0.5242</v>
      </c>
      <c r="FU70" s="370">
        <f t="shared" si="12"/>
        <v>6.5525E-2</v>
      </c>
      <c r="FV70" s="370">
        <f t="shared" si="13"/>
        <v>0.8307448494453249</v>
      </c>
      <c r="FW70">
        <v>199.38</v>
      </c>
      <c r="FX70">
        <v>0.28678910000000002</v>
      </c>
      <c r="FY70">
        <v>0.6370749</v>
      </c>
      <c r="FZ70">
        <v>7.6135999999999995E-2</v>
      </c>
    </row>
    <row r="71" spans="2:182" x14ac:dyDescent="0.25">
      <c r="B71" t="s">
        <v>165</v>
      </c>
      <c r="C71">
        <v>1</v>
      </c>
      <c r="D71">
        <f t="shared" si="0"/>
        <v>1</v>
      </c>
      <c r="E71">
        <f t="shared" si="1"/>
        <v>1</v>
      </c>
      <c r="F71" t="s">
        <v>229</v>
      </c>
      <c r="G71">
        <v>340</v>
      </c>
      <c r="H71">
        <v>404</v>
      </c>
      <c r="I71">
        <v>318</v>
      </c>
      <c r="J71">
        <v>385</v>
      </c>
      <c r="K71">
        <v>1380</v>
      </c>
      <c r="L71">
        <v>2827</v>
      </c>
      <c r="M71">
        <v>109.37</v>
      </c>
      <c r="N71">
        <v>141.46</v>
      </c>
      <c r="O71">
        <v>14.93</v>
      </c>
      <c r="P71">
        <v>41.51</v>
      </c>
      <c r="Q71">
        <v>502.24</v>
      </c>
      <c r="R71">
        <v>809.51</v>
      </c>
      <c r="S71">
        <v>5.0900000000000001E-2</v>
      </c>
      <c r="T71">
        <v>0.105</v>
      </c>
      <c r="U71">
        <v>0</v>
      </c>
      <c r="V71">
        <v>0.30890000000000001</v>
      </c>
      <c r="W71">
        <v>0.38690000000000002</v>
      </c>
      <c r="X71">
        <v>0.52639999999999998</v>
      </c>
      <c r="Y71">
        <v>0.61570000000000003</v>
      </c>
      <c r="Z71">
        <v>0.6724</v>
      </c>
      <c r="AA71">
        <v>0.84399999999999997</v>
      </c>
      <c r="AB71">
        <v>0.90569999999999995</v>
      </c>
      <c r="AC71">
        <v>0.93700000000000006</v>
      </c>
      <c r="AD71">
        <v>0.95</v>
      </c>
      <c r="AE71">
        <v>2.8299999999999999E-2</v>
      </c>
      <c r="AF71">
        <v>5.79E-2</v>
      </c>
      <c r="AG71">
        <v>9.4500000000000001E-2</v>
      </c>
      <c r="AH71">
        <v>0.1545</v>
      </c>
      <c r="AI71">
        <v>0.21690000000000001</v>
      </c>
      <c r="AJ71">
        <v>0.25530000000000003</v>
      </c>
      <c r="AK71">
        <v>0.30630000000000002</v>
      </c>
      <c r="AL71">
        <v>0.38590000000000002</v>
      </c>
      <c r="AM71">
        <v>0.38590000000000002</v>
      </c>
      <c r="AN71">
        <v>0.38590000000000002</v>
      </c>
      <c r="AO71">
        <v>0.38590000000000002</v>
      </c>
      <c r="AP71">
        <v>0.38590000000000002</v>
      </c>
      <c r="AQ71">
        <f t="shared" si="2"/>
        <v>8</v>
      </c>
      <c r="AR71" s="370">
        <v>0.38590000000000002</v>
      </c>
      <c r="AS71" s="370">
        <f t="shared" si="3"/>
        <v>4.8237500000000003E-2</v>
      </c>
      <c r="AT71" s="370">
        <f t="shared" si="4"/>
        <v>0.60931578947368437</v>
      </c>
      <c r="AU71">
        <v>307.27</v>
      </c>
      <c r="AV71" s="371">
        <v>0.35594100000000001</v>
      </c>
      <c r="AW71" s="371">
        <v>0.46037689999999998</v>
      </c>
      <c r="AX71" s="371">
        <v>0.18368209999999999</v>
      </c>
      <c r="AY71">
        <v>383</v>
      </c>
      <c r="AZ71">
        <v>400</v>
      </c>
      <c r="BA71">
        <v>354</v>
      </c>
      <c r="BB71">
        <v>352</v>
      </c>
      <c r="BC71">
        <v>1365</v>
      </c>
      <c r="BD71">
        <v>2854</v>
      </c>
      <c r="BE71">
        <v>162.02000000000001</v>
      </c>
      <c r="BF71">
        <v>204.41</v>
      </c>
      <c r="BG71">
        <v>18.46</v>
      </c>
      <c r="BH71">
        <v>46.79</v>
      </c>
      <c r="BI71">
        <v>604.66999999999996</v>
      </c>
      <c r="BJ71">
        <v>1036.3499999999999</v>
      </c>
      <c r="BK71">
        <v>3.1600000000000003E-2</v>
      </c>
      <c r="BL71">
        <v>9.2100000000000001E-2</v>
      </c>
      <c r="BM71">
        <v>0.2034</v>
      </c>
      <c r="BN71">
        <v>0.30730000000000002</v>
      </c>
      <c r="BO71">
        <v>0.41849999999999998</v>
      </c>
      <c r="BP71">
        <v>0.53510000000000002</v>
      </c>
      <c r="BQ71">
        <v>0.65010000000000001</v>
      </c>
      <c r="BR71">
        <v>0.72619999999999996</v>
      </c>
      <c r="BS71">
        <v>0.83620000000000005</v>
      </c>
      <c r="BT71">
        <v>0.91010000000000002</v>
      </c>
      <c r="BU71">
        <v>0.96079999999999999</v>
      </c>
      <c r="BV71">
        <v>1</v>
      </c>
      <c r="BW71">
        <v>1.26E-2</v>
      </c>
      <c r="BX71">
        <v>3.3599999999999998E-2</v>
      </c>
      <c r="BY71">
        <v>0.1004</v>
      </c>
      <c r="BZ71">
        <v>0.155</v>
      </c>
      <c r="CA71">
        <v>0.20150000000000001</v>
      </c>
      <c r="CB71">
        <v>0.26529999999999998</v>
      </c>
      <c r="CC71">
        <v>0.29120000000000001</v>
      </c>
      <c r="CD71">
        <v>0.36509999999999998</v>
      </c>
      <c r="CE71">
        <v>0.50180000000000002</v>
      </c>
      <c r="CF71">
        <v>0.56379999999999997</v>
      </c>
      <c r="CG71">
        <v>0.6986</v>
      </c>
      <c r="CH71">
        <v>0.90949999999999998</v>
      </c>
      <c r="CI71">
        <f t="shared" si="5"/>
        <v>12</v>
      </c>
      <c r="CJ71" s="370">
        <v>0.90949999999999998</v>
      </c>
      <c r="CK71" s="370">
        <f t="shared" si="6"/>
        <v>7.579166666666666E-2</v>
      </c>
      <c r="CL71" s="370">
        <f t="shared" si="7"/>
        <v>0.90949999999999998</v>
      </c>
      <c r="CM71">
        <v>431.68</v>
      </c>
      <c r="CN71" s="371">
        <v>0.3753243</v>
      </c>
      <c r="CO71" s="371">
        <v>0.4735221</v>
      </c>
      <c r="CP71" s="371">
        <v>0.1511536</v>
      </c>
      <c r="CQ71">
        <v>705</v>
      </c>
      <c r="CR71">
        <v>270</v>
      </c>
      <c r="CS71">
        <v>307</v>
      </c>
      <c r="CT71">
        <v>238</v>
      </c>
      <c r="CU71">
        <v>626</v>
      </c>
      <c r="CV71">
        <v>2146</v>
      </c>
      <c r="CW71">
        <v>134.44</v>
      </c>
      <c r="CX71">
        <v>142.9</v>
      </c>
      <c r="CY71">
        <v>12.78</v>
      </c>
      <c r="CZ71">
        <v>34.51</v>
      </c>
      <c r="DA71">
        <v>380.44</v>
      </c>
      <c r="DB71">
        <v>705.07</v>
      </c>
      <c r="DC71">
        <v>5.4600000000000003E-2</v>
      </c>
      <c r="DD71">
        <v>0.1305</v>
      </c>
      <c r="DE71">
        <v>0.2712</v>
      </c>
      <c r="DF71">
        <v>0.34949999999999998</v>
      </c>
      <c r="DG71">
        <v>0.41889999999999999</v>
      </c>
      <c r="DH71">
        <v>0.57920000000000005</v>
      </c>
      <c r="DI71">
        <v>0.68289999999999995</v>
      </c>
      <c r="DJ71">
        <v>0.74690000000000001</v>
      </c>
      <c r="DK71">
        <v>0.8821</v>
      </c>
      <c r="DL71">
        <v>0.92869999999999997</v>
      </c>
      <c r="DM71">
        <v>0.95809999999999995</v>
      </c>
      <c r="DN71">
        <v>1</v>
      </c>
      <c r="DO71">
        <v>3.2199999999999999E-2</v>
      </c>
      <c r="DP71">
        <v>6.6500000000000004E-2</v>
      </c>
      <c r="DQ71">
        <v>0.1108</v>
      </c>
      <c r="DR71">
        <v>0.1711</v>
      </c>
      <c r="DS71">
        <v>0.23899999999999999</v>
      </c>
      <c r="DT71">
        <v>0.31359999999999999</v>
      </c>
      <c r="DU71">
        <v>0.40129999999999999</v>
      </c>
      <c r="DV71">
        <v>0.47399999999999998</v>
      </c>
      <c r="DW71">
        <v>0</v>
      </c>
      <c r="DX71">
        <v>0.60399999999999998</v>
      </c>
      <c r="DY71">
        <v>0.71050000000000002</v>
      </c>
      <c r="DZ71">
        <v>0.91110000000000002</v>
      </c>
      <c r="EA71">
        <f t="shared" si="8"/>
        <v>12</v>
      </c>
      <c r="EB71" s="370">
        <v>0.91110000000000002</v>
      </c>
      <c r="EC71" s="370">
        <f t="shared" si="9"/>
        <v>7.5925000000000006E-2</v>
      </c>
      <c r="ED71" s="370">
        <f t="shared" si="10"/>
        <v>0.91110000000000002</v>
      </c>
      <c r="EE71">
        <v>324.63</v>
      </c>
      <c r="EF71" s="371">
        <v>0.41413299999999997</v>
      </c>
      <c r="EG71" s="371">
        <v>0.44019340000000001</v>
      </c>
      <c r="EH71" s="371">
        <v>0.14567350000000001</v>
      </c>
      <c r="EI71">
        <v>751</v>
      </c>
      <c r="EJ71">
        <v>287</v>
      </c>
      <c r="EK71">
        <v>286</v>
      </c>
      <c r="EL71">
        <v>304</v>
      </c>
      <c r="EM71">
        <v>609</v>
      </c>
      <c r="EN71">
        <v>2237</v>
      </c>
      <c r="EO71">
        <v>133.68</v>
      </c>
      <c r="EP71">
        <v>123.03</v>
      </c>
      <c r="EQ71">
        <v>14.72</v>
      </c>
      <c r="ER71">
        <v>40.28</v>
      </c>
      <c r="ES71">
        <v>239.28</v>
      </c>
      <c r="ET71">
        <v>550.99</v>
      </c>
      <c r="EU71">
        <v>7.4700000000000003E-2</v>
      </c>
      <c r="EV71">
        <v>0.15409999999999999</v>
      </c>
      <c r="EW71">
        <v>0.25559999999999999</v>
      </c>
      <c r="EX71">
        <v>0.37109999999999999</v>
      </c>
      <c r="EY71">
        <v>0.46460000000000001</v>
      </c>
      <c r="EZ71">
        <v>0.56610000000000005</v>
      </c>
      <c r="FA71">
        <v>0.65129999999999999</v>
      </c>
      <c r="FB71">
        <v>0.74260000000000004</v>
      </c>
      <c r="FC71">
        <v>0.82589999999999997</v>
      </c>
      <c r="FD71">
        <v>0.89370000000000005</v>
      </c>
      <c r="FE71">
        <v>0.95020000000000004</v>
      </c>
      <c r="FF71">
        <v>1</v>
      </c>
      <c r="FG71">
        <v>2.9000000000000001E-2</v>
      </c>
      <c r="FH71">
        <v>6.8599999999999994E-2</v>
      </c>
      <c r="FI71">
        <v>0.1221</v>
      </c>
      <c r="FJ71">
        <v>0.19900000000000001</v>
      </c>
      <c r="FK71">
        <v>0.28039999999999998</v>
      </c>
      <c r="FL71">
        <v>0.34739999999999999</v>
      </c>
      <c r="FM71">
        <v>0.4526</v>
      </c>
      <c r="FN71">
        <v>0.52110000000000001</v>
      </c>
      <c r="FO71">
        <v>0.60419999999999996</v>
      </c>
      <c r="FP71">
        <v>0</v>
      </c>
      <c r="FQ71">
        <v>0</v>
      </c>
      <c r="FR71">
        <v>0</v>
      </c>
      <c r="FS71">
        <f t="shared" si="11"/>
        <v>9</v>
      </c>
      <c r="FT71">
        <v>0.60419999999999996</v>
      </c>
      <c r="FU71" s="370">
        <f t="shared" si="12"/>
        <v>6.7133333333333323E-2</v>
      </c>
      <c r="FV71" s="370">
        <f t="shared" si="13"/>
        <v>0.80559999999999987</v>
      </c>
      <c r="FW71">
        <v>311.70999999999998</v>
      </c>
      <c r="FX71">
        <v>0.42886020000000002</v>
      </c>
      <c r="FY71">
        <v>0.39469379999999998</v>
      </c>
      <c r="FZ71">
        <v>0.17644609999999999</v>
      </c>
    </row>
  </sheetData>
  <sortState ref="B8:FZ71">
    <sortCondition ref="F8:F71"/>
    <sortCondition ref="B8:B71"/>
  </sortState>
  <mergeCells count="2">
    <mergeCell ref="GC6:GF6"/>
    <mergeCell ref="GG6:GJ6"/>
  </mergeCells>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G56"/>
  <sheetViews>
    <sheetView zoomScale="90" zoomScaleNormal="90" workbookViewId="0"/>
  </sheetViews>
  <sheetFormatPr defaultColWidth="9.140625" defaultRowHeight="15" x14ac:dyDescent="0.25"/>
  <cols>
    <col min="1" max="1" width="2.7109375" style="171" customWidth="1"/>
    <col min="2" max="2" width="31.7109375" style="171" customWidth="1"/>
    <col min="3" max="3" width="21" style="171" customWidth="1"/>
    <col min="4" max="4" width="20.5703125" style="171" customWidth="1"/>
    <col min="5" max="5" width="23.140625" style="171" customWidth="1"/>
    <col min="6" max="6" width="19.85546875" style="171" customWidth="1"/>
    <col min="7" max="16384" width="9.140625" style="171"/>
  </cols>
  <sheetData>
    <row r="1" spans="2:7" x14ac:dyDescent="0.25">
      <c r="G1" s="151" t="str">
        <f>'Cover Page'!$E$1</f>
        <v>Last updated: 07/17/2017</v>
      </c>
    </row>
    <row r="2" spans="2:7" ht="15.75" thickBot="1" x14ac:dyDescent="0.3"/>
    <row r="3" spans="2:7" s="172" customFormat="1" ht="18.399999999999999" customHeight="1" x14ac:dyDescent="0.3">
      <c r="B3" s="435" t="s">
        <v>54</v>
      </c>
      <c r="C3" s="436"/>
      <c r="D3" s="436"/>
      <c r="E3" s="436"/>
      <c r="F3" s="437"/>
    </row>
    <row r="4" spans="2:7" s="172" customFormat="1" ht="30" x14ac:dyDescent="0.25">
      <c r="B4" s="178" t="s">
        <v>52</v>
      </c>
      <c r="C4" s="179" t="s">
        <v>50</v>
      </c>
      <c r="D4" s="179" t="s">
        <v>51</v>
      </c>
      <c r="E4" s="179" t="s">
        <v>53</v>
      </c>
      <c r="F4" s="180" t="s">
        <v>509</v>
      </c>
    </row>
    <row r="5" spans="2:7" s="173" customFormat="1" x14ac:dyDescent="0.25">
      <c r="B5" s="181" t="s">
        <v>1</v>
      </c>
      <c r="C5" s="182">
        <v>2180040000403</v>
      </c>
      <c r="D5" s="182">
        <v>137766884163364</v>
      </c>
      <c r="E5" s="182">
        <f t="shared" ref="E5:E10" si="0">SUM(C5:D5)</f>
        <v>139946924163767</v>
      </c>
      <c r="F5" s="183">
        <f t="shared" ref="F5:F10" si="1">E5/13500</f>
        <v>10366438826.945704</v>
      </c>
    </row>
    <row r="6" spans="2:7" x14ac:dyDescent="0.25">
      <c r="B6" s="174" t="s">
        <v>0</v>
      </c>
      <c r="C6" s="175"/>
      <c r="D6" s="175">
        <v>1131864163364</v>
      </c>
      <c r="E6" s="176">
        <f t="shared" si="0"/>
        <v>1131864163364</v>
      </c>
      <c r="F6" s="177">
        <f t="shared" si="1"/>
        <v>83841789.878814816</v>
      </c>
    </row>
    <row r="7" spans="2:7" x14ac:dyDescent="0.25">
      <c r="B7" s="174" t="s">
        <v>7</v>
      </c>
      <c r="C7" s="175">
        <v>144120000010</v>
      </c>
      <c r="D7" s="175"/>
      <c r="E7" s="176">
        <f t="shared" si="0"/>
        <v>144120000010</v>
      </c>
      <c r="F7" s="177">
        <f t="shared" si="1"/>
        <v>10675555.556296296</v>
      </c>
    </row>
    <row r="8" spans="2:7" x14ac:dyDescent="0.25">
      <c r="B8" s="174" t="s">
        <v>8</v>
      </c>
      <c r="C8" s="175">
        <v>2035920000393</v>
      </c>
      <c r="D8" s="175"/>
      <c r="E8" s="176">
        <f t="shared" si="0"/>
        <v>2035920000393</v>
      </c>
      <c r="F8" s="177">
        <f t="shared" si="1"/>
        <v>150808888.91800001</v>
      </c>
    </row>
    <row r="9" spans="2:7" x14ac:dyDescent="0.25">
      <c r="B9" s="174" t="s">
        <v>9</v>
      </c>
      <c r="C9" s="175"/>
      <c r="D9" s="175">
        <v>89875450000000</v>
      </c>
      <c r="E9" s="176">
        <f t="shared" si="0"/>
        <v>89875450000000</v>
      </c>
      <c r="F9" s="177">
        <f t="shared" si="1"/>
        <v>6657440740.7407408</v>
      </c>
    </row>
    <row r="10" spans="2:7" x14ac:dyDescent="0.25">
      <c r="B10" s="174" t="s">
        <v>10</v>
      </c>
      <c r="C10" s="175"/>
      <c r="D10" s="175">
        <v>46759570000000</v>
      </c>
      <c r="E10" s="176">
        <f t="shared" si="0"/>
        <v>46759570000000</v>
      </c>
      <c r="F10" s="177">
        <f t="shared" si="1"/>
        <v>3463671851.8518519</v>
      </c>
    </row>
    <row r="11" spans="2:7" s="173" customFormat="1" x14ac:dyDescent="0.25">
      <c r="B11" s="181" t="s">
        <v>2</v>
      </c>
      <c r="C11" s="182">
        <v>14581340005468</v>
      </c>
      <c r="D11" s="182">
        <v>1820503771392</v>
      </c>
      <c r="E11" s="182">
        <f t="shared" ref="E11:E20" si="2">SUM(C11:D11)</f>
        <v>16401843776860</v>
      </c>
      <c r="F11" s="183">
        <f t="shared" ref="F11:F20" si="3">E11/13500</f>
        <v>1214951390.8785186</v>
      </c>
    </row>
    <row r="12" spans="2:7" x14ac:dyDescent="0.25">
      <c r="B12" s="174" t="s">
        <v>25</v>
      </c>
      <c r="C12" s="175">
        <v>11881870003150</v>
      </c>
      <c r="D12" s="175"/>
      <c r="E12" s="176">
        <f t="shared" si="2"/>
        <v>11881870003150</v>
      </c>
      <c r="F12" s="177">
        <f>E12/13500</f>
        <v>880138518.7518518</v>
      </c>
    </row>
    <row r="13" spans="2:7" x14ac:dyDescent="0.25">
      <c r="B13" s="174" t="s">
        <v>42</v>
      </c>
      <c r="C13" s="175"/>
      <c r="D13" s="175">
        <v>967286643103</v>
      </c>
      <c r="E13" s="176">
        <f t="shared" si="2"/>
        <v>967286643103</v>
      </c>
      <c r="F13" s="177">
        <f t="shared" si="3"/>
        <v>71650862.452074081</v>
      </c>
    </row>
    <row r="14" spans="2:7" x14ac:dyDescent="0.25">
      <c r="B14" s="174" t="s">
        <v>47</v>
      </c>
      <c r="C14" s="175"/>
      <c r="D14" s="175">
        <v>599039262235</v>
      </c>
      <c r="E14" s="176">
        <f t="shared" si="2"/>
        <v>599039262235</v>
      </c>
      <c r="F14" s="177">
        <f t="shared" si="3"/>
        <v>44373278.684074074</v>
      </c>
    </row>
    <row r="15" spans="2:7" x14ac:dyDescent="0.25">
      <c r="B15" s="174" t="s">
        <v>49</v>
      </c>
      <c r="C15" s="175"/>
      <c r="D15" s="175">
        <v>254177866054</v>
      </c>
      <c r="E15" s="176">
        <f t="shared" si="2"/>
        <v>254177866054</v>
      </c>
      <c r="F15" s="177">
        <f>E15/13500</f>
        <v>18827990.078074075</v>
      </c>
    </row>
    <row r="16" spans="2:7" x14ac:dyDescent="0.25">
      <c r="B16" s="174" t="s">
        <v>33</v>
      </c>
      <c r="C16" s="175">
        <v>255550000278</v>
      </c>
      <c r="D16" s="175"/>
      <c r="E16" s="176">
        <f t="shared" si="2"/>
        <v>255550000278</v>
      </c>
      <c r="F16" s="177">
        <f t="shared" si="3"/>
        <v>18929629.650222223</v>
      </c>
    </row>
    <row r="17" spans="2:6" x14ac:dyDescent="0.25">
      <c r="B17" s="174" t="s">
        <v>34</v>
      </c>
      <c r="C17" s="175">
        <v>720240000661</v>
      </c>
      <c r="D17" s="175"/>
      <c r="E17" s="176">
        <f t="shared" si="2"/>
        <v>720240000661</v>
      </c>
      <c r="F17" s="177">
        <f t="shared" si="3"/>
        <v>53351111.160074078</v>
      </c>
    </row>
    <row r="18" spans="2:6" x14ac:dyDescent="0.25">
      <c r="B18" s="174" t="s">
        <v>26</v>
      </c>
      <c r="C18" s="175">
        <v>615230000522</v>
      </c>
      <c r="D18" s="175"/>
      <c r="E18" s="176">
        <f t="shared" si="2"/>
        <v>615230000522</v>
      </c>
      <c r="F18" s="177">
        <f t="shared" si="3"/>
        <v>45572592.631259263</v>
      </c>
    </row>
    <row r="19" spans="2:6" x14ac:dyDescent="0.25">
      <c r="B19" s="174" t="s">
        <v>11</v>
      </c>
      <c r="C19" s="175">
        <v>672180000606</v>
      </c>
      <c r="D19" s="175"/>
      <c r="E19" s="176">
        <f t="shared" si="2"/>
        <v>672180000606</v>
      </c>
      <c r="F19" s="177">
        <f t="shared" si="3"/>
        <v>49791111.156000003</v>
      </c>
    </row>
    <row r="20" spans="2:6" x14ac:dyDescent="0.25">
      <c r="B20" s="174" t="s">
        <v>23</v>
      </c>
      <c r="C20" s="175">
        <v>436270000251</v>
      </c>
      <c r="D20" s="175"/>
      <c r="E20" s="176">
        <f t="shared" si="2"/>
        <v>436270000251</v>
      </c>
      <c r="F20" s="177">
        <f t="shared" si="3"/>
        <v>32316296.314888887</v>
      </c>
    </row>
    <row r="21" spans="2:6" s="173" customFormat="1" x14ac:dyDescent="0.25">
      <c r="B21" s="181" t="s">
        <v>4</v>
      </c>
      <c r="C21" s="182">
        <v>1162621301139</v>
      </c>
      <c r="D21" s="182">
        <v>1006284214036</v>
      </c>
      <c r="E21" s="182">
        <f>SUM(C21:D21)</f>
        <v>2168905515175</v>
      </c>
      <c r="F21" s="183">
        <f>E21/13500</f>
        <v>160659667.79074073</v>
      </c>
    </row>
    <row r="22" spans="2:6" x14ac:dyDescent="0.25">
      <c r="B22" s="174" t="s">
        <v>38</v>
      </c>
      <c r="C22" s="175"/>
      <c r="D22" s="175">
        <v>733450000000</v>
      </c>
      <c r="E22" s="176">
        <f t="shared" ref="E22:E53" si="4">SUM(C22:D22)</f>
        <v>733450000000</v>
      </c>
      <c r="F22" s="177">
        <f t="shared" ref="F22:F53" si="5">E22/13500</f>
        <v>54329629.629629627</v>
      </c>
    </row>
    <row r="23" spans="2:6" x14ac:dyDescent="0.25">
      <c r="B23" s="174" t="s">
        <v>39</v>
      </c>
      <c r="C23" s="175"/>
      <c r="D23" s="175">
        <v>49458279603</v>
      </c>
      <c r="E23" s="176">
        <f t="shared" si="4"/>
        <v>49458279603</v>
      </c>
      <c r="F23" s="177">
        <f t="shared" si="5"/>
        <v>3663576.266888889</v>
      </c>
    </row>
    <row r="24" spans="2:6" x14ac:dyDescent="0.25">
      <c r="B24" s="174" t="s">
        <v>41</v>
      </c>
      <c r="C24" s="175"/>
      <c r="D24" s="175">
        <v>149300736802</v>
      </c>
      <c r="E24" s="176">
        <f t="shared" si="4"/>
        <v>149300736802</v>
      </c>
      <c r="F24" s="177">
        <f t="shared" si="5"/>
        <v>11059313.837185185</v>
      </c>
    </row>
    <row r="25" spans="2:6" x14ac:dyDescent="0.25">
      <c r="B25" s="174" t="s">
        <v>43</v>
      </c>
      <c r="C25" s="175"/>
      <c r="D25" s="175">
        <v>74075197631</v>
      </c>
      <c r="E25" s="176">
        <f t="shared" si="4"/>
        <v>74075197631</v>
      </c>
      <c r="F25" s="177">
        <f t="shared" si="5"/>
        <v>5487051.6763703702</v>
      </c>
    </row>
    <row r="26" spans="2:6" x14ac:dyDescent="0.25">
      <c r="B26" s="174" t="s">
        <v>29</v>
      </c>
      <c r="C26" s="175">
        <v>73040000157</v>
      </c>
      <c r="D26" s="175"/>
      <c r="E26" s="176">
        <f t="shared" si="4"/>
        <v>73040000157</v>
      </c>
      <c r="F26" s="177">
        <f t="shared" si="5"/>
        <v>5410370.3820000002</v>
      </c>
    </row>
    <row r="27" spans="2:6" x14ac:dyDescent="0.25">
      <c r="B27" s="174" t="s">
        <v>28</v>
      </c>
      <c r="C27" s="175">
        <v>171020000321</v>
      </c>
      <c r="D27" s="175"/>
      <c r="E27" s="176">
        <f t="shared" si="4"/>
        <v>171020000321</v>
      </c>
      <c r="F27" s="177">
        <f t="shared" si="5"/>
        <v>12668148.171925927</v>
      </c>
    </row>
    <row r="28" spans="2:6" x14ac:dyDescent="0.25">
      <c r="B28" s="174" t="s">
        <v>15</v>
      </c>
      <c r="C28" s="175">
        <v>651350000419</v>
      </c>
      <c r="D28" s="175"/>
      <c r="E28" s="176">
        <f t="shared" si="4"/>
        <v>651350000419</v>
      </c>
      <c r="F28" s="177">
        <f t="shared" si="5"/>
        <v>48248148.179185182</v>
      </c>
    </row>
    <row r="29" spans="2:6" x14ac:dyDescent="0.25">
      <c r="B29" s="174" t="s">
        <v>16</v>
      </c>
      <c r="C29" s="175">
        <v>197900000404</v>
      </c>
      <c r="D29" s="175"/>
      <c r="E29" s="176">
        <f t="shared" si="4"/>
        <v>197900000404</v>
      </c>
      <c r="F29" s="177">
        <f t="shared" si="5"/>
        <v>14659259.289185185</v>
      </c>
    </row>
    <row r="30" spans="2:6" x14ac:dyDescent="0.25">
      <c r="B30" s="174" t="s">
        <v>24</v>
      </c>
      <c r="C30" s="175">
        <v>69311299838</v>
      </c>
      <c r="D30" s="175"/>
      <c r="E30" s="176">
        <f t="shared" si="4"/>
        <v>69311299838</v>
      </c>
      <c r="F30" s="177">
        <f t="shared" si="5"/>
        <v>5134170.3583703702</v>
      </c>
    </row>
    <row r="31" spans="2:6" s="173" customFormat="1" x14ac:dyDescent="0.25">
      <c r="B31" s="181" t="s">
        <v>3</v>
      </c>
      <c r="C31" s="182">
        <v>3060210005763</v>
      </c>
      <c r="D31" s="182">
        <v>1189174862568</v>
      </c>
      <c r="E31" s="182">
        <f t="shared" si="4"/>
        <v>4249384868331</v>
      </c>
      <c r="F31" s="183">
        <f t="shared" si="5"/>
        <v>314769249.50599998</v>
      </c>
    </row>
    <row r="32" spans="2:6" x14ac:dyDescent="0.25">
      <c r="B32" s="174" t="s">
        <v>40</v>
      </c>
      <c r="C32" s="175"/>
      <c r="D32" s="175">
        <v>328220264571</v>
      </c>
      <c r="E32" s="176">
        <f t="shared" si="4"/>
        <v>328220264571</v>
      </c>
      <c r="F32" s="177">
        <f t="shared" si="5"/>
        <v>24312612.190444443</v>
      </c>
    </row>
    <row r="33" spans="2:6" x14ac:dyDescent="0.25">
      <c r="B33" s="174" t="s">
        <v>44</v>
      </c>
      <c r="C33" s="175"/>
      <c r="D33" s="175">
        <v>88887605332</v>
      </c>
      <c r="E33" s="176">
        <f t="shared" si="4"/>
        <v>88887605332</v>
      </c>
      <c r="F33" s="177">
        <f t="shared" si="5"/>
        <v>6584267.0616296297</v>
      </c>
    </row>
    <row r="34" spans="2:6" x14ac:dyDescent="0.25">
      <c r="B34" s="174" t="s">
        <v>45</v>
      </c>
      <c r="C34" s="175"/>
      <c r="D34" s="175">
        <v>473249061505</v>
      </c>
      <c r="E34" s="176">
        <f t="shared" si="4"/>
        <v>473249061505</v>
      </c>
      <c r="F34" s="177">
        <f t="shared" si="5"/>
        <v>35055486.037407406</v>
      </c>
    </row>
    <row r="35" spans="2:6" x14ac:dyDescent="0.25">
      <c r="B35" s="174" t="s">
        <v>46</v>
      </c>
      <c r="C35" s="175"/>
      <c r="D35" s="175">
        <v>225877253303</v>
      </c>
      <c r="E35" s="176">
        <f t="shared" si="4"/>
        <v>225877253303</v>
      </c>
      <c r="F35" s="177">
        <f t="shared" si="5"/>
        <v>16731648.392814815</v>
      </c>
    </row>
    <row r="36" spans="2:6" x14ac:dyDescent="0.25">
      <c r="B36" s="174" t="s">
        <v>48</v>
      </c>
      <c r="C36" s="175"/>
      <c r="D36" s="175">
        <v>72940677857</v>
      </c>
      <c r="E36" s="176">
        <f t="shared" si="4"/>
        <v>72940677857</v>
      </c>
      <c r="F36" s="177">
        <f t="shared" si="5"/>
        <v>5403013.1745925928</v>
      </c>
    </row>
    <row r="37" spans="2:6" x14ac:dyDescent="0.25">
      <c r="B37" s="174" t="s">
        <v>35</v>
      </c>
      <c r="C37" s="175">
        <v>196020000310</v>
      </c>
      <c r="D37" s="175"/>
      <c r="E37" s="176">
        <f t="shared" si="4"/>
        <v>196020000310</v>
      </c>
      <c r="F37" s="177">
        <f t="shared" si="5"/>
        <v>14520000.022962963</v>
      </c>
    </row>
    <row r="38" spans="2:6" x14ac:dyDescent="0.25">
      <c r="B38" s="174" t="s">
        <v>36</v>
      </c>
      <c r="C38" s="175">
        <v>314490000429</v>
      </c>
      <c r="D38" s="175"/>
      <c r="E38" s="176">
        <f t="shared" si="4"/>
        <v>314490000429</v>
      </c>
      <c r="F38" s="177">
        <f t="shared" si="5"/>
        <v>23295555.587333333</v>
      </c>
    </row>
    <row r="39" spans="2:6" x14ac:dyDescent="0.25">
      <c r="B39" s="174" t="s">
        <v>37</v>
      </c>
      <c r="C39" s="175">
        <v>230520000431</v>
      </c>
      <c r="D39" s="175"/>
      <c r="E39" s="176">
        <f t="shared" si="4"/>
        <v>230520000431</v>
      </c>
      <c r="F39" s="177">
        <f t="shared" si="5"/>
        <v>17075555.58748148</v>
      </c>
    </row>
    <row r="40" spans="2:6" x14ac:dyDescent="0.25">
      <c r="B40" s="174" t="s">
        <v>31</v>
      </c>
      <c r="C40" s="175">
        <v>158710000523</v>
      </c>
      <c r="D40" s="175"/>
      <c r="E40" s="176">
        <f t="shared" si="4"/>
        <v>158710000523</v>
      </c>
      <c r="F40" s="177">
        <f t="shared" si="5"/>
        <v>11756296.335037038</v>
      </c>
    </row>
    <row r="41" spans="2:6" x14ac:dyDescent="0.25">
      <c r="B41" s="174" t="s">
        <v>30</v>
      </c>
      <c r="C41" s="175">
        <v>101870000345</v>
      </c>
      <c r="D41" s="175"/>
      <c r="E41" s="176">
        <f t="shared" si="4"/>
        <v>101870000345</v>
      </c>
      <c r="F41" s="177">
        <f t="shared" si="5"/>
        <v>7545925.9514814811</v>
      </c>
    </row>
    <row r="42" spans="2:6" x14ac:dyDescent="0.25">
      <c r="B42" s="174" t="s">
        <v>12</v>
      </c>
      <c r="C42" s="175">
        <v>575955529161</v>
      </c>
      <c r="D42" s="175"/>
      <c r="E42" s="176">
        <f t="shared" si="4"/>
        <v>575955529161</v>
      </c>
      <c r="F42" s="177">
        <f t="shared" si="5"/>
        <v>42663372.530444443</v>
      </c>
    </row>
    <row r="43" spans="2:6" x14ac:dyDescent="0.25">
      <c r="B43" s="174" t="s">
        <v>13</v>
      </c>
      <c r="C43" s="175">
        <v>358080000757</v>
      </c>
      <c r="D43" s="175"/>
      <c r="E43" s="176">
        <f t="shared" si="4"/>
        <v>358080000757</v>
      </c>
      <c r="F43" s="177">
        <f t="shared" si="5"/>
        <v>26524444.500518519</v>
      </c>
    </row>
    <row r="44" spans="2:6" x14ac:dyDescent="0.25">
      <c r="B44" s="174" t="s">
        <v>14</v>
      </c>
      <c r="C44" s="175">
        <v>319130000530</v>
      </c>
      <c r="D44" s="175"/>
      <c r="E44" s="176">
        <f t="shared" si="4"/>
        <v>319130000530</v>
      </c>
      <c r="F44" s="177">
        <f t="shared" si="5"/>
        <v>23639259.29851852</v>
      </c>
    </row>
    <row r="45" spans="2:6" x14ac:dyDescent="0.25">
      <c r="B45" s="174" t="s">
        <v>17</v>
      </c>
      <c r="C45" s="175">
        <v>215990000826</v>
      </c>
      <c r="D45" s="175"/>
      <c r="E45" s="176">
        <f t="shared" si="4"/>
        <v>215990000826</v>
      </c>
      <c r="F45" s="177">
        <f t="shared" si="5"/>
        <v>15999259.320444444</v>
      </c>
    </row>
    <row r="46" spans="2:6" x14ac:dyDescent="0.25">
      <c r="B46" s="174" t="s">
        <v>18</v>
      </c>
      <c r="C46" s="175">
        <v>296700000407</v>
      </c>
      <c r="D46" s="175"/>
      <c r="E46" s="176">
        <f t="shared" si="4"/>
        <v>296700000407</v>
      </c>
      <c r="F46" s="177">
        <f t="shared" si="5"/>
        <v>21977777.807925925</v>
      </c>
    </row>
    <row r="47" spans="2:6" x14ac:dyDescent="0.25">
      <c r="B47" s="174" t="s">
        <v>19</v>
      </c>
      <c r="C47" s="175">
        <v>314290000545</v>
      </c>
      <c r="D47" s="175"/>
      <c r="E47" s="176">
        <f t="shared" si="4"/>
        <v>314290000545</v>
      </c>
      <c r="F47" s="177">
        <f t="shared" si="5"/>
        <v>23280740.78111111</v>
      </c>
    </row>
    <row r="48" spans="2:6" x14ac:dyDescent="0.25">
      <c r="B48" s="174" t="s">
        <v>20</v>
      </c>
      <c r="C48" s="175">
        <v>85930000207</v>
      </c>
      <c r="D48" s="175"/>
      <c r="E48" s="176">
        <f t="shared" si="4"/>
        <v>85930000207</v>
      </c>
      <c r="F48" s="177">
        <f t="shared" si="5"/>
        <v>6365185.2005185187</v>
      </c>
    </row>
    <row r="49" spans="2:6" x14ac:dyDescent="0.25">
      <c r="B49" s="174" t="s">
        <v>21</v>
      </c>
      <c r="C49" s="175">
        <v>232920000295</v>
      </c>
      <c r="D49" s="175"/>
      <c r="E49" s="176">
        <f t="shared" si="4"/>
        <v>232920000295</v>
      </c>
      <c r="F49" s="177">
        <f t="shared" si="5"/>
        <v>17253333.355185185</v>
      </c>
    </row>
    <row r="50" spans="2:6" x14ac:dyDescent="0.25">
      <c r="B50" s="174" t="s">
        <v>22</v>
      </c>
      <c r="C50" s="175">
        <v>235560000158</v>
      </c>
      <c r="D50" s="175"/>
      <c r="E50" s="176">
        <f t="shared" si="4"/>
        <v>235560000158</v>
      </c>
      <c r="F50" s="177">
        <f t="shared" si="5"/>
        <v>17448888.900592592</v>
      </c>
    </row>
    <row r="51" spans="2:6" s="173" customFormat="1" x14ac:dyDescent="0.25">
      <c r="B51" s="181" t="s">
        <v>6</v>
      </c>
      <c r="C51" s="182">
        <v>397076305502</v>
      </c>
      <c r="D51" s="182"/>
      <c r="E51" s="182">
        <f t="shared" si="4"/>
        <v>397076305502</v>
      </c>
      <c r="F51" s="183">
        <f t="shared" si="5"/>
        <v>29413059.666814815</v>
      </c>
    </row>
    <row r="52" spans="2:6" x14ac:dyDescent="0.25">
      <c r="B52" s="174" t="s">
        <v>32</v>
      </c>
      <c r="C52" s="175">
        <v>176786305480</v>
      </c>
      <c r="D52" s="175"/>
      <c r="E52" s="176">
        <f t="shared" si="4"/>
        <v>176786305480</v>
      </c>
      <c r="F52" s="177">
        <f t="shared" si="5"/>
        <v>13095281.887407407</v>
      </c>
    </row>
    <row r="53" spans="2:6" ht="15.75" thickBot="1" x14ac:dyDescent="0.3">
      <c r="B53" s="256" t="s">
        <v>27</v>
      </c>
      <c r="C53" s="257">
        <v>220290000022</v>
      </c>
      <c r="D53" s="257"/>
      <c r="E53" s="258">
        <f t="shared" si="4"/>
        <v>220290000022</v>
      </c>
      <c r="F53" s="259">
        <f t="shared" si="5"/>
        <v>16317777.779407408</v>
      </c>
    </row>
    <row r="54" spans="2:6" x14ac:dyDescent="0.25">
      <c r="B54" s="263" t="s">
        <v>508</v>
      </c>
      <c r="C54" s="264">
        <f>SUM(C11,C21,C31,C51)</f>
        <v>19201247617872</v>
      </c>
      <c r="D54" s="264">
        <f>SUM(D11,D21,D31,D51)</f>
        <v>4015962847996</v>
      </c>
      <c r="E54" s="264">
        <f>SUM(E11,E21,E31,E51)</f>
        <v>23217210465868</v>
      </c>
      <c r="F54" s="265">
        <f>SUM(F11,F21,F31,F51)</f>
        <v>1719793367.8420742</v>
      </c>
    </row>
    <row r="55" spans="2:6" s="173" customFormat="1" ht="15.75" thickBot="1" x14ac:dyDescent="0.3">
      <c r="B55" s="260" t="s">
        <v>5</v>
      </c>
      <c r="C55" s="261">
        <f>C5+C54</f>
        <v>21381287618275</v>
      </c>
      <c r="D55" s="261">
        <f>D5+D54</f>
        <v>141782847011360</v>
      </c>
      <c r="E55" s="261">
        <f>E5+E54</f>
        <v>163164134629635</v>
      </c>
      <c r="F55" s="262">
        <f>F5+F54</f>
        <v>12086232194.787777</v>
      </c>
    </row>
    <row r="56" spans="2:6" ht="8.4499999999999993" customHeight="1" x14ac:dyDescent="0.25"/>
  </sheetData>
  <sortState ref="B6:F10">
    <sortCondition descending="1" ref="C21:C23"/>
  </sortState>
  <mergeCells count="1">
    <mergeCell ref="B3:F3"/>
  </mergeCells>
  <printOptions horizontalCentered="1"/>
  <pageMargins left="0" right="0" top="0.25" bottom="0.25" header="0.3" footer="0.3"/>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8"/>
  <sheetViews>
    <sheetView workbookViewId="0"/>
  </sheetViews>
  <sheetFormatPr defaultRowHeight="15" x14ac:dyDescent="0.25"/>
  <cols>
    <col min="1" max="1" width="2.7109375" customWidth="1"/>
    <col min="2" max="2" width="20.7109375" customWidth="1"/>
    <col min="3" max="3" width="12.7109375" customWidth="1"/>
    <col min="5" max="24" width="10.7109375" customWidth="1"/>
  </cols>
  <sheetData>
    <row r="1" spans="2:24" ht="15.75" thickBot="1" x14ac:dyDescent="0.3"/>
    <row r="2" spans="2:24" x14ac:dyDescent="0.25">
      <c r="B2" s="363" t="s">
        <v>696</v>
      </c>
      <c r="C2" s="364">
        <f>IRR(E10:X10)</f>
        <v>0.63199693317197325</v>
      </c>
      <c r="D2" s="205"/>
      <c r="E2" s="438" t="s">
        <v>688</v>
      </c>
      <c r="F2" s="438"/>
      <c r="G2" s="438"/>
      <c r="H2" s="438"/>
      <c r="I2" s="438"/>
      <c r="J2" s="438"/>
      <c r="K2" s="438"/>
      <c r="L2" s="438"/>
    </row>
    <row r="3" spans="2:24" x14ac:dyDescent="0.25">
      <c r="B3" s="365" t="s">
        <v>474</v>
      </c>
      <c r="C3" s="366">
        <f>NPV(0.1,E9:X9)</f>
        <v>421118982.10187244</v>
      </c>
      <c r="D3" s="205"/>
      <c r="E3" s="438"/>
      <c r="F3" s="438"/>
      <c r="G3" s="438"/>
      <c r="H3" s="438"/>
      <c r="I3" s="438"/>
      <c r="J3" s="438"/>
      <c r="K3" s="438"/>
      <c r="L3" s="438"/>
    </row>
    <row r="4" spans="2:24" ht="15.75" thickBot="1" x14ac:dyDescent="0.3">
      <c r="B4" s="367" t="s">
        <v>687</v>
      </c>
      <c r="C4" s="368">
        <f>NPV(0.1,E10:X10)</f>
        <v>371417068.00152713</v>
      </c>
      <c r="D4" s="205"/>
      <c r="E4" s="205"/>
      <c r="F4" s="205"/>
      <c r="G4" s="205"/>
      <c r="H4" s="205"/>
      <c r="I4" s="205"/>
      <c r="J4" s="205"/>
    </row>
    <row r="5" spans="2:24" ht="15.75" thickBot="1" x14ac:dyDescent="0.3">
      <c r="B5" s="204"/>
      <c r="C5" s="205"/>
      <c r="D5" s="412" t="s">
        <v>592</v>
      </c>
      <c r="E5" s="413"/>
      <c r="F5" s="413"/>
      <c r="G5" s="413"/>
      <c r="H5" s="413"/>
      <c r="I5" s="413"/>
      <c r="J5" s="414"/>
    </row>
    <row r="6" spans="2:24" s="206" customFormat="1" ht="12.75" x14ac:dyDescent="0.2">
      <c r="B6" s="204"/>
      <c r="C6" s="205"/>
      <c r="D6" s="205"/>
      <c r="E6" s="205"/>
      <c r="F6" s="205"/>
      <c r="G6" s="205"/>
      <c r="H6" s="205"/>
      <c r="I6" s="205"/>
      <c r="J6" s="205"/>
      <c r="K6" s="205"/>
      <c r="L6" s="205"/>
      <c r="M6" s="205"/>
      <c r="N6" s="205"/>
      <c r="O6" s="205"/>
      <c r="P6" s="205"/>
      <c r="Q6" s="205"/>
      <c r="R6" s="205"/>
      <c r="S6" s="205"/>
      <c r="T6" s="205"/>
      <c r="U6" s="205"/>
      <c r="V6" s="205"/>
    </row>
    <row r="7" spans="2:24" x14ac:dyDescent="0.25">
      <c r="D7" s="204" t="s">
        <v>685</v>
      </c>
      <c r="E7" s="205"/>
      <c r="F7" s="205"/>
      <c r="G7" s="205"/>
      <c r="H7" s="205"/>
      <c r="I7" s="205"/>
      <c r="J7" s="205"/>
      <c r="K7" s="205"/>
      <c r="L7" s="205"/>
      <c r="M7" s="205"/>
      <c r="N7" s="205"/>
      <c r="O7" s="205"/>
      <c r="P7" s="205"/>
      <c r="Q7" s="205"/>
      <c r="R7" s="205"/>
      <c r="S7" s="205"/>
      <c r="T7" s="205"/>
      <c r="U7" s="205"/>
      <c r="V7" s="205"/>
      <c r="W7" s="205"/>
      <c r="X7" s="205"/>
    </row>
    <row r="8" spans="2:24" x14ac:dyDescent="0.25">
      <c r="D8" s="210"/>
      <c r="E8" s="208">
        <v>1</v>
      </c>
      <c r="F8" s="208">
        <v>2</v>
      </c>
      <c r="G8" s="208">
        <v>3</v>
      </c>
      <c r="H8" s="208">
        <v>4</v>
      </c>
      <c r="I8" s="208">
        <v>5</v>
      </c>
      <c r="J8" s="208">
        <v>6</v>
      </c>
      <c r="K8" s="208">
        <v>7</v>
      </c>
      <c r="L8" s="208">
        <v>8</v>
      </c>
      <c r="M8" s="208">
        <v>9</v>
      </c>
      <c r="N8" s="208">
        <v>10</v>
      </c>
      <c r="O8" s="208">
        <v>11</v>
      </c>
      <c r="P8" s="208">
        <v>12</v>
      </c>
      <c r="Q8" s="208">
        <v>13</v>
      </c>
      <c r="R8" s="208">
        <v>14</v>
      </c>
      <c r="S8" s="208">
        <v>15</v>
      </c>
      <c r="T8" s="208">
        <v>16</v>
      </c>
      <c r="U8" s="208">
        <v>17</v>
      </c>
      <c r="V8" s="208">
        <v>18</v>
      </c>
      <c r="W8" s="208">
        <v>19</v>
      </c>
      <c r="X8" s="208">
        <v>20</v>
      </c>
    </row>
    <row r="9" spans="2:24" x14ac:dyDescent="0.25">
      <c r="D9" s="211" t="s">
        <v>424</v>
      </c>
      <c r="E9" s="301">
        <f>'ERR Calculation'!E10+E14</f>
        <v>0</v>
      </c>
      <c r="F9" s="301">
        <f>'ERR Calculation'!F10+F14</f>
        <v>0</v>
      </c>
      <c r="G9" s="301">
        <f>'ERR Calculation'!G10+G14</f>
        <v>0</v>
      </c>
      <c r="H9" s="301">
        <f>'ERR Calculation'!H10+H14</f>
        <v>0</v>
      </c>
      <c r="I9" s="301">
        <f>'ERR Calculation'!I10+I14</f>
        <v>0</v>
      </c>
      <c r="J9" s="301">
        <f>'ERR Calculation'!J10+J14</f>
        <v>89167662.696976185</v>
      </c>
      <c r="K9" s="301">
        <f>'ERR Calculation'!K10+K14</f>
        <v>89167662.696976185</v>
      </c>
      <c r="L9" s="301">
        <f>'ERR Calculation'!L10+L14</f>
        <v>89167662.696976185</v>
      </c>
      <c r="M9" s="301">
        <f>'ERR Calculation'!M10+M14</f>
        <v>89167662.696976185</v>
      </c>
      <c r="N9" s="301">
        <f>'ERR Calculation'!N10+N14</f>
        <v>89167662.696976185</v>
      </c>
      <c r="O9" s="301">
        <f>'ERR Calculation'!O10+O14</f>
        <v>89167662.696976185</v>
      </c>
      <c r="P9" s="301">
        <f>'ERR Calculation'!P10+P14</f>
        <v>89167662.696976185</v>
      </c>
      <c r="Q9" s="301">
        <f>'ERR Calculation'!Q10+Q14</f>
        <v>89167662.696976185</v>
      </c>
      <c r="R9" s="301">
        <f>'ERR Calculation'!R10+R14</f>
        <v>89167662.696976185</v>
      </c>
      <c r="S9" s="301">
        <f>'ERR Calculation'!S10+S14</f>
        <v>89167662.696976185</v>
      </c>
      <c r="T9" s="301">
        <f>'ERR Calculation'!T10+T14</f>
        <v>89167662.696976185</v>
      </c>
      <c r="U9" s="301">
        <f>'ERR Calculation'!U10+U14</f>
        <v>89167662.696976185</v>
      </c>
      <c r="V9" s="301">
        <f>'ERR Calculation'!V10+V14</f>
        <v>89167662.696976185</v>
      </c>
      <c r="W9" s="301">
        <f>'ERR Calculation'!W10+W14</f>
        <v>89167662.696976185</v>
      </c>
      <c r="X9" s="301">
        <f>'ERR Calculation'!X10+X14</f>
        <v>89167662.696976185</v>
      </c>
    </row>
    <row r="10" spans="2:24" x14ac:dyDescent="0.25">
      <c r="D10" s="211" t="s">
        <v>686</v>
      </c>
      <c r="E10" s="301">
        <f>'ERR Calculation'!E$12+E$14</f>
        <v>-2528940.84</v>
      </c>
      <c r="F10" s="301">
        <f>'ERR Calculation'!F$12+F$14</f>
        <v>-7131961.7876000004</v>
      </c>
      <c r="G10" s="301">
        <f>'ERR Calculation'!G$12+G$14</f>
        <v>-14667318.674414</v>
      </c>
      <c r="H10" s="301">
        <f>'ERR Calculation'!H$12+H$14</f>
        <v>-20915833.929530211</v>
      </c>
      <c r="I10" s="301">
        <f>'ERR Calculation'!I$12+I$14</f>
        <v>-15439742.883473163</v>
      </c>
      <c r="J10" s="301">
        <f>'ERR Calculation'!J$12+J$14</f>
        <v>85159786.120250925</v>
      </c>
      <c r="K10" s="301">
        <f>'ERR Calculation'!K$12+K$14</f>
        <v>88197287.576600045</v>
      </c>
      <c r="L10" s="301">
        <f>'ERR Calculation'!L$12+L$14</f>
        <v>88182731.949794412</v>
      </c>
      <c r="M10" s="301">
        <f>'ERR Calculation'!M$12+M$14</f>
        <v>88167957.988586679</v>
      </c>
      <c r="N10" s="301">
        <f>'ERR Calculation'!N$12+N$14</f>
        <v>88152962.417960837</v>
      </c>
      <c r="O10" s="301">
        <f>'ERR Calculation'!O$12+O$14</f>
        <v>88137741.913775608</v>
      </c>
      <c r="P10" s="301">
        <f>'ERR Calculation'!P$12+P$14</f>
        <v>88122293.102027595</v>
      </c>
      <c r="Q10" s="301">
        <f>'ERR Calculation'!Q$12+Q$14</f>
        <v>88106612.558103368</v>
      </c>
      <c r="R10" s="301">
        <f>'ERR Calculation'!R$12+R$14</f>
        <v>88090696.806020275</v>
      </c>
      <c r="S10" s="301">
        <f>'ERR Calculation'!S$12+S$14</f>
        <v>88074542.317655936</v>
      </c>
      <c r="T10" s="301">
        <f>'ERR Calculation'!T$12+T$14</f>
        <v>88058145.511966139</v>
      </c>
      <c r="U10" s="301">
        <f>'ERR Calculation'!U$12+U$14</f>
        <v>88041502.754190981</v>
      </c>
      <c r="V10" s="301">
        <f>'ERR Calculation'!V$12+V$14</f>
        <v>88024610.355049208</v>
      </c>
      <c r="W10" s="301">
        <f>'ERR Calculation'!W$12+W$14</f>
        <v>88007464.569920301</v>
      </c>
      <c r="X10" s="301">
        <f>'ERR Calculation'!X$12+X$14</f>
        <v>87990061.598014459</v>
      </c>
    </row>
    <row r="12" spans="2:24" s="206" customFormat="1" ht="12.75" x14ac:dyDescent="0.2">
      <c r="B12" s="204"/>
      <c r="C12" s="205"/>
      <c r="D12" s="204" t="s">
        <v>684</v>
      </c>
      <c r="E12" s="205"/>
      <c r="F12" s="205"/>
      <c r="G12" s="205"/>
      <c r="H12" s="205"/>
      <c r="I12" s="205"/>
      <c r="J12" s="205"/>
      <c r="K12" s="205"/>
      <c r="L12" s="205"/>
      <c r="M12" s="205"/>
      <c r="N12" s="205"/>
      <c r="O12" s="205"/>
      <c r="P12" s="205"/>
      <c r="Q12" s="205"/>
      <c r="R12" s="205"/>
      <c r="S12" s="205"/>
      <c r="T12" s="205"/>
      <c r="U12" s="205"/>
      <c r="V12" s="205"/>
      <c r="W12" s="205"/>
      <c r="X12" s="205"/>
    </row>
    <row r="13" spans="2:24" s="206" customFormat="1" ht="12.75" x14ac:dyDescent="0.2">
      <c r="B13" s="204"/>
      <c r="C13" s="205"/>
      <c r="D13" s="210"/>
      <c r="E13" s="208">
        <v>1</v>
      </c>
      <c r="F13" s="208">
        <v>2</v>
      </c>
      <c r="G13" s="208">
        <v>3</v>
      </c>
      <c r="H13" s="208">
        <v>4</v>
      </c>
      <c r="I13" s="208">
        <v>5</v>
      </c>
      <c r="J13" s="208">
        <v>6</v>
      </c>
      <c r="K13" s="208">
        <v>7</v>
      </c>
      <c r="L13" s="208">
        <v>8</v>
      </c>
      <c r="M13" s="208">
        <v>9</v>
      </c>
      <c r="N13" s="208">
        <v>10</v>
      </c>
      <c r="O13" s="208">
        <v>11</v>
      </c>
      <c r="P13" s="208">
        <v>12</v>
      </c>
      <c r="Q13" s="208">
        <v>13</v>
      </c>
      <c r="R13" s="208">
        <v>14</v>
      </c>
      <c r="S13" s="208">
        <v>15</v>
      </c>
      <c r="T13" s="208">
        <v>16</v>
      </c>
      <c r="U13" s="208">
        <v>17</v>
      </c>
      <c r="V13" s="208">
        <v>18</v>
      </c>
      <c r="W13" s="208">
        <v>19</v>
      </c>
      <c r="X13" s="208">
        <v>20</v>
      </c>
    </row>
    <row r="14" spans="2:24" s="206" customFormat="1" ht="13.5" thickBot="1" x14ac:dyDescent="0.25">
      <c r="B14" s="204"/>
      <c r="C14" s="205"/>
      <c r="D14" s="211" t="s">
        <v>424</v>
      </c>
      <c r="E14" s="301">
        <v>0</v>
      </c>
      <c r="F14" s="301">
        <v>0</v>
      </c>
      <c r="G14" s="301">
        <v>0</v>
      </c>
      <c r="H14" s="301">
        <v>0</v>
      </c>
      <c r="I14" s="301">
        <v>0</v>
      </c>
      <c r="J14" s="301">
        <f>('ERR &amp; Sensitivity Analysis'!$G$17*1000000+Parameters!$C$4)*('ERR &amp; Sensitivity Analysis'!$G$16-'ERR &amp; Sensitivity Analysis'!$G$18)*$B$18</f>
        <v>75809546.343421653</v>
      </c>
      <c r="K14" s="301">
        <f>('ERR &amp; Sensitivity Analysis'!$G$17*1000000+Parameters!$C$4)*('ERR &amp; Sensitivity Analysis'!$G$16-'ERR &amp; Sensitivity Analysis'!$G$18)*$B$18</f>
        <v>75809546.343421653</v>
      </c>
      <c r="L14" s="301">
        <f>('ERR &amp; Sensitivity Analysis'!$G$17*1000000+Parameters!$C$4)*('ERR &amp; Sensitivity Analysis'!$G$16-'ERR &amp; Sensitivity Analysis'!$G$18)*$B$18</f>
        <v>75809546.343421653</v>
      </c>
      <c r="M14" s="301">
        <f>('ERR &amp; Sensitivity Analysis'!$G$17*1000000+Parameters!$C$4)*('ERR &amp; Sensitivity Analysis'!$G$16-'ERR &amp; Sensitivity Analysis'!$G$18)*$B$18</f>
        <v>75809546.343421653</v>
      </c>
      <c r="N14" s="301">
        <f>('ERR &amp; Sensitivity Analysis'!$G$17*1000000+Parameters!$C$4)*('ERR &amp; Sensitivity Analysis'!$G$16-'ERR &amp; Sensitivity Analysis'!$G$18)*$B$18</f>
        <v>75809546.343421653</v>
      </c>
      <c r="O14" s="301">
        <f>('ERR &amp; Sensitivity Analysis'!$G$17*1000000+Parameters!$C$4)*('ERR &amp; Sensitivity Analysis'!$G$16-'ERR &amp; Sensitivity Analysis'!$G$18)*$B$18</f>
        <v>75809546.343421653</v>
      </c>
      <c r="P14" s="301">
        <f>('ERR &amp; Sensitivity Analysis'!$G$17*1000000+Parameters!$C$4)*('ERR &amp; Sensitivity Analysis'!$G$16-'ERR &amp; Sensitivity Analysis'!$G$18)*$B$18</f>
        <v>75809546.343421653</v>
      </c>
      <c r="Q14" s="301">
        <f>('ERR &amp; Sensitivity Analysis'!$G$17*1000000+Parameters!$C$4)*('ERR &amp; Sensitivity Analysis'!$G$16-'ERR &amp; Sensitivity Analysis'!$G$18)*$B$18</f>
        <v>75809546.343421653</v>
      </c>
      <c r="R14" s="301">
        <f>('ERR &amp; Sensitivity Analysis'!$G$17*1000000+Parameters!$C$4)*('ERR &amp; Sensitivity Analysis'!$G$16-'ERR &amp; Sensitivity Analysis'!$G$18)*$B$18</f>
        <v>75809546.343421653</v>
      </c>
      <c r="S14" s="301">
        <f>('ERR &amp; Sensitivity Analysis'!$G$17*1000000+Parameters!$C$4)*('ERR &amp; Sensitivity Analysis'!$G$16-'ERR &amp; Sensitivity Analysis'!$G$18)*$B$18</f>
        <v>75809546.343421653</v>
      </c>
      <c r="T14" s="301">
        <f>('ERR &amp; Sensitivity Analysis'!$G$17*1000000+Parameters!$C$4)*('ERR &amp; Sensitivity Analysis'!$G$16-'ERR &amp; Sensitivity Analysis'!$G$18)*$B$18</f>
        <v>75809546.343421653</v>
      </c>
      <c r="U14" s="301">
        <f>('ERR &amp; Sensitivity Analysis'!$G$17*1000000+Parameters!$C$4)*('ERR &amp; Sensitivity Analysis'!$G$16-'ERR &amp; Sensitivity Analysis'!$G$18)*$B$18</f>
        <v>75809546.343421653</v>
      </c>
      <c r="V14" s="301">
        <f>('ERR &amp; Sensitivity Analysis'!$G$17*1000000+Parameters!$C$4)*('ERR &amp; Sensitivity Analysis'!$G$16-'ERR &amp; Sensitivity Analysis'!$G$18)*$B$18</f>
        <v>75809546.343421653</v>
      </c>
      <c r="W14" s="301">
        <f>('ERR &amp; Sensitivity Analysis'!$G$17*1000000+Parameters!$C$4)*('ERR &amp; Sensitivity Analysis'!$G$16-'ERR &amp; Sensitivity Analysis'!$G$18)*$B$18</f>
        <v>75809546.343421653</v>
      </c>
      <c r="X14" s="301">
        <f>('ERR &amp; Sensitivity Analysis'!$G$17*1000000+Parameters!$C$4)*('ERR &amp; Sensitivity Analysis'!$G$16-'ERR &amp; Sensitivity Analysis'!$G$18)*$B$18</f>
        <v>75809546.343421653</v>
      </c>
    </row>
    <row r="15" spans="2:24" ht="30" x14ac:dyDescent="0.25">
      <c r="B15" s="356" t="s">
        <v>690</v>
      </c>
      <c r="C15" s="357"/>
    </row>
    <row r="16" spans="2:24" x14ac:dyDescent="0.25">
      <c r="B16" s="358">
        <f>Parameters!C19</f>
        <v>0.1</v>
      </c>
      <c r="C16" s="359" t="s">
        <v>691</v>
      </c>
    </row>
    <row r="17" spans="2:10" x14ac:dyDescent="0.25">
      <c r="B17" s="360" t="s">
        <v>695</v>
      </c>
      <c r="C17" s="359" t="s">
        <v>692</v>
      </c>
      <c r="D17" s="276"/>
      <c r="E17" s="276"/>
      <c r="F17" s="276"/>
      <c r="G17" s="276"/>
      <c r="H17" s="276"/>
      <c r="I17" s="276"/>
      <c r="J17" s="276"/>
    </row>
    <row r="18" spans="2:10" ht="15.75" thickBot="1" x14ac:dyDescent="0.3">
      <c r="B18" s="361">
        <v>0.11666666666666667</v>
      </c>
      <c r="C18" s="362" t="s">
        <v>693</v>
      </c>
      <c r="D18" s="276"/>
      <c r="E18" s="276"/>
      <c r="F18" s="276"/>
      <c r="G18" s="276"/>
      <c r="H18" s="276"/>
      <c r="I18" s="276"/>
      <c r="J18" s="276"/>
    </row>
    <row r="19" spans="2:10" x14ac:dyDescent="0.25">
      <c r="D19" s="276"/>
      <c r="E19" s="276"/>
      <c r="F19" s="276"/>
      <c r="G19" s="276"/>
      <c r="H19" s="276"/>
      <c r="I19" s="276"/>
      <c r="J19" s="276"/>
    </row>
    <row r="20" spans="2:10" x14ac:dyDescent="0.25">
      <c r="D20" s="276"/>
      <c r="E20" s="276"/>
      <c r="F20" s="276"/>
      <c r="G20" s="276"/>
      <c r="H20" s="276"/>
      <c r="I20" s="276"/>
      <c r="J20" s="276"/>
    </row>
    <row r="21" spans="2:10" x14ac:dyDescent="0.25">
      <c r="D21" s="276"/>
      <c r="E21" s="276"/>
      <c r="F21" s="276"/>
      <c r="G21" s="276"/>
      <c r="H21" s="276"/>
      <c r="I21" s="276"/>
      <c r="J21" s="276"/>
    </row>
    <row r="22" spans="2:10" x14ac:dyDescent="0.25">
      <c r="D22" s="276"/>
      <c r="E22" s="276"/>
      <c r="F22" s="276"/>
      <c r="G22" s="276"/>
      <c r="H22" s="276"/>
      <c r="I22" s="276"/>
      <c r="J22" s="276"/>
    </row>
    <row r="23" spans="2:10" x14ac:dyDescent="0.25">
      <c r="D23" s="276"/>
      <c r="E23" s="276"/>
      <c r="F23" s="276"/>
      <c r="G23" s="276"/>
      <c r="H23" s="276"/>
      <c r="I23" s="276"/>
      <c r="J23" s="276"/>
    </row>
    <row r="24" spans="2:10" x14ac:dyDescent="0.25">
      <c r="D24" s="276"/>
      <c r="E24" s="276"/>
      <c r="F24" s="276"/>
      <c r="G24" s="276"/>
      <c r="H24" s="276"/>
      <c r="I24" s="276"/>
      <c r="J24" s="276"/>
    </row>
    <row r="25" spans="2:10" x14ac:dyDescent="0.25">
      <c r="D25" s="276"/>
      <c r="E25" s="276"/>
      <c r="F25" s="276"/>
      <c r="G25" s="276"/>
      <c r="H25" s="276"/>
      <c r="I25" s="276"/>
      <c r="J25" s="276"/>
    </row>
    <row r="26" spans="2:10" x14ac:dyDescent="0.25">
      <c r="D26" s="276"/>
      <c r="E26" s="276"/>
      <c r="F26" s="276"/>
      <c r="G26" s="276"/>
      <c r="H26" s="276"/>
      <c r="I26" s="276"/>
      <c r="J26" s="276"/>
    </row>
    <row r="27" spans="2:10" x14ac:dyDescent="0.25">
      <c r="D27" s="276"/>
      <c r="E27" s="276"/>
      <c r="F27" s="276"/>
      <c r="G27" s="276"/>
      <c r="H27" s="276"/>
      <c r="I27" s="276"/>
      <c r="J27" s="276"/>
    </row>
    <row r="28" spans="2:10" x14ac:dyDescent="0.25">
      <c r="D28" s="276"/>
      <c r="E28" s="276"/>
      <c r="F28" s="276"/>
      <c r="G28" s="276"/>
      <c r="H28" s="276"/>
      <c r="I28" s="276"/>
      <c r="J28" s="276"/>
    </row>
    <row r="29" spans="2:10" x14ac:dyDescent="0.25">
      <c r="D29" s="276"/>
      <c r="E29" s="276"/>
      <c r="F29" s="276"/>
      <c r="G29" s="276"/>
      <c r="H29" s="276"/>
      <c r="I29" s="276"/>
      <c r="J29" s="276"/>
    </row>
    <row r="30" spans="2:10" x14ac:dyDescent="0.25">
      <c r="D30" s="276"/>
      <c r="E30" s="276"/>
      <c r="F30" s="276"/>
      <c r="G30" s="276"/>
      <c r="H30" s="276"/>
      <c r="I30" s="276"/>
      <c r="J30" s="276"/>
    </row>
    <row r="31" spans="2:10" x14ac:dyDescent="0.25">
      <c r="D31" s="276"/>
      <c r="E31" s="276"/>
      <c r="F31" s="276"/>
      <c r="G31" s="276"/>
      <c r="H31" s="276"/>
      <c r="I31" s="276"/>
      <c r="J31" s="276"/>
    </row>
    <row r="32" spans="2:10" x14ac:dyDescent="0.25">
      <c r="D32" s="276"/>
      <c r="E32" s="276"/>
      <c r="F32" s="276"/>
      <c r="G32" s="276"/>
      <c r="H32" s="276"/>
      <c r="I32" s="276"/>
      <c r="J32" s="276"/>
    </row>
    <row r="33" spans="4:10" x14ac:dyDescent="0.25">
      <c r="D33" s="276"/>
      <c r="E33" s="276"/>
      <c r="F33" s="276"/>
      <c r="G33" s="276"/>
      <c r="H33" s="276"/>
      <c r="I33" s="276"/>
      <c r="J33" s="276"/>
    </row>
    <row r="34" spans="4:10" x14ac:dyDescent="0.25">
      <c r="D34" s="276"/>
      <c r="E34" s="276"/>
      <c r="F34" s="276"/>
      <c r="G34" s="276"/>
      <c r="H34" s="276"/>
      <c r="I34" s="276"/>
      <c r="J34" s="276"/>
    </row>
    <row r="35" spans="4:10" x14ac:dyDescent="0.25">
      <c r="D35" s="276"/>
      <c r="E35" s="276"/>
      <c r="F35" s="276"/>
      <c r="G35" s="276"/>
      <c r="H35" s="276"/>
      <c r="I35" s="276"/>
      <c r="J35" s="276"/>
    </row>
    <row r="36" spans="4:10" x14ac:dyDescent="0.25">
      <c r="D36" s="276"/>
      <c r="E36" s="276"/>
      <c r="F36" s="276"/>
      <c r="G36" s="276"/>
      <c r="H36" s="276"/>
      <c r="I36" s="276"/>
      <c r="J36" s="276"/>
    </row>
    <row r="37" spans="4:10" x14ac:dyDescent="0.25">
      <c r="D37" s="276"/>
      <c r="E37" s="276"/>
      <c r="F37" s="276"/>
      <c r="G37" s="276"/>
      <c r="H37" s="276"/>
      <c r="I37" s="276"/>
      <c r="J37" s="276"/>
    </row>
    <row r="38" spans="4:10" x14ac:dyDescent="0.25">
      <c r="D38" s="276"/>
      <c r="E38" s="276"/>
      <c r="F38" s="276"/>
      <c r="G38" s="276"/>
      <c r="H38" s="276"/>
      <c r="I38" s="276"/>
      <c r="J38" s="276"/>
    </row>
  </sheetData>
  <mergeCells count="2">
    <mergeCell ref="D5:J5"/>
    <mergeCell ref="E2:L3"/>
  </mergeCells>
  <pageMargins left="0.7" right="0.7" top="0.75" bottom="0.75" header="0.3" footer="0.3"/>
  <pageSetup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BN109"/>
  <sheetViews>
    <sheetView workbookViewId="0">
      <pane xSplit="6" ySplit="5" topLeftCell="I62" activePane="bottomRight" state="frozen"/>
      <selection pane="topRight" activeCell="G1" sqref="G1"/>
      <selection pane="bottomLeft" activeCell="A6" sqref="A6"/>
      <selection pane="bottomRight"/>
    </sheetView>
  </sheetViews>
  <sheetFormatPr defaultRowHeight="15" x14ac:dyDescent="0.25"/>
  <cols>
    <col min="1" max="1" width="2.7109375" customWidth="1"/>
    <col min="2" max="2" width="0" hidden="1" customWidth="1"/>
    <col min="4" max="4" width="0" hidden="1" customWidth="1"/>
    <col min="5" max="5" width="16.140625" customWidth="1"/>
    <col min="6" max="6" width="27" customWidth="1"/>
    <col min="7" max="7" width="27" hidden="1" customWidth="1"/>
    <col min="8" max="8" width="2.7109375" hidden="1" customWidth="1"/>
    <col min="9" max="9" width="11.42578125" customWidth="1"/>
    <col min="10" max="10" width="11.42578125" hidden="1" customWidth="1"/>
    <col min="11" max="11" width="11.42578125" customWidth="1"/>
    <col min="12" max="12" width="11.42578125" hidden="1" customWidth="1"/>
    <col min="13" max="13" width="11.42578125" customWidth="1"/>
    <col min="14" max="14" width="11.42578125" hidden="1" customWidth="1"/>
    <col min="15" max="15" width="11.42578125" customWidth="1"/>
    <col min="16" max="16" width="11.42578125" hidden="1" customWidth="1"/>
    <col min="17" max="17" width="11.42578125" customWidth="1"/>
    <col min="22" max="22" width="12" bestFit="1" customWidth="1"/>
    <col min="23" max="27" width="10.7109375" customWidth="1"/>
    <col min="33" max="37" width="10.7109375" customWidth="1"/>
    <col min="61" max="62" width="10.85546875" customWidth="1"/>
    <col min="63" max="63" width="10.28515625" bestFit="1" customWidth="1"/>
    <col min="64" max="64" width="10.140625" bestFit="1" customWidth="1"/>
    <col min="65" max="65" width="10.85546875" customWidth="1"/>
    <col min="66" max="66" width="13.5703125" customWidth="1"/>
  </cols>
  <sheetData>
    <row r="1" spans="2:66" ht="8.1" customHeight="1" x14ac:dyDescent="0.25"/>
    <row r="2" spans="2:66" ht="45" x14ac:dyDescent="0.25">
      <c r="F2" t="s">
        <v>145</v>
      </c>
      <c r="I2" s="184" t="s">
        <v>146</v>
      </c>
      <c r="J2" s="184"/>
      <c r="K2" s="184" t="s">
        <v>146</v>
      </c>
      <c r="L2" s="184"/>
      <c r="M2" s="184" t="s">
        <v>146</v>
      </c>
      <c r="N2" s="184"/>
      <c r="O2" s="184" t="s">
        <v>146</v>
      </c>
      <c r="P2" s="184"/>
      <c r="Q2" s="184" t="s">
        <v>146</v>
      </c>
      <c r="R2" s="184" t="s">
        <v>147</v>
      </c>
      <c r="S2" s="184" t="s">
        <v>147</v>
      </c>
      <c r="T2" s="184" t="s">
        <v>147</v>
      </c>
      <c r="U2" s="184" t="s">
        <v>147</v>
      </c>
      <c r="V2" s="184" t="s">
        <v>147</v>
      </c>
      <c r="W2" s="184" t="s">
        <v>147</v>
      </c>
      <c r="X2" s="184" t="s">
        <v>147</v>
      </c>
      <c r="Y2" s="184" t="s">
        <v>147</v>
      </c>
      <c r="Z2" s="184" t="s">
        <v>147</v>
      </c>
      <c r="AA2" s="184" t="s">
        <v>147</v>
      </c>
      <c r="AB2" s="184" t="s">
        <v>148</v>
      </c>
      <c r="AC2" s="184" t="s">
        <v>148</v>
      </c>
      <c r="AD2" s="184" t="s">
        <v>148</v>
      </c>
      <c r="AE2" s="184" t="s">
        <v>148</v>
      </c>
      <c r="AF2" s="184" t="s">
        <v>148</v>
      </c>
      <c r="AG2" s="184" t="s">
        <v>148</v>
      </c>
      <c r="AH2" s="184" t="s">
        <v>148</v>
      </c>
      <c r="AI2" s="184" t="s">
        <v>148</v>
      </c>
      <c r="AJ2" s="184" t="s">
        <v>148</v>
      </c>
      <c r="AK2" s="184" t="s">
        <v>148</v>
      </c>
      <c r="AL2" s="184" t="s">
        <v>149</v>
      </c>
      <c r="AM2" s="184" t="s">
        <v>149</v>
      </c>
      <c r="AN2" s="184" t="s">
        <v>149</v>
      </c>
      <c r="AO2" s="184" t="s">
        <v>149</v>
      </c>
      <c r="AP2" s="184" t="s">
        <v>149</v>
      </c>
      <c r="AQ2" s="184" t="s">
        <v>149</v>
      </c>
      <c r="AR2" s="184" t="s">
        <v>149</v>
      </c>
      <c r="AS2" s="184" t="s">
        <v>149</v>
      </c>
      <c r="AT2" s="184" t="s">
        <v>149</v>
      </c>
      <c r="AU2" s="184" t="s">
        <v>149</v>
      </c>
      <c r="AV2" s="184" t="s">
        <v>150</v>
      </c>
      <c r="AW2" s="184" t="s">
        <v>150</v>
      </c>
      <c r="AX2" s="184" t="s">
        <v>150</v>
      </c>
      <c r="AY2" s="184" t="s">
        <v>150</v>
      </c>
      <c r="AZ2" s="184" t="s">
        <v>150</v>
      </c>
      <c r="BA2" s="184" t="s">
        <v>150</v>
      </c>
      <c r="BB2" s="184" t="s">
        <v>150</v>
      </c>
      <c r="BC2" s="184" t="s">
        <v>150</v>
      </c>
      <c r="BD2" s="184" t="s">
        <v>150</v>
      </c>
      <c r="BE2" s="184" t="s">
        <v>150</v>
      </c>
      <c r="BF2" s="184" t="s">
        <v>150</v>
      </c>
      <c r="BG2" s="184" t="s">
        <v>488</v>
      </c>
      <c r="BH2" s="184" t="s">
        <v>488</v>
      </c>
      <c r="BI2" s="184" t="s">
        <v>488</v>
      </c>
      <c r="BJ2" s="184" t="s">
        <v>488</v>
      </c>
      <c r="BK2" s="184" t="s">
        <v>489</v>
      </c>
      <c r="BL2" s="184" t="s">
        <v>489</v>
      </c>
      <c r="BM2" s="184" t="s">
        <v>489</v>
      </c>
      <c r="BN2" s="184" t="s">
        <v>489</v>
      </c>
    </row>
    <row r="3" spans="2:66" ht="30" hidden="1" x14ac:dyDescent="0.25">
      <c r="F3" t="s">
        <v>151</v>
      </c>
      <c r="R3" s="184" t="s">
        <v>152</v>
      </c>
      <c r="S3" s="184" t="s">
        <v>152</v>
      </c>
      <c r="T3" s="184" t="s">
        <v>152</v>
      </c>
      <c r="U3" s="184" t="s">
        <v>152</v>
      </c>
      <c r="V3" s="184" t="s">
        <v>152</v>
      </c>
      <c r="W3" s="184" t="s">
        <v>152</v>
      </c>
      <c r="X3" s="184" t="s">
        <v>152</v>
      </c>
      <c r="Y3" s="184" t="s">
        <v>152</v>
      </c>
      <c r="Z3" s="184" t="s">
        <v>152</v>
      </c>
      <c r="AA3" s="184" t="s">
        <v>152</v>
      </c>
      <c r="AB3" s="184" t="s">
        <v>152</v>
      </c>
      <c r="AC3" s="184" t="s">
        <v>152</v>
      </c>
      <c r="AD3" s="184" t="s">
        <v>152</v>
      </c>
      <c r="AE3" s="184" t="s">
        <v>152</v>
      </c>
      <c r="AF3" s="184" t="s">
        <v>152</v>
      </c>
      <c r="AG3" s="184" t="s">
        <v>152</v>
      </c>
      <c r="AH3" s="184" t="s">
        <v>152</v>
      </c>
      <c r="AI3" s="184" t="s">
        <v>152</v>
      </c>
      <c r="AJ3" s="184" t="s">
        <v>152</v>
      </c>
      <c r="AK3" s="184" t="s">
        <v>152</v>
      </c>
      <c r="AL3" s="184" t="s">
        <v>153</v>
      </c>
      <c r="AM3" s="184" t="s">
        <v>153</v>
      </c>
      <c r="AN3" s="184" t="s">
        <v>153</v>
      </c>
      <c r="AO3" s="184" t="s">
        <v>153</v>
      </c>
      <c r="AP3" s="184" t="s">
        <v>153</v>
      </c>
      <c r="AQ3" s="184" t="s">
        <v>153</v>
      </c>
      <c r="AR3" s="184" t="s">
        <v>153</v>
      </c>
      <c r="AS3" s="184" t="s">
        <v>153</v>
      </c>
      <c r="AT3" s="184" t="s">
        <v>153</v>
      </c>
      <c r="AU3" s="184" t="s">
        <v>153</v>
      </c>
      <c r="AV3" s="184" t="s">
        <v>154</v>
      </c>
      <c r="AW3" s="184" t="s">
        <v>154</v>
      </c>
      <c r="AX3" s="184" t="s">
        <v>154</v>
      </c>
      <c r="AY3" s="184" t="s">
        <v>154</v>
      </c>
      <c r="AZ3" s="184" t="s">
        <v>154</v>
      </c>
      <c r="BA3" s="184" t="s">
        <v>154</v>
      </c>
      <c r="BB3" s="184" t="s">
        <v>154</v>
      </c>
      <c r="BC3" s="184" t="s">
        <v>154</v>
      </c>
      <c r="BD3" s="184" t="s">
        <v>154</v>
      </c>
      <c r="BE3" s="184" t="s">
        <v>154</v>
      </c>
      <c r="BF3" s="184" t="s">
        <v>482</v>
      </c>
      <c r="BG3" s="184" t="s">
        <v>485</v>
      </c>
      <c r="BH3" t="s">
        <v>486</v>
      </c>
      <c r="BI3" s="184" t="s">
        <v>125</v>
      </c>
      <c r="BJ3" s="184" t="s">
        <v>487</v>
      </c>
      <c r="BK3" s="184" t="s">
        <v>485</v>
      </c>
      <c r="BL3" t="s">
        <v>486</v>
      </c>
      <c r="BM3" s="184" t="s">
        <v>125</v>
      </c>
      <c r="BN3" s="184" t="s">
        <v>487</v>
      </c>
    </row>
    <row r="4" spans="2:66" x14ac:dyDescent="0.25">
      <c r="E4" s="187"/>
      <c r="F4" t="s">
        <v>155</v>
      </c>
      <c r="I4">
        <v>2012</v>
      </c>
      <c r="K4">
        <v>2013</v>
      </c>
      <c r="M4">
        <v>2014</v>
      </c>
      <c r="O4">
        <v>2015</v>
      </c>
      <c r="Q4">
        <v>2016</v>
      </c>
      <c r="R4">
        <v>2012</v>
      </c>
      <c r="S4">
        <v>2013</v>
      </c>
      <c r="T4">
        <v>2014</v>
      </c>
      <c r="U4">
        <v>2015</v>
      </c>
      <c r="V4">
        <v>2016</v>
      </c>
      <c r="W4">
        <v>2012</v>
      </c>
      <c r="X4">
        <v>2013</v>
      </c>
      <c r="Y4">
        <v>2014</v>
      </c>
      <c r="Z4">
        <v>2015</v>
      </c>
      <c r="AA4">
        <v>2016</v>
      </c>
      <c r="AB4">
        <v>2012</v>
      </c>
      <c r="AC4">
        <v>2013</v>
      </c>
      <c r="AD4">
        <v>2014</v>
      </c>
      <c r="AE4">
        <v>2015</v>
      </c>
      <c r="AF4">
        <v>2016</v>
      </c>
      <c r="AG4">
        <v>2012</v>
      </c>
      <c r="AH4">
        <v>2013</v>
      </c>
      <c r="AI4">
        <v>2014</v>
      </c>
      <c r="AJ4">
        <v>2015</v>
      </c>
      <c r="AK4">
        <v>2016</v>
      </c>
      <c r="AL4">
        <v>2012</v>
      </c>
      <c r="AM4">
        <v>2013</v>
      </c>
      <c r="AN4">
        <v>2014</v>
      </c>
      <c r="AO4">
        <v>2015</v>
      </c>
      <c r="AP4">
        <v>2016</v>
      </c>
      <c r="AQ4">
        <v>2012</v>
      </c>
      <c r="AR4">
        <v>2013</v>
      </c>
      <c r="AS4">
        <v>2014</v>
      </c>
      <c r="AT4">
        <v>2015</v>
      </c>
      <c r="AU4">
        <v>2016</v>
      </c>
      <c r="AV4">
        <v>2012</v>
      </c>
      <c r="AW4">
        <v>2013</v>
      </c>
      <c r="AX4">
        <v>2014</v>
      </c>
      <c r="AY4">
        <v>2015</v>
      </c>
      <c r="AZ4">
        <v>2016</v>
      </c>
      <c r="BA4">
        <v>2012</v>
      </c>
      <c r="BB4">
        <v>2013</v>
      </c>
      <c r="BC4">
        <v>2014</v>
      </c>
      <c r="BD4">
        <v>2015</v>
      </c>
      <c r="BE4">
        <v>2016</v>
      </c>
      <c r="BF4">
        <v>2016</v>
      </c>
      <c r="BG4">
        <v>2016</v>
      </c>
      <c r="BH4">
        <v>2016</v>
      </c>
      <c r="BI4">
        <v>2016</v>
      </c>
      <c r="BJ4">
        <v>2016</v>
      </c>
      <c r="BK4">
        <v>2016</v>
      </c>
      <c r="BL4">
        <v>2016</v>
      </c>
      <c r="BM4">
        <v>2016</v>
      </c>
      <c r="BN4">
        <v>2016</v>
      </c>
    </row>
    <row r="5" spans="2:66" x14ac:dyDescent="0.25">
      <c r="B5" t="s">
        <v>156</v>
      </c>
      <c r="C5" t="s">
        <v>157</v>
      </c>
      <c r="E5" t="s">
        <v>158</v>
      </c>
      <c r="F5" t="s">
        <v>159</v>
      </c>
      <c r="G5" t="s">
        <v>160</v>
      </c>
      <c r="I5" t="s">
        <v>161</v>
      </c>
      <c r="K5" t="s">
        <v>161</v>
      </c>
      <c r="M5" t="s">
        <v>161</v>
      </c>
      <c r="O5" t="s">
        <v>161</v>
      </c>
      <c r="Q5" t="s">
        <v>161</v>
      </c>
      <c r="R5" t="s">
        <v>161</v>
      </c>
      <c r="S5" t="s">
        <v>161</v>
      </c>
      <c r="T5" t="s">
        <v>161</v>
      </c>
      <c r="U5" t="s">
        <v>161</v>
      </c>
      <c r="V5" t="s">
        <v>161</v>
      </c>
      <c r="W5" t="s">
        <v>160</v>
      </c>
      <c r="X5" t="s">
        <v>160</v>
      </c>
      <c r="Y5" t="s">
        <v>160</v>
      </c>
      <c r="Z5" t="s">
        <v>160</v>
      </c>
      <c r="AA5" t="s">
        <v>160</v>
      </c>
      <c r="AB5" t="s">
        <v>161</v>
      </c>
      <c r="AC5" t="s">
        <v>161</v>
      </c>
      <c r="AD5" t="s">
        <v>161</v>
      </c>
      <c r="AE5" t="s">
        <v>161</v>
      </c>
      <c r="AF5" t="s">
        <v>161</v>
      </c>
      <c r="AG5" t="s">
        <v>160</v>
      </c>
      <c r="AH5" t="s">
        <v>160</v>
      </c>
      <c r="AI5" t="s">
        <v>160</v>
      </c>
      <c r="AJ5" t="s">
        <v>160</v>
      </c>
      <c r="AK5" t="s">
        <v>160</v>
      </c>
      <c r="AL5" t="s">
        <v>161</v>
      </c>
      <c r="AM5" t="s">
        <v>161</v>
      </c>
      <c r="AN5" t="s">
        <v>161</v>
      </c>
      <c r="AO5" t="s">
        <v>161</v>
      </c>
      <c r="AP5" t="s">
        <v>161</v>
      </c>
      <c r="AQ5" t="s">
        <v>160</v>
      </c>
      <c r="AR5" t="s">
        <v>160</v>
      </c>
      <c r="AS5" t="s">
        <v>160</v>
      </c>
      <c r="AT5" t="s">
        <v>160</v>
      </c>
      <c r="AU5" t="s">
        <v>160</v>
      </c>
      <c r="AV5" t="s">
        <v>161</v>
      </c>
      <c r="AW5" t="s">
        <v>161</v>
      </c>
      <c r="AX5" t="s">
        <v>161</v>
      </c>
      <c r="AY5" t="s">
        <v>161</v>
      </c>
      <c r="AZ5" t="s">
        <v>161</v>
      </c>
      <c r="BA5" t="s">
        <v>160</v>
      </c>
      <c r="BB5" t="s">
        <v>160</v>
      </c>
      <c r="BC5" t="s">
        <v>160</v>
      </c>
      <c r="BD5" t="s">
        <v>160</v>
      </c>
      <c r="BE5" t="s">
        <v>160</v>
      </c>
    </row>
    <row r="6" spans="2:66" x14ac:dyDescent="0.25">
      <c r="B6">
        <v>1</v>
      </c>
      <c r="C6">
        <v>1</v>
      </c>
      <c r="D6">
        <f t="shared" ref="D6:D37" si="0">IF(C6&gt;0,1,0)</f>
        <v>1</v>
      </c>
      <c r="E6" t="s">
        <v>162</v>
      </c>
      <c r="F6" t="s">
        <v>163</v>
      </c>
      <c r="G6" t="s">
        <v>164</v>
      </c>
      <c r="H6" s="188">
        <f t="shared" ref="H6:H37" si="1">IF($C6&gt;0,IF($E6="Provinsi",1,IF(_xlfn.IFNA(MATCH($G6,$F$6:$F$69,0),10^6)&gt;1000,1,0)),0)</f>
        <v>1</v>
      </c>
      <c r="I6" s="188">
        <f t="shared" ref="I6:I37" si="2">CEILING(R6/AV6*1000000,1)</f>
        <v>575014</v>
      </c>
      <c r="J6" s="189">
        <f t="shared" ref="J6:J37" si="3">LN(K6)-LN(I6)</f>
        <v>2.4048773109122124E-2</v>
      </c>
      <c r="K6" s="188">
        <f t="shared" ref="K6:K37" si="4">CEILING(S6/AW6*1000000,1)</f>
        <v>589010</v>
      </c>
      <c r="L6" s="189">
        <f t="shared" ref="L6:L37" si="5">LN(M6)-LN(K6)</f>
        <v>2.2966443801696101E-2</v>
      </c>
      <c r="M6" s="188">
        <f t="shared" ref="M6:M15" si="6">CEILING(T6/AX6*1000000,1)</f>
        <v>602694</v>
      </c>
      <c r="N6" s="189">
        <f t="shared" ref="N6:N37" si="7">LN(O6)-LN(M6)</f>
        <v>2.2520566414282683E-2</v>
      </c>
      <c r="O6" s="188">
        <f t="shared" ref="O6:O37" si="8">CEILING(U6/AY6*1000000,1)</f>
        <v>616421</v>
      </c>
      <c r="P6" s="189">
        <f t="shared" ref="P6:P37" si="9">LN(Q6)-LN(O6)</f>
        <v>2.1815044236346282E-2</v>
      </c>
      <c r="Q6" s="188">
        <f t="shared" ref="Q6:Q37" si="10">CEILING(V6/AZ6*1000000,1)</f>
        <v>630016</v>
      </c>
      <c r="R6" s="188">
        <v>27201</v>
      </c>
      <c r="S6" s="188">
        <v>31790</v>
      </c>
      <c r="T6" s="188">
        <v>37273</v>
      </c>
      <c r="U6" s="188">
        <v>41384</v>
      </c>
      <c r="V6" s="188">
        <v>46148</v>
      </c>
      <c r="W6" s="188">
        <v>117987</v>
      </c>
      <c r="X6" s="188">
        <v>134408</v>
      </c>
      <c r="Y6" s="188">
        <v>156396</v>
      </c>
      <c r="Z6" s="188">
        <v>177156</v>
      </c>
      <c r="AA6" s="188">
        <v>195376</v>
      </c>
      <c r="AB6" s="188">
        <v>24028</v>
      </c>
      <c r="AC6" s="188">
        <v>25667</v>
      </c>
      <c r="AD6" s="188">
        <v>27458</v>
      </c>
      <c r="AE6" s="188">
        <v>29180</v>
      </c>
      <c r="AF6" s="188">
        <v>31161</v>
      </c>
      <c r="AG6" s="188">
        <v>106951</v>
      </c>
      <c r="AH6" s="188">
        <v>114104</v>
      </c>
      <c r="AI6" s="188">
        <v>121788</v>
      </c>
      <c r="AJ6" s="188">
        <v>129131</v>
      </c>
      <c r="AK6" s="188">
        <v>137193</v>
      </c>
      <c r="AL6" s="189">
        <v>7.6399999999999996E-2</v>
      </c>
      <c r="AM6" s="189">
        <v>6.8199999999999997E-2</v>
      </c>
      <c r="AN6" s="189">
        <v>6.9800000000000001E-2</v>
      </c>
      <c r="AO6" s="189">
        <v>6.2699999999999992E-2</v>
      </c>
      <c r="AP6" s="189">
        <v>6.7900000000000002E-2</v>
      </c>
      <c r="AQ6" s="189">
        <v>6.9599999999999995E-2</v>
      </c>
      <c r="AR6" s="189">
        <v>6.6900000000000001E-2</v>
      </c>
      <c r="AS6" s="189">
        <v>6.7299999999999999E-2</v>
      </c>
      <c r="AT6" s="189">
        <v>6.0299999999999999E-2</v>
      </c>
      <c r="AU6" s="189">
        <v>6.2400000000000004E-2</v>
      </c>
      <c r="AV6" s="188">
        <v>47305</v>
      </c>
      <c r="AW6" s="188">
        <v>53972</v>
      </c>
      <c r="AX6" s="188">
        <v>61844</v>
      </c>
      <c r="AY6" s="188">
        <v>67136</v>
      </c>
      <c r="AZ6" s="188">
        <v>73249</v>
      </c>
      <c r="BA6" s="188">
        <v>29444</v>
      </c>
      <c r="BB6" s="188">
        <v>33135</v>
      </c>
      <c r="BC6" s="188">
        <v>38100</v>
      </c>
      <c r="BD6" s="188">
        <v>42659</v>
      </c>
      <c r="BE6" s="188">
        <v>46517</v>
      </c>
      <c r="BF6" s="231">
        <f t="shared" ref="BF6:BF37" si="11">BE6/$BF$70</f>
        <v>1.0113196130084026</v>
      </c>
      <c r="BG6" s="188">
        <f t="shared" ref="BG6:BG37" si="12">IF($Q6*(K$99+(1-$BF6)*K$99/K$98)&gt;0,ROUND($Q6*(K$99+(1-$BF6)*K$99/K$98),0),0)</f>
        <v>2809</v>
      </c>
      <c r="BH6" s="188">
        <f t="shared" ref="BH6:BH37" si="13">IF($Q6*($M$99+(1-$BF6)*$M$99/$M$98)&gt;0,ROUND($Q6*($M$99+(1-$BF6)*$M$99/$M$98),0),0)</f>
        <v>41784</v>
      </c>
      <c r="BI6" s="188">
        <f t="shared" ref="BI6:BI37" si="14">IF($Q6*($O$99+(1-$BF6)*$O$99/$O$98)&gt;0,ROUND($Q6*($O$99+(1-$BF6)*$O$99/$O$98),0),0)</f>
        <v>208573</v>
      </c>
      <c r="BJ6" s="188">
        <f t="shared" ref="BJ6:BJ37" si="15">$Q6-SUM($BG6:$BI6)</f>
        <v>376850</v>
      </c>
      <c r="BK6" s="240">
        <f>'ERR Calculation'!$C$3*($V6/$V$70)*(BG6/$Q6)</f>
        <v>3204.8448373678452</v>
      </c>
      <c r="BL6" s="240">
        <f>'ERR Calculation'!$C$3*($V6/$V$70)*(BH6/$Q6)</f>
        <v>47672.209570871499</v>
      </c>
      <c r="BM6" s="240">
        <f>'ERR Calculation'!$C$3*($V6/$V$70)*(BI6/$Q6)</f>
        <v>237965.14854550501</v>
      </c>
      <c r="BN6" s="240">
        <f>'ERR Calculation'!$C$3*($V6/$V$70)*(BJ6/$Q6)</f>
        <v>429955.77677539072</v>
      </c>
    </row>
    <row r="7" spans="2:66" x14ac:dyDescent="0.25">
      <c r="B7">
        <v>1</v>
      </c>
      <c r="C7">
        <v>1</v>
      </c>
      <c r="D7">
        <f t="shared" si="0"/>
        <v>1</v>
      </c>
      <c r="E7" t="s">
        <v>165</v>
      </c>
      <c r="F7" t="s">
        <v>166</v>
      </c>
      <c r="G7" t="s">
        <v>167</v>
      </c>
      <c r="H7" s="188">
        <f t="shared" si="1"/>
        <v>1</v>
      </c>
      <c r="I7" s="188">
        <f t="shared" si="2"/>
        <v>583274</v>
      </c>
      <c r="J7" s="189">
        <f t="shared" si="3"/>
        <v>1.8772614150345035E-2</v>
      </c>
      <c r="K7" s="188">
        <f t="shared" si="4"/>
        <v>594327</v>
      </c>
      <c r="L7" s="189">
        <f t="shared" si="5"/>
        <v>1.7960755443176879E-2</v>
      </c>
      <c r="M7" s="188">
        <f t="shared" si="6"/>
        <v>605098</v>
      </c>
      <c r="N7" s="189">
        <f t="shared" si="7"/>
        <v>1.7161488465710306E-2</v>
      </c>
      <c r="O7" s="188">
        <f t="shared" si="8"/>
        <v>615572</v>
      </c>
      <c r="P7" s="189">
        <f t="shared" si="9"/>
        <v>1.6747334732935215E-2</v>
      </c>
      <c r="Q7" s="188">
        <f t="shared" si="10"/>
        <v>625968</v>
      </c>
      <c r="R7" s="188">
        <v>58696</v>
      </c>
      <c r="S7" s="188">
        <v>64293</v>
      </c>
      <c r="T7" s="188">
        <v>71623</v>
      </c>
      <c r="U7" s="188">
        <v>74273</v>
      </c>
      <c r="V7" s="188">
        <v>79650</v>
      </c>
      <c r="W7" s="188">
        <v>550736</v>
      </c>
      <c r="X7" s="188">
        <v>519132</v>
      </c>
      <c r="Y7" s="188">
        <v>527515</v>
      </c>
      <c r="Z7" s="188">
        <v>503691</v>
      </c>
      <c r="AA7" s="188">
        <v>507074</v>
      </c>
      <c r="AB7" s="188">
        <v>63615</v>
      </c>
      <c r="AC7" s="188">
        <v>65907</v>
      </c>
      <c r="AD7" s="188">
        <v>68964</v>
      </c>
      <c r="AE7" s="188">
        <v>69859</v>
      </c>
      <c r="AF7" s="188">
        <v>73185</v>
      </c>
      <c r="AG7" s="188">
        <v>469646</v>
      </c>
      <c r="AH7" s="188">
        <v>438533</v>
      </c>
      <c r="AI7" s="188">
        <v>446029</v>
      </c>
      <c r="AJ7" s="188">
        <v>440648</v>
      </c>
      <c r="AK7" s="188">
        <v>438977</v>
      </c>
      <c r="AL7" s="189">
        <v>5.57E-2</v>
      </c>
      <c r="AM7" s="189">
        <v>3.6000000000000004E-2</v>
      </c>
      <c r="AN7" s="189">
        <v>4.6399999999999997E-2</v>
      </c>
      <c r="AO7" s="189">
        <v>1.3000000000000001E-2</v>
      </c>
      <c r="AP7" s="189">
        <v>4.7599999999999996E-2</v>
      </c>
      <c r="AQ7" s="189">
        <v>-2.7799999999999998E-2</v>
      </c>
      <c r="AR7" s="189">
        <v>2.76E-2</v>
      </c>
      <c r="AS7" s="189">
        <v>1.7100000000000001E-2</v>
      </c>
      <c r="AT7" s="189">
        <v>-1.21E-2</v>
      </c>
      <c r="AU7" s="189">
        <v>-3.8E-3</v>
      </c>
      <c r="AV7" s="188">
        <v>100632</v>
      </c>
      <c r="AW7" s="188">
        <v>108178</v>
      </c>
      <c r="AX7" s="188">
        <v>118366</v>
      </c>
      <c r="AY7" s="188">
        <v>120657</v>
      </c>
      <c r="AZ7" s="188">
        <v>127243</v>
      </c>
      <c r="BA7" s="188">
        <v>145998</v>
      </c>
      <c r="BB7" s="188">
        <v>158473</v>
      </c>
      <c r="BC7" s="188">
        <v>157400</v>
      </c>
      <c r="BD7" s="188">
        <v>146993</v>
      </c>
      <c r="BE7" s="188">
        <v>144827</v>
      </c>
      <c r="BF7" s="231">
        <f t="shared" si="11"/>
        <v>3.1486636196050455</v>
      </c>
      <c r="BG7" s="188">
        <f t="shared" si="12"/>
        <v>0</v>
      </c>
      <c r="BH7" s="188">
        <f t="shared" si="13"/>
        <v>0</v>
      </c>
      <c r="BI7" s="188">
        <f t="shared" si="14"/>
        <v>96187</v>
      </c>
      <c r="BJ7" s="188">
        <f t="shared" si="15"/>
        <v>529781</v>
      </c>
      <c r="BK7" s="240">
        <f>'ERR Calculation'!$C$3*($V7/$V$70)*(BG7/$Q7)</f>
        <v>0</v>
      </c>
      <c r="BL7" s="240">
        <f>'ERR Calculation'!$C$3*($V7/$V$70)*(BH7/$Q7)</f>
        <v>0</v>
      </c>
      <c r="BM7" s="240">
        <f>'ERR Calculation'!$C$3*($V7/$V$70)*(BI7/$Q7)</f>
        <v>190635.59371466437</v>
      </c>
      <c r="BN7" s="240">
        <f>'ERR Calculation'!$C$3*($V7/$V$70)*(BJ7/$Q7)</f>
        <v>1049987.165352372</v>
      </c>
    </row>
    <row r="8" spans="2:66" x14ac:dyDescent="0.25">
      <c r="B8">
        <v>0</v>
      </c>
      <c r="C8">
        <v>2</v>
      </c>
      <c r="D8">
        <f t="shared" si="0"/>
        <v>1</v>
      </c>
      <c r="E8" t="s">
        <v>165</v>
      </c>
      <c r="F8" t="s">
        <v>232</v>
      </c>
      <c r="G8" t="s">
        <v>172</v>
      </c>
      <c r="H8" s="188">
        <f t="shared" si="1"/>
        <v>1</v>
      </c>
      <c r="I8" s="188">
        <f t="shared" si="2"/>
        <v>2444622</v>
      </c>
      <c r="J8" s="189">
        <f t="shared" si="3"/>
        <v>5.6535765576910535E-3</v>
      </c>
      <c r="K8" s="188">
        <f t="shared" si="4"/>
        <v>2458482</v>
      </c>
      <c r="L8" s="189">
        <f t="shared" si="5"/>
        <v>5.006397769447446E-3</v>
      </c>
      <c r="M8" s="188">
        <f t="shared" si="6"/>
        <v>2470821</v>
      </c>
      <c r="N8" s="189">
        <f t="shared" si="7"/>
        <v>4.3006424352824979E-3</v>
      </c>
      <c r="O8" s="188">
        <f t="shared" si="8"/>
        <v>2481470</v>
      </c>
      <c r="P8" s="189">
        <f t="shared" si="9"/>
        <v>3.678139914320866E-3</v>
      </c>
      <c r="Q8" s="188">
        <f t="shared" si="10"/>
        <v>2490614</v>
      </c>
      <c r="R8" s="188">
        <v>131990</v>
      </c>
      <c r="S8" s="188">
        <v>151794</v>
      </c>
      <c r="T8" s="188">
        <v>172698</v>
      </c>
      <c r="U8" s="188">
        <v>195845</v>
      </c>
      <c r="V8" s="188">
        <v>217042</v>
      </c>
      <c r="W8" s="188">
        <v>1128246</v>
      </c>
      <c r="X8" s="188">
        <v>1258989</v>
      </c>
      <c r="Y8" s="188">
        <v>1385825</v>
      </c>
      <c r="Z8" s="188">
        <v>1524832</v>
      </c>
      <c r="AA8" s="188">
        <v>1652589</v>
      </c>
      <c r="AB8" s="188">
        <v>119632</v>
      </c>
      <c r="AC8" s="188">
        <v>129005</v>
      </c>
      <c r="AD8" s="188">
        <v>138961</v>
      </c>
      <c r="AE8" s="188">
        <v>149580</v>
      </c>
      <c r="AF8" s="188">
        <v>161228</v>
      </c>
      <c r="AG8" s="188">
        <v>1028410</v>
      </c>
      <c r="AH8" s="188">
        <v>1093544</v>
      </c>
      <c r="AI8" s="188">
        <v>1149216</v>
      </c>
      <c r="AJ8" s="188">
        <v>1207083</v>
      </c>
      <c r="AK8" s="188">
        <v>1275546</v>
      </c>
      <c r="AL8" s="189">
        <v>8.5299999999999987E-2</v>
      </c>
      <c r="AM8" s="189">
        <v>7.8399999999999997E-2</v>
      </c>
      <c r="AN8" s="189">
        <v>7.7199999999999991E-2</v>
      </c>
      <c r="AO8" s="189">
        <v>7.6399999999999996E-2</v>
      </c>
      <c r="AP8" s="189">
        <v>7.7899999999999997E-2</v>
      </c>
      <c r="AQ8" s="189">
        <v>6.5000000000000002E-2</v>
      </c>
      <c r="AR8" s="189">
        <v>6.3299999999999995E-2</v>
      </c>
      <c r="AS8" s="189">
        <v>5.0900000000000001E-2</v>
      </c>
      <c r="AT8" s="189">
        <v>5.04E-2</v>
      </c>
      <c r="AU8" s="189">
        <v>5.67E-2</v>
      </c>
      <c r="AV8" s="188">
        <v>53992</v>
      </c>
      <c r="AW8" s="188">
        <v>61743</v>
      </c>
      <c r="AX8" s="188">
        <v>69895</v>
      </c>
      <c r="AY8" s="188">
        <v>78923</v>
      </c>
      <c r="AZ8" s="188">
        <v>87144</v>
      </c>
      <c r="BA8" s="188">
        <v>25272</v>
      </c>
      <c r="BB8" s="188">
        <v>27767</v>
      </c>
      <c r="BC8" s="188">
        <v>30107</v>
      </c>
      <c r="BD8" s="188">
        <v>32645</v>
      </c>
      <c r="BE8" s="188">
        <v>34880</v>
      </c>
      <c r="BF8" s="231">
        <f t="shared" si="11"/>
        <v>0.75832121808657216</v>
      </c>
      <c r="BG8" s="188">
        <f t="shared" si="12"/>
        <v>13375</v>
      </c>
      <c r="BH8" s="188">
        <f t="shared" si="13"/>
        <v>186198</v>
      </c>
      <c r="BI8" s="188">
        <f t="shared" si="14"/>
        <v>876844</v>
      </c>
      <c r="BJ8" s="188">
        <f t="shared" si="15"/>
        <v>1414197</v>
      </c>
      <c r="BK8" s="240">
        <f>'ERR Calculation'!$C$3*($V8/$V$70)*(BG8/$Q8)</f>
        <v>18154.534274539194</v>
      </c>
      <c r="BL8" s="240">
        <f>'ERR Calculation'!$C$3*($V8/$V$70)*(BH8/$Q8)</f>
        <v>252735.5493720111</v>
      </c>
      <c r="BM8" s="240">
        <f>'ERR Calculation'!$C$3*($V8/$V$70)*(BI8/$Q8)</f>
        <v>1190182.7627232929</v>
      </c>
      <c r="BN8" s="240">
        <f>'ERR Calculation'!$C$3*($V8/$V$70)*(BJ8/$Q8)</f>
        <v>1919557.9743888227</v>
      </c>
    </row>
    <row r="9" spans="2:66" x14ac:dyDescent="0.25">
      <c r="B9">
        <v>1</v>
      </c>
      <c r="C9">
        <v>1</v>
      </c>
      <c r="D9">
        <f t="shared" si="0"/>
        <v>1</v>
      </c>
      <c r="E9" t="s">
        <v>162</v>
      </c>
      <c r="F9" t="s">
        <v>168</v>
      </c>
      <c r="G9" t="s">
        <v>169</v>
      </c>
      <c r="H9" s="188">
        <f t="shared" si="1"/>
        <v>1</v>
      </c>
      <c r="I9" s="188">
        <f t="shared" si="2"/>
        <v>336886</v>
      </c>
      <c r="J9" s="189">
        <f t="shared" si="3"/>
        <v>1.7104998663977966E-2</v>
      </c>
      <c r="K9" s="188">
        <f t="shared" si="4"/>
        <v>342698</v>
      </c>
      <c r="L9" s="189">
        <f t="shared" si="5"/>
        <v>1.6748464371865168E-2</v>
      </c>
      <c r="M9" s="188">
        <f t="shared" si="6"/>
        <v>348486</v>
      </c>
      <c r="N9" s="189">
        <f t="shared" si="7"/>
        <v>1.6830983170144975E-2</v>
      </c>
      <c r="O9" s="188">
        <f t="shared" si="8"/>
        <v>354401</v>
      </c>
      <c r="P9" s="189">
        <f t="shared" si="9"/>
        <v>1.5733322684791773E-2</v>
      </c>
      <c r="Q9" s="188">
        <f t="shared" si="10"/>
        <v>360021</v>
      </c>
      <c r="R9" s="188">
        <v>8567</v>
      </c>
      <c r="S9" s="188">
        <v>9942</v>
      </c>
      <c r="T9" s="188">
        <v>11231</v>
      </c>
      <c r="U9" s="188">
        <v>15224</v>
      </c>
      <c r="V9" s="188">
        <v>20901</v>
      </c>
      <c r="W9" s="188">
        <v>69638</v>
      </c>
      <c r="X9" s="188">
        <v>79842</v>
      </c>
      <c r="Y9" s="188">
        <v>90246</v>
      </c>
      <c r="Z9" s="188">
        <v>107599</v>
      </c>
      <c r="AA9" s="188">
        <v>120233</v>
      </c>
      <c r="AB9" s="188">
        <v>7557</v>
      </c>
      <c r="AC9" s="188">
        <v>8277</v>
      </c>
      <c r="AD9" s="188">
        <v>8713</v>
      </c>
      <c r="AE9" s="188">
        <v>11650</v>
      </c>
      <c r="AF9" s="188">
        <v>15974</v>
      </c>
      <c r="AG9" s="188">
        <v>62250</v>
      </c>
      <c r="AH9" s="188">
        <v>68219</v>
      </c>
      <c r="AI9" s="188">
        <v>71678</v>
      </c>
      <c r="AJ9" s="188">
        <v>82803</v>
      </c>
      <c r="AK9" s="188">
        <v>91071</v>
      </c>
      <c r="AL9" s="189">
        <v>0.10730000000000001</v>
      </c>
      <c r="AM9" s="189">
        <v>9.5299999999999996E-2</v>
      </c>
      <c r="AN9" s="189">
        <v>5.2699999999999997E-2</v>
      </c>
      <c r="AO9" s="189">
        <v>0.33710000000000001</v>
      </c>
      <c r="AP9" s="189">
        <v>0.37119999999999997</v>
      </c>
      <c r="AQ9" s="189">
        <v>9.5299999999999996E-2</v>
      </c>
      <c r="AR9" s="189">
        <v>9.5899999999999999E-2</v>
      </c>
      <c r="AS9" s="189">
        <v>5.0700000000000002E-2</v>
      </c>
      <c r="AT9" s="189">
        <v>0.1552</v>
      </c>
      <c r="AU9" s="189">
        <v>9.98E-2</v>
      </c>
      <c r="AV9" s="188">
        <v>25430</v>
      </c>
      <c r="AW9" s="188">
        <v>29011</v>
      </c>
      <c r="AX9" s="188">
        <v>32228</v>
      </c>
      <c r="AY9" s="188">
        <v>42957</v>
      </c>
      <c r="AZ9" s="188">
        <v>58055</v>
      </c>
      <c r="BA9" s="188">
        <v>25422</v>
      </c>
      <c r="BB9" s="188">
        <v>28664</v>
      </c>
      <c r="BC9" s="188">
        <v>31875</v>
      </c>
      <c r="BD9" s="188">
        <v>37404</v>
      </c>
      <c r="BE9" s="188">
        <v>41151</v>
      </c>
      <c r="BF9" s="231">
        <f t="shared" si="11"/>
        <v>0.8946581549736391</v>
      </c>
      <c r="BG9" s="188">
        <f t="shared" si="12"/>
        <v>1757</v>
      </c>
      <c r="BH9" s="188">
        <f t="shared" si="13"/>
        <v>25278</v>
      </c>
      <c r="BI9" s="188">
        <f t="shared" si="14"/>
        <v>122675</v>
      </c>
      <c r="BJ9" s="188">
        <f t="shared" si="15"/>
        <v>210311</v>
      </c>
      <c r="BK9" s="240">
        <f>'ERR Calculation'!$C$3*($V9/$V$70)*(BG9/$Q9)</f>
        <v>1588.7843627171569</v>
      </c>
      <c r="BL9" s="240">
        <f>'ERR Calculation'!$C$3*($V9/$V$70)*(BH9/$Q9)</f>
        <v>22857.877701061065</v>
      </c>
      <c r="BM9" s="240">
        <f>'ERR Calculation'!$C$3*($V9/$V$70)*(BI9/$Q9)</f>
        <v>110930.06357218396</v>
      </c>
      <c r="BN9" s="240">
        <f>'ERR Calculation'!$C$3*($V9/$V$70)*(BJ9/$Q9)</f>
        <v>190175.77012373818</v>
      </c>
    </row>
    <row r="10" spans="2:66" x14ac:dyDescent="0.25">
      <c r="B10">
        <v>1</v>
      </c>
      <c r="C10">
        <v>1</v>
      </c>
      <c r="D10">
        <f t="shared" si="0"/>
        <v>1</v>
      </c>
      <c r="E10" t="s">
        <v>162</v>
      </c>
      <c r="F10" t="s">
        <v>170</v>
      </c>
      <c r="G10" t="s">
        <v>171</v>
      </c>
      <c r="H10" s="188">
        <f t="shared" si="1"/>
        <v>0</v>
      </c>
      <c r="I10" s="188">
        <f t="shared" si="2"/>
        <v>527197</v>
      </c>
      <c r="J10" s="189">
        <f t="shared" si="3"/>
        <v>1.7141788542584635E-2</v>
      </c>
      <c r="K10" s="188">
        <f t="shared" si="4"/>
        <v>536312</v>
      </c>
      <c r="L10" s="189">
        <f t="shared" si="5"/>
        <v>1.6785053801916305E-2</v>
      </c>
      <c r="M10" s="188">
        <f t="shared" si="6"/>
        <v>545390</v>
      </c>
      <c r="N10" s="189">
        <f t="shared" si="7"/>
        <v>1.6457460268604507E-2</v>
      </c>
      <c r="O10" s="188">
        <f t="shared" si="8"/>
        <v>554440</v>
      </c>
      <c r="P10" s="189">
        <f t="shared" si="9"/>
        <v>1.5447134967660148E-2</v>
      </c>
      <c r="Q10" s="188">
        <f t="shared" si="10"/>
        <v>563071</v>
      </c>
      <c r="R10" s="188">
        <v>9518</v>
      </c>
      <c r="S10" s="188">
        <v>10287</v>
      </c>
      <c r="T10" s="188">
        <v>11457</v>
      </c>
      <c r="U10" s="188">
        <v>12476</v>
      </c>
      <c r="V10" s="188">
        <v>13387</v>
      </c>
      <c r="W10" s="188">
        <v>106725</v>
      </c>
      <c r="X10" s="188">
        <v>115858</v>
      </c>
      <c r="Y10" s="188">
        <v>127882</v>
      </c>
      <c r="Z10" s="188">
        <v>137392</v>
      </c>
      <c r="AA10" s="188">
        <v>146326</v>
      </c>
      <c r="AB10" s="188">
        <v>8671</v>
      </c>
      <c r="AC10" s="188">
        <v>9070</v>
      </c>
      <c r="AD10" s="188">
        <v>9531</v>
      </c>
      <c r="AE10" s="188">
        <v>9951</v>
      </c>
      <c r="AF10" s="188">
        <v>10418</v>
      </c>
      <c r="AG10" s="188">
        <v>96698</v>
      </c>
      <c r="AH10" s="188">
        <v>101851</v>
      </c>
      <c r="AI10" s="188">
        <v>106779</v>
      </c>
      <c r="AJ10" s="188">
        <v>110868</v>
      </c>
      <c r="AK10" s="188">
        <v>115728</v>
      </c>
      <c r="AL10" s="189">
        <v>6.2800000000000009E-2</v>
      </c>
      <c r="AM10" s="189">
        <v>4.5999999999999999E-2</v>
      </c>
      <c r="AN10" s="189">
        <v>5.0799999999999998E-2</v>
      </c>
      <c r="AO10" s="189">
        <v>4.4000000000000004E-2</v>
      </c>
      <c r="AP10" s="189">
        <v>4.7E-2</v>
      </c>
      <c r="AQ10" s="189">
        <v>5.9699999999999996E-2</v>
      </c>
      <c r="AR10" s="189">
        <v>5.33E-2</v>
      </c>
      <c r="AS10" s="189">
        <v>4.8399999999999999E-2</v>
      </c>
      <c r="AT10" s="189">
        <v>3.8300000000000001E-2</v>
      </c>
      <c r="AU10" s="189">
        <v>4.3799999999999999E-2</v>
      </c>
      <c r="AV10" s="188">
        <v>18054</v>
      </c>
      <c r="AW10" s="188">
        <v>19181</v>
      </c>
      <c r="AX10" s="188">
        <v>21007</v>
      </c>
      <c r="AY10" s="188">
        <v>22502</v>
      </c>
      <c r="AZ10" s="188">
        <v>23775</v>
      </c>
      <c r="BA10" s="188">
        <v>28197</v>
      </c>
      <c r="BB10" s="188">
        <v>30058</v>
      </c>
      <c r="BC10" s="188">
        <v>32600</v>
      </c>
      <c r="BD10" s="188">
        <v>34436</v>
      </c>
      <c r="BE10" s="188">
        <v>36081</v>
      </c>
      <c r="BF10" s="231">
        <f t="shared" si="11"/>
        <v>0.78443199167951871</v>
      </c>
      <c r="BG10" s="188">
        <f t="shared" si="12"/>
        <v>2971</v>
      </c>
      <c r="BH10" s="188">
        <f t="shared" si="13"/>
        <v>41605</v>
      </c>
      <c r="BI10" s="188">
        <f t="shared" si="14"/>
        <v>197014</v>
      </c>
      <c r="BJ10" s="188">
        <f t="shared" si="15"/>
        <v>321481</v>
      </c>
      <c r="BK10" s="240">
        <f>'ERR Calculation'!$C$3*($V10/$V$70)*(BG10/$Q10)</f>
        <v>1100.2128644239001</v>
      </c>
      <c r="BL10" s="240">
        <f>'ERR Calculation'!$C$3*($V10/$V$70)*(BH10/$Q10)</f>
        <v>15407.053592849667</v>
      </c>
      <c r="BM10" s="240">
        <f>'ERR Calculation'!$C$3*($V10/$V$70)*(BI10/$Q10)</f>
        <v>72957.703558266658</v>
      </c>
      <c r="BN10" s="240">
        <f>'ERR Calculation'!$C$3*($V10/$V$70)*(BJ10/$Q10)</f>
        <v>119049.9938969572</v>
      </c>
    </row>
    <row r="11" spans="2:66" x14ac:dyDescent="0.25">
      <c r="B11">
        <v>1</v>
      </c>
      <c r="C11">
        <v>0</v>
      </c>
      <c r="D11">
        <f t="shared" si="0"/>
        <v>0</v>
      </c>
      <c r="E11" t="s">
        <v>165</v>
      </c>
      <c r="F11" t="s">
        <v>170</v>
      </c>
      <c r="G11" t="s">
        <v>172</v>
      </c>
      <c r="H11" s="188">
        <f t="shared" si="1"/>
        <v>0</v>
      </c>
      <c r="I11" s="188">
        <f t="shared" si="2"/>
        <v>178709</v>
      </c>
      <c r="J11" s="189">
        <f t="shared" si="3"/>
        <v>5.4242717890531367E-3</v>
      </c>
      <c r="K11" s="188">
        <f t="shared" si="4"/>
        <v>179681</v>
      </c>
      <c r="L11" s="189">
        <f t="shared" si="5"/>
        <v>4.5754217959661503E-3</v>
      </c>
      <c r="M11" s="188">
        <f t="shared" si="6"/>
        <v>180505</v>
      </c>
      <c r="N11" s="189">
        <f t="shared" si="7"/>
        <v>5.1004025657643837E-3</v>
      </c>
      <c r="O11" s="188">
        <f t="shared" si="8"/>
        <v>181428</v>
      </c>
      <c r="P11" s="189">
        <f t="shared" si="9"/>
        <v>2.4772518490152606E-3</v>
      </c>
      <c r="Q11" s="188">
        <f t="shared" si="10"/>
        <v>181878</v>
      </c>
      <c r="R11" s="188">
        <v>2466</v>
      </c>
      <c r="S11" s="188">
        <v>2759</v>
      </c>
      <c r="T11" s="188">
        <v>3011</v>
      </c>
      <c r="U11" s="188">
        <v>3331</v>
      </c>
      <c r="V11" s="188">
        <v>3611</v>
      </c>
      <c r="W11" s="188">
        <v>1128246</v>
      </c>
      <c r="X11" s="188">
        <v>1258989</v>
      </c>
      <c r="Y11" s="188">
        <v>1385825</v>
      </c>
      <c r="Z11" s="188">
        <v>1524832</v>
      </c>
      <c r="AA11" s="188">
        <v>1652589</v>
      </c>
      <c r="AB11" s="188">
        <v>2251</v>
      </c>
      <c r="AC11" s="188">
        <v>2374</v>
      </c>
      <c r="AD11" s="188">
        <v>2492</v>
      </c>
      <c r="AE11" s="188">
        <v>2624</v>
      </c>
      <c r="AF11" s="188">
        <v>2778</v>
      </c>
      <c r="AG11" s="188">
        <v>1028410</v>
      </c>
      <c r="AH11" s="188">
        <v>1093544</v>
      </c>
      <c r="AI11" s="188">
        <v>1149216</v>
      </c>
      <c r="AJ11" s="188">
        <v>1207083</v>
      </c>
      <c r="AK11" s="188">
        <v>1275546</v>
      </c>
      <c r="AL11" s="189">
        <v>5.3200000000000004E-2</v>
      </c>
      <c r="AM11" s="189">
        <v>5.45E-2</v>
      </c>
      <c r="AN11" s="189">
        <v>4.9800000000000004E-2</v>
      </c>
      <c r="AO11" s="189">
        <v>5.3200000000000004E-2</v>
      </c>
      <c r="AP11" s="189">
        <v>5.8600000000000006E-2</v>
      </c>
      <c r="AQ11" s="189">
        <v>6.5000000000000002E-2</v>
      </c>
      <c r="AR11" s="189">
        <v>6.3299999999999995E-2</v>
      </c>
      <c r="AS11" s="189">
        <v>5.0900000000000001E-2</v>
      </c>
      <c r="AT11" s="189">
        <v>5.04E-2</v>
      </c>
      <c r="AU11" s="189">
        <v>5.67E-2</v>
      </c>
      <c r="AV11" s="188">
        <v>13799</v>
      </c>
      <c r="AW11" s="188">
        <v>15355</v>
      </c>
      <c r="AX11" s="188">
        <v>16681</v>
      </c>
      <c r="AY11" s="188">
        <v>18360</v>
      </c>
      <c r="AZ11" s="188">
        <v>19854</v>
      </c>
      <c r="BA11" s="188">
        <v>25272</v>
      </c>
      <c r="BB11" s="188">
        <v>27767</v>
      </c>
      <c r="BC11" s="188">
        <v>30107</v>
      </c>
      <c r="BD11" s="188">
        <v>32645</v>
      </c>
      <c r="BE11" s="188">
        <v>34880</v>
      </c>
      <c r="BF11" s="231">
        <f t="shared" si="11"/>
        <v>0.75832121808657216</v>
      </c>
      <c r="BG11" s="188">
        <f t="shared" si="12"/>
        <v>977</v>
      </c>
      <c r="BH11" s="188">
        <f t="shared" si="13"/>
        <v>13597</v>
      </c>
      <c r="BI11" s="188">
        <f t="shared" si="14"/>
        <v>64032</v>
      </c>
      <c r="BJ11" s="188">
        <f t="shared" si="15"/>
        <v>103272</v>
      </c>
      <c r="BK11" s="240">
        <f>'ERR Calculation'!$C$3*($V11/$V$70)*(BG11/$Q11)</f>
        <v>302.13138816943172</v>
      </c>
      <c r="BL11" s="240">
        <f>'ERR Calculation'!$C$3*($V11/$V$70)*(BH11/$Q11)</f>
        <v>4204.7906703579974</v>
      </c>
      <c r="BM11" s="240">
        <f>'ERR Calculation'!$C$3*($V11/$V$70)*(BI11/$Q11)</f>
        <v>19801.511819104457</v>
      </c>
      <c r="BN11" s="240">
        <f>'ERR Calculation'!$C$3*($V11/$V$70)*(BJ11/$Q11)</f>
        <v>31936.246385909471</v>
      </c>
    </row>
    <row r="12" spans="2:66" x14ac:dyDescent="0.25">
      <c r="B12">
        <v>1</v>
      </c>
      <c r="C12">
        <v>1</v>
      </c>
      <c r="D12">
        <f t="shared" si="0"/>
        <v>1</v>
      </c>
      <c r="E12" s="187" t="s">
        <v>162</v>
      </c>
      <c r="F12" t="s">
        <v>173</v>
      </c>
      <c r="G12" t="s">
        <v>174</v>
      </c>
      <c r="H12" s="188">
        <f t="shared" si="1"/>
        <v>1</v>
      </c>
      <c r="I12" s="188">
        <f t="shared" si="2"/>
        <v>776366</v>
      </c>
      <c r="J12" s="189">
        <f t="shared" si="3"/>
        <v>1.5272429168202706E-2</v>
      </c>
      <c r="K12" s="188">
        <f t="shared" si="4"/>
        <v>788314</v>
      </c>
      <c r="L12" s="189">
        <f t="shared" si="5"/>
        <v>1.4736489797847696E-2</v>
      </c>
      <c r="M12" s="188">
        <f t="shared" si="6"/>
        <v>800017</v>
      </c>
      <c r="N12" s="189">
        <f t="shared" si="7"/>
        <v>1.4219369566074391E-2</v>
      </c>
      <c r="O12" s="188">
        <f t="shared" si="8"/>
        <v>811474</v>
      </c>
      <c r="P12" s="189">
        <f t="shared" si="9"/>
        <v>1.3587316884501988E-2</v>
      </c>
      <c r="Q12" s="188">
        <f t="shared" si="10"/>
        <v>822575</v>
      </c>
      <c r="R12" s="188">
        <v>15636</v>
      </c>
      <c r="S12" s="188">
        <v>17525</v>
      </c>
      <c r="T12" s="188">
        <v>19134</v>
      </c>
      <c r="U12" s="188">
        <v>20794</v>
      </c>
      <c r="V12" s="188">
        <v>22861</v>
      </c>
      <c r="W12" s="188">
        <v>253265</v>
      </c>
      <c r="X12" s="188">
        <v>280348</v>
      </c>
      <c r="Y12" s="188">
        <v>306422</v>
      </c>
      <c r="Z12" s="188">
        <v>332893</v>
      </c>
      <c r="AA12" s="188">
        <v>355419</v>
      </c>
      <c r="AB12" s="188">
        <v>13778</v>
      </c>
      <c r="AC12" s="188">
        <v>14629</v>
      </c>
      <c r="AD12" s="188">
        <v>15381</v>
      </c>
      <c r="AE12" s="188">
        <v>16236</v>
      </c>
      <c r="AF12" s="188">
        <v>17190</v>
      </c>
      <c r="AG12" s="188">
        <v>220459</v>
      </c>
      <c r="AH12" s="188">
        <v>232175</v>
      </c>
      <c r="AI12" s="188">
        <v>243298</v>
      </c>
      <c r="AJ12" s="188">
        <v>254045</v>
      </c>
      <c r="AK12" s="188">
        <v>266815</v>
      </c>
      <c r="AL12" s="189">
        <v>6.1500000000000006E-2</v>
      </c>
      <c r="AM12" s="189">
        <v>6.1799999999999994E-2</v>
      </c>
      <c r="AN12" s="189">
        <v>5.1399999999999994E-2</v>
      </c>
      <c r="AO12" s="189">
        <v>5.5599999999999997E-2</v>
      </c>
      <c r="AP12" s="189">
        <v>5.8799999999999998E-2</v>
      </c>
      <c r="AQ12" s="189">
        <v>6.83E-2</v>
      </c>
      <c r="AR12" s="189">
        <v>5.3099999999999994E-2</v>
      </c>
      <c r="AS12" s="189">
        <v>4.7899999999999998E-2</v>
      </c>
      <c r="AT12" s="189">
        <v>4.4199999999999996E-2</v>
      </c>
      <c r="AU12" s="189">
        <v>5.0300000000000004E-2</v>
      </c>
      <c r="AV12" s="188">
        <v>20140</v>
      </c>
      <c r="AW12" s="188">
        <v>22231</v>
      </c>
      <c r="AX12" s="188">
        <v>23917</v>
      </c>
      <c r="AY12" s="188">
        <v>25625</v>
      </c>
      <c r="AZ12" s="188">
        <v>27792</v>
      </c>
      <c r="BA12" s="188">
        <v>32830</v>
      </c>
      <c r="BB12" s="188">
        <v>35810</v>
      </c>
      <c r="BC12" s="188">
        <v>38585</v>
      </c>
      <c r="BD12" s="188">
        <v>41341</v>
      </c>
      <c r="BE12" s="188">
        <v>43551</v>
      </c>
      <c r="BF12" s="231">
        <f t="shared" si="11"/>
        <v>0.9468362204383115</v>
      </c>
      <c r="BG12" s="188">
        <f t="shared" si="12"/>
        <v>3859</v>
      </c>
      <c r="BH12" s="188">
        <f t="shared" si="13"/>
        <v>56324</v>
      </c>
      <c r="BI12" s="188">
        <f t="shared" si="14"/>
        <v>276725</v>
      </c>
      <c r="BJ12" s="188">
        <f t="shared" si="15"/>
        <v>485667</v>
      </c>
      <c r="BK12" s="240">
        <f>'ERR Calculation'!$C$3*($V12/$V$70)*(BG12/$Q12)</f>
        <v>1670.5076158505994</v>
      </c>
      <c r="BL12" s="240">
        <f>'ERR Calculation'!$C$3*($V12/$V$70)*(BH12/$Q12)</f>
        <v>24381.878972575585</v>
      </c>
      <c r="BM12" s="240">
        <f>'ERR Calculation'!$C$3*($V12/$V$70)*(BI12/$Q12)</f>
        <v>119790.4172055603</v>
      </c>
      <c r="BN12" s="240">
        <f>'ERR Calculation'!$C$3*($V12/$V$70)*(BJ12/$Q12)</f>
        <v>210238.51315556184</v>
      </c>
    </row>
    <row r="13" spans="2:66" x14ac:dyDescent="0.25">
      <c r="B13">
        <v>1</v>
      </c>
      <c r="C13">
        <v>0</v>
      </c>
      <c r="D13">
        <f t="shared" si="0"/>
        <v>0</v>
      </c>
      <c r="E13" t="s">
        <v>162</v>
      </c>
      <c r="F13" t="s">
        <v>175</v>
      </c>
      <c r="G13" t="s">
        <v>176</v>
      </c>
      <c r="H13" s="188">
        <f t="shared" si="1"/>
        <v>0</v>
      </c>
      <c r="I13" s="188">
        <f t="shared" si="2"/>
        <v>1574543</v>
      </c>
      <c r="J13" s="189">
        <f t="shared" si="3"/>
        <v>5.0907233579913225E-3</v>
      </c>
      <c r="K13" s="188">
        <f t="shared" si="4"/>
        <v>1582579</v>
      </c>
      <c r="L13" s="189">
        <f t="shared" si="5"/>
        <v>3.4775008543803665E-3</v>
      </c>
      <c r="M13" s="188">
        <f t="shared" si="6"/>
        <v>1588092</v>
      </c>
      <c r="N13" s="189">
        <f t="shared" si="7"/>
        <v>3.7521798154518393E-3</v>
      </c>
      <c r="O13" s="188">
        <f t="shared" si="8"/>
        <v>1594062</v>
      </c>
      <c r="P13" s="189">
        <f t="shared" si="9"/>
        <v>3.6006468709963713E-3</v>
      </c>
      <c r="Q13" s="188">
        <f t="shared" si="10"/>
        <v>1599812</v>
      </c>
      <c r="R13" s="188">
        <v>42108</v>
      </c>
      <c r="S13" s="188">
        <v>47365</v>
      </c>
      <c r="T13" s="188">
        <v>53371</v>
      </c>
      <c r="U13" s="188">
        <v>60179</v>
      </c>
      <c r="V13" s="188">
        <v>66341</v>
      </c>
      <c r="W13" s="188">
        <v>1248767</v>
      </c>
      <c r="X13" s="188">
        <v>1382501</v>
      </c>
      <c r="Y13" s="188">
        <v>1537948</v>
      </c>
      <c r="Z13" s="188">
        <v>1692903</v>
      </c>
      <c r="AA13" s="188">
        <v>1855043</v>
      </c>
      <c r="AB13" s="188">
        <v>37236</v>
      </c>
      <c r="AC13" s="188">
        <v>39734</v>
      </c>
      <c r="AD13" s="188">
        <v>42006</v>
      </c>
      <c r="AE13" s="188">
        <v>44530</v>
      </c>
      <c r="AF13" s="188">
        <v>46925</v>
      </c>
      <c r="AG13" s="188">
        <v>1124465</v>
      </c>
      <c r="AH13" s="188">
        <v>1192790</v>
      </c>
      <c r="AI13" s="188">
        <v>1262684</v>
      </c>
      <c r="AJ13" s="188">
        <v>1331395</v>
      </c>
      <c r="AK13" s="188">
        <v>1405236</v>
      </c>
      <c r="AL13" s="189">
        <v>7.2400000000000006E-2</v>
      </c>
      <c r="AM13" s="189">
        <v>6.7099999999999993E-2</v>
      </c>
      <c r="AN13" s="189">
        <v>5.7200000000000001E-2</v>
      </c>
      <c r="AO13" s="189">
        <v>6.0100000000000001E-2</v>
      </c>
      <c r="AP13" s="189">
        <v>5.3800000000000001E-2</v>
      </c>
      <c r="AQ13" s="189">
        <v>6.6400000000000001E-2</v>
      </c>
      <c r="AR13" s="189">
        <v>6.08E-2</v>
      </c>
      <c r="AS13" s="189">
        <v>5.8600000000000006E-2</v>
      </c>
      <c r="AT13" s="189">
        <v>5.4400000000000004E-2</v>
      </c>
      <c r="AU13" s="189">
        <v>5.5500000000000001E-2</v>
      </c>
      <c r="AV13" s="188">
        <v>26743</v>
      </c>
      <c r="AW13" s="188">
        <v>29929</v>
      </c>
      <c r="AX13" s="188">
        <v>33607</v>
      </c>
      <c r="AY13" s="188">
        <v>37752</v>
      </c>
      <c r="AZ13" s="188">
        <v>41468</v>
      </c>
      <c r="BA13" s="188">
        <v>32770</v>
      </c>
      <c r="BB13" s="188">
        <v>36037</v>
      </c>
      <c r="BC13" s="188">
        <v>39833</v>
      </c>
      <c r="BD13" s="188">
        <v>43578</v>
      </c>
      <c r="BE13" s="188">
        <v>47474</v>
      </c>
      <c r="BF13" s="231">
        <f t="shared" si="11"/>
        <v>1.0321256166124406</v>
      </c>
      <c r="BG13" s="188">
        <f t="shared" si="12"/>
        <v>7014</v>
      </c>
      <c r="BH13" s="188">
        <f t="shared" si="13"/>
        <v>104993</v>
      </c>
      <c r="BI13" s="188">
        <f t="shared" si="14"/>
        <v>526872</v>
      </c>
      <c r="BJ13" s="188">
        <f t="shared" si="15"/>
        <v>960933</v>
      </c>
      <c r="BK13" s="240">
        <f>'ERR Calculation'!$C$3*($V13/$V$70)*(BG13/$Q13)</f>
        <v>4530.3607808042816</v>
      </c>
      <c r="BL13" s="240">
        <f>'ERR Calculation'!$C$3*($V13/$V$70)*(BH13/$Q13)</f>
        <v>67815.250849584234</v>
      </c>
      <c r="BM13" s="240">
        <f>'ERR Calculation'!$C$3*($V13/$V$70)*(BI13/$Q13)</f>
        <v>340307.99049100559</v>
      </c>
      <c r="BN13" s="240">
        <f>'ERR Calculation'!$C$3*($V13/$V$70)*(BJ13/$Q13)</f>
        <v>620669.11550906766</v>
      </c>
    </row>
    <row r="14" spans="2:66" x14ac:dyDescent="0.25">
      <c r="B14">
        <v>1</v>
      </c>
      <c r="C14">
        <v>0</v>
      </c>
      <c r="D14">
        <f t="shared" si="0"/>
        <v>0</v>
      </c>
      <c r="E14" t="s">
        <v>2</v>
      </c>
      <c r="F14" t="s">
        <v>177</v>
      </c>
      <c r="G14" t="s">
        <v>177</v>
      </c>
      <c r="H14" s="188">
        <f t="shared" si="1"/>
        <v>0</v>
      </c>
      <c r="I14" s="188">
        <f t="shared" si="2"/>
        <v>1783734</v>
      </c>
      <c r="J14" s="189">
        <f t="shared" si="3"/>
        <v>1.7012845319616332E-2</v>
      </c>
      <c r="K14" s="188">
        <f t="shared" si="4"/>
        <v>1814340</v>
      </c>
      <c r="L14" s="189">
        <f t="shared" si="5"/>
        <v>1.6661030652077358E-2</v>
      </c>
      <c r="M14" s="188">
        <f t="shared" si="6"/>
        <v>1844822</v>
      </c>
      <c r="N14" s="189">
        <f t="shared" si="7"/>
        <v>1.6203996643108454E-2</v>
      </c>
      <c r="O14" s="188">
        <f t="shared" si="8"/>
        <v>1874959</v>
      </c>
      <c r="P14" s="189">
        <f t="shared" si="9"/>
        <v>1.5790223673887382E-2</v>
      </c>
      <c r="Q14" s="188">
        <f t="shared" si="10"/>
        <v>1904800</v>
      </c>
      <c r="R14" s="188">
        <v>36208</v>
      </c>
      <c r="S14" s="188">
        <v>40565</v>
      </c>
      <c r="T14" s="188">
        <v>45390</v>
      </c>
      <c r="U14" s="188">
        <v>50337</v>
      </c>
      <c r="V14" s="188">
        <v>55403</v>
      </c>
      <c r="W14" s="188">
        <v>36208</v>
      </c>
      <c r="X14" s="188">
        <v>40565</v>
      </c>
      <c r="Y14" s="188">
        <v>45390</v>
      </c>
      <c r="Z14" s="188">
        <v>50337</v>
      </c>
      <c r="AA14" s="188">
        <v>55403</v>
      </c>
      <c r="AB14" s="188">
        <v>32363</v>
      </c>
      <c r="AC14" s="188">
        <v>34326</v>
      </c>
      <c r="AD14" s="188">
        <v>36207</v>
      </c>
      <c r="AE14" s="188">
        <v>38066</v>
      </c>
      <c r="AF14" s="188">
        <v>40083</v>
      </c>
      <c r="AG14" s="188">
        <v>32363</v>
      </c>
      <c r="AH14" s="188">
        <v>34326</v>
      </c>
      <c r="AI14" s="188">
        <v>36207</v>
      </c>
      <c r="AJ14" s="188">
        <v>38066</v>
      </c>
      <c r="AK14" s="188">
        <v>40083</v>
      </c>
      <c r="AL14" s="189">
        <v>6.83E-2</v>
      </c>
      <c r="AM14" s="189">
        <v>6.0700000000000004E-2</v>
      </c>
      <c r="AN14" s="189">
        <v>5.4800000000000001E-2</v>
      </c>
      <c r="AO14" s="189">
        <v>5.1299999999999998E-2</v>
      </c>
      <c r="AP14" s="189">
        <v>5.2999999999999999E-2</v>
      </c>
      <c r="AQ14" s="189">
        <v>6.83E-2</v>
      </c>
      <c r="AR14" s="189">
        <v>6.0700000000000004E-2</v>
      </c>
      <c r="AS14" s="189">
        <v>5.4800000000000001E-2</v>
      </c>
      <c r="AT14" s="189">
        <v>5.1299999999999998E-2</v>
      </c>
      <c r="AU14" s="189">
        <v>5.2999999999999999E-2</v>
      </c>
      <c r="AV14" s="188">
        <v>20299</v>
      </c>
      <c r="AW14" s="188">
        <v>22358</v>
      </c>
      <c r="AX14" s="188">
        <v>24604</v>
      </c>
      <c r="AY14" s="188">
        <v>26847</v>
      </c>
      <c r="AZ14" s="188">
        <v>29086</v>
      </c>
      <c r="BA14" s="188">
        <v>20299</v>
      </c>
      <c r="BB14" s="188">
        <v>22358</v>
      </c>
      <c r="BC14" s="188">
        <v>24604</v>
      </c>
      <c r="BD14" s="188">
        <v>26847</v>
      </c>
      <c r="BE14" s="188">
        <v>29086</v>
      </c>
      <c r="BF14" s="231">
        <f t="shared" si="11"/>
        <v>0.63235467171060888</v>
      </c>
      <c r="BG14" s="188">
        <f t="shared" si="12"/>
        <v>11093</v>
      </c>
      <c r="BH14" s="188">
        <f t="shared" si="13"/>
        <v>150405</v>
      </c>
      <c r="BI14" s="188">
        <f t="shared" si="14"/>
        <v>690518</v>
      </c>
      <c r="BJ14" s="188">
        <f t="shared" si="15"/>
        <v>1052784</v>
      </c>
      <c r="BK14" s="240">
        <f>'ERR Calculation'!$C$3*($V14/$V$70)*(BG14/$Q14)</f>
        <v>5025.5879331345714</v>
      </c>
      <c r="BL14" s="240">
        <f>'ERR Calculation'!$C$3*($V14/$V$70)*(BH14/$Q14)</f>
        <v>68139.687468052391</v>
      </c>
      <c r="BM14" s="240">
        <f>'ERR Calculation'!$C$3*($V14/$V$70)*(BI14/$Q14)</f>
        <v>312833.2217084844</v>
      </c>
      <c r="BN14" s="240">
        <f>'ERR Calculation'!$C$3*($V14/$V$70)*(BJ14/$Q14)</f>
        <v>476954.70716642449</v>
      </c>
    </row>
    <row r="15" spans="2:66" x14ac:dyDescent="0.25">
      <c r="B15">
        <v>1</v>
      </c>
      <c r="C15">
        <v>1</v>
      </c>
      <c r="D15">
        <f t="shared" si="0"/>
        <v>1</v>
      </c>
      <c r="E15" t="s">
        <v>162</v>
      </c>
      <c r="F15" t="s">
        <v>178</v>
      </c>
      <c r="G15" t="s">
        <v>167</v>
      </c>
      <c r="H15" s="188">
        <f t="shared" si="1"/>
        <v>1</v>
      </c>
      <c r="I15" s="188">
        <f t="shared" si="2"/>
        <v>191575</v>
      </c>
      <c r="J15" s="189">
        <f t="shared" si="3"/>
        <v>2.9881825642014803E-2</v>
      </c>
      <c r="K15" s="188">
        <f t="shared" si="4"/>
        <v>197386</v>
      </c>
      <c r="L15" s="189">
        <f t="shared" si="5"/>
        <v>2.9147616467600557E-2</v>
      </c>
      <c r="M15" s="188">
        <f t="shared" si="6"/>
        <v>203224</v>
      </c>
      <c r="N15" s="189">
        <f t="shared" si="7"/>
        <v>2.7518127307461171E-2</v>
      </c>
      <c r="O15" s="188">
        <f t="shared" si="8"/>
        <v>208894</v>
      </c>
      <c r="P15" s="189">
        <f t="shared" si="9"/>
        <v>2.8015416559215467E-2</v>
      </c>
      <c r="Q15" s="188">
        <f t="shared" si="10"/>
        <v>214829</v>
      </c>
      <c r="R15" s="188">
        <v>24907</v>
      </c>
      <c r="S15" s="188">
        <v>28044</v>
      </c>
      <c r="T15" s="188">
        <v>29367</v>
      </c>
      <c r="U15" s="188">
        <v>30070</v>
      </c>
      <c r="V15" s="188">
        <v>30789</v>
      </c>
      <c r="W15" s="188">
        <v>550736</v>
      </c>
      <c r="X15" s="188">
        <v>519132</v>
      </c>
      <c r="Y15" s="188">
        <v>527515</v>
      </c>
      <c r="Z15" s="188">
        <v>503691</v>
      </c>
      <c r="AA15" s="188">
        <v>507074</v>
      </c>
      <c r="AB15" s="188">
        <v>20467</v>
      </c>
      <c r="AC15" s="188">
        <v>22591</v>
      </c>
      <c r="AD15" s="188">
        <v>24450</v>
      </c>
      <c r="AE15" s="188">
        <v>25923</v>
      </c>
      <c r="AF15" s="188">
        <v>25482</v>
      </c>
      <c r="AG15" s="188">
        <v>469646</v>
      </c>
      <c r="AH15" s="188">
        <v>438533</v>
      </c>
      <c r="AI15" s="188">
        <v>446029</v>
      </c>
      <c r="AJ15" s="188">
        <v>440648</v>
      </c>
      <c r="AK15" s="188">
        <v>438977</v>
      </c>
      <c r="AL15" s="189">
        <v>0.1547</v>
      </c>
      <c r="AM15" s="189">
        <v>0.1038</v>
      </c>
      <c r="AN15" s="189">
        <v>8.2299999999999998E-2</v>
      </c>
      <c r="AO15" s="189">
        <v>6.0299999999999999E-2</v>
      </c>
      <c r="AP15" s="189">
        <v>-1.7000000000000001E-2</v>
      </c>
      <c r="AQ15" s="189">
        <v>-2.7799999999999998E-2</v>
      </c>
      <c r="AR15" s="189">
        <v>2.76E-2</v>
      </c>
      <c r="AS15" s="189">
        <v>1.7100000000000001E-2</v>
      </c>
      <c r="AT15" s="189">
        <v>-1.21E-2</v>
      </c>
      <c r="AU15" s="189">
        <v>-3.8E-3</v>
      </c>
      <c r="AV15" s="188">
        <v>130012</v>
      </c>
      <c r="AW15" s="188">
        <v>142077</v>
      </c>
      <c r="AX15" s="188">
        <v>144506</v>
      </c>
      <c r="AY15" s="188">
        <v>143949</v>
      </c>
      <c r="AZ15" s="188">
        <v>143319</v>
      </c>
      <c r="BA15" s="188">
        <v>145998</v>
      </c>
      <c r="BB15" s="188">
        <v>158473</v>
      </c>
      <c r="BC15" s="188">
        <v>157400</v>
      </c>
      <c r="BD15" s="188">
        <v>146993</v>
      </c>
      <c r="BE15" s="188">
        <v>144827</v>
      </c>
      <c r="BF15" s="231">
        <f t="shared" si="11"/>
        <v>3.1486636196050455</v>
      </c>
      <c r="BG15" s="188">
        <f t="shared" si="12"/>
        <v>0</v>
      </c>
      <c r="BH15" s="188">
        <f t="shared" si="13"/>
        <v>0</v>
      </c>
      <c r="BI15" s="188">
        <f t="shared" si="14"/>
        <v>33011</v>
      </c>
      <c r="BJ15" s="188">
        <f t="shared" si="15"/>
        <v>181818</v>
      </c>
      <c r="BK15" s="240">
        <f>'ERR Calculation'!$C$3*($V15/$V$70)*(BG15/$Q15)</f>
        <v>0</v>
      </c>
      <c r="BL15" s="240">
        <f>'ERR Calculation'!$C$3*($V15/$V$70)*(BH15/$Q15)</f>
        <v>0</v>
      </c>
      <c r="BM15" s="240">
        <f>'ERR Calculation'!$C$3*($V15/$V$70)*(BI15/$Q15)</f>
        <v>73691.147819184655</v>
      </c>
      <c r="BN15" s="240">
        <f>'ERR Calculation'!$C$3*($V15/$V$70)*(BJ15/$Q15)</f>
        <v>405876.13565746311</v>
      </c>
    </row>
    <row r="16" spans="2:66" x14ac:dyDescent="0.25">
      <c r="B16">
        <v>1</v>
      </c>
      <c r="C16">
        <v>0</v>
      </c>
      <c r="D16">
        <f t="shared" si="0"/>
        <v>0</v>
      </c>
      <c r="E16" t="s">
        <v>162</v>
      </c>
      <c r="F16" t="s">
        <v>179</v>
      </c>
      <c r="G16" t="s">
        <v>180</v>
      </c>
      <c r="H16" s="188">
        <f t="shared" si="1"/>
        <v>0</v>
      </c>
      <c r="I16" s="188">
        <f t="shared" si="2"/>
        <v>137498</v>
      </c>
      <c r="J16" s="189">
        <f t="shared" si="3"/>
        <v>2.8916468379193816E-2</v>
      </c>
      <c r="K16" s="188">
        <f t="shared" si="4"/>
        <v>141532</v>
      </c>
      <c r="L16" s="189">
        <f t="shared" si="5"/>
        <v>2.8917484637876356E-2</v>
      </c>
      <c r="M16" s="188">
        <f>AVERAGE(K16,O16)</f>
        <v>145684.5</v>
      </c>
      <c r="N16" s="189">
        <f t="shared" si="7"/>
        <v>2.8104712015924349E-2</v>
      </c>
      <c r="O16" s="188">
        <f t="shared" si="8"/>
        <v>149837</v>
      </c>
      <c r="P16" s="189">
        <f t="shared" si="9"/>
        <v>2.737209777479066E-2</v>
      </c>
      <c r="Q16" s="188">
        <f t="shared" si="10"/>
        <v>153995</v>
      </c>
      <c r="R16" s="188">
        <v>2496</v>
      </c>
      <c r="S16" s="188">
        <v>2853</v>
      </c>
      <c r="T16" s="188">
        <v>3263</v>
      </c>
      <c r="U16" s="188">
        <v>3705</v>
      </c>
      <c r="V16" s="188">
        <v>4166</v>
      </c>
      <c r="W16" s="188">
        <v>19670</v>
      </c>
      <c r="X16" s="188">
        <v>22129</v>
      </c>
      <c r="Y16" s="188">
        <v>25194</v>
      </c>
      <c r="Z16" s="188">
        <v>28536</v>
      </c>
      <c r="AA16" s="188">
        <v>31824</v>
      </c>
      <c r="AB16" s="188">
        <v>2213</v>
      </c>
      <c r="AC16" s="188">
        <v>2379</v>
      </c>
      <c r="AD16" s="188">
        <v>2553</v>
      </c>
      <c r="AE16" s="188">
        <v>2715</v>
      </c>
      <c r="AF16" s="188">
        <v>2886</v>
      </c>
      <c r="AG16" s="188">
        <v>17987</v>
      </c>
      <c r="AH16" s="188">
        <v>19368</v>
      </c>
      <c r="AI16" s="188">
        <v>20776</v>
      </c>
      <c r="AJ16" s="188">
        <v>22069</v>
      </c>
      <c r="AK16" s="188">
        <v>23507</v>
      </c>
      <c r="AL16" s="189">
        <v>7.4200000000000002E-2</v>
      </c>
      <c r="AM16" s="189">
        <v>7.4800000000000005E-2</v>
      </c>
      <c r="AN16" s="189">
        <v>7.3099999999999998E-2</v>
      </c>
      <c r="AO16" s="189">
        <v>6.3700000000000007E-2</v>
      </c>
      <c r="AP16" s="189">
        <v>6.2899999999999998E-2</v>
      </c>
      <c r="AQ16" s="189">
        <v>7.9100000000000004E-2</v>
      </c>
      <c r="AR16" s="189">
        <v>7.6700000000000004E-2</v>
      </c>
      <c r="AS16" s="189">
        <v>7.2700000000000001E-2</v>
      </c>
      <c r="AT16" s="189">
        <v>6.2199999999999998E-2</v>
      </c>
      <c r="AU16" s="189">
        <v>6.5199999999999994E-2</v>
      </c>
      <c r="AV16" s="188">
        <v>18153</v>
      </c>
      <c r="AW16" s="188">
        <v>20158</v>
      </c>
      <c r="AX16" s="188">
        <v>22417</v>
      </c>
      <c r="AY16" s="188">
        <v>24727</v>
      </c>
      <c r="AZ16" s="188">
        <v>27053</v>
      </c>
      <c r="BA16" s="188">
        <v>18208</v>
      </c>
      <c r="BB16" s="188">
        <v>20154</v>
      </c>
      <c r="BC16" s="188">
        <v>22583</v>
      </c>
      <c r="BD16" s="188">
        <v>25181</v>
      </c>
      <c r="BE16" s="188">
        <v>27654</v>
      </c>
      <c r="BF16" s="231">
        <f t="shared" si="11"/>
        <v>0.60122175931668775</v>
      </c>
      <c r="BG16" s="188">
        <f t="shared" si="12"/>
        <v>914</v>
      </c>
      <c r="BH16" s="188">
        <f t="shared" si="13"/>
        <v>12319</v>
      </c>
      <c r="BI16" s="188">
        <f t="shared" si="14"/>
        <v>56223</v>
      </c>
      <c r="BJ16" s="188">
        <f t="shared" si="15"/>
        <v>84539</v>
      </c>
      <c r="BK16" s="240">
        <f>'ERR Calculation'!$C$3*($V16/$V$70)*(BG16/$Q16)</f>
        <v>385.13483785351076</v>
      </c>
      <c r="BL16" s="240">
        <f>'ERR Calculation'!$C$3*($V16/$V$70)*(BH16/$Q16)</f>
        <v>5190.8928528636752</v>
      </c>
      <c r="BM16" s="240">
        <f>'ERR Calculation'!$C$3*($V16/$V$70)*(BI16/$Q16)</f>
        <v>23690.849002886142</v>
      </c>
      <c r="BN16" s="240">
        <f>'ERR Calculation'!$C$3*($V16/$V$70)*(BJ16/$Q16)</f>
        <v>35622.44426400213</v>
      </c>
    </row>
    <row r="17" spans="2:66" x14ac:dyDescent="0.25">
      <c r="B17">
        <v>1</v>
      </c>
      <c r="C17">
        <v>0</v>
      </c>
      <c r="D17">
        <f t="shared" si="0"/>
        <v>0</v>
      </c>
      <c r="E17" t="s">
        <v>165</v>
      </c>
      <c r="F17" t="s">
        <v>181</v>
      </c>
      <c r="G17" t="s">
        <v>172</v>
      </c>
      <c r="H17" s="188">
        <f t="shared" si="1"/>
        <v>0</v>
      </c>
      <c r="I17" s="188">
        <f t="shared" si="2"/>
        <v>995080</v>
      </c>
      <c r="J17" s="189">
        <f t="shared" si="3"/>
        <v>1.7860214243919259E-2</v>
      </c>
      <c r="K17" s="188">
        <f t="shared" si="4"/>
        <v>1013012</v>
      </c>
      <c r="L17" s="189">
        <f t="shared" si="5"/>
        <v>1.7340188056898853E-2</v>
      </c>
      <c r="M17" s="188">
        <f t="shared" ref="M17:M48" si="16">CEILING(T17/AX17*1000000,1)</f>
        <v>1030731</v>
      </c>
      <c r="N17" s="189">
        <f t="shared" si="7"/>
        <v>1.653898785199992E-2</v>
      </c>
      <c r="O17" s="188">
        <f t="shared" si="8"/>
        <v>1047920</v>
      </c>
      <c r="P17" s="189">
        <f t="shared" si="9"/>
        <v>1.5878308349270398E-2</v>
      </c>
      <c r="Q17" s="188">
        <f t="shared" si="10"/>
        <v>1064692</v>
      </c>
      <c r="R17" s="188">
        <v>23255</v>
      </c>
      <c r="S17" s="188">
        <v>26082</v>
      </c>
      <c r="T17" s="188">
        <v>29147</v>
      </c>
      <c r="U17" s="188">
        <v>32365</v>
      </c>
      <c r="V17" s="188">
        <v>35401</v>
      </c>
      <c r="W17" s="188">
        <v>1128246</v>
      </c>
      <c r="X17" s="188">
        <v>1258989</v>
      </c>
      <c r="Y17" s="188">
        <v>1385825</v>
      </c>
      <c r="Z17" s="188">
        <v>1524832</v>
      </c>
      <c r="AA17" s="188">
        <v>1652589</v>
      </c>
      <c r="AB17" s="188">
        <v>21204</v>
      </c>
      <c r="AC17" s="188">
        <v>22485</v>
      </c>
      <c r="AD17" s="188">
        <v>23835</v>
      </c>
      <c r="AE17" s="188">
        <v>25299</v>
      </c>
      <c r="AF17" s="188">
        <v>27002</v>
      </c>
      <c r="AG17" s="188">
        <v>1028410</v>
      </c>
      <c r="AH17" s="188">
        <v>1093544</v>
      </c>
      <c r="AI17" s="188">
        <v>1149216</v>
      </c>
      <c r="AJ17" s="188">
        <v>1207083</v>
      </c>
      <c r="AK17" s="188">
        <v>1275546</v>
      </c>
      <c r="AL17" s="189">
        <v>6.3099999999999989E-2</v>
      </c>
      <c r="AM17" s="189">
        <v>6.0400000000000002E-2</v>
      </c>
      <c r="AN17" s="189">
        <v>6.0100000000000001E-2</v>
      </c>
      <c r="AO17" s="189">
        <v>6.1399999999999996E-2</v>
      </c>
      <c r="AP17" s="189">
        <v>6.7299999999999999E-2</v>
      </c>
      <c r="AQ17" s="189">
        <v>6.5000000000000002E-2</v>
      </c>
      <c r="AR17" s="189">
        <v>6.3299999999999995E-2</v>
      </c>
      <c r="AS17" s="189">
        <v>5.0900000000000001E-2</v>
      </c>
      <c r="AT17" s="189">
        <v>5.04E-2</v>
      </c>
      <c r="AU17" s="189">
        <v>5.67E-2</v>
      </c>
      <c r="AV17" s="188">
        <v>23370</v>
      </c>
      <c r="AW17" s="188">
        <v>25747</v>
      </c>
      <c r="AX17" s="188">
        <v>28278</v>
      </c>
      <c r="AY17" s="188">
        <v>30885</v>
      </c>
      <c r="AZ17" s="188">
        <v>33250</v>
      </c>
      <c r="BA17" s="188">
        <v>25272</v>
      </c>
      <c r="BB17" s="188">
        <v>27767</v>
      </c>
      <c r="BC17" s="188">
        <v>30107</v>
      </c>
      <c r="BD17" s="188">
        <v>32645</v>
      </c>
      <c r="BE17" s="188">
        <v>34880</v>
      </c>
      <c r="BF17" s="231">
        <f t="shared" si="11"/>
        <v>0.75832121808657216</v>
      </c>
      <c r="BG17" s="188">
        <f t="shared" si="12"/>
        <v>5717</v>
      </c>
      <c r="BH17" s="188">
        <f t="shared" si="13"/>
        <v>79596</v>
      </c>
      <c r="BI17" s="188">
        <f t="shared" si="14"/>
        <v>374835</v>
      </c>
      <c r="BJ17" s="188">
        <f t="shared" si="15"/>
        <v>604544</v>
      </c>
      <c r="BK17" s="240">
        <f>'ERR Calculation'!$C$3*($V17/$V$70)*(BG17/$Q17)</f>
        <v>2960.8315187896815</v>
      </c>
      <c r="BL17" s="240">
        <f>'ERR Calculation'!$C$3*($V17/$V$70)*(BH17/$Q17)</f>
        <v>41222.729678080024</v>
      </c>
      <c r="BM17" s="240">
        <f>'ERR Calculation'!$C$3*($V17/$V$70)*(BI17/$Q17)</f>
        <v>194126.86414999655</v>
      </c>
      <c r="BN17" s="240">
        <f>'ERR Calculation'!$C$3*($V17/$V$70)*(BJ17/$Q17)</f>
        <v>313093.04350099515</v>
      </c>
    </row>
    <row r="18" spans="2:66" x14ac:dyDescent="0.25">
      <c r="B18">
        <v>1</v>
      </c>
      <c r="C18">
        <v>1</v>
      </c>
      <c r="D18">
        <f t="shared" si="0"/>
        <v>1</v>
      </c>
      <c r="E18" t="s">
        <v>162</v>
      </c>
      <c r="F18" t="s">
        <v>182</v>
      </c>
      <c r="G18" t="s">
        <v>180</v>
      </c>
      <c r="H18" s="188">
        <f t="shared" si="1"/>
        <v>0</v>
      </c>
      <c r="I18" s="188">
        <f t="shared" si="2"/>
        <v>146752</v>
      </c>
      <c r="J18" s="189">
        <f t="shared" si="3"/>
        <v>1.509483039376569E-2</v>
      </c>
      <c r="K18" s="188">
        <f t="shared" si="4"/>
        <v>148984</v>
      </c>
      <c r="L18" s="189">
        <f t="shared" si="5"/>
        <v>1.3944103825370036E-2</v>
      </c>
      <c r="M18" s="188">
        <f t="shared" si="16"/>
        <v>151076</v>
      </c>
      <c r="N18" s="189">
        <f t="shared" si="7"/>
        <v>1.3771922894184385E-2</v>
      </c>
      <c r="O18" s="188">
        <f t="shared" si="8"/>
        <v>153171</v>
      </c>
      <c r="P18" s="189">
        <f t="shared" si="9"/>
        <v>1.3320732902197818E-2</v>
      </c>
      <c r="Q18" s="188">
        <f t="shared" si="10"/>
        <v>155225</v>
      </c>
      <c r="R18" s="188">
        <v>2175</v>
      </c>
      <c r="S18" s="188">
        <v>2425</v>
      </c>
      <c r="T18" s="188">
        <v>2768</v>
      </c>
      <c r="U18" s="188">
        <v>3138</v>
      </c>
      <c r="V18" s="188">
        <v>3509</v>
      </c>
      <c r="W18" s="188">
        <v>19670</v>
      </c>
      <c r="X18" s="188">
        <v>22129</v>
      </c>
      <c r="Y18" s="188">
        <v>25194</v>
      </c>
      <c r="Z18" s="188">
        <v>28536</v>
      </c>
      <c r="AA18" s="188">
        <v>31824</v>
      </c>
      <c r="AB18" s="188">
        <v>1976</v>
      </c>
      <c r="AC18" s="188">
        <v>2127</v>
      </c>
      <c r="AD18" s="188">
        <v>2291</v>
      </c>
      <c r="AE18" s="188">
        <v>2440</v>
      </c>
      <c r="AF18" s="188">
        <v>2601</v>
      </c>
      <c r="AG18" s="188">
        <v>17987</v>
      </c>
      <c r="AH18" s="188">
        <v>19368</v>
      </c>
      <c r="AI18" s="188">
        <v>20776</v>
      </c>
      <c r="AJ18" s="188">
        <v>22069</v>
      </c>
      <c r="AK18" s="188">
        <v>23507</v>
      </c>
      <c r="AL18" s="189">
        <v>7.4700000000000003E-2</v>
      </c>
      <c r="AM18" s="189">
        <v>7.6299999999999993E-2</v>
      </c>
      <c r="AN18" s="189">
        <v>7.7199999999999991E-2</v>
      </c>
      <c r="AO18" s="189">
        <v>6.5199999999999994E-2</v>
      </c>
      <c r="AP18" s="189">
        <v>6.6100000000000006E-2</v>
      </c>
      <c r="AQ18" s="189">
        <v>7.9100000000000004E-2</v>
      </c>
      <c r="AR18" s="189">
        <v>7.6700000000000004E-2</v>
      </c>
      <c r="AS18" s="189">
        <v>7.2700000000000001E-2</v>
      </c>
      <c r="AT18" s="189">
        <v>6.2199999999999998E-2</v>
      </c>
      <c r="AU18" s="189">
        <v>6.5199999999999994E-2</v>
      </c>
      <c r="AV18" s="188">
        <v>14821</v>
      </c>
      <c r="AW18" s="188">
        <v>16277</v>
      </c>
      <c r="AX18" s="188">
        <v>18322</v>
      </c>
      <c r="AY18" s="188">
        <v>20487</v>
      </c>
      <c r="AZ18" s="188">
        <v>22606</v>
      </c>
      <c r="BA18" s="188">
        <v>18208</v>
      </c>
      <c r="BB18" s="188">
        <v>20154</v>
      </c>
      <c r="BC18" s="188">
        <v>22583</v>
      </c>
      <c r="BD18" s="188">
        <v>25181</v>
      </c>
      <c r="BE18" s="188">
        <v>27654</v>
      </c>
      <c r="BF18" s="231">
        <f t="shared" si="11"/>
        <v>0.60122175931668775</v>
      </c>
      <c r="BG18" s="188">
        <f t="shared" si="12"/>
        <v>921</v>
      </c>
      <c r="BH18" s="188">
        <f t="shared" si="13"/>
        <v>12418</v>
      </c>
      <c r="BI18" s="188">
        <f t="shared" si="14"/>
        <v>56672</v>
      </c>
      <c r="BJ18" s="188">
        <f t="shared" si="15"/>
        <v>85214</v>
      </c>
      <c r="BK18" s="240">
        <f>'ERR Calculation'!$C$3*($V18/$V$70)*(BG18/$Q18)</f>
        <v>324.29129704516362</v>
      </c>
      <c r="BL18" s="240">
        <f>'ERR Calculation'!$C$3*($V18/$V$70)*(BH18/$Q18)</f>
        <v>4372.4748389867991</v>
      </c>
      <c r="BM18" s="240">
        <f>'ERR Calculation'!$C$3*($V18/$V$70)*(BI18/$Q18)</f>
        <v>19954.654056616189</v>
      </c>
      <c r="BN18" s="240">
        <f>'ERR Calculation'!$C$3*($V18/$V$70)*(BJ18/$Q18)</f>
        <v>30004.515294686837</v>
      </c>
    </row>
    <row r="19" spans="2:66" x14ac:dyDescent="0.25">
      <c r="B19">
        <v>1</v>
      </c>
      <c r="C19">
        <v>0</v>
      </c>
      <c r="D19">
        <f t="shared" si="0"/>
        <v>0</v>
      </c>
      <c r="E19" t="s">
        <v>165</v>
      </c>
      <c r="F19" t="s">
        <v>183</v>
      </c>
      <c r="G19" t="s">
        <v>167</v>
      </c>
      <c r="H19" s="188">
        <f t="shared" si="1"/>
        <v>0</v>
      </c>
      <c r="I19" s="188">
        <f t="shared" si="2"/>
        <v>152091</v>
      </c>
      <c r="J19" s="189">
        <f t="shared" si="3"/>
        <v>2.4607454553603247E-2</v>
      </c>
      <c r="K19" s="188">
        <f t="shared" si="4"/>
        <v>155880</v>
      </c>
      <c r="L19" s="189">
        <f t="shared" si="5"/>
        <v>2.3671919996333557E-2</v>
      </c>
      <c r="M19" s="188">
        <f t="shared" si="16"/>
        <v>159614</v>
      </c>
      <c r="N19" s="189">
        <f t="shared" si="7"/>
        <v>2.2995925707727238E-2</v>
      </c>
      <c r="O19" s="188">
        <f t="shared" si="8"/>
        <v>163327</v>
      </c>
      <c r="P19" s="189">
        <f t="shared" si="9"/>
        <v>2.1454747277365627E-2</v>
      </c>
      <c r="Q19" s="188">
        <f t="shared" si="10"/>
        <v>166869</v>
      </c>
      <c r="R19" s="188">
        <v>54512</v>
      </c>
      <c r="S19" s="188">
        <v>56278</v>
      </c>
      <c r="T19" s="188">
        <v>59055</v>
      </c>
      <c r="U19" s="188">
        <v>58503</v>
      </c>
      <c r="V19" s="188">
        <v>53936</v>
      </c>
      <c r="W19" s="188">
        <v>550736</v>
      </c>
      <c r="X19" s="188">
        <v>519132</v>
      </c>
      <c r="Y19" s="188">
        <v>527515</v>
      </c>
      <c r="Z19" s="188">
        <v>503691</v>
      </c>
      <c r="AA19" s="188">
        <v>507074</v>
      </c>
      <c r="AB19" s="188">
        <v>45624</v>
      </c>
      <c r="AC19" s="188">
        <v>43012</v>
      </c>
      <c r="AD19" s="188">
        <v>41622</v>
      </c>
      <c r="AE19" s="188">
        <v>43435</v>
      </c>
      <c r="AF19" s="188">
        <v>42787</v>
      </c>
      <c r="AG19" s="188">
        <v>469646</v>
      </c>
      <c r="AH19" s="188">
        <v>438533</v>
      </c>
      <c r="AI19" s="188">
        <v>446029</v>
      </c>
      <c r="AJ19" s="188">
        <v>440648</v>
      </c>
      <c r="AK19" s="188">
        <v>438977</v>
      </c>
      <c r="AL19" s="189">
        <v>-9.1799999999999993E-2</v>
      </c>
      <c r="AM19" s="189">
        <v>-5.7200000000000001E-2</v>
      </c>
      <c r="AN19" s="189">
        <v>-3.2300000000000002E-2</v>
      </c>
      <c r="AO19" s="189">
        <v>4.3499999999999997E-2</v>
      </c>
      <c r="AP19" s="189">
        <v>-1.49E-2</v>
      </c>
      <c r="AQ19" s="189">
        <v>-2.7799999999999998E-2</v>
      </c>
      <c r="AR19" s="189">
        <v>2.76E-2</v>
      </c>
      <c r="AS19" s="189">
        <v>1.7100000000000001E-2</v>
      </c>
      <c r="AT19" s="189">
        <v>-1.21E-2</v>
      </c>
      <c r="AU19" s="189">
        <v>-3.8E-3</v>
      </c>
      <c r="AV19" s="188">
        <v>358419</v>
      </c>
      <c r="AW19" s="188">
        <v>361035</v>
      </c>
      <c r="AX19" s="188">
        <v>369988</v>
      </c>
      <c r="AY19" s="188">
        <v>358196</v>
      </c>
      <c r="AZ19" s="188">
        <v>323224</v>
      </c>
      <c r="BA19" s="188">
        <v>145998</v>
      </c>
      <c r="BB19" s="188">
        <v>158473</v>
      </c>
      <c r="BC19" s="188">
        <v>157400</v>
      </c>
      <c r="BD19" s="188">
        <v>146993</v>
      </c>
      <c r="BE19" s="188">
        <v>144827</v>
      </c>
      <c r="BF19" s="231">
        <f t="shared" si="11"/>
        <v>3.1486636196050455</v>
      </c>
      <c r="BG19" s="188">
        <f t="shared" si="12"/>
        <v>0</v>
      </c>
      <c r="BH19" s="188">
        <f t="shared" si="13"/>
        <v>0</v>
      </c>
      <c r="BI19" s="188">
        <f t="shared" si="14"/>
        <v>25641</v>
      </c>
      <c r="BJ19" s="188">
        <f t="shared" si="15"/>
        <v>141228</v>
      </c>
      <c r="BK19" s="240">
        <f>'ERR Calculation'!$C$3*($V19/$V$70)*(BG19/$Q19)</f>
        <v>0</v>
      </c>
      <c r="BL19" s="240">
        <f>'ERR Calculation'!$C$3*($V19/$V$70)*(BH19/$Q19)</f>
        <v>0</v>
      </c>
      <c r="BM19" s="240">
        <f>'ERR Calculation'!$C$3*($V19/$V$70)*(BI19/$Q19)</f>
        <v>129089.81973851885</v>
      </c>
      <c r="BN19" s="240">
        <f>'ERR Calculation'!$C$3*($V19/$V$70)*(BJ19/$Q19)</f>
        <v>711013.4964327265</v>
      </c>
    </row>
    <row r="20" spans="2:66" x14ac:dyDescent="0.25">
      <c r="B20">
        <v>0</v>
      </c>
      <c r="C20">
        <v>1</v>
      </c>
      <c r="D20">
        <f t="shared" si="0"/>
        <v>1</v>
      </c>
      <c r="E20" t="s">
        <v>165</v>
      </c>
      <c r="F20" t="s">
        <v>234</v>
      </c>
      <c r="G20" t="s">
        <v>172</v>
      </c>
      <c r="H20" s="188">
        <f t="shared" si="1"/>
        <v>1</v>
      </c>
      <c r="I20" s="188">
        <f t="shared" si="2"/>
        <v>562718</v>
      </c>
      <c r="J20" s="189">
        <f t="shared" si="3"/>
        <v>1.4577319592296689E-2</v>
      </c>
      <c r="K20" s="188">
        <f t="shared" si="4"/>
        <v>570981</v>
      </c>
      <c r="L20" s="189">
        <f t="shared" si="5"/>
        <v>1.3977631026502735E-2</v>
      </c>
      <c r="M20" s="188">
        <f t="shared" si="16"/>
        <v>579018</v>
      </c>
      <c r="N20" s="189">
        <f t="shared" si="7"/>
        <v>1.2990839063929727E-2</v>
      </c>
      <c r="O20" s="188">
        <f t="shared" si="8"/>
        <v>586589</v>
      </c>
      <c r="P20" s="189">
        <f t="shared" si="9"/>
        <v>1.2578483871866553E-2</v>
      </c>
      <c r="Q20" s="188">
        <f t="shared" si="10"/>
        <v>594014</v>
      </c>
      <c r="R20" s="188">
        <v>16500</v>
      </c>
      <c r="S20" s="188">
        <v>18385</v>
      </c>
      <c r="T20" s="188">
        <v>20569</v>
      </c>
      <c r="U20" s="188">
        <v>22647</v>
      </c>
      <c r="V20" s="188">
        <v>24547</v>
      </c>
      <c r="W20" s="188">
        <v>1128246</v>
      </c>
      <c r="X20" s="188">
        <v>1258989</v>
      </c>
      <c r="Y20" s="188">
        <v>1385825</v>
      </c>
      <c r="Z20" s="188">
        <v>1524832</v>
      </c>
      <c r="AA20" s="188">
        <v>1652589</v>
      </c>
      <c r="AB20" s="188">
        <v>15212</v>
      </c>
      <c r="AC20" s="188">
        <v>16072</v>
      </c>
      <c r="AD20" s="188">
        <v>16955</v>
      </c>
      <c r="AE20" s="188">
        <v>17876</v>
      </c>
      <c r="AF20" s="188">
        <v>18880</v>
      </c>
      <c r="AG20" s="188">
        <v>1028410</v>
      </c>
      <c r="AH20" s="188">
        <v>1093544</v>
      </c>
      <c r="AI20" s="188">
        <v>1149216</v>
      </c>
      <c r="AJ20" s="188">
        <v>1207083</v>
      </c>
      <c r="AK20" s="188">
        <v>1275546</v>
      </c>
      <c r="AL20" s="189">
        <v>6.2400000000000004E-2</v>
      </c>
      <c r="AM20" s="189">
        <v>5.6500000000000002E-2</v>
      </c>
      <c r="AN20" s="189">
        <v>5.4900000000000004E-2</v>
      </c>
      <c r="AO20" s="189">
        <v>5.4299999999999994E-2</v>
      </c>
      <c r="AP20" s="189">
        <v>5.62E-2</v>
      </c>
      <c r="AQ20" s="189">
        <v>6.5000000000000002E-2</v>
      </c>
      <c r="AR20" s="189">
        <v>6.3299999999999995E-2</v>
      </c>
      <c r="AS20" s="189">
        <v>5.0900000000000001E-2</v>
      </c>
      <c r="AT20" s="189">
        <v>5.04E-2</v>
      </c>
      <c r="AU20" s="189">
        <v>5.67E-2</v>
      </c>
      <c r="AV20" s="188">
        <v>29322</v>
      </c>
      <c r="AW20" s="188">
        <v>32199</v>
      </c>
      <c r="AX20" s="188">
        <v>35524</v>
      </c>
      <c r="AY20" s="188">
        <v>38608</v>
      </c>
      <c r="AZ20" s="188">
        <v>41324</v>
      </c>
      <c r="BA20" s="188">
        <v>25272</v>
      </c>
      <c r="BB20" s="188">
        <v>27767</v>
      </c>
      <c r="BC20" s="188">
        <v>30107</v>
      </c>
      <c r="BD20" s="188">
        <v>32645</v>
      </c>
      <c r="BE20" s="188">
        <v>34880</v>
      </c>
      <c r="BF20" s="231">
        <f t="shared" si="11"/>
        <v>0.75832121808657216</v>
      </c>
      <c r="BG20" s="188">
        <f t="shared" si="12"/>
        <v>3190</v>
      </c>
      <c r="BH20" s="188">
        <f t="shared" si="13"/>
        <v>44408</v>
      </c>
      <c r="BI20" s="188">
        <f t="shared" si="14"/>
        <v>209128</v>
      </c>
      <c r="BJ20" s="188">
        <f t="shared" si="15"/>
        <v>337288</v>
      </c>
      <c r="BK20" s="240">
        <f>'ERR Calculation'!$C$3*($V20/$V$70)*(BG20/$Q20)</f>
        <v>2053.2715458001326</v>
      </c>
      <c r="BL20" s="240">
        <f>'ERR Calculation'!$C$3*($V20/$V$70)*(BH20/$Q20)</f>
        <v>28583.599625671559</v>
      </c>
      <c r="BM20" s="240">
        <f>'ERR Calculation'!$C$3*($V20/$V$70)*(BI20/$Q20)</f>
        <v>134607.07580880568</v>
      </c>
      <c r="BN20" s="240">
        <f>'ERR Calculation'!$C$3*($V20/$V$70)*(BJ20/$Q20)</f>
        <v>217098.38656421163</v>
      </c>
    </row>
    <row r="21" spans="2:66" x14ac:dyDescent="0.25">
      <c r="B21">
        <v>1</v>
      </c>
      <c r="C21">
        <v>2</v>
      </c>
      <c r="D21">
        <f t="shared" si="0"/>
        <v>1</v>
      </c>
      <c r="E21" t="s">
        <v>165</v>
      </c>
      <c r="F21" t="s">
        <v>184</v>
      </c>
      <c r="G21" t="s">
        <v>172</v>
      </c>
      <c r="H21" s="188">
        <f t="shared" si="1"/>
        <v>1</v>
      </c>
      <c r="I21" s="188">
        <f t="shared" si="2"/>
        <v>298833</v>
      </c>
      <c r="J21" s="189">
        <f t="shared" si="3"/>
        <v>9.6543172410754607E-3</v>
      </c>
      <c r="K21" s="188">
        <f t="shared" si="4"/>
        <v>301732</v>
      </c>
      <c r="L21" s="189">
        <f t="shared" si="5"/>
        <v>9.4142713189491189E-3</v>
      </c>
      <c r="M21" s="188">
        <f t="shared" si="16"/>
        <v>304586</v>
      </c>
      <c r="N21" s="189">
        <f t="shared" si="7"/>
        <v>9.5118536139082721E-3</v>
      </c>
      <c r="O21" s="188">
        <f t="shared" si="8"/>
        <v>307497</v>
      </c>
      <c r="P21" s="189">
        <f t="shared" si="9"/>
        <v>9.641272598734929E-3</v>
      </c>
      <c r="Q21" s="188">
        <f t="shared" si="10"/>
        <v>310476</v>
      </c>
      <c r="R21" s="188">
        <v>12285</v>
      </c>
      <c r="S21" s="188">
        <v>13612</v>
      </c>
      <c r="T21" s="188">
        <v>15038</v>
      </c>
      <c r="U21" s="188">
        <v>16710</v>
      </c>
      <c r="V21" s="188">
        <v>18138</v>
      </c>
      <c r="W21" s="188">
        <v>1128246</v>
      </c>
      <c r="X21" s="188">
        <v>1258989</v>
      </c>
      <c r="Y21" s="188">
        <v>1385825</v>
      </c>
      <c r="Z21" s="188">
        <v>1524832</v>
      </c>
      <c r="AA21" s="188">
        <v>1652589</v>
      </c>
      <c r="AB21" s="188">
        <v>11309</v>
      </c>
      <c r="AC21" s="188">
        <v>11864</v>
      </c>
      <c r="AD21" s="188">
        <v>12541</v>
      </c>
      <c r="AE21" s="188">
        <v>13269</v>
      </c>
      <c r="AF21" s="188">
        <v>14059</v>
      </c>
      <c r="AG21" s="188">
        <v>1028410</v>
      </c>
      <c r="AH21" s="188">
        <v>1093544</v>
      </c>
      <c r="AI21" s="188">
        <v>1149216</v>
      </c>
      <c r="AJ21" s="188">
        <v>1207083</v>
      </c>
      <c r="AK21" s="188">
        <v>1275546</v>
      </c>
      <c r="AL21" s="189">
        <v>5.9200000000000003E-2</v>
      </c>
      <c r="AM21" s="189">
        <v>4.9000000000000002E-2</v>
      </c>
      <c r="AN21" s="189">
        <v>5.7099999999999998E-2</v>
      </c>
      <c r="AO21" s="189">
        <v>5.8099999999999999E-2</v>
      </c>
      <c r="AP21" s="189">
        <v>5.9500000000000004E-2</v>
      </c>
      <c r="AQ21" s="189">
        <v>6.5000000000000002E-2</v>
      </c>
      <c r="AR21" s="189">
        <v>6.3299999999999995E-2</v>
      </c>
      <c r="AS21" s="189">
        <v>5.0900000000000001E-2</v>
      </c>
      <c r="AT21" s="189">
        <v>5.04E-2</v>
      </c>
      <c r="AU21" s="189">
        <v>5.67E-2</v>
      </c>
      <c r="AV21" s="188">
        <v>41110</v>
      </c>
      <c r="AW21" s="188">
        <v>45113</v>
      </c>
      <c r="AX21" s="188">
        <v>49372</v>
      </c>
      <c r="AY21" s="188">
        <v>54342</v>
      </c>
      <c r="AZ21" s="188">
        <v>58420</v>
      </c>
      <c r="BA21" s="188">
        <v>25272</v>
      </c>
      <c r="BB21" s="188">
        <v>27767</v>
      </c>
      <c r="BC21" s="188">
        <v>30107</v>
      </c>
      <c r="BD21" s="188">
        <v>32645</v>
      </c>
      <c r="BE21" s="188">
        <v>34880</v>
      </c>
      <c r="BF21" s="231">
        <f t="shared" si="11"/>
        <v>0.75832121808657216</v>
      </c>
      <c r="BG21" s="188">
        <f t="shared" si="12"/>
        <v>1667</v>
      </c>
      <c r="BH21" s="188">
        <f t="shared" si="13"/>
        <v>23211</v>
      </c>
      <c r="BI21" s="188">
        <f t="shared" si="14"/>
        <v>109306</v>
      </c>
      <c r="BJ21" s="188">
        <f t="shared" si="15"/>
        <v>176292</v>
      </c>
      <c r="BK21" s="240">
        <f>'ERR Calculation'!$C$3*($V21/$V$70)*(BG21/$Q21)</f>
        <v>1516.8789572581547</v>
      </c>
      <c r="BL21" s="240">
        <f>'ERR Calculation'!$C$3*($V21/$V$70)*(BH21/$Q21)</f>
        <v>21120.742337683885</v>
      </c>
      <c r="BM21" s="240">
        <f>'ERR Calculation'!$C$3*($V21/$V$70)*(BI21/$Q21)</f>
        <v>99462.490283179301</v>
      </c>
      <c r="BN21" s="240">
        <f>'ERR Calculation'!$C$3*($V21/$V$70)*(BJ21/$Q21)</f>
        <v>160416.09186140049</v>
      </c>
    </row>
    <row r="22" spans="2:66" x14ac:dyDescent="0.25">
      <c r="B22">
        <v>1</v>
      </c>
      <c r="C22">
        <v>1</v>
      </c>
      <c r="D22">
        <f t="shared" si="0"/>
        <v>1</v>
      </c>
      <c r="E22" t="s">
        <v>162</v>
      </c>
      <c r="F22" t="s">
        <v>185</v>
      </c>
      <c r="G22" t="s">
        <v>186</v>
      </c>
      <c r="H22" s="188">
        <f t="shared" si="1"/>
        <v>1</v>
      </c>
      <c r="I22" s="188">
        <f t="shared" si="2"/>
        <v>204503</v>
      </c>
      <c r="J22" s="189">
        <f t="shared" si="3"/>
        <v>2.9753002766989667E-2</v>
      </c>
      <c r="K22" s="188">
        <f t="shared" si="4"/>
        <v>210679</v>
      </c>
      <c r="L22" s="189">
        <f t="shared" si="5"/>
        <v>2.9179143824926257E-2</v>
      </c>
      <c r="M22" s="188">
        <f t="shared" si="16"/>
        <v>216917</v>
      </c>
      <c r="N22" s="189">
        <f t="shared" si="7"/>
        <v>2.8100827239686765E-2</v>
      </c>
      <c r="O22" s="188">
        <f t="shared" si="8"/>
        <v>223099</v>
      </c>
      <c r="P22" s="189">
        <f t="shared" si="9"/>
        <v>2.7542034604371324E-2</v>
      </c>
      <c r="Q22" s="188">
        <f t="shared" si="10"/>
        <v>229329</v>
      </c>
      <c r="R22" s="188">
        <v>5741</v>
      </c>
      <c r="S22" s="188">
        <v>6432</v>
      </c>
      <c r="T22" s="188">
        <v>7155</v>
      </c>
      <c r="U22" s="188">
        <v>7723</v>
      </c>
      <c r="V22" s="188">
        <v>8434</v>
      </c>
      <c r="W22" s="188">
        <v>131436</v>
      </c>
      <c r="X22" s="188">
        <v>146900</v>
      </c>
      <c r="Y22" s="188">
        <v>164944</v>
      </c>
      <c r="Z22" s="188">
        <v>179405</v>
      </c>
      <c r="AA22" s="188">
        <v>195683</v>
      </c>
      <c r="AB22" s="188">
        <v>5140</v>
      </c>
      <c r="AC22" s="188">
        <v>5475</v>
      </c>
      <c r="AD22" s="188">
        <v>5822</v>
      </c>
      <c r="AE22" s="188">
        <v>6157</v>
      </c>
      <c r="AF22" s="188">
        <v>6489</v>
      </c>
      <c r="AG22" s="188">
        <v>118724</v>
      </c>
      <c r="AH22" s="188">
        <v>125941</v>
      </c>
      <c r="AI22" s="188">
        <v>133341</v>
      </c>
      <c r="AJ22" s="188">
        <v>140705</v>
      </c>
      <c r="AK22" s="188">
        <v>148111</v>
      </c>
      <c r="AL22" s="189">
        <v>6.1900000000000004E-2</v>
      </c>
      <c r="AM22" s="189">
        <v>6.5099999999999991E-2</v>
      </c>
      <c r="AN22" s="189">
        <v>6.3399999999999998E-2</v>
      </c>
      <c r="AO22" s="189">
        <v>5.7500000000000002E-2</v>
      </c>
      <c r="AP22" s="189">
        <v>5.3899999999999997E-2</v>
      </c>
      <c r="AQ22" s="189">
        <v>6.3099999999999989E-2</v>
      </c>
      <c r="AR22" s="189">
        <v>6.08E-2</v>
      </c>
      <c r="AS22" s="189">
        <v>5.8799999999999998E-2</v>
      </c>
      <c r="AT22" s="189">
        <v>5.5199999999999999E-2</v>
      </c>
      <c r="AU22" s="189">
        <v>5.2600000000000001E-2</v>
      </c>
      <c r="AV22" s="188">
        <v>28073</v>
      </c>
      <c r="AW22" s="188">
        <v>30530</v>
      </c>
      <c r="AX22" s="188">
        <v>32985</v>
      </c>
      <c r="AY22" s="188">
        <v>34617</v>
      </c>
      <c r="AZ22" s="188">
        <v>36777</v>
      </c>
      <c r="BA22" s="188">
        <v>26286</v>
      </c>
      <c r="BB22" s="188">
        <v>28994</v>
      </c>
      <c r="BC22" s="188">
        <v>32141</v>
      </c>
      <c r="BD22" s="188">
        <v>34526</v>
      </c>
      <c r="BE22" s="188">
        <v>37205</v>
      </c>
      <c r="BF22" s="231">
        <f t="shared" si="11"/>
        <v>0.80886871900547364</v>
      </c>
      <c r="BG22" s="188">
        <f t="shared" si="12"/>
        <v>1190</v>
      </c>
      <c r="BH22" s="188">
        <f t="shared" si="13"/>
        <v>16758</v>
      </c>
      <c r="BI22" s="188">
        <f t="shared" si="14"/>
        <v>79775</v>
      </c>
      <c r="BJ22" s="188">
        <f t="shared" si="15"/>
        <v>131606</v>
      </c>
      <c r="BK22" s="240">
        <f>'ERR Calculation'!$C$3*($V22/$V$70)*(BG22/$Q22)</f>
        <v>681.67213986363072</v>
      </c>
      <c r="BL22" s="240">
        <f>'ERR Calculation'!$C$3*($V22/$V$70)*(BH22/$Q22)</f>
        <v>9599.5476637266584</v>
      </c>
      <c r="BM22" s="240">
        <f>'ERR Calculation'!$C$3*($V22/$V$70)*(BI22/$Q22)</f>
        <v>45697.81088875726</v>
      </c>
      <c r="BN22" s="240">
        <f>'ERR Calculation'!$C$3*($V22/$V$70)*(BJ22/$Q22)</f>
        <v>75388.355999069725</v>
      </c>
    </row>
    <row r="23" spans="2:66" x14ac:dyDescent="0.25">
      <c r="B23">
        <v>1</v>
      </c>
      <c r="C23">
        <v>1</v>
      </c>
      <c r="D23">
        <f t="shared" si="0"/>
        <v>1</v>
      </c>
      <c r="E23" t="s">
        <v>2</v>
      </c>
      <c r="F23" t="s">
        <v>187</v>
      </c>
      <c r="G23" t="s">
        <v>187</v>
      </c>
      <c r="H23" s="188">
        <f t="shared" si="1"/>
        <v>1</v>
      </c>
      <c r="I23" s="188">
        <f t="shared" si="2"/>
        <v>9862111</v>
      </c>
      <c r="J23" s="189">
        <f t="shared" si="3"/>
        <v>1.0874322839420358E-2</v>
      </c>
      <c r="K23" s="188">
        <f t="shared" si="4"/>
        <v>9969940</v>
      </c>
      <c r="L23" s="189">
        <f t="shared" si="5"/>
        <v>1.0515196484952583E-2</v>
      </c>
      <c r="M23" s="188">
        <f t="shared" si="16"/>
        <v>10075329</v>
      </c>
      <c r="N23" s="189">
        <f t="shared" si="7"/>
        <v>1.013326370180323E-2</v>
      </c>
      <c r="O23" s="188">
        <f t="shared" si="8"/>
        <v>10177944</v>
      </c>
      <c r="P23" s="189">
        <f t="shared" si="9"/>
        <v>9.7463707160478918E-3</v>
      </c>
      <c r="Q23" s="188">
        <f t="shared" si="10"/>
        <v>10277627</v>
      </c>
      <c r="R23" s="188">
        <v>1369433</v>
      </c>
      <c r="S23" s="188">
        <v>1546876</v>
      </c>
      <c r="T23" s="188">
        <v>1762316</v>
      </c>
      <c r="U23" s="188">
        <v>1989330</v>
      </c>
      <c r="V23" s="188">
        <v>2177120</v>
      </c>
      <c r="W23" s="188">
        <v>1369433</v>
      </c>
      <c r="X23" s="188">
        <v>1546876</v>
      </c>
      <c r="Y23" s="188">
        <v>1762316</v>
      </c>
      <c r="Z23" s="188">
        <v>1989330</v>
      </c>
      <c r="AA23" s="188">
        <v>2177120</v>
      </c>
      <c r="AB23" s="188">
        <v>1222528</v>
      </c>
      <c r="AC23" s="188">
        <v>1296695</v>
      </c>
      <c r="AD23" s="188">
        <v>1373389</v>
      </c>
      <c r="AE23" s="188">
        <v>1454346</v>
      </c>
      <c r="AF23" s="188">
        <v>1539377</v>
      </c>
      <c r="AG23" s="188">
        <v>1222528</v>
      </c>
      <c r="AH23" s="188">
        <v>1296695</v>
      </c>
      <c r="AI23" s="188">
        <v>1373389</v>
      </c>
      <c r="AJ23" s="188">
        <v>1454346</v>
      </c>
      <c r="AK23" s="188">
        <v>1539377</v>
      </c>
      <c r="AL23" s="189">
        <v>6.5299999999999997E-2</v>
      </c>
      <c r="AM23" s="189">
        <v>6.0700000000000004E-2</v>
      </c>
      <c r="AN23" s="189">
        <v>5.91E-2</v>
      </c>
      <c r="AO23" s="189">
        <v>5.8899999999999994E-2</v>
      </c>
      <c r="AP23" s="189">
        <v>5.8499999999999996E-2</v>
      </c>
      <c r="AQ23" s="189">
        <v>6.5299999999999997E-2</v>
      </c>
      <c r="AR23" s="189">
        <v>6.0700000000000004E-2</v>
      </c>
      <c r="AS23" s="189">
        <v>5.91E-2</v>
      </c>
      <c r="AT23" s="189">
        <v>5.8899999999999994E-2</v>
      </c>
      <c r="AU23" s="189">
        <v>5.8499999999999996E-2</v>
      </c>
      <c r="AV23" s="188">
        <v>138858</v>
      </c>
      <c r="AW23" s="188">
        <v>155154</v>
      </c>
      <c r="AX23" s="188">
        <v>174914</v>
      </c>
      <c r="AY23" s="188">
        <v>195455</v>
      </c>
      <c r="AZ23" s="188">
        <v>211831</v>
      </c>
      <c r="BA23" s="188">
        <v>138858</v>
      </c>
      <c r="BB23" s="188">
        <v>155154</v>
      </c>
      <c r="BC23" s="188">
        <v>174914</v>
      </c>
      <c r="BD23" s="188">
        <v>195455</v>
      </c>
      <c r="BE23" s="188">
        <v>211831</v>
      </c>
      <c r="BF23" s="231">
        <f t="shared" si="11"/>
        <v>4.6053882439362583</v>
      </c>
      <c r="BG23" s="188">
        <f t="shared" si="12"/>
        <v>0</v>
      </c>
      <c r="BH23" s="188">
        <f t="shared" si="13"/>
        <v>0</v>
      </c>
      <c r="BI23" s="188">
        <f t="shared" si="14"/>
        <v>336621</v>
      </c>
      <c r="BJ23" s="188">
        <f t="shared" si="15"/>
        <v>9941006</v>
      </c>
      <c r="BK23" s="240">
        <f>'ERR Calculation'!$C$3*($V23/$V$70)*(BG23/$Q23)</f>
        <v>0</v>
      </c>
      <c r="BL23" s="240">
        <f>'ERR Calculation'!$C$3*($V23/$V$70)*(BH23/$Q23)</f>
        <v>0</v>
      </c>
      <c r="BM23" s="240">
        <f>'ERR Calculation'!$C$3*($V23/$V$70)*(BI23/$Q23)</f>
        <v>1110669.0886603675</v>
      </c>
      <c r="BN23" s="240">
        <f>'ERR Calculation'!$C$3*($V23/$V$70)*(BJ23/$Q23)</f>
        <v>32799997.844422195</v>
      </c>
    </row>
    <row r="24" spans="2:66" x14ac:dyDescent="0.25">
      <c r="B24">
        <v>1</v>
      </c>
      <c r="C24">
        <v>0</v>
      </c>
      <c r="D24">
        <f t="shared" si="0"/>
        <v>0</v>
      </c>
      <c r="E24" t="s">
        <v>162</v>
      </c>
      <c r="F24" t="s">
        <v>188</v>
      </c>
      <c r="G24" t="s">
        <v>164</v>
      </c>
      <c r="H24" s="188">
        <f t="shared" si="1"/>
        <v>0</v>
      </c>
      <c r="I24" s="188">
        <f t="shared" si="2"/>
        <v>481185</v>
      </c>
      <c r="J24" s="189">
        <f t="shared" si="3"/>
        <v>1.0032941145027507E-2</v>
      </c>
      <c r="K24" s="188">
        <f t="shared" si="4"/>
        <v>486037</v>
      </c>
      <c r="L24" s="189">
        <f t="shared" si="5"/>
        <v>9.1894547821436134E-3</v>
      </c>
      <c r="M24" s="188">
        <f t="shared" si="16"/>
        <v>490524</v>
      </c>
      <c r="N24" s="189">
        <f t="shared" si="7"/>
        <v>9.3845199032394078E-3</v>
      </c>
      <c r="O24" s="188">
        <f t="shared" si="8"/>
        <v>495149</v>
      </c>
      <c r="P24" s="189">
        <f t="shared" si="9"/>
        <v>8.9170247428462801E-3</v>
      </c>
      <c r="Q24" s="188">
        <f t="shared" si="10"/>
        <v>499584</v>
      </c>
      <c r="R24" s="188">
        <v>13605</v>
      </c>
      <c r="S24" s="188">
        <v>15368</v>
      </c>
      <c r="T24" s="188">
        <v>17909</v>
      </c>
      <c r="U24" s="188">
        <v>20054</v>
      </c>
      <c r="V24" s="188">
        <v>22217</v>
      </c>
      <c r="W24" s="188">
        <v>117987</v>
      </c>
      <c r="X24" s="188">
        <v>134408</v>
      </c>
      <c r="Y24" s="188">
        <v>156396</v>
      </c>
      <c r="Z24" s="188">
        <v>177156</v>
      </c>
      <c r="AA24" s="188">
        <v>195376</v>
      </c>
      <c r="AB24" s="188">
        <v>12509</v>
      </c>
      <c r="AC24" s="188">
        <v>13361</v>
      </c>
      <c r="AD24" s="188">
        <v>14269</v>
      </c>
      <c r="AE24" s="188">
        <v>15174</v>
      </c>
      <c r="AF24" s="188">
        <v>16130</v>
      </c>
      <c r="AG24" s="188">
        <v>106951</v>
      </c>
      <c r="AH24" s="188">
        <v>114104</v>
      </c>
      <c r="AI24" s="188">
        <v>121788</v>
      </c>
      <c r="AJ24" s="188">
        <v>129131</v>
      </c>
      <c r="AK24" s="188">
        <v>137193</v>
      </c>
      <c r="AL24" s="189">
        <v>7.0800000000000002E-2</v>
      </c>
      <c r="AM24" s="189">
        <v>6.8199999999999997E-2</v>
      </c>
      <c r="AN24" s="189">
        <v>6.8000000000000005E-2</v>
      </c>
      <c r="AO24" s="189">
        <v>6.3399999999999998E-2</v>
      </c>
      <c r="AP24" s="189">
        <v>6.3E-2</v>
      </c>
      <c r="AQ24" s="189">
        <v>6.9599999999999995E-2</v>
      </c>
      <c r="AR24" s="189">
        <v>6.6900000000000001E-2</v>
      </c>
      <c r="AS24" s="189">
        <v>6.7299999999999999E-2</v>
      </c>
      <c r="AT24" s="189">
        <v>6.0299999999999999E-2</v>
      </c>
      <c r="AU24" s="189">
        <v>6.2400000000000004E-2</v>
      </c>
      <c r="AV24" s="188">
        <v>28274</v>
      </c>
      <c r="AW24" s="188">
        <v>31619</v>
      </c>
      <c r="AX24" s="188">
        <v>36510</v>
      </c>
      <c r="AY24" s="188">
        <v>40501</v>
      </c>
      <c r="AZ24" s="188">
        <v>44471</v>
      </c>
      <c r="BA24" s="188">
        <v>29444</v>
      </c>
      <c r="BB24" s="188">
        <v>33135</v>
      </c>
      <c r="BC24" s="188">
        <v>38100</v>
      </c>
      <c r="BD24" s="188">
        <v>42659</v>
      </c>
      <c r="BE24" s="188">
        <v>46517</v>
      </c>
      <c r="BF24" s="231">
        <f t="shared" si="11"/>
        <v>1.0113196130084026</v>
      </c>
      <c r="BG24" s="188">
        <f t="shared" si="12"/>
        <v>2228</v>
      </c>
      <c r="BH24" s="188">
        <f t="shared" si="13"/>
        <v>33134</v>
      </c>
      <c r="BI24" s="188">
        <f t="shared" si="14"/>
        <v>165393</v>
      </c>
      <c r="BJ24" s="188">
        <f t="shared" si="15"/>
        <v>298829</v>
      </c>
      <c r="BK24" s="240">
        <f>'ERR Calculation'!$C$3*($V24/$V$70)*(BG24/$Q24)</f>
        <v>1543.2846779491679</v>
      </c>
      <c r="BL24" s="240">
        <f>'ERR Calculation'!$C$3*($V24/$V$70)*(BH24/$Q24)</f>
        <v>22951.16450591011</v>
      </c>
      <c r="BM24" s="240">
        <f>'ERR Calculation'!$C$3*($V24/$V$70)*(BI24/$Q24)</f>
        <v>114563.95096052367</v>
      </c>
      <c r="BN24" s="240">
        <f>'ERR Calculation'!$C$3*($V24/$V$70)*(BJ24/$Q24)</f>
        <v>206992.01841421536</v>
      </c>
    </row>
    <row r="25" spans="2:66" x14ac:dyDescent="0.25">
      <c r="B25">
        <v>1</v>
      </c>
      <c r="C25">
        <v>1</v>
      </c>
      <c r="D25">
        <f t="shared" si="0"/>
        <v>1</v>
      </c>
      <c r="E25" t="s">
        <v>2</v>
      </c>
      <c r="F25" t="s">
        <v>180</v>
      </c>
      <c r="G25" t="s">
        <v>180</v>
      </c>
      <c r="H25" s="188">
        <f t="shared" si="1"/>
        <v>1</v>
      </c>
      <c r="I25" s="188">
        <f t="shared" si="2"/>
        <v>1080295</v>
      </c>
      <c r="J25" s="189">
        <f t="shared" si="3"/>
        <v>1.6252548107340559E-2</v>
      </c>
      <c r="K25" s="188">
        <f t="shared" si="4"/>
        <v>1097996</v>
      </c>
      <c r="L25" s="189">
        <f t="shared" si="5"/>
        <v>1.5921811362924032E-2</v>
      </c>
      <c r="M25" s="188">
        <f t="shared" si="16"/>
        <v>1115618</v>
      </c>
      <c r="N25" s="189">
        <f t="shared" si="7"/>
        <v>1.5668745456586919E-2</v>
      </c>
      <c r="O25" s="188">
        <f t="shared" si="8"/>
        <v>1133236</v>
      </c>
      <c r="P25" s="189">
        <f t="shared" si="9"/>
        <v>1.5373144072345468E-2</v>
      </c>
      <c r="Q25" s="188">
        <f t="shared" si="10"/>
        <v>1150792</v>
      </c>
      <c r="R25" s="188">
        <v>19670</v>
      </c>
      <c r="S25" s="188">
        <v>22129</v>
      </c>
      <c r="T25" s="188">
        <v>25194</v>
      </c>
      <c r="U25" s="188">
        <v>28536</v>
      </c>
      <c r="V25" s="188">
        <v>31824</v>
      </c>
      <c r="W25" s="188">
        <v>19670</v>
      </c>
      <c r="X25" s="188">
        <v>22129</v>
      </c>
      <c r="Y25" s="188">
        <v>25194</v>
      </c>
      <c r="Z25" s="188">
        <v>28536</v>
      </c>
      <c r="AA25" s="188">
        <v>31824</v>
      </c>
      <c r="AB25" s="188">
        <v>17987</v>
      </c>
      <c r="AC25" s="188">
        <v>19368</v>
      </c>
      <c r="AD25" s="188">
        <v>20776</v>
      </c>
      <c r="AE25" s="188">
        <v>22069</v>
      </c>
      <c r="AF25" s="188">
        <v>23507</v>
      </c>
      <c r="AG25" s="188">
        <v>17987</v>
      </c>
      <c r="AH25" s="188">
        <v>19368</v>
      </c>
      <c r="AI25" s="188">
        <v>20776</v>
      </c>
      <c r="AJ25" s="188">
        <v>22069</v>
      </c>
      <c r="AK25" s="188">
        <v>23507</v>
      </c>
      <c r="AL25" s="189">
        <v>7.9100000000000004E-2</v>
      </c>
      <c r="AM25" s="189">
        <v>7.6700000000000004E-2</v>
      </c>
      <c r="AN25" s="189">
        <v>7.2700000000000001E-2</v>
      </c>
      <c r="AO25" s="189">
        <v>6.2199999999999998E-2</v>
      </c>
      <c r="AP25" s="189">
        <v>6.5199999999999994E-2</v>
      </c>
      <c r="AQ25" s="189">
        <v>7.9100000000000004E-2</v>
      </c>
      <c r="AR25" s="189">
        <v>7.6700000000000004E-2</v>
      </c>
      <c r="AS25" s="189">
        <v>7.2700000000000001E-2</v>
      </c>
      <c r="AT25" s="189">
        <v>6.2199999999999998E-2</v>
      </c>
      <c r="AU25" s="189">
        <v>6.5199999999999994E-2</v>
      </c>
      <c r="AV25" s="188">
        <v>18208</v>
      </c>
      <c r="AW25" s="188">
        <v>20154</v>
      </c>
      <c r="AX25" s="188">
        <v>22583</v>
      </c>
      <c r="AY25" s="188">
        <v>25181</v>
      </c>
      <c r="AZ25" s="188">
        <v>27654</v>
      </c>
      <c r="BA25" s="188">
        <v>18208</v>
      </c>
      <c r="BB25" s="188">
        <v>20154</v>
      </c>
      <c r="BC25" s="188">
        <v>22583</v>
      </c>
      <c r="BD25" s="188">
        <v>25181</v>
      </c>
      <c r="BE25" s="188">
        <v>27654</v>
      </c>
      <c r="BF25" s="231">
        <f t="shared" si="11"/>
        <v>0.60122175931668775</v>
      </c>
      <c r="BG25" s="188">
        <f t="shared" si="12"/>
        <v>6831</v>
      </c>
      <c r="BH25" s="188">
        <f t="shared" si="13"/>
        <v>92063</v>
      </c>
      <c r="BI25" s="188">
        <f t="shared" si="14"/>
        <v>420153</v>
      </c>
      <c r="BJ25" s="188">
        <f t="shared" si="15"/>
        <v>631745</v>
      </c>
      <c r="BK25" s="240">
        <f>'ERR Calculation'!$C$3*($V25/$V$70)*(BG25/$Q25)</f>
        <v>2942.3625265685823</v>
      </c>
      <c r="BL25" s="240">
        <f>'ERR Calculation'!$C$3*($V25/$V$70)*(BH25/$Q25)</f>
        <v>39654.914548892317</v>
      </c>
      <c r="BM25" s="240">
        <f>'ERR Calculation'!$C$3*($V25/$V$70)*(BI25/$Q25)</f>
        <v>180975.32464139507</v>
      </c>
      <c r="BN25" s="240">
        <f>'ERR Calculation'!$C$3*($V25/$V$70)*(BJ25/$Q25)</f>
        <v>272115.76845953288</v>
      </c>
    </row>
    <row r="26" spans="2:66" x14ac:dyDescent="0.25">
      <c r="B26">
        <v>1</v>
      </c>
      <c r="C26">
        <v>2</v>
      </c>
      <c r="D26">
        <f t="shared" si="0"/>
        <v>1</v>
      </c>
      <c r="E26" t="s">
        <v>162</v>
      </c>
      <c r="F26" t="s">
        <v>189</v>
      </c>
      <c r="G26" t="s">
        <v>176</v>
      </c>
      <c r="H26" s="188">
        <f t="shared" si="1"/>
        <v>1</v>
      </c>
      <c r="I26" s="188">
        <f t="shared" si="2"/>
        <v>1211680</v>
      </c>
      <c r="J26" s="189">
        <f t="shared" si="3"/>
        <v>1.264339082547572E-2</v>
      </c>
      <c r="K26" s="188">
        <f t="shared" si="4"/>
        <v>1227097</v>
      </c>
      <c r="L26" s="189">
        <f t="shared" si="5"/>
        <v>1.1764150555560349E-2</v>
      </c>
      <c r="M26" s="188">
        <f t="shared" si="16"/>
        <v>1241618</v>
      </c>
      <c r="N26" s="189">
        <f t="shared" si="7"/>
        <v>1.1769852949131021E-2</v>
      </c>
      <c r="O26" s="188">
        <f t="shared" si="8"/>
        <v>1256318</v>
      </c>
      <c r="P26" s="189">
        <f t="shared" si="9"/>
        <v>1.1378774168001371E-2</v>
      </c>
      <c r="Q26" s="188">
        <f t="shared" si="10"/>
        <v>1270695</v>
      </c>
      <c r="R26" s="188">
        <v>74946</v>
      </c>
      <c r="S26" s="188">
        <v>83153</v>
      </c>
      <c r="T26" s="188">
        <v>93798</v>
      </c>
      <c r="U26" s="188">
        <v>100724</v>
      </c>
      <c r="V26" s="188">
        <v>107882</v>
      </c>
      <c r="W26" s="188">
        <v>1248767</v>
      </c>
      <c r="X26" s="188">
        <v>1382501</v>
      </c>
      <c r="Y26" s="188">
        <v>1537948</v>
      </c>
      <c r="Z26" s="188">
        <v>1692903</v>
      </c>
      <c r="AA26" s="188">
        <v>1855043</v>
      </c>
      <c r="AB26" s="188">
        <v>67249</v>
      </c>
      <c r="AC26" s="188">
        <v>71314</v>
      </c>
      <c r="AD26" s="188">
        <v>76336</v>
      </c>
      <c r="AE26" s="188">
        <v>81360</v>
      </c>
      <c r="AF26" s="188">
        <v>85835</v>
      </c>
      <c r="AG26" s="188">
        <v>1124465</v>
      </c>
      <c r="AH26" s="188">
        <v>1192790</v>
      </c>
      <c r="AI26" s="188">
        <v>1262684</v>
      </c>
      <c r="AJ26" s="188">
        <v>1331395</v>
      </c>
      <c r="AK26" s="188">
        <v>1405236</v>
      </c>
      <c r="AL26" s="189">
        <v>6.9199999999999998E-2</v>
      </c>
      <c r="AM26" s="189">
        <v>6.0499999999999998E-2</v>
      </c>
      <c r="AN26" s="189">
        <v>7.0400000000000004E-2</v>
      </c>
      <c r="AO26" s="189">
        <v>6.5799999999999997E-2</v>
      </c>
      <c r="AP26" s="189">
        <v>5.5E-2</v>
      </c>
      <c r="AQ26" s="189">
        <v>6.6400000000000001E-2</v>
      </c>
      <c r="AR26" s="189">
        <v>6.08E-2</v>
      </c>
      <c r="AS26" s="189">
        <v>5.8600000000000006E-2</v>
      </c>
      <c r="AT26" s="189">
        <v>5.4400000000000004E-2</v>
      </c>
      <c r="AU26" s="189">
        <v>5.5500000000000001E-2</v>
      </c>
      <c r="AV26" s="188">
        <v>61853</v>
      </c>
      <c r="AW26" s="188">
        <v>67764</v>
      </c>
      <c r="AX26" s="188">
        <v>75545</v>
      </c>
      <c r="AY26" s="188">
        <v>80174</v>
      </c>
      <c r="AZ26" s="188">
        <v>84900</v>
      </c>
      <c r="BA26" s="188">
        <v>32770</v>
      </c>
      <c r="BB26" s="188">
        <v>36037</v>
      </c>
      <c r="BC26" s="188">
        <v>39833</v>
      </c>
      <c r="BD26" s="188">
        <v>43578</v>
      </c>
      <c r="BE26" s="188">
        <v>47474</v>
      </c>
      <c r="BF26" s="231">
        <f t="shared" si="11"/>
        <v>1.0321256166124406</v>
      </c>
      <c r="BG26" s="188">
        <f t="shared" si="12"/>
        <v>5571</v>
      </c>
      <c r="BH26" s="188">
        <f t="shared" si="13"/>
        <v>83394</v>
      </c>
      <c r="BI26" s="188">
        <f t="shared" si="14"/>
        <v>418483</v>
      </c>
      <c r="BJ26" s="188">
        <f t="shared" si="15"/>
        <v>763247</v>
      </c>
      <c r="BK26" s="240">
        <f>'ERR Calculation'!$C$3*($V26/$V$70)*(BG26/$Q26)</f>
        <v>7367.0698978075379</v>
      </c>
      <c r="BL26" s="240">
        <f>'ERR Calculation'!$C$3*($V26/$V$70)*(BH26/$Q26)</f>
        <v>110279.91869642108</v>
      </c>
      <c r="BM26" s="240">
        <f>'ERR Calculation'!$C$3*($V26/$V$70)*(BI26/$Q26)</f>
        <v>553400.37911401759</v>
      </c>
      <c r="BN26" s="240">
        <f>'ERR Calculation'!$C$3*($V26/$V$70)*(BJ26/$Q26)</f>
        <v>1009315.0239260294</v>
      </c>
    </row>
    <row r="27" spans="2:66" x14ac:dyDescent="0.25">
      <c r="B27">
        <v>1</v>
      </c>
      <c r="C27">
        <v>0</v>
      </c>
      <c r="D27">
        <f t="shared" si="0"/>
        <v>0</v>
      </c>
      <c r="E27" t="s">
        <v>162</v>
      </c>
      <c r="F27" t="s">
        <v>190</v>
      </c>
      <c r="G27" t="s">
        <v>191</v>
      </c>
      <c r="H27" s="188">
        <f t="shared" si="1"/>
        <v>0</v>
      </c>
      <c r="I27" s="188">
        <f t="shared" si="2"/>
        <v>692566</v>
      </c>
      <c r="J27" s="189">
        <f t="shared" si="3"/>
        <v>1.0946758220676145E-2</v>
      </c>
      <c r="K27" s="188">
        <f t="shared" si="4"/>
        <v>700189</v>
      </c>
      <c r="L27" s="189">
        <f t="shared" si="5"/>
        <v>1.0749102925872833E-2</v>
      </c>
      <c r="M27" s="188">
        <f t="shared" si="16"/>
        <v>707756</v>
      </c>
      <c r="N27" s="189">
        <f t="shared" si="7"/>
        <v>1.0613817644509638E-2</v>
      </c>
      <c r="O27" s="188">
        <f t="shared" si="8"/>
        <v>715308</v>
      </c>
      <c r="P27" s="189">
        <f t="shared" si="9"/>
        <v>9.9723663994950584E-3</v>
      </c>
      <c r="Q27" s="188">
        <f t="shared" si="10"/>
        <v>722477</v>
      </c>
      <c r="R27" s="188">
        <v>10545</v>
      </c>
      <c r="S27" s="188">
        <v>11530</v>
      </c>
      <c r="T27" s="188">
        <v>12557</v>
      </c>
      <c r="U27" s="188">
        <v>13799</v>
      </c>
      <c r="V27" s="188">
        <v>14982</v>
      </c>
      <c r="W27" s="188">
        <v>77248</v>
      </c>
      <c r="X27" s="188">
        <v>84925</v>
      </c>
      <c r="Y27" s="188">
        <v>92842</v>
      </c>
      <c r="Z27" s="188">
        <v>101448</v>
      </c>
      <c r="AA27" s="188">
        <v>110098</v>
      </c>
      <c r="AB27" s="188">
        <v>9696</v>
      </c>
      <c r="AC27" s="188">
        <v>10177</v>
      </c>
      <c r="AD27" s="188">
        <v>10640</v>
      </c>
      <c r="AE27" s="188">
        <v>11152</v>
      </c>
      <c r="AF27" s="188">
        <v>11697</v>
      </c>
      <c r="AG27" s="188">
        <v>71702</v>
      </c>
      <c r="AH27" s="188">
        <v>75627</v>
      </c>
      <c r="AI27" s="188">
        <v>79536</v>
      </c>
      <c r="AJ27" s="188">
        <v>83474</v>
      </c>
      <c r="AK27" s="188">
        <v>87688</v>
      </c>
      <c r="AL27" s="189">
        <v>4.8399999999999999E-2</v>
      </c>
      <c r="AM27" s="189">
        <v>4.9699999999999994E-2</v>
      </c>
      <c r="AN27" s="189">
        <v>4.5400000000000003E-2</v>
      </c>
      <c r="AO27" s="189">
        <v>4.82E-2</v>
      </c>
      <c r="AP27" s="189">
        <v>4.8899999999999999E-2</v>
      </c>
      <c r="AQ27" s="189">
        <v>5.3699999999999998E-2</v>
      </c>
      <c r="AR27" s="189">
        <v>5.4699999999999999E-2</v>
      </c>
      <c r="AS27" s="189">
        <v>5.1699999999999996E-2</v>
      </c>
      <c r="AT27" s="189">
        <v>4.9500000000000002E-2</v>
      </c>
      <c r="AU27" s="189">
        <v>5.0499999999999996E-2</v>
      </c>
      <c r="AV27" s="188">
        <v>15226</v>
      </c>
      <c r="AW27" s="188">
        <v>16467</v>
      </c>
      <c r="AX27" s="188">
        <v>17742</v>
      </c>
      <c r="AY27" s="188">
        <v>19291</v>
      </c>
      <c r="AZ27" s="188">
        <v>20737</v>
      </c>
      <c r="BA27" s="188">
        <v>21745</v>
      </c>
      <c r="BB27" s="188">
        <v>23624</v>
      </c>
      <c r="BC27" s="188">
        <v>25526</v>
      </c>
      <c r="BD27" s="188">
        <v>27573</v>
      </c>
      <c r="BE27" s="188">
        <v>29589</v>
      </c>
      <c r="BF27" s="231">
        <f t="shared" si="11"/>
        <v>0.64329032459757984</v>
      </c>
      <c r="BG27" s="188">
        <f t="shared" si="12"/>
        <v>4179</v>
      </c>
      <c r="BH27" s="188">
        <f t="shared" si="13"/>
        <v>56784</v>
      </c>
      <c r="BI27" s="188">
        <f t="shared" si="14"/>
        <v>261253</v>
      </c>
      <c r="BJ27" s="188">
        <f t="shared" si="15"/>
        <v>400261</v>
      </c>
      <c r="BK27" s="240">
        <f>'ERR Calculation'!$C$3*($V27/$V$70)*(BG27/$Q27)</f>
        <v>1349.8083233227126</v>
      </c>
      <c r="BL27" s="240">
        <f>'ERR Calculation'!$C$3*($V27/$V$70)*(BH27/$Q27)</f>
        <v>18341.114101832234</v>
      </c>
      <c r="BM27" s="240">
        <f>'ERR Calculation'!$C$3*($V27/$V$70)*(BI27/$Q27)</f>
        <v>84384.176571674718</v>
      </c>
      <c r="BN27" s="240">
        <f>'ERR Calculation'!$C$3*($V27/$V$70)*(BJ27/$Q27)</f>
        <v>129283.47195536546</v>
      </c>
    </row>
    <row r="28" spans="2:66" x14ac:dyDescent="0.25">
      <c r="B28">
        <v>1</v>
      </c>
      <c r="C28">
        <v>0</v>
      </c>
      <c r="D28">
        <f t="shared" si="0"/>
        <v>0</v>
      </c>
      <c r="E28" t="s">
        <v>2</v>
      </c>
      <c r="F28" t="s">
        <v>192</v>
      </c>
      <c r="G28" t="s">
        <v>192</v>
      </c>
      <c r="H28" s="188">
        <f t="shared" si="1"/>
        <v>0</v>
      </c>
      <c r="I28" s="188">
        <f t="shared" si="2"/>
        <v>3227046</v>
      </c>
      <c r="J28" s="189">
        <f t="shared" si="3"/>
        <v>1.8116024701543054E-2</v>
      </c>
      <c r="K28" s="188">
        <f t="shared" si="4"/>
        <v>3286040</v>
      </c>
      <c r="L28" s="189">
        <f t="shared" si="5"/>
        <v>1.7614578098836375E-2</v>
      </c>
      <c r="M28" s="188">
        <f t="shared" si="16"/>
        <v>3344435</v>
      </c>
      <c r="N28" s="189">
        <f t="shared" si="7"/>
        <v>1.7078950905057511E-2</v>
      </c>
      <c r="O28" s="188">
        <f t="shared" si="8"/>
        <v>3402045</v>
      </c>
      <c r="P28" s="189">
        <f t="shared" si="9"/>
        <v>1.6578812893337513E-2</v>
      </c>
      <c r="Q28" s="188">
        <f t="shared" si="10"/>
        <v>3458917</v>
      </c>
      <c r="R28" s="188">
        <v>115070</v>
      </c>
      <c r="S28" s="188">
        <v>129976</v>
      </c>
      <c r="T28" s="188">
        <v>144814</v>
      </c>
      <c r="U28" s="188">
        <v>155106</v>
      </c>
      <c r="V28" s="188">
        <v>171711</v>
      </c>
      <c r="W28" s="188">
        <v>115070</v>
      </c>
      <c r="X28" s="188">
        <v>129976</v>
      </c>
      <c r="Y28" s="188">
        <v>144814</v>
      </c>
      <c r="Z28" s="188">
        <v>155106</v>
      </c>
      <c r="AA28" s="188">
        <v>171711</v>
      </c>
      <c r="AB28" s="188">
        <v>104615</v>
      </c>
      <c r="AC28" s="188">
        <v>111766</v>
      </c>
      <c r="AD28" s="188">
        <v>119991</v>
      </c>
      <c r="AE28" s="188">
        <v>125036</v>
      </c>
      <c r="AF28" s="188">
        <v>130500</v>
      </c>
      <c r="AG28" s="188">
        <v>104615</v>
      </c>
      <c r="AH28" s="188">
        <v>111766</v>
      </c>
      <c r="AI28" s="188">
        <v>119991</v>
      </c>
      <c r="AJ28" s="188">
        <v>125036</v>
      </c>
      <c r="AK28" s="188">
        <v>130500</v>
      </c>
      <c r="AL28" s="189">
        <v>7.0300000000000001E-2</v>
      </c>
      <c r="AM28" s="189">
        <v>6.8400000000000002E-2</v>
      </c>
      <c r="AN28" s="189">
        <v>7.3599999999999999E-2</v>
      </c>
      <c r="AO28" s="189">
        <v>4.2000000000000003E-2</v>
      </c>
      <c r="AP28" s="189">
        <v>4.3700000000000003E-2</v>
      </c>
      <c r="AQ28" s="189">
        <v>7.0300000000000001E-2</v>
      </c>
      <c r="AR28" s="189">
        <v>6.8400000000000002E-2</v>
      </c>
      <c r="AS28" s="189">
        <v>7.3599999999999999E-2</v>
      </c>
      <c r="AT28" s="189">
        <v>4.2000000000000003E-2</v>
      </c>
      <c r="AU28" s="189">
        <v>4.3700000000000003E-2</v>
      </c>
      <c r="AV28" s="188">
        <v>35658</v>
      </c>
      <c r="AW28" s="188">
        <v>39554</v>
      </c>
      <c r="AX28" s="188">
        <v>43300</v>
      </c>
      <c r="AY28" s="188">
        <v>45592</v>
      </c>
      <c r="AZ28" s="188">
        <v>49643</v>
      </c>
      <c r="BA28" s="188">
        <v>35658</v>
      </c>
      <c r="BB28" s="188">
        <v>39554</v>
      </c>
      <c r="BC28" s="188">
        <v>43300</v>
      </c>
      <c r="BD28" s="188">
        <v>45592</v>
      </c>
      <c r="BE28" s="188">
        <v>49643</v>
      </c>
      <c r="BF28" s="231">
        <f t="shared" si="11"/>
        <v>1.0792815432761382</v>
      </c>
      <c r="BG28" s="188">
        <f t="shared" si="12"/>
        <v>14578</v>
      </c>
      <c r="BH28" s="188">
        <f t="shared" si="13"/>
        <v>221564</v>
      </c>
      <c r="BI28" s="188">
        <f t="shared" si="14"/>
        <v>1125599</v>
      </c>
      <c r="BJ28" s="188">
        <f t="shared" si="15"/>
        <v>2097176</v>
      </c>
      <c r="BK28" s="240">
        <f>'ERR Calculation'!$C$3*($V28/$V$70)*(BG28/$Q28)</f>
        <v>11272.231161720376</v>
      </c>
      <c r="BL28" s="240">
        <f>'ERR Calculation'!$C$3*($V28/$V$70)*(BH28/$Q28)</f>
        <v>171321.21176535971</v>
      </c>
      <c r="BM28" s="240">
        <f>'ERR Calculation'!$C$3*($V28/$V$70)*(BI28/$Q28)</f>
        <v>870353.41771170916</v>
      </c>
      <c r="BN28" s="240">
        <f>'ERR Calculation'!$C$3*($V28/$V$70)*(BJ28/$Q28)</f>
        <v>1621611.5145295716</v>
      </c>
    </row>
    <row r="29" spans="2:66" x14ac:dyDescent="0.25">
      <c r="B29">
        <v>1</v>
      </c>
      <c r="C29">
        <v>2</v>
      </c>
      <c r="D29">
        <f t="shared" si="0"/>
        <v>1</v>
      </c>
      <c r="E29" t="s">
        <v>165</v>
      </c>
      <c r="F29" t="s">
        <v>193</v>
      </c>
      <c r="G29" t="s">
        <v>194</v>
      </c>
      <c r="H29" s="188">
        <f t="shared" si="1"/>
        <v>1</v>
      </c>
      <c r="I29" s="188">
        <f t="shared" si="2"/>
        <v>268279</v>
      </c>
      <c r="J29" s="189">
        <f t="shared" si="3"/>
        <v>1.5805606828706686E-2</v>
      </c>
      <c r="K29" s="188">
        <f t="shared" si="4"/>
        <v>272553</v>
      </c>
      <c r="L29" s="189">
        <f t="shared" si="5"/>
        <v>1.1443955458174671E-2</v>
      </c>
      <c r="M29" s="188">
        <f t="shared" si="16"/>
        <v>275690</v>
      </c>
      <c r="N29" s="189">
        <f t="shared" si="7"/>
        <v>2.7892748167085202E-2</v>
      </c>
      <c r="O29" s="188">
        <f t="shared" si="8"/>
        <v>283488</v>
      </c>
      <c r="P29" s="189">
        <f t="shared" si="9"/>
        <v>1.8509209592270537E-2</v>
      </c>
      <c r="Q29" s="188">
        <f t="shared" si="10"/>
        <v>288784</v>
      </c>
      <c r="R29" s="188">
        <v>15136</v>
      </c>
      <c r="S29" s="188">
        <v>17575</v>
      </c>
      <c r="T29" s="188">
        <v>20559</v>
      </c>
      <c r="U29" s="188">
        <v>23132</v>
      </c>
      <c r="V29" s="188">
        <v>26033</v>
      </c>
      <c r="W29" s="188">
        <v>112813</v>
      </c>
      <c r="X29" s="188">
        <v>122857</v>
      </c>
      <c r="Y29" s="188">
        <v>133330</v>
      </c>
      <c r="Z29" s="188">
        <v>151201</v>
      </c>
      <c r="AA29" s="188">
        <v>178370</v>
      </c>
      <c r="AB29" s="188">
        <v>13772</v>
      </c>
      <c r="AC29" s="188">
        <v>15198</v>
      </c>
      <c r="AD29" s="188">
        <v>16747</v>
      </c>
      <c r="AE29" s="188">
        <v>18167</v>
      </c>
      <c r="AF29" s="188">
        <v>19481</v>
      </c>
      <c r="AG29" s="188">
        <v>107891</v>
      </c>
      <c r="AH29" s="188">
        <v>117119</v>
      </c>
      <c r="AI29" s="188">
        <v>121391</v>
      </c>
      <c r="AJ29" s="188">
        <v>130460</v>
      </c>
      <c r="AK29" s="188">
        <v>142476</v>
      </c>
      <c r="AL29" s="189">
        <v>9.8400000000000001E-2</v>
      </c>
      <c r="AM29" s="189">
        <v>0.10349999999999999</v>
      </c>
      <c r="AN29" s="189">
        <v>0.10189999999999999</v>
      </c>
      <c r="AO29" s="189">
        <v>8.48E-2</v>
      </c>
      <c r="AP29" s="189">
        <v>7.2300000000000003E-2</v>
      </c>
      <c r="AQ29" s="189">
        <v>1.72E-2</v>
      </c>
      <c r="AR29" s="189">
        <v>8.5500000000000007E-2</v>
      </c>
      <c r="AS29" s="189">
        <v>3.6499999999999998E-2</v>
      </c>
      <c r="AT29" s="189">
        <v>7.4700000000000003E-2</v>
      </c>
      <c r="AU29" s="189">
        <v>9.2100000000000015E-2</v>
      </c>
      <c r="AV29" s="188">
        <v>56419</v>
      </c>
      <c r="AW29" s="188">
        <v>64483</v>
      </c>
      <c r="AX29" s="188">
        <v>74573</v>
      </c>
      <c r="AY29" s="188">
        <v>81598</v>
      </c>
      <c r="AZ29" s="188">
        <v>90147</v>
      </c>
      <c r="BA29" s="188">
        <v>37935</v>
      </c>
      <c r="BB29" s="188">
        <v>40514</v>
      </c>
      <c r="BC29" s="188">
        <v>43134</v>
      </c>
      <c r="BD29" s="188">
        <v>48010</v>
      </c>
      <c r="BE29" s="188">
        <v>55611</v>
      </c>
      <c r="BF29" s="231">
        <f t="shared" si="11"/>
        <v>1.2090309993982904</v>
      </c>
      <c r="BG29" s="188">
        <f t="shared" si="12"/>
        <v>1082</v>
      </c>
      <c r="BH29" s="188">
        <f t="shared" si="13"/>
        <v>17249</v>
      </c>
      <c r="BI29" s="188">
        <f t="shared" si="14"/>
        <v>90866</v>
      </c>
      <c r="BJ29" s="188">
        <f t="shared" si="15"/>
        <v>179587</v>
      </c>
      <c r="BK29" s="240">
        <f>'ERR Calculation'!$C$3*($V29/$V$70)*(BG29/$Q29)</f>
        <v>1519.2607408188708</v>
      </c>
      <c r="BL29" s="240">
        <f>'ERR Calculation'!$C$3*($V29/$V$70)*(BH29/$Q29)</f>
        <v>24219.71212420028</v>
      </c>
      <c r="BM29" s="240">
        <f>'ERR Calculation'!$C$3*($V29/$V$70)*(BI29/$Q29)</f>
        <v>127587.01152980363</v>
      </c>
      <c r="BN29" s="240">
        <f>'ERR Calculation'!$C$3*($V29/$V$70)*(BJ29/$Q29)</f>
        <v>252162.17990890809</v>
      </c>
    </row>
    <row r="30" spans="2:66" x14ac:dyDescent="0.25">
      <c r="B30">
        <v>1</v>
      </c>
      <c r="C30">
        <v>0</v>
      </c>
      <c r="D30">
        <f t="shared" si="0"/>
        <v>0</v>
      </c>
      <c r="E30" t="s">
        <v>2</v>
      </c>
      <c r="F30" t="s">
        <v>195</v>
      </c>
      <c r="G30" t="s">
        <v>195</v>
      </c>
      <c r="H30" s="188">
        <f t="shared" si="1"/>
        <v>0</v>
      </c>
      <c r="I30" s="188">
        <f t="shared" si="2"/>
        <v>4565630</v>
      </c>
      <c r="J30" s="189">
        <f t="shared" si="3"/>
        <v>1.6478062490365986E-2</v>
      </c>
      <c r="K30" s="188">
        <f t="shared" si="4"/>
        <v>4641486</v>
      </c>
      <c r="L30" s="189">
        <f t="shared" si="5"/>
        <v>1.5961395753429031E-2</v>
      </c>
      <c r="M30" s="188">
        <f t="shared" si="16"/>
        <v>4716165</v>
      </c>
      <c r="N30" s="189">
        <f t="shared" si="7"/>
        <v>1.5434437082053165E-2</v>
      </c>
      <c r="O30" s="188">
        <f t="shared" si="8"/>
        <v>4789521</v>
      </c>
      <c r="P30" s="189">
        <f t="shared" si="9"/>
        <v>1.4963523850569871E-2</v>
      </c>
      <c r="Q30" s="188">
        <f t="shared" si="10"/>
        <v>4861728</v>
      </c>
      <c r="R30" s="188">
        <v>106959</v>
      </c>
      <c r="S30" s="188">
        <v>118641</v>
      </c>
      <c r="T30" s="188">
        <v>132345</v>
      </c>
      <c r="U30" s="188">
        <v>146703</v>
      </c>
      <c r="V30" s="188">
        <v>161492</v>
      </c>
      <c r="W30" s="188">
        <v>106959</v>
      </c>
      <c r="X30" s="188">
        <v>118641</v>
      </c>
      <c r="Y30" s="188">
        <v>132345</v>
      </c>
      <c r="Z30" s="188">
        <v>146703</v>
      </c>
      <c r="AA30" s="188">
        <v>161492</v>
      </c>
      <c r="AB30" s="188">
        <v>96162</v>
      </c>
      <c r="AC30" s="188">
        <v>101980</v>
      </c>
      <c r="AD30" s="188">
        <v>107115</v>
      </c>
      <c r="AE30" s="188">
        <v>112325</v>
      </c>
      <c r="AF30" s="188">
        <v>118185</v>
      </c>
      <c r="AG30" s="188">
        <v>96162</v>
      </c>
      <c r="AH30" s="188">
        <v>101980</v>
      </c>
      <c r="AI30" s="188">
        <v>107115</v>
      </c>
      <c r="AJ30" s="188">
        <v>112325</v>
      </c>
      <c r="AK30" s="188">
        <v>118185</v>
      </c>
      <c r="AL30" s="189">
        <v>5.91E-2</v>
      </c>
      <c r="AM30" s="189">
        <v>6.0499999999999998E-2</v>
      </c>
      <c r="AN30" s="189">
        <v>5.0300000000000004E-2</v>
      </c>
      <c r="AO30" s="189">
        <v>4.8600000000000004E-2</v>
      </c>
      <c r="AP30" s="189">
        <v>5.2199999999999996E-2</v>
      </c>
      <c r="AQ30" s="189">
        <v>5.91E-2</v>
      </c>
      <c r="AR30" s="189">
        <v>6.0499999999999998E-2</v>
      </c>
      <c r="AS30" s="189">
        <v>5.0300000000000004E-2</v>
      </c>
      <c r="AT30" s="189">
        <v>4.8600000000000004E-2</v>
      </c>
      <c r="AU30" s="189">
        <v>5.2199999999999996E-2</v>
      </c>
      <c r="AV30" s="188">
        <v>23427</v>
      </c>
      <c r="AW30" s="188">
        <v>25561</v>
      </c>
      <c r="AX30" s="188">
        <v>28062</v>
      </c>
      <c r="AY30" s="188">
        <v>30630</v>
      </c>
      <c r="AZ30" s="188">
        <v>33217</v>
      </c>
      <c r="BA30" s="188">
        <v>23427</v>
      </c>
      <c r="BB30" s="188">
        <v>25561</v>
      </c>
      <c r="BC30" s="188">
        <v>28062</v>
      </c>
      <c r="BD30" s="188">
        <v>30630</v>
      </c>
      <c r="BE30" s="188">
        <v>33217</v>
      </c>
      <c r="BF30" s="231">
        <f t="shared" si="11"/>
        <v>0.72216616689167634</v>
      </c>
      <c r="BG30" s="188">
        <f t="shared" si="12"/>
        <v>26740</v>
      </c>
      <c r="BH30" s="188">
        <f t="shared" si="13"/>
        <v>369325</v>
      </c>
      <c r="BI30" s="188">
        <f t="shared" si="14"/>
        <v>1726206</v>
      </c>
      <c r="BJ30" s="188">
        <f t="shared" si="15"/>
        <v>2739457</v>
      </c>
      <c r="BK30" s="240">
        <f>'ERR Calculation'!$C$3*($V30/$V$70)*(BG30/$Q30)</f>
        <v>13834.890375160374</v>
      </c>
      <c r="BL30" s="240">
        <f>'ERR Calculation'!$C$3*($V30/$V$70)*(BH30/$Q30)</f>
        <v>191083.4288633547</v>
      </c>
      <c r="BM30" s="240">
        <f>'ERR Calculation'!$C$3*($V30/$V$70)*(BI30/$Q30)</f>
        <v>893114.0903120453</v>
      </c>
      <c r="BN30" s="240">
        <f>'ERR Calculation'!$C$3*($V30/$V$70)*(BJ30/$Q30)</f>
        <v>1417355.5453427716</v>
      </c>
    </row>
    <row r="31" spans="2:66" x14ac:dyDescent="0.25">
      <c r="B31">
        <v>1</v>
      </c>
      <c r="C31">
        <v>0</v>
      </c>
      <c r="D31">
        <f t="shared" si="0"/>
        <v>0</v>
      </c>
      <c r="E31" t="s">
        <v>2</v>
      </c>
      <c r="F31" t="s">
        <v>171</v>
      </c>
      <c r="G31" t="s">
        <v>171</v>
      </c>
      <c r="H31" s="188">
        <f t="shared" si="1"/>
        <v>0</v>
      </c>
      <c r="I31" s="188">
        <f t="shared" si="2"/>
        <v>3784978</v>
      </c>
      <c r="J31" s="189">
        <f t="shared" si="3"/>
        <v>1.8196552584802461E-2</v>
      </c>
      <c r="K31" s="188">
        <f t="shared" si="4"/>
        <v>3854482</v>
      </c>
      <c r="L31" s="189">
        <f t="shared" si="5"/>
        <v>1.7559115568470673E-2</v>
      </c>
      <c r="M31" s="188">
        <f t="shared" si="16"/>
        <v>3922761</v>
      </c>
      <c r="N31" s="189">
        <f t="shared" si="7"/>
        <v>1.6940098288239724E-2</v>
      </c>
      <c r="O31" s="188">
        <f t="shared" si="8"/>
        <v>3989779</v>
      </c>
      <c r="P31" s="189">
        <f t="shared" si="9"/>
        <v>1.6334938103165442E-2</v>
      </c>
      <c r="Q31" s="188">
        <f t="shared" si="10"/>
        <v>4055487</v>
      </c>
      <c r="R31" s="188">
        <v>106725</v>
      </c>
      <c r="S31" s="188">
        <v>115858</v>
      </c>
      <c r="T31" s="188">
        <v>127882</v>
      </c>
      <c r="U31" s="188">
        <v>137392</v>
      </c>
      <c r="V31" s="188">
        <v>146326</v>
      </c>
      <c r="W31" s="188">
        <v>106725</v>
      </c>
      <c r="X31" s="188">
        <v>115858</v>
      </c>
      <c r="Y31" s="188">
        <v>127882</v>
      </c>
      <c r="Z31" s="188">
        <v>137392</v>
      </c>
      <c r="AA31" s="188">
        <v>146326</v>
      </c>
      <c r="AB31" s="188">
        <v>96698</v>
      </c>
      <c r="AC31" s="188">
        <v>101851</v>
      </c>
      <c r="AD31" s="188">
        <v>106779</v>
      </c>
      <c r="AE31" s="188">
        <v>110868</v>
      </c>
      <c r="AF31" s="188">
        <v>115728</v>
      </c>
      <c r="AG31" s="188">
        <v>96698</v>
      </c>
      <c r="AH31" s="188">
        <v>101851</v>
      </c>
      <c r="AI31" s="188">
        <v>106779</v>
      </c>
      <c r="AJ31" s="188">
        <v>110868</v>
      </c>
      <c r="AK31" s="188">
        <v>115728</v>
      </c>
      <c r="AL31" s="189">
        <v>5.9699999999999996E-2</v>
      </c>
      <c r="AM31" s="189">
        <v>5.33E-2</v>
      </c>
      <c r="AN31" s="189">
        <v>4.8399999999999999E-2</v>
      </c>
      <c r="AO31" s="189">
        <v>3.8300000000000001E-2</v>
      </c>
      <c r="AP31" s="189">
        <v>4.3799999999999999E-2</v>
      </c>
      <c r="AQ31" s="189">
        <v>5.9699999999999996E-2</v>
      </c>
      <c r="AR31" s="189">
        <v>5.33E-2</v>
      </c>
      <c r="AS31" s="189">
        <v>4.8399999999999999E-2</v>
      </c>
      <c r="AT31" s="189">
        <v>3.8300000000000001E-2</v>
      </c>
      <c r="AU31" s="189">
        <v>4.3799999999999999E-2</v>
      </c>
      <c r="AV31" s="188">
        <v>28197</v>
      </c>
      <c r="AW31" s="188">
        <v>30058</v>
      </c>
      <c r="AX31" s="188">
        <v>32600</v>
      </c>
      <c r="AY31" s="188">
        <v>34436</v>
      </c>
      <c r="AZ31" s="188">
        <v>36081</v>
      </c>
      <c r="BA31" s="188">
        <v>28197</v>
      </c>
      <c r="BB31" s="188">
        <v>30058</v>
      </c>
      <c r="BC31" s="188">
        <v>32600</v>
      </c>
      <c r="BD31" s="188">
        <v>34436</v>
      </c>
      <c r="BE31" s="188">
        <v>36081</v>
      </c>
      <c r="BF31" s="231">
        <f t="shared" si="11"/>
        <v>0.78443199167951871</v>
      </c>
      <c r="BG31" s="188">
        <f t="shared" si="12"/>
        <v>21397</v>
      </c>
      <c r="BH31" s="188">
        <f t="shared" si="13"/>
        <v>299657</v>
      </c>
      <c r="BI31" s="188">
        <f t="shared" si="14"/>
        <v>1418983</v>
      </c>
      <c r="BJ31" s="188">
        <f t="shared" si="15"/>
        <v>2315450</v>
      </c>
      <c r="BK31" s="240">
        <f>'ERR Calculation'!$C$3*($V31/$V$70)*(BG31/$Q31)</f>
        <v>12025.006996044662</v>
      </c>
      <c r="BL31" s="240">
        <f>'ERR Calculation'!$C$3*($V31/$V$70)*(BH31/$Q31)</f>
        <v>168405.73544953755</v>
      </c>
      <c r="BM31" s="240">
        <f>'ERR Calculation'!$C$3*($V31/$V$70)*(BI31/$Q31)</f>
        <v>797461.34982794034</v>
      </c>
      <c r="BN31" s="240">
        <f>'ERR Calculation'!$C$3*($V31/$V$70)*(BJ31/$Q31)</f>
        <v>1301271.3206987712</v>
      </c>
    </row>
    <row r="32" spans="2:66" x14ac:dyDescent="0.25">
      <c r="B32">
        <v>0</v>
      </c>
      <c r="C32">
        <v>2</v>
      </c>
      <c r="D32">
        <f t="shared" si="0"/>
        <v>1</v>
      </c>
      <c r="E32" t="s">
        <v>2</v>
      </c>
      <c r="F32" t="s">
        <v>230</v>
      </c>
      <c r="G32" t="s">
        <v>230</v>
      </c>
      <c r="H32" s="188">
        <f t="shared" si="1"/>
        <v>1</v>
      </c>
      <c r="I32" s="188">
        <f t="shared" si="2"/>
        <v>2329770</v>
      </c>
      <c r="J32" s="189">
        <f t="shared" si="3"/>
        <v>2.3328520757697646E-2</v>
      </c>
      <c r="K32" s="188">
        <f t="shared" si="4"/>
        <v>2384759</v>
      </c>
      <c r="L32" s="189">
        <f t="shared" si="5"/>
        <v>2.2850376894982816E-2</v>
      </c>
      <c r="M32" s="188">
        <f t="shared" si="16"/>
        <v>2439879</v>
      </c>
      <c r="N32" s="189">
        <f t="shared" si="7"/>
        <v>2.2353908453597526E-2</v>
      </c>
      <c r="O32" s="188">
        <f t="shared" si="8"/>
        <v>2495034</v>
      </c>
      <c r="P32" s="189">
        <f t="shared" si="9"/>
        <v>2.1870607479796078E-2</v>
      </c>
      <c r="Q32" s="188">
        <f t="shared" si="10"/>
        <v>2550203</v>
      </c>
      <c r="R32" s="188">
        <v>73425</v>
      </c>
      <c r="S32" s="188">
        <v>81957</v>
      </c>
      <c r="T32" s="188">
        <v>89890</v>
      </c>
      <c r="U32" s="188">
        <v>100218</v>
      </c>
      <c r="V32" s="188">
        <v>112441</v>
      </c>
      <c r="W32" s="188">
        <v>73425</v>
      </c>
      <c r="X32" s="188">
        <v>81957</v>
      </c>
      <c r="Y32" s="188">
        <v>89890</v>
      </c>
      <c r="Z32" s="188">
        <v>100218</v>
      </c>
      <c r="AA32" s="188">
        <v>112441</v>
      </c>
      <c r="AB32" s="188">
        <v>64649</v>
      </c>
      <c r="AC32" s="188">
        <v>69411</v>
      </c>
      <c r="AD32" s="188">
        <v>73725</v>
      </c>
      <c r="AE32" s="188">
        <v>78891</v>
      </c>
      <c r="AF32" s="188">
        <v>83909</v>
      </c>
      <c r="AG32" s="188">
        <v>64649</v>
      </c>
      <c r="AH32" s="188">
        <v>69411</v>
      </c>
      <c r="AI32" s="188">
        <v>73725</v>
      </c>
      <c r="AJ32" s="188">
        <v>78891</v>
      </c>
      <c r="AK32" s="188">
        <v>83909</v>
      </c>
      <c r="AL32" s="189">
        <v>6.8699999999999997E-2</v>
      </c>
      <c r="AM32" s="189">
        <v>7.3700000000000002E-2</v>
      </c>
      <c r="AN32" s="189">
        <v>6.2100000000000002E-2</v>
      </c>
      <c r="AO32" s="189">
        <v>7.0099999999999996E-2</v>
      </c>
      <c r="AP32" s="189">
        <v>6.3600000000000004E-2</v>
      </c>
      <c r="AQ32" s="189">
        <v>6.8699999999999997E-2</v>
      </c>
      <c r="AR32" s="189">
        <v>7.3700000000000002E-2</v>
      </c>
      <c r="AS32" s="189">
        <v>6.2100000000000002E-2</v>
      </c>
      <c r="AT32" s="189">
        <v>7.0099999999999996E-2</v>
      </c>
      <c r="AU32" s="189">
        <v>6.3600000000000004E-2</v>
      </c>
      <c r="AV32" s="188">
        <v>31516</v>
      </c>
      <c r="AW32" s="188">
        <v>34367</v>
      </c>
      <c r="AX32" s="188">
        <v>36842</v>
      </c>
      <c r="AY32" s="188">
        <v>40167</v>
      </c>
      <c r="AZ32" s="188">
        <v>44091</v>
      </c>
      <c r="BA32" s="188">
        <v>31516</v>
      </c>
      <c r="BB32" s="188">
        <v>34367</v>
      </c>
      <c r="BC32" s="188">
        <v>36842</v>
      </c>
      <c r="BD32" s="188">
        <v>40167</v>
      </c>
      <c r="BE32" s="188">
        <v>44091</v>
      </c>
      <c r="BF32" s="231">
        <f t="shared" si="11"/>
        <v>0.95857628516786286</v>
      </c>
      <c r="BG32" s="188">
        <f t="shared" si="12"/>
        <v>11856</v>
      </c>
      <c r="BH32" s="188">
        <f t="shared" si="13"/>
        <v>173622</v>
      </c>
      <c r="BI32" s="188">
        <f t="shared" si="14"/>
        <v>855435</v>
      </c>
      <c r="BJ32" s="188">
        <f t="shared" si="15"/>
        <v>1509290</v>
      </c>
      <c r="BK32" s="240">
        <f>'ERR Calculation'!$C$3*($V32/$V$70)*(BG32/$Q32)</f>
        <v>8142.206292405368</v>
      </c>
      <c r="BL32" s="240">
        <f>'ERR Calculation'!$C$3*($V32/$V$70)*(BH32/$Q32)</f>
        <v>119236.34791666707</v>
      </c>
      <c r="BM32" s="240">
        <f>'ERR Calculation'!$C$3*($V32/$V$70)*(BI32/$Q32)</f>
        <v>587477.07825099409</v>
      </c>
      <c r="BN32" s="240">
        <f>'ERR Calculation'!$C$3*($V32/$V$70)*(BJ32/$Q32)</f>
        <v>1036517.4202989624</v>
      </c>
    </row>
    <row r="33" spans="2:66" x14ac:dyDescent="0.25">
      <c r="B33">
        <v>0</v>
      </c>
      <c r="C33">
        <v>2</v>
      </c>
      <c r="D33">
        <f t="shared" si="0"/>
        <v>1</v>
      </c>
      <c r="E33" t="s">
        <v>165</v>
      </c>
      <c r="F33" t="s">
        <v>233</v>
      </c>
      <c r="G33" t="s">
        <v>176</v>
      </c>
      <c r="H33" s="188">
        <f t="shared" si="1"/>
        <v>1</v>
      </c>
      <c r="I33" s="188">
        <f t="shared" si="2"/>
        <v>273695</v>
      </c>
      <c r="J33" s="189">
        <f t="shared" si="3"/>
        <v>1.0630375493629884E-2</v>
      </c>
      <c r="K33" s="188">
        <f t="shared" si="4"/>
        <v>276620</v>
      </c>
      <c r="L33" s="189">
        <f t="shared" si="5"/>
        <v>5.2353497669841431E-3</v>
      </c>
      <c r="M33" s="188">
        <f t="shared" si="16"/>
        <v>278072</v>
      </c>
      <c r="N33" s="189">
        <f t="shared" si="7"/>
        <v>6.9238158179505405E-3</v>
      </c>
      <c r="O33" s="188">
        <f t="shared" si="8"/>
        <v>280004</v>
      </c>
      <c r="P33" s="189">
        <f t="shared" si="9"/>
        <v>7.0287112986253675E-3</v>
      </c>
      <c r="Q33" s="188">
        <f t="shared" si="10"/>
        <v>281979</v>
      </c>
      <c r="R33" s="188">
        <v>72303</v>
      </c>
      <c r="S33" s="188">
        <v>79859</v>
      </c>
      <c r="T33" s="188">
        <v>87704</v>
      </c>
      <c r="U33" s="188">
        <v>97444</v>
      </c>
      <c r="V33" s="188">
        <v>106932</v>
      </c>
      <c r="W33" s="188">
        <v>1248767</v>
      </c>
      <c r="X33" s="188">
        <v>1382501</v>
      </c>
      <c r="Y33" s="188">
        <v>1537948</v>
      </c>
      <c r="Z33" s="188">
        <v>1692903</v>
      </c>
      <c r="AA33" s="188">
        <v>1855043</v>
      </c>
      <c r="AB33" s="188">
        <v>63185</v>
      </c>
      <c r="AC33" s="188">
        <v>65409</v>
      </c>
      <c r="AD33" s="188">
        <v>69233</v>
      </c>
      <c r="AE33" s="188">
        <v>72946</v>
      </c>
      <c r="AF33" s="188">
        <v>76959</v>
      </c>
      <c r="AG33" s="188">
        <v>1124465</v>
      </c>
      <c r="AH33" s="188">
        <v>1192790</v>
      </c>
      <c r="AI33" s="188">
        <v>1262684</v>
      </c>
      <c r="AJ33" s="188">
        <v>1331395</v>
      </c>
      <c r="AK33" s="188">
        <v>1405236</v>
      </c>
      <c r="AL33" s="189">
        <v>5.2699999999999997E-2</v>
      </c>
      <c r="AM33" s="189">
        <v>3.5200000000000002E-2</v>
      </c>
      <c r="AN33" s="189">
        <v>5.8499999999999996E-2</v>
      </c>
      <c r="AO33" s="189">
        <v>5.3600000000000002E-2</v>
      </c>
      <c r="AP33" s="189">
        <v>5.5E-2</v>
      </c>
      <c r="AQ33" s="189">
        <v>6.6400000000000001E-2</v>
      </c>
      <c r="AR33" s="189">
        <v>6.08E-2</v>
      </c>
      <c r="AS33" s="189">
        <v>5.8600000000000006E-2</v>
      </c>
      <c r="AT33" s="189">
        <v>5.4400000000000004E-2</v>
      </c>
      <c r="AU33" s="189">
        <v>5.5500000000000001E-2</v>
      </c>
      <c r="AV33" s="188">
        <v>264174</v>
      </c>
      <c r="AW33" s="188">
        <v>288696</v>
      </c>
      <c r="AX33" s="188">
        <v>315401</v>
      </c>
      <c r="AY33" s="188">
        <v>348010</v>
      </c>
      <c r="AZ33" s="188">
        <v>379220</v>
      </c>
      <c r="BA33" s="188">
        <v>32770</v>
      </c>
      <c r="BB33" s="188">
        <v>36037</v>
      </c>
      <c r="BC33" s="188">
        <v>39833</v>
      </c>
      <c r="BD33" s="188">
        <v>43578</v>
      </c>
      <c r="BE33" s="188">
        <v>47474</v>
      </c>
      <c r="BF33" s="231">
        <f t="shared" si="11"/>
        <v>1.0321256166124406</v>
      </c>
      <c r="BG33" s="188">
        <f t="shared" si="12"/>
        <v>1236</v>
      </c>
      <c r="BH33" s="188">
        <f t="shared" si="13"/>
        <v>18506</v>
      </c>
      <c r="BI33" s="188">
        <f t="shared" si="14"/>
        <v>92865</v>
      </c>
      <c r="BJ33" s="188">
        <f t="shared" si="15"/>
        <v>169372</v>
      </c>
      <c r="BK33" s="240">
        <f>'ERR Calculation'!$C$3*($V33/$V$70)*(BG33/$Q33)</f>
        <v>7300.6807599806261</v>
      </c>
      <c r="BL33" s="240">
        <f>'ERR Calculation'!$C$3*($V33/$V$70)*(BH33/$Q33)</f>
        <v>109309.38361181349</v>
      </c>
      <c r="BM33" s="240">
        <f>'ERR Calculation'!$C$3*($V33/$V$70)*(BI33/$Q33)</f>
        <v>548525.6624398065</v>
      </c>
      <c r="BN33" s="240">
        <f>'ERR Calculation'!$C$3*($V33/$V$70)*(BJ33/$Q33)</f>
        <v>1000429.5321031057</v>
      </c>
    </row>
    <row r="34" spans="2:66" x14ac:dyDescent="0.25">
      <c r="B34">
        <v>0</v>
      </c>
      <c r="C34">
        <v>2</v>
      </c>
      <c r="D34">
        <f t="shared" si="0"/>
        <v>1</v>
      </c>
      <c r="E34" t="s">
        <v>2</v>
      </c>
      <c r="F34" t="s">
        <v>231</v>
      </c>
      <c r="G34" t="s">
        <v>231</v>
      </c>
      <c r="H34" s="188">
        <f t="shared" si="1"/>
        <v>1</v>
      </c>
      <c r="I34" s="188">
        <f t="shared" si="2"/>
        <v>1286557</v>
      </c>
      <c r="J34" s="189">
        <f t="shared" si="3"/>
        <v>2.1942289951589089E-2</v>
      </c>
      <c r="K34" s="188">
        <f t="shared" si="4"/>
        <v>1315099</v>
      </c>
      <c r="L34" s="189">
        <f t="shared" si="5"/>
        <v>2.1665374808696569E-2</v>
      </c>
      <c r="M34" s="188">
        <f t="shared" si="16"/>
        <v>1343902</v>
      </c>
      <c r="N34" s="189">
        <f t="shared" si="7"/>
        <v>2.1273670098301167E-2</v>
      </c>
      <c r="O34" s="188">
        <f t="shared" si="8"/>
        <v>1372798</v>
      </c>
      <c r="P34" s="189">
        <f t="shared" si="9"/>
        <v>2.0930386445797922E-2</v>
      </c>
      <c r="Q34" s="188">
        <f t="shared" si="10"/>
        <v>1401834</v>
      </c>
      <c r="R34" s="188">
        <v>45400</v>
      </c>
      <c r="S34" s="188">
        <v>50388</v>
      </c>
      <c r="T34" s="188">
        <v>56374</v>
      </c>
      <c r="U34" s="188">
        <v>60992</v>
      </c>
      <c r="V34" s="188">
        <v>65125</v>
      </c>
      <c r="W34" s="188">
        <v>45400</v>
      </c>
      <c r="X34" s="188">
        <v>50388</v>
      </c>
      <c r="Y34" s="188">
        <v>56374</v>
      </c>
      <c r="Z34" s="188">
        <v>60992</v>
      </c>
      <c r="AA34" s="188">
        <v>65125</v>
      </c>
      <c r="AB34" s="188">
        <v>40105</v>
      </c>
      <c r="AC34" s="188">
        <v>42191</v>
      </c>
      <c r="AD34" s="188">
        <v>44159</v>
      </c>
      <c r="AE34" s="188">
        <v>45961</v>
      </c>
      <c r="AF34" s="188">
        <v>47853</v>
      </c>
      <c r="AG34" s="188">
        <v>40105</v>
      </c>
      <c r="AH34" s="188">
        <v>42191</v>
      </c>
      <c r="AI34" s="188">
        <v>44159</v>
      </c>
      <c r="AJ34" s="188">
        <v>45961</v>
      </c>
      <c r="AK34" s="188">
        <v>47853</v>
      </c>
      <c r="AL34" s="189">
        <v>5.5E-2</v>
      </c>
      <c r="AM34" s="189">
        <v>5.2000000000000005E-2</v>
      </c>
      <c r="AN34" s="189">
        <v>4.6699999999999998E-2</v>
      </c>
      <c r="AO34" s="189">
        <v>4.0800000000000003E-2</v>
      </c>
      <c r="AP34" s="189">
        <v>4.1100000000000005E-2</v>
      </c>
      <c r="AQ34" s="189">
        <v>5.5E-2</v>
      </c>
      <c r="AR34" s="189">
        <v>5.2000000000000005E-2</v>
      </c>
      <c r="AS34" s="189">
        <v>4.6699999999999998E-2</v>
      </c>
      <c r="AT34" s="189">
        <v>4.0800000000000003E-2</v>
      </c>
      <c r="AU34" s="189">
        <v>4.1100000000000005E-2</v>
      </c>
      <c r="AV34" s="188">
        <v>35288</v>
      </c>
      <c r="AW34" s="188">
        <v>38315</v>
      </c>
      <c r="AX34" s="188">
        <v>41948</v>
      </c>
      <c r="AY34" s="188">
        <v>44429</v>
      </c>
      <c r="AZ34" s="188">
        <v>46457</v>
      </c>
      <c r="BA34" s="188">
        <v>35288</v>
      </c>
      <c r="BB34" s="188">
        <v>38315</v>
      </c>
      <c r="BC34" s="188">
        <v>41948</v>
      </c>
      <c r="BD34" s="188">
        <v>44429</v>
      </c>
      <c r="BE34" s="188">
        <v>46457</v>
      </c>
      <c r="BF34" s="231">
        <f t="shared" si="11"/>
        <v>1.0100151613717856</v>
      </c>
      <c r="BG34" s="188">
        <f t="shared" si="12"/>
        <v>6258</v>
      </c>
      <c r="BH34" s="188">
        <f t="shared" si="13"/>
        <v>93034</v>
      </c>
      <c r="BI34" s="188">
        <f t="shared" si="14"/>
        <v>464244</v>
      </c>
      <c r="BJ34" s="188">
        <f t="shared" si="15"/>
        <v>838298</v>
      </c>
      <c r="BK34" s="240">
        <f>'ERR Calculation'!$C$3*($V34/$V$70)*(BG34/$Q34)</f>
        <v>4528.3571254055951</v>
      </c>
      <c r="BL34" s="240">
        <f>'ERR Calculation'!$C$3*($V34/$V$70)*(BH34/$Q34)</f>
        <v>67320.41815356091</v>
      </c>
      <c r="BM34" s="240">
        <f>'ERR Calculation'!$C$3*($V34/$V$70)*(BI34/$Q34)</f>
        <v>335932.02705765335</v>
      </c>
      <c r="BN34" s="240">
        <f>'ERR Calculation'!$C$3*($V34/$V$70)*(BJ34/$Q34)</f>
        <v>606601.58541279309</v>
      </c>
    </row>
    <row r="35" spans="2:66" x14ac:dyDescent="0.25">
      <c r="B35">
        <v>1</v>
      </c>
      <c r="C35">
        <v>1</v>
      </c>
      <c r="D35">
        <f t="shared" si="0"/>
        <v>1</v>
      </c>
      <c r="E35" t="s">
        <v>2</v>
      </c>
      <c r="F35" t="s">
        <v>196</v>
      </c>
      <c r="G35" t="s">
        <v>196</v>
      </c>
      <c r="H35" s="188">
        <f t="shared" si="1"/>
        <v>1</v>
      </c>
      <c r="I35" s="188">
        <f t="shared" si="2"/>
        <v>1805098</v>
      </c>
      <c r="J35" s="189">
        <f t="shared" si="3"/>
        <v>3.0705950346568756E-2</v>
      </c>
      <c r="K35" s="188">
        <f t="shared" si="4"/>
        <v>1861385</v>
      </c>
      <c r="L35" s="189">
        <f t="shared" si="5"/>
        <v>2.9660741179426964E-2</v>
      </c>
      <c r="M35" s="188">
        <f t="shared" si="16"/>
        <v>1917422</v>
      </c>
      <c r="N35" s="189">
        <f t="shared" si="7"/>
        <v>2.8602034344714866E-2</v>
      </c>
      <c r="O35" s="188">
        <f t="shared" si="8"/>
        <v>1973056</v>
      </c>
      <c r="P35" s="189">
        <f t="shared" si="9"/>
        <v>2.7549805779724323E-2</v>
      </c>
      <c r="Q35" s="188">
        <f t="shared" si="10"/>
        <v>2028169</v>
      </c>
      <c r="R35" s="188">
        <v>144841</v>
      </c>
      <c r="S35" s="188">
        <v>163262</v>
      </c>
      <c r="T35" s="188">
        <v>180880</v>
      </c>
      <c r="U35" s="188">
        <v>199539</v>
      </c>
      <c r="V35" s="188">
        <v>216580</v>
      </c>
      <c r="W35" s="188">
        <v>144841</v>
      </c>
      <c r="X35" s="188">
        <v>163262</v>
      </c>
      <c r="Y35" s="188">
        <v>180880</v>
      </c>
      <c r="Z35" s="188">
        <v>199539</v>
      </c>
      <c r="AA35" s="188">
        <v>216580</v>
      </c>
      <c r="AB35" s="188">
        <v>128035</v>
      </c>
      <c r="AC35" s="188">
        <v>137264</v>
      </c>
      <c r="AD35" s="188">
        <v>146325</v>
      </c>
      <c r="AE35" s="188">
        <v>155113</v>
      </c>
      <c r="AF35" s="188">
        <v>162923</v>
      </c>
      <c r="AG35" s="188">
        <v>128035</v>
      </c>
      <c r="AH35" s="188">
        <v>137264</v>
      </c>
      <c r="AI35" s="188">
        <v>146325</v>
      </c>
      <c r="AJ35" s="188">
        <v>155113</v>
      </c>
      <c r="AK35" s="188">
        <v>162923</v>
      </c>
      <c r="AL35" s="189">
        <v>7.6299999999999993E-2</v>
      </c>
      <c r="AM35" s="189">
        <v>7.2099999999999997E-2</v>
      </c>
      <c r="AN35" s="189">
        <v>6.6000000000000003E-2</v>
      </c>
      <c r="AO35" s="189">
        <v>6.0100000000000001E-2</v>
      </c>
      <c r="AP35" s="189">
        <v>5.0300000000000004E-2</v>
      </c>
      <c r="AQ35" s="189">
        <v>7.6299999999999993E-2</v>
      </c>
      <c r="AR35" s="189">
        <v>7.2099999999999997E-2</v>
      </c>
      <c r="AS35" s="189">
        <v>6.6000000000000003E-2</v>
      </c>
      <c r="AT35" s="189">
        <v>6.0100000000000001E-2</v>
      </c>
      <c r="AU35" s="189">
        <v>5.0300000000000004E-2</v>
      </c>
      <c r="AV35" s="188">
        <v>80240</v>
      </c>
      <c r="AW35" s="188">
        <v>87710</v>
      </c>
      <c r="AX35" s="188">
        <v>94335</v>
      </c>
      <c r="AY35" s="188">
        <v>101132</v>
      </c>
      <c r="AZ35" s="188">
        <v>106786</v>
      </c>
      <c r="BA35" s="188">
        <v>80240</v>
      </c>
      <c r="BB35" s="188">
        <v>87710</v>
      </c>
      <c r="BC35" s="188">
        <v>94335</v>
      </c>
      <c r="BD35" s="188">
        <v>101132</v>
      </c>
      <c r="BE35" s="188">
        <v>106786</v>
      </c>
      <c r="BF35" s="231">
        <f t="shared" si="11"/>
        <v>2.3216195411293779</v>
      </c>
      <c r="BG35" s="188">
        <f t="shared" si="12"/>
        <v>0</v>
      </c>
      <c r="BH35" s="188">
        <f t="shared" si="13"/>
        <v>45885</v>
      </c>
      <c r="BI35" s="188">
        <f t="shared" si="14"/>
        <v>450873</v>
      </c>
      <c r="BJ35" s="188">
        <f t="shared" si="15"/>
        <v>1531411</v>
      </c>
      <c r="BK35" s="240">
        <f>'ERR Calculation'!$C$3*($V35/$V$70)*(BG35/$Q35)</f>
        <v>0</v>
      </c>
      <c r="BL35" s="240">
        <f>'ERR Calculation'!$C$3*($V35/$V$70)*(BH35/$Q35)</f>
        <v>76320.096161970374</v>
      </c>
      <c r="BM35" s="240">
        <f>'ERR Calculation'!$C$3*($V35/$V$70)*(BI35/$Q35)</f>
        <v>749932.8912898784</v>
      </c>
      <c r="BN35" s="240">
        <f>'ERR Calculation'!$C$3*($V35/$V$70)*(BJ35/$Q35)</f>
        <v>2547181.7540263534</v>
      </c>
    </row>
    <row r="36" spans="2:66" x14ac:dyDescent="0.25">
      <c r="B36">
        <v>1</v>
      </c>
      <c r="C36">
        <v>0</v>
      </c>
      <c r="D36">
        <f t="shared" si="0"/>
        <v>0</v>
      </c>
      <c r="E36" t="s">
        <v>162</v>
      </c>
      <c r="F36" t="s">
        <v>197</v>
      </c>
      <c r="G36" t="s">
        <v>172</v>
      </c>
      <c r="H36" s="188">
        <f t="shared" si="1"/>
        <v>0</v>
      </c>
      <c r="I36" s="188">
        <f t="shared" si="2"/>
        <v>1036424</v>
      </c>
      <c r="J36" s="189">
        <f t="shared" si="3"/>
        <v>6.1023894734972828E-3</v>
      </c>
      <c r="K36" s="188">
        <f t="shared" si="4"/>
        <v>1042768</v>
      </c>
      <c r="L36" s="189">
        <f t="shared" si="5"/>
        <v>6.0558441560427667E-3</v>
      </c>
      <c r="M36" s="188">
        <f t="shared" si="16"/>
        <v>1049102</v>
      </c>
      <c r="N36" s="189">
        <f t="shared" si="7"/>
        <v>5.9862293475916317E-3</v>
      </c>
      <c r="O36" s="188">
        <f t="shared" si="8"/>
        <v>1055401</v>
      </c>
      <c r="P36" s="189">
        <f t="shared" si="9"/>
        <v>6.1559175356222795E-3</v>
      </c>
      <c r="Q36" s="188">
        <f t="shared" si="10"/>
        <v>1061918</v>
      </c>
      <c r="R36" s="188">
        <v>11951</v>
      </c>
      <c r="S36" s="188">
        <v>13459</v>
      </c>
      <c r="T36" s="188">
        <v>14999</v>
      </c>
      <c r="U36" s="188">
        <v>16993</v>
      </c>
      <c r="V36" s="188">
        <v>18574</v>
      </c>
      <c r="W36" s="188">
        <v>1128246</v>
      </c>
      <c r="X36" s="188">
        <v>1258989</v>
      </c>
      <c r="Y36" s="188">
        <v>1385825</v>
      </c>
      <c r="Z36" s="188">
        <v>1524832</v>
      </c>
      <c r="AA36" s="188">
        <v>1652589</v>
      </c>
      <c r="AB36" s="188">
        <v>10963</v>
      </c>
      <c r="AC36" s="188">
        <v>11649</v>
      </c>
      <c r="AD36" s="188">
        <v>12385</v>
      </c>
      <c r="AE36" s="188">
        <v>13176</v>
      </c>
      <c r="AF36" s="188">
        <v>13978</v>
      </c>
      <c r="AG36" s="188">
        <v>1028410</v>
      </c>
      <c r="AH36" s="188">
        <v>1093544</v>
      </c>
      <c r="AI36" s="188">
        <v>1149216</v>
      </c>
      <c r="AJ36" s="188">
        <v>1207083</v>
      </c>
      <c r="AK36" s="188">
        <v>1275546</v>
      </c>
      <c r="AL36" s="189">
        <v>5.7099999999999998E-2</v>
      </c>
      <c r="AM36" s="189">
        <v>6.25E-2</v>
      </c>
      <c r="AN36" s="189">
        <v>6.3299999999999995E-2</v>
      </c>
      <c r="AO36" s="189">
        <v>6.3799999999999996E-2</v>
      </c>
      <c r="AP36" s="189">
        <v>6.0899999999999996E-2</v>
      </c>
      <c r="AQ36" s="189">
        <v>6.5000000000000002E-2</v>
      </c>
      <c r="AR36" s="189">
        <v>6.3299999999999995E-2</v>
      </c>
      <c r="AS36" s="189">
        <v>5.0900000000000001E-2</v>
      </c>
      <c r="AT36" s="189">
        <v>5.04E-2</v>
      </c>
      <c r="AU36" s="189">
        <v>5.67E-2</v>
      </c>
      <c r="AV36" s="188">
        <v>11531</v>
      </c>
      <c r="AW36" s="188">
        <v>12907</v>
      </c>
      <c r="AX36" s="188">
        <v>14297</v>
      </c>
      <c r="AY36" s="188">
        <v>16101</v>
      </c>
      <c r="AZ36" s="188">
        <v>17491</v>
      </c>
      <c r="BA36" s="188">
        <v>25272</v>
      </c>
      <c r="BB36" s="188">
        <v>27767</v>
      </c>
      <c r="BC36" s="188">
        <v>30107</v>
      </c>
      <c r="BD36" s="188">
        <v>32645</v>
      </c>
      <c r="BE36" s="188">
        <v>34880</v>
      </c>
      <c r="BF36" s="231">
        <f t="shared" si="11"/>
        <v>0.75832121808657216</v>
      </c>
      <c r="BG36" s="188">
        <f t="shared" si="12"/>
        <v>5703</v>
      </c>
      <c r="BH36" s="188">
        <f t="shared" si="13"/>
        <v>79389</v>
      </c>
      <c r="BI36" s="188">
        <f t="shared" si="14"/>
        <v>373858</v>
      </c>
      <c r="BJ36" s="188">
        <f t="shared" si="15"/>
        <v>602968</v>
      </c>
      <c r="BK36" s="240">
        <f>'ERR Calculation'!$C$3*($V36/$V$70)*(BG36/$Q36)</f>
        <v>1553.7165588353819</v>
      </c>
      <c r="BL36" s="240">
        <f>'ERR Calculation'!$C$3*($V36/$V$70)*(BH36/$Q36)</f>
        <v>21628.617199611108</v>
      </c>
      <c r="BM36" s="240">
        <f>'ERR Calculation'!$C$3*($V36/$V$70)*(BI36/$Q36)</f>
        <v>101853.29918517942</v>
      </c>
      <c r="BN36" s="240">
        <f>'ERR Calculation'!$C$3*($V36/$V$70)*(BJ36/$Q36)</f>
        <v>164271.67561771919</v>
      </c>
    </row>
    <row r="37" spans="2:66" x14ac:dyDescent="0.25">
      <c r="B37">
        <v>1</v>
      </c>
      <c r="C37">
        <v>0</v>
      </c>
      <c r="D37">
        <f t="shared" si="0"/>
        <v>0</v>
      </c>
      <c r="E37" t="s">
        <v>162</v>
      </c>
      <c r="F37" t="s">
        <v>198</v>
      </c>
      <c r="G37" t="s">
        <v>167</v>
      </c>
      <c r="H37" s="188">
        <f t="shared" si="1"/>
        <v>0</v>
      </c>
      <c r="I37" s="188">
        <f t="shared" si="2"/>
        <v>281594</v>
      </c>
      <c r="J37" s="189">
        <f t="shared" si="3"/>
        <v>4.3854671925826594E-2</v>
      </c>
      <c r="K37" s="188">
        <f t="shared" si="4"/>
        <v>294218</v>
      </c>
      <c r="L37" s="189">
        <f t="shared" si="5"/>
        <v>4.2442064282464997E-2</v>
      </c>
      <c r="M37" s="188">
        <f t="shared" si="16"/>
        <v>306974</v>
      </c>
      <c r="N37" s="189">
        <f t="shared" si="7"/>
        <v>4.1923500522237589E-2</v>
      </c>
      <c r="O37" s="188">
        <f t="shared" si="8"/>
        <v>320117</v>
      </c>
      <c r="P37" s="189">
        <f t="shared" si="9"/>
        <v>4.1232135412458959E-2</v>
      </c>
      <c r="Q37" s="188">
        <f t="shared" si="10"/>
        <v>333592</v>
      </c>
      <c r="R37" s="188">
        <v>92109</v>
      </c>
      <c r="S37" s="188">
        <v>98412</v>
      </c>
      <c r="T37" s="188">
        <v>95030</v>
      </c>
      <c r="U37" s="188">
        <v>93499</v>
      </c>
      <c r="V37" s="188">
        <v>94922</v>
      </c>
      <c r="W37" s="188">
        <v>550736</v>
      </c>
      <c r="X37" s="188">
        <v>519132</v>
      </c>
      <c r="Y37" s="188">
        <v>527515</v>
      </c>
      <c r="Z37" s="188">
        <v>503691</v>
      </c>
      <c r="AA37" s="188">
        <v>507074</v>
      </c>
      <c r="AB37" s="188">
        <v>77552</v>
      </c>
      <c r="AC37" s="188">
        <v>80731</v>
      </c>
      <c r="AD37" s="188">
        <v>83496</v>
      </c>
      <c r="AE37" s="188">
        <v>84705</v>
      </c>
      <c r="AF37" s="188">
        <v>83795</v>
      </c>
      <c r="AG37" s="188">
        <v>469646</v>
      </c>
      <c r="AH37" s="188">
        <v>438533</v>
      </c>
      <c r="AI37" s="188">
        <v>446029</v>
      </c>
      <c r="AJ37" s="188">
        <v>440648</v>
      </c>
      <c r="AK37" s="188">
        <v>438977</v>
      </c>
      <c r="AL37" s="189">
        <v>0.11539999999999999</v>
      </c>
      <c r="AM37" s="189">
        <v>4.0999999999999995E-2</v>
      </c>
      <c r="AN37" s="189">
        <v>3.4300000000000004E-2</v>
      </c>
      <c r="AO37" s="189">
        <v>1.4499999999999999E-2</v>
      </c>
      <c r="AP37" s="189">
        <v>-1.0700000000000001E-2</v>
      </c>
      <c r="AQ37" s="189">
        <v>-2.7799999999999998E-2</v>
      </c>
      <c r="AR37" s="189">
        <v>2.76E-2</v>
      </c>
      <c r="AS37" s="189">
        <v>1.7100000000000001E-2</v>
      </c>
      <c r="AT37" s="189">
        <v>-1.21E-2</v>
      </c>
      <c r="AU37" s="189">
        <v>-3.8E-3</v>
      </c>
      <c r="AV37" s="188">
        <v>327099</v>
      </c>
      <c r="AW37" s="188">
        <v>334487</v>
      </c>
      <c r="AX37" s="188">
        <v>309571</v>
      </c>
      <c r="AY37" s="188">
        <v>292078</v>
      </c>
      <c r="AZ37" s="188">
        <v>284546</v>
      </c>
      <c r="BA37" s="188">
        <v>145998</v>
      </c>
      <c r="BB37" s="188">
        <v>158473</v>
      </c>
      <c r="BC37" s="188">
        <v>157400</v>
      </c>
      <c r="BD37" s="188">
        <v>146993</v>
      </c>
      <c r="BE37" s="188">
        <v>144827</v>
      </c>
      <c r="BF37" s="231">
        <f t="shared" si="11"/>
        <v>3.1486636196050455</v>
      </c>
      <c r="BG37" s="188">
        <f t="shared" si="12"/>
        <v>0</v>
      </c>
      <c r="BH37" s="188">
        <f t="shared" si="13"/>
        <v>0</v>
      </c>
      <c r="BI37" s="188">
        <f t="shared" si="14"/>
        <v>51260</v>
      </c>
      <c r="BJ37" s="188">
        <f t="shared" si="15"/>
        <v>282332</v>
      </c>
      <c r="BK37" s="240">
        <f>'ERR Calculation'!$C$3*($V37/$V$70)*(BG37/$Q37)</f>
        <v>0</v>
      </c>
      <c r="BL37" s="240">
        <f>'ERR Calculation'!$C$3*($V37/$V$70)*(BH37/$Q37)</f>
        <v>0</v>
      </c>
      <c r="BM37" s="240">
        <f>'ERR Calculation'!$C$3*($V37/$V$70)*(BI37/$Q37)</f>
        <v>227187.17893233593</v>
      </c>
      <c r="BN37" s="240">
        <f>'ERR Calculation'!$C$3*($V37/$V$70)*(BJ37/$Q37)</f>
        <v>1251311.1705486591</v>
      </c>
    </row>
    <row r="38" spans="2:66" x14ac:dyDescent="0.25">
      <c r="B38">
        <v>0</v>
      </c>
      <c r="C38">
        <v>2</v>
      </c>
      <c r="D38">
        <f t="shared" ref="D38:D69" si="17">IF(C38&gt;0,1,0)</f>
        <v>1</v>
      </c>
      <c r="E38" t="s">
        <v>162</v>
      </c>
      <c r="F38" t="s">
        <v>235</v>
      </c>
      <c r="G38" t="s">
        <v>210</v>
      </c>
      <c r="H38" s="188">
        <f t="shared" ref="H38:H69" si="18">IF($C38&gt;0,IF($E38="Provinsi",1,IF(_xlfn.IFNA(MATCH($G38,$F$6:$F$69,0),10^6)&gt;1000,1,0)),0)</f>
        <v>0</v>
      </c>
      <c r="I38" s="188">
        <f t="shared" ref="I38:I69" si="19">CEILING(R38/AV38*1000000,1)</f>
        <v>883858</v>
      </c>
      <c r="J38" s="189">
        <f t="shared" ref="J38:J69" si="20">LN(K38)-LN(I38)</f>
        <v>1.1288546256288612E-2</v>
      </c>
      <c r="K38" s="188">
        <f t="shared" ref="K38:K69" si="21">CEILING(S38/AW38*1000000,1)</f>
        <v>893892</v>
      </c>
      <c r="L38" s="189">
        <f t="shared" ref="L38:L69" si="22">LN(M38)-LN(K38)</f>
        <v>1.0692254331702955E-2</v>
      </c>
      <c r="M38" s="188">
        <f t="shared" si="16"/>
        <v>903501</v>
      </c>
      <c r="N38" s="189">
        <f t="shared" ref="N38:N69" si="23">LN(O38)-LN(M38)</f>
        <v>1.032941115395225E-2</v>
      </c>
      <c r="O38" s="188">
        <f t="shared" ref="O38:O69" si="24">CEILING(U38/AY38*1000000,1)</f>
        <v>912882</v>
      </c>
      <c r="P38" s="189">
        <f t="shared" ref="P38:P69" si="25">LN(Q38)-LN(O38)</f>
        <v>1.0037289175295783E-2</v>
      </c>
      <c r="Q38" s="188">
        <f t="shared" ref="Q38:Q69" si="26">CEILING(V38/AZ38*1000000,1)</f>
        <v>922091</v>
      </c>
      <c r="R38" s="188">
        <v>9155</v>
      </c>
      <c r="S38" s="188">
        <v>10244</v>
      </c>
      <c r="T38" s="188">
        <v>11666</v>
      </c>
      <c r="U38" s="188">
        <v>13203</v>
      </c>
      <c r="V38" s="188">
        <v>14676</v>
      </c>
      <c r="W38" s="188">
        <v>69022</v>
      </c>
      <c r="X38" s="188">
        <v>73619</v>
      </c>
      <c r="Y38" s="188">
        <v>81621</v>
      </c>
      <c r="Z38" s="188">
        <v>103865</v>
      </c>
      <c r="AA38" s="188">
        <v>116247</v>
      </c>
      <c r="AB38" s="188">
        <v>8616</v>
      </c>
      <c r="AC38" s="188">
        <v>9154</v>
      </c>
      <c r="AD38" s="188">
        <v>9729</v>
      </c>
      <c r="AE38" s="188">
        <v>10272</v>
      </c>
      <c r="AF38" s="188">
        <v>10854</v>
      </c>
      <c r="AG38" s="188">
        <v>66341</v>
      </c>
      <c r="AH38" s="188">
        <v>69767</v>
      </c>
      <c r="AI38" s="188">
        <v>73373</v>
      </c>
      <c r="AJ38" s="188">
        <v>89345</v>
      </c>
      <c r="AK38" s="188">
        <v>94548</v>
      </c>
      <c r="AL38" s="189">
        <v>0.13720000000000002</v>
      </c>
      <c r="AM38" s="189">
        <v>6.2400000000000004E-2</v>
      </c>
      <c r="AN38" s="189">
        <v>6.2800000000000009E-2</v>
      </c>
      <c r="AO38" s="189">
        <v>5.5800000000000002E-2</v>
      </c>
      <c r="AP38" s="189">
        <v>5.67E-2</v>
      </c>
      <c r="AQ38" s="189">
        <v>-1.54E-2</v>
      </c>
      <c r="AR38" s="189">
        <v>5.16E-2</v>
      </c>
      <c r="AS38" s="189">
        <v>5.1699999999999996E-2</v>
      </c>
      <c r="AT38" s="189">
        <v>0.2177</v>
      </c>
      <c r="AU38" s="189">
        <v>5.8200000000000002E-2</v>
      </c>
      <c r="AV38" s="188">
        <v>10358</v>
      </c>
      <c r="AW38" s="188">
        <v>11460</v>
      </c>
      <c r="AX38" s="188">
        <v>12912</v>
      </c>
      <c r="AY38" s="188">
        <v>14463</v>
      </c>
      <c r="AZ38" s="188">
        <v>15916</v>
      </c>
      <c r="BA38" s="188">
        <v>14854</v>
      </c>
      <c r="BB38" s="188">
        <v>15628</v>
      </c>
      <c r="BC38" s="188">
        <v>17098</v>
      </c>
      <c r="BD38" s="188">
        <v>21479</v>
      </c>
      <c r="BE38" s="188">
        <v>23742</v>
      </c>
      <c r="BF38" s="231">
        <f t="shared" ref="BF38:BF69" si="27">BE38/$BF$70</f>
        <v>0.51617151260927174</v>
      </c>
      <c r="BG38" s="188">
        <f t="shared" ref="BG38:BG69" si="28">IF($Q38*(K$99+(1-$BF38)*K$99/K$98)&gt;0,ROUND($Q38*(K$99+(1-$BF38)*K$99/K$98),0),0)</f>
        <v>5755</v>
      </c>
      <c r="BH38" s="188">
        <f t="shared" ref="BH38:BH69" si="29">IF($Q38*($M$99+(1-$BF38)*$M$99/$M$98)&gt;0,ROUND($Q38*($M$99+(1-$BF38)*$M$99/$M$98),0),0)</f>
        <v>76382</v>
      </c>
      <c r="BI38" s="188">
        <f t="shared" ref="BI38:BI69" si="30">IF($Q38*($O$99+(1-$BF38)*$O$99/$O$98)&gt;0,ROUND($Q38*($O$99+(1-$BF38)*$O$99/$O$98),0),0)</f>
        <v>343163</v>
      </c>
      <c r="BJ38" s="188">
        <f t="shared" ref="BJ38:BJ69" si="31">$Q38-SUM($BG38:$BI38)</f>
        <v>496791</v>
      </c>
      <c r="BK38" s="240">
        <f>'ERR Calculation'!$C$3*($V38/$V$70)*(BG38/$Q38)</f>
        <v>1426.7018084643271</v>
      </c>
      <c r="BL38" s="240">
        <f>'ERR Calculation'!$C$3*($V38/$V$70)*(BH38/$Q38)</f>
        <v>18935.59296857033</v>
      </c>
      <c r="BM38" s="240">
        <f>'ERR Calculation'!$C$3*($V38/$V$70)*(BI38/$Q38)</f>
        <v>85072.332354134473</v>
      </c>
      <c r="BN38" s="240">
        <f>'ERR Calculation'!$C$3*($V38/$V$70)*(BJ38/$Q38)</f>
        <v>123157.70949240688</v>
      </c>
    </row>
    <row r="39" spans="2:66" x14ac:dyDescent="0.25">
      <c r="B39">
        <v>1</v>
      </c>
      <c r="C39">
        <v>1</v>
      </c>
      <c r="D39">
        <f t="shared" si="17"/>
        <v>1</v>
      </c>
      <c r="E39" t="s">
        <v>2</v>
      </c>
      <c r="F39" t="s">
        <v>199</v>
      </c>
      <c r="G39" t="s">
        <v>199</v>
      </c>
      <c r="H39" s="188">
        <f t="shared" si="18"/>
        <v>1</v>
      </c>
      <c r="I39" s="188">
        <f t="shared" si="19"/>
        <v>1599559</v>
      </c>
      <c r="J39" s="189">
        <f t="shared" si="20"/>
        <v>1.7861373959327409E-2</v>
      </c>
      <c r="K39" s="188">
        <f t="shared" si="21"/>
        <v>1628386</v>
      </c>
      <c r="L39" s="189">
        <f t="shared" si="22"/>
        <v>1.7650512137608487E-2</v>
      </c>
      <c r="M39" s="188">
        <f t="shared" si="16"/>
        <v>1657383</v>
      </c>
      <c r="N39" s="189">
        <f t="shared" si="23"/>
        <v>1.7369865440706178E-2</v>
      </c>
      <c r="O39" s="188">
        <f t="shared" si="24"/>
        <v>1686423</v>
      </c>
      <c r="P39" s="189">
        <f t="shared" si="25"/>
        <v>1.7131005938212596E-2</v>
      </c>
      <c r="Q39" s="188">
        <f t="shared" si="26"/>
        <v>1715562</v>
      </c>
      <c r="R39" s="188">
        <v>24662</v>
      </c>
      <c r="S39" s="188">
        <v>27834</v>
      </c>
      <c r="T39" s="188">
        <v>31656</v>
      </c>
      <c r="U39" s="188">
        <v>34344</v>
      </c>
      <c r="V39" s="188">
        <v>37063</v>
      </c>
      <c r="W39" s="188">
        <v>24662</v>
      </c>
      <c r="X39" s="188">
        <v>27834</v>
      </c>
      <c r="Y39" s="188">
        <v>31656</v>
      </c>
      <c r="Z39" s="188">
        <v>34344</v>
      </c>
      <c r="AA39" s="188">
        <v>37063</v>
      </c>
      <c r="AB39" s="188">
        <v>21000</v>
      </c>
      <c r="AC39" s="188">
        <v>22101</v>
      </c>
      <c r="AD39" s="188">
        <v>23568</v>
      </c>
      <c r="AE39" s="188">
        <v>24859</v>
      </c>
      <c r="AF39" s="188">
        <v>26291</v>
      </c>
      <c r="AG39" s="188">
        <v>21000</v>
      </c>
      <c r="AH39" s="188">
        <v>22101</v>
      </c>
      <c r="AI39" s="188">
        <v>23568</v>
      </c>
      <c r="AJ39" s="188">
        <v>24859</v>
      </c>
      <c r="AK39" s="188">
        <v>26291</v>
      </c>
      <c r="AL39" s="189">
        <v>7.1599999999999997E-2</v>
      </c>
      <c r="AM39" s="189">
        <v>5.2400000000000002E-2</v>
      </c>
      <c r="AN39" s="189">
        <v>6.6400000000000001E-2</v>
      </c>
      <c r="AO39" s="189">
        <v>5.4800000000000001E-2</v>
      </c>
      <c r="AP39" s="189">
        <v>5.7599999999999998E-2</v>
      </c>
      <c r="AQ39" s="189">
        <v>7.1599999999999997E-2</v>
      </c>
      <c r="AR39" s="189">
        <v>5.2400000000000002E-2</v>
      </c>
      <c r="AS39" s="189">
        <v>6.6400000000000001E-2</v>
      </c>
      <c r="AT39" s="189">
        <v>5.4800000000000001E-2</v>
      </c>
      <c r="AU39" s="189">
        <v>5.7599999999999998E-2</v>
      </c>
      <c r="AV39" s="188">
        <v>15418</v>
      </c>
      <c r="AW39" s="188">
        <v>17093</v>
      </c>
      <c r="AX39" s="188">
        <v>19100</v>
      </c>
      <c r="AY39" s="188">
        <v>20365</v>
      </c>
      <c r="AZ39" s="188">
        <v>21604</v>
      </c>
      <c r="BA39" s="188">
        <v>15418</v>
      </c>
      <c r="BB39" s="188">
        <v>17093</v>
      </c>
      <c r="BC39" s="188">
        <v>19100</v>
      </c>
      <c r="BD39" s="188">
        <v>20365</v>
      </c>
      <c r="BE39" s="188">
        <v>21604</v>
      </c>
      <c r="BF39" s="231">
        <f t="shared" si="27"/>
        <v>0.46968955262449275</v>
      </c>
      <c r="BG39" s="188">
        <f t="shared" si="28"/>
        <v>10995</v>
      </c>
      <c r="BH39" s="188">
        <f t="shared" si="29"/>
        <v>144769</v>
      </c>
      <c r="BI39" s="188">
        <f t="shared" si="30"/>
        <v>645078</v>
      </c>
      <c r="BJ39" s="188">
        <f t="shared" si="31"/>
        <v>914720</v>
      </c>
      <c r="BK39" s="240">
        <f>'ERR Calculation'!$C$3*($V39/$V$70)*(BG39/$Q39)</f>
        <v>3699.843457276384</v>
      </c>
      <c r="BL39" s="240">
        <f>'ERR Calculation'!$C$3*($V39/$V$70)*(BH39/$Q39)</f>
        <v>48715.110274346967</v>
      </c>
      <c r="BM39" s="240">
        <f>'ERR Calculation'!$C$3*($V39/$V$70)*(BI39/$Q39)</f>
        <v>217070.26991659257</v>
      </c>
      <c r="BN39" s="240">
        <f>'ERR Calculation'!$C$3*($V39/$V$70)*(BJ39/$Q39)</f>
        <v>307805.43949430232</v>
      </c>
    </row>
    <row r="40" spans="2:66" x14ac:dyDescent="0.25">
      <c r="B40">
        <v>1</v>
      </c>
      <c r="C40">
        <v>0</v>
      </c>
      <c r="D40">
        <f t="shared" si="17"/>
        <v>0</v>
      </c>
      <c r="E40" t="s">
        <v>2</v>
      </c>
      <c r="F40" t="s">
        <v>200</v>
      </c>
      <c r="G40" t="s">
        <v>200</v>
      </c>
      <c r="H40" s="188">
        <f t="shared" si="18"/>
        <v>0</v>
      </c>
      <c r="I40" s="188">
        <f t="shared" si="19"/>
        <v>1091053</v>
      </c>
      <c r="J40" s="189">
        <f t="shared" si="20"/>
        <v>2.1597212123481313E-2</v>
      </c>
      <c r="K40" s="188">
        <f t="shared" si="21"/>
        <v>1114873</v>
      </c>
      <c r="L40" s="189">
        <f t="shared" si="22"/>
        <v>2.1125686866392712E-2</v>
      </c>
      <c r="M40" s="188">
        <f t="shared" si="16"/>
        <v>1138676</v>
      </c>
      <c r="N40" s="189">
        <f t="shared" si="23"/>
        <v>2.0575913296392301E-2</v>
      </c>
      <c r="O40" s="188">
        <f t="shared" si="24"/>
        <v>1162348</v>
      </c>
      <c r="P40" s="189">
        <f t="shared" si="25"/>
        <v>2.0065785418807991E-2</v>
      </c>
      <c r="Q40" s="188">
        <f t="shared" si="26"/>
        <v>1185907</v>
      </c>
      <c r="R40" s="188">
        <v>19340</v>
      </c>
      <c r="S40" s="188">
        <v>21439</v>
      </c>
      <c r="T40" s="188">
        <v>24042</v>
      </c>
      <c r="U40" s="188">
        <v>26641</v>
      </c>
      <c r="V40" s="188">
        <v>29165</v>
      </c>
      <c r="W40" s="188">
        <v>19340</v>
      </c>
      <c r="X40" s="188">
        <v>21439</v>
      </c>
      <c r="Y40" s="188">
        <v>24042</v>
      </c>
      <c r="Z40" s="188">
        <v>26641</v>
      </c>
      <c r="AA40" s="188">
        <v>29165</v>
      </c>
      <c r="AB40" s="188">
        <v>17120</v>
      </c>
      <c r="AC40" s="188">
        <v>18209</v>
      </c>
      <c r="AD40" s="188">
        <v>19209</v>
      </c>
      <c r="AE40" s="188">
        <v>20381</v>
      </c>
      <c r="AF40" s="188">
        <v>21556</v>
      </c>
      <c r="AG40" s="188">
        <v>17120</v>
      </c>
      <c r="AH40" s="188">
        <v>18209</v>
      </c>
      <c r="AI40" s="188">
        <v>19209</v>
      </c>
      <c r="AJ40" s="188">
        <v>20381</v>
      </c>
      <c r="AK40" s="188">
        <v>21556</v>
      </c>
      <c r="AL40" s="189">
        <v>6.9800000000000001E-2</v>
      </c>
      <c r="AM40" s="189">
        <v>6.3600000000000004E-2</v>
      </c>
      <c r="AN40" s="189">
        <v>5.4900000000000004E-2</v>
      </c>
      <c r="AO40" s="189">
        <v>6.0999999999999999E-2</v>
      </c>
      <c r="AP40" s="189">
        <v>5.7699999999999994E-2</v>
      </c>
      <c r="AQ40" s="189">
        <v>6.9800000000000001E-2</v>
      </c>
      <c r="AR40" s="189">
        <v>6.3600000000000004E-2</v>
      </c>
      <c r="AS40" s="189">
        <v>5.4900000000000004E-2</v>
      </c>
      <c r="AT40" s="189">
        <v>6.0999999999999999E-2</v>
      </c>
      <c r="AU40" s="189">
        <v>5.7699999999999994E-2</v>
      </c>
      <c r="AV40" s="188">
        <v>17726</v>
      </c>
      <c r="AW40" s="188">
        <v>19230</v>
      </c>
      <c r="AX40" s="188">
        <v>21114</v>
      </c>
      <c r="AY40" s="188">
        <v>22920</v>
      </c>
      <c r="AZ40" s="188">
        <v>24593</v>
      </c>
      <c r="BA40" s="188">
        <v>17726</v>
      </c>
      <c r="BB40" s="188">
        <v>19230</v>
      </c>
      <c r="BC40" s="188">
        <v>21114</v>
      </c>
      <c r="BD40" s="188">
        <v>22920</v>
      </c>
      <c r="BE40" s="188">
        <v>24593</v>
      </c>
      <c r="BF40" s="231">
        <f t="shared" si="27"/>
        <v>0.53467298498862015</v>
      </c>
      <c r="BG40" s="188">
        <f t="shared" si="28"/>
        <v>7323</v>
      </c>
      <c r="BH40" s="188">
        <f t="shared" si="29"/>
        <v>97504</v>
      </c>
      <c r="BI40" s="188">
        <f t="shared" si="30"/>
        <v>439523</v>
      </c>
      <c r="BJ40" s="188">
        <f t="shared" si="31"/>
        <v>641557</v>
      </c>
      <c r="BK40" s="240">
        <f>'ERR Calculation'!$C$3*($V40/$V$70)*(BG40/$Q40)</f>
        <v>2805.138741230076</v>
      </c>
      <c r="BL40" s="240">
        <f>'ERR Calculation'!$C$3*($V40/$V$70)*(BH40/$Q40)</f>
        <v>37349.753902075288</v>
      </c>
      <c r="BM40" s="240">
        <f>'ERR Calculation'!$C$3*($V40/$V$70)*(BI40/$Q40)</f>
        <v>168363.10186558333</v>
      </c>
      <c r="BN40" s="240">
        <f>'ERR Calculation'!$C$3*($V40/$V$70)*(BJ40/$Q40)</f>
        <v>245753.97998188497</v>
      </c>
    </row>
    <row r="41" spans="2:66" x14ac:dyDescent="0.25">
      <c r="B41">
        <v>1</v>
      </c>
      <c r="C41">
        <v>1</v>
      </c>
      <c r="D41">
        <f t="shared" si="17"/>
        <v>1</v>
      </c>
      <c r="E41" t="s">
        <v>162</v>
      </c>
      <c r="F41" t="s">
        <v>201</v>
      </c>
      <c r="G41" t="s">
        <v>202</v>
      </c>
      <c r="H41" s="188">
        <f t="shared" si="18"/>
        <v>0</v>
      </c>
      <c r="I41" s="188">
        <f t="shared" si="19"/>
        <v>357968</v>
      </c>
      <c r="J41" s="189">
        <f t="shared" si="20"/>
        <v>-0.3499238345801281</v>
      </c>
      <c r="K41" s="188">
        <f t="shared" si="21"/>
        <v>252275</v>
      </c>
      <c r="L41" s="189">
        <f t="shared" si="22"/>
        <v>2.6258105039039137E-2</v>
      </c>
      <c r="M41" s="188">
        <f t="shared" si="16"/>
        <v>258987</v>
      </c>
      <c r="N41" s="189">
        <f t="shared" si="23"/>
        <v>2.5985089848777676E-2</v>
      </c>
      <c r="O41" s="188">
        <f t="shared" si="24"/>
        <v>265805</v>
      </c>
      <c r="P41" s="189">
        <f t="shared" si="25"/>
        <v>2.3983515906195407E-2</v>
      </c>
      <c r="Q41" s="188">
        <f t="shared" si="26"/>
        <v>272257</v>
      </c>
      <c r="R41" s="188">
        <v>7222</v>
      </c>
      <c r="S41" s="188">
        <v>6322</v>
      </c>
      <c r="T41" s="188">
        <v>7327</v>
      </c>
      <c r="U41" s="188">
        <v>8224</v>
      </c>
      <c r="V41" s="188">
        <v>9092</v>
      </c>
      <c r="W41" s="188">
        <v>22626</v>
      </c>
      <c r="X41" s="188">
        <v>25249</v>
      </c>
      <c r="Y41" s="188">
        <v>29458</v>
      </c>
      <c r="Z41" s="188">
        <v>33017</v>
      </c>
      <c r="AA41" s="188">
        <v>35974</v>
      </c>
      <c r="AB41" s="188">
        <v>6618</v>
      </c>
      <c r="AC41" s="188">
        <v>5528</v>
      </c>
      <c r="AD41" s="188">
        <v>6012</v>
      </c>
      <c r="AE41" s="188">
        <v>6475</v>
      </c>
      <c r="AF41" s="188">
        <v>6988</v>
      </c>
      <c r="AG41" s="188">
        <v>20787</v>
      </c>
      <c r="AH41" s="188">
        <v>22227</v>
      </c>
      <c r="AI41" s="188">
        <v>24196</v>
      </c>
      <c r="AJ41" s="188">
        <v>25984</v>
      </c>
      <c r="AK41" s="188">
        <v>27550</v>
      </c>
      <c r="AL41" s="189">
        <v>9.5799999999999996E-2</v>
      </c>
      <c r="AM41" s="189">
        <v>7.7600000000000002E-2</v>
      </c>
      <c r="AN41" s="189">
        <v>8.7599999999999997E-2</v>
      </c>
      <c r="AO41" s="189">
        <v>7.6999999999999999E-2</v>
      </c>
      <c r="AP41" s="189">
        <v>7.9100000000000004E-2</v>
      </c>
      <c r="AQ41" s="189">
        <v>9.2499999999999999E-2</v>
      </c>
      <c r="AR41" s="189">
        <v>6.93E-2</v>
      </c>
      <c r="AS41" s="189">
        <v>8.8599999999999998E-2</v>
      </c>
      <c r="AT41" s="189">
        <v>7.3899999999999993E-2</v>
      </c>
      <c r="AU41" s="189">
        <v>6.0299999999999999E-2</v>
      </c>
      <c r="AV41" s="188">
        <v>20175</v>
      </c>
      <c r="AW41" s="188">
        <v>25060</v>
      </c>
      <c r="AX41" s="188">
        <v>28291</v>
      </c>
      <c r="AY41" s="188">
        <v>30940</v>
      </c>
      <c r="AZ41" s="188">
        <v>33395</v>
      </c>
      <c r="BA41" s="188">
        <v>18688</v>
      </c>
      <c r="BB41" s="188">
        <v>20457</v>
      </c>
      <c r="BC41" s="188">
        <v>23415</v>
      </c>
      <c r="BD41" s="188">
        <v>25751</v>
      </c>
      <c r="BE41" s="188">
        <v>27535</v>
      </c>
      <c r="BF41" s="231">
        <f t="shared" si="27"/>
        <v>0.5986345969040644</v>
      </c>
      <c r="BG41" s="188">
        <f t="shared" si="28"/>
        <v>1619</v>
      </c>
      <c r="BH41" s="188">
        <f t="shared" si="29"/>
        <v>21804</v>
      </c>
      <c r="BI41" s="188">
        <f t="shared" si="30"/>
        <v>99459</v>
      </c>
      <c r="BJ41" s="188">
        <f t="shared" si="31"/>
        <v>149375</v>
      </c>
      <c r="BK41" s="240">
        <f>'ERR Calculation'!$C$3*($V41/$V$70)*(BG41/$Q41)</f>
        <v>842.1339673878449</v>
      </c>
      <c r="BL41" s="240">
        <f>'ERR Calculation'!$C$3*($V41/$V$70)*(BH41/$Q41)</f>
        <v>11341.500324227653</v>
      </c>
      <c r="BM41" s="240">
        <f>'ERR Calculation'!$C$3*($V41/$V$70)*(BI41/$Q41)</f>
        <v>51734.281817435243</v>
      </c>
      <c r="BN41" s="240">
        <f>'ERR Calculation'!$C$3*($V41/$V$70)*(BJ41/$Q41)</f>
        <v>77698.43198181552</v>
      </c>
    </row>
    <row r="42" spans="2:66" x14ac:dyDescent="0.25">
      <c r="B42">
        <v>1</v>
      </c>
      <c r="C42">
        <v>0</v>
      </c>
      <c r="D42">
        <f t="shared" si="17"/>
        <v>0</v>
      </c>
      <c r="E42" t="s">
        <v>162</v>
      </c>
      <c r="F42" t="s">
        <v>203</v>
      </c>
      <c r="G42" t="s">
        <v>202</v>
      </c>
      <c r="H42" s="188">
        <f t="shared" si="18"/>
        <v>0</v>
      </c>
      <c r="I42" s="188">
        <f t="shared" si="19"/>
        <v>143598</v>
      </c>
      <c r="J42" s="189">
        <f t="shared" si="20"/>
        <v>3.1099540596750685E-2</v>
      </c>
      <c r="K42" s="188">
        <f t="shared" si="21"/>
        <v>148134</v>
      </c>
      <c r="L42" s="189">
        <f t="shared" si="22"/>
        <v>2.9152239039458294E-2</v>
      </c>
      <c r="M42" s="188">
        <f t="shared" si="16"/>
        <v>152516</v>
      </c>
      <c r="N42" s="189">
        <f t="shared" si="23"/>
        <v>2.5518094778600897E-2</v>
      </c>
      <c r="O42" s="188">
        <f t="shared" si="24"/>
        <v>156458</v>
      </c>
      <c r="P42" s="189">
        <f t="shared" si="25"/>
        <v>2.8803079674561971E-2</v>
      </c>
      <c r="Q42" s="188">
        <f t="shared" si="26"/>
        <v>161030</v>
      </c>
      <c r="R42" s="188">
        <v>4741</v>
      </c>
      <c r="S42" s="188">
        <v>5330</v>
      </c>
      <c r="T42" s="188">
        <v>6736</v>
      </c>
      <c r="U42" s="188">
        <v>7571</v>
      </c>
      <c r="V42" s="188">
        <v>8046</v>
      </c>
      <c r="W42" s="188">
        <v>22626</v>
      </c>
      <c r="X42" s="188">
        <v>25249</v>
      </c>
      <c r="Y42" s="188">
        <v>29458</v>
      </c>
      <c r="Z42" s="188">
        <v>33017</v>
      </c>
      <c r="AA42" s="188">
        <v>35974</v>
      </c>
      <c r="AB42" s="188">
        <v>4395</v>
      </c>
      <c r="AC42" s="188">
        <v>4758</v>
      </c>
      <c r="AD42" s="188">
        <v>5538</v>
      </c>
      <c r="AE42" s="188">
        <v>6015</v>
      </c>
      <c r="AF42" s="188">
        <v>6257</v>
      </c>
      <c r="AG42" s="188">
        <v>20787</v>
      </c>
      <c r="AH42" s="188">
        <v>22227</v>
      </c>
      <c r="AI42" s="188">
        <v>24196</v>
      </c>
      <c r="AJ42" s="188">
        <v>25984</v>
      </c>
      <c r="AK42" s="188">
        <v>27550</v>
      </c>
      <c r="AL42" s="189">
        <v>0.11800000000000001</v>
      </c>
      <c r="AM42" s="189">
        <v>8.2500000000000004E-2</v>
      </c>
      <c r="AN42" s="189">
        <v>0.16399999999999998</v>
      </c>
      <c r="AO42" s="189">
        <v>8.6099999999999996E-2</v>
      </c>
      <c r="AP42" s="189">
        <v>4.0300000000000002E-2</v>
      </c>
      <c r="AQ42" s="189">
        <v>9.2499999999999999E-2</v>
      </c>
      <c r="AR42" s="189">
        <v>6.93E-2</v>
      </c>
      <c r="AS42" s="189">
        <v>8.8599999999999998E-2</v>
      </c>
      <c r="AT42" s="189">
        <v>7.3899999999999993E-2</v>
      </c>
      <c r="AU42" s="189">
        <v>6.0299999999999999E-2</v>
      </c>
      <c r="AV42" s="188">
        <v>33016</v>
      </c>
      <c r="AW42" s="188">
        <v>35981</v>
      </c>
      <c r="AX42" s="188">
        <v>44166</v>
      </c>
      <c r="AY42" s="188">
        <v>48390</v>
      </c>
      <c r="AZ42" s="188">
        <v>49966</v>
      </c>
      <c r="BA42" s="188">
        <v>18688</v>
      </c>
      <c r="BB42" s="188">
        <v>20457</v>
      </c>
      <c r="BC42" s="188">
        <v>23415</v>
      </c>
      <c r="BD42" s="188">
        <v>25751</v>
      </c>
      <c r="BE42" s="188">
        <v>27535</v>
      </c>
      <c r="BF42" s="231">
        <f t="shared" si="27"/>
        <v>0.5986345969040644</v>
      </c>
      <c r="BG42" s="188">
        <f t="shared" si="28"/>
        <v>957</v>
      </c>
      <c r="BH42" s="188">
        <f t="shared" si="29"/>
        <v>12896</v>
      </c>
      <c r="BI42" s="188">
        <f t="shared" si="30"/>
        <v>58826</v>
      </c>
      <c r="BJ42" s="188">
        <f t="shared" si="31"/>
        <v>88351</v>
      </c>
      <c r="BK42" s="240">
        <f>'ERR Calculation'!$C$3*($V42/$V$70)*(BG42/$Q42)</f>
        <v>744.79908926811606</v>
      </c>
      <c r="BL42" s="240">
        <f>'ERR Calculation'!$C$3*($V42/$V$70)*(BH42/$Q42)</f>
        <v>10036.498490283828</v>
      </c>
      <c r="BM42" s="240">
        <f>'ERR Calculation'!$C$3*($V42/$V$70)*(BI42/$Q42)</f>
        <v>45782.185188386829</v>
      </c>
      <c r="BN42" s="240">
        <f>'ERR Calculation'!$C$3*($V42/$V$70)*(BJ42/$Q42)</f>
        <v>68760.443402222896</v>
      </c>
    </row>
    <row r="43" spans="2:66" x14ac:dyDescent="0.25">
      <c r="B43">
        <v>1</v>
      </c>
      <c r="C43">
        <v>1</v>
      </c>
      <c r="D43">
        <f t="shared" si="17"/>
        <v>1</v>
      </c>
      <c r="E43" t="s">
        <v>162</v>
      </c>
      <c r="F43" t="s">
        <v>204</v>
      </c>
      <c r="G43" t="s">
        <v>205</v>
      </c>
      <c r="H43" s="188">
        <f t="shared" si="18"/>
        <v>1</v>
      </c>
      <c r="I43" s="188">
        <f t="shared" si="19"/>
        <v>328008</v>
      </c>
      <c r="J43" s="189">
        <f t="shared" si="20"/>
        <v>1.149437942573428E-2</v>
      </c>
      <c r="K43" s="188">
        <f t="shared" si="21"/>
        <v>331800</v>
      </c>
      <c r="L43" s="189">
        <f t="shared" si="22"/>
        <v>1.1369718250188399E-2</v>
      </c>
      <c r="M43" s="188">
        <f t="shared" si="16"/>
        <v>335594</v>
      </c>
      <c r="N43" s="189">
        <f t="shared" si="23"/>
        <v>1.1003206281127831E-2</v>
      </c>
      <c r="O43" s="188">
        <f t="shared" si="24"/>
        <v>339307</v>
      </c>
      <c r="P43" s="189">
        <f t="shared" si="25"/>
        <v>1.0524808236556993E-2</v>
      </c>
      <c r="Q43" s="188">
        <f t="shared" si="26"/>
        <v>342897</v>
      </c>
      <c r="R43" s="188">
        <v>10429</v>
      </c>
      <c r="S43" s="188">
        <v>11967</v>
      </c>
      <c r="T43" s="188">
        <v>13462</v>
      </c>
      <c r="U43" s="188">
        <v>15603</v>
      </c>
      <c r="V43" s="188">
        <v>17892</v>
      </c>
      <c r="W43" s="188">
        <v>228285</v>
      </c>
      <c r="X43" s="188">
        <v>258836</v>
      </c>
      <c r="Y43" s="188">
        <v>298034</v>
      </c>
      <c r="Z43" s="188">
        <v>340326</v>
      </c>
      <c r="AA43" s="188">
        <v>379209</v>
      </c>
      <c r="AB43" s="188">
        <v>9045</v>
      </c>
      <c r="AC43" s="188">
        <v>9612</v>
      </c>
      <c r="AD43" s="188">
        <v>10067</v>
      </c>
      <c r="AE43" s="188">
        <v>10930</v>
      </c>
      <c r="AF43" s="188">
        <v>11970</v>
      </c>
      <c r="AG43" s="188">
        <v>202185</v>
      </c>
      <c r="AH43" s="188">
        <v>217589</v>
      </c>
      <c r="AI43" s="188">
        <v>233988</v>
      </c>
      <c r="AJ43" s="188">
        <v>250758</v>
      </c>
      <c r="AK43" s="188">
        <v>269339</v>
      </c>
      <c r="AL43" s="189">
        <v>0.1114</v>
      </c>
      <c r="AM43" s="189">
        <v>6.2800000000000009E-2</v>
      </c>
      <c r="AN43" s="189">
        <v>4.7300000000000002E-2</v>
      </c>
      <c r="AO43" s="189">
        <v>8.5800000000000001E-2</v>
      </c>
      <c r="AP43" s="189">
        <v>9.5199999999999993E-2</v>
      </c>
      <c r="AQ43" s="189">
        <v>8.8699999999999987E-2</v>
      </c>
      <c r="AR43" s="189">
        <v>7.6200000000000004E-2</v>
      </c>
      <c r="AS43" s="189">
        <v>7.5399999999999995E-2</v>
      </c>
      <c r="AT43" s="189">
        <v>7.17E-2</v>
      </c>
      <c r="AU43" s="189">
        <v>7.4099999999999999E-2</v>
      </c>
      <c r="AV43" s="188">
        <v>31795</v>
      </c>
      <c r="AW43" s="188">
        <v>36067</v>
      </c>
      <c r="AX43" s="188">
        <v>40114</v>
      </c>
      <c r="AY43" s="188">
        <v>45985</v>
      </c>
      <c r="AZ43" s="188">
        <v>52179</v>
      </c>
      <c r="BA43" s="188">
        <v>27671</v>
      </c>
      <c r="BB43" s="188">
        <v>31028</v>
      </c>
      <c r="BC43" s="188">
        <v>35345</v>
      </c>
      <c r="BD43" s="188">
        <v>39943</v>
      </c>
      <c r="BE43" s="188">
        <v>44061</v>
      </c>
      <c r="BF43" s="231">
        <f t="shared" si="27"/>
        <v>0.95792405934955438</v>
      </c>
      <c r="BG43" s="188">
        <f t="shared" si="28"/>
        <v>1595</v>
      </c>
      <c r="BH43" s="188">
        <f t="shared" si="29"/>
        <v>23352</v>
      </c>
      <c r="BI43" s="188">
        <f t="shared" si="30"/>
        <v>115039</v>
      </c>
      <c r="BJ43" s="188">
        <f t="shared" si="31"/>
        <v>202911</v>
      </c>
      <c r="BK43" s="240">
        <f>'ERR Calculation'!$C$3*($V43/$V$70)*(BG43/$Q43)</f>
        <v>1296.3129369877008</v>
      </c>
      <c r="BL43" s="240">
        <f>'ERR Calculation'!$C$3*($V43/$V$70)*(BH43/$Q43)</f>
        <v>18978.996679960368</v>
      </c>
      <c r="BM43" s="240">
        <f>'ERR Calculation'!$C$3*($V43/$V$70)*(BI43/$Q43)</f>
        <v>93496.265804469032</v>
      </c>
      <c r="BN43" s="240">
        <f>'ERR Calculation'!$C$3*($V43/$V$70)*(BJ43/$Q43)</f>
        <v>164912.9494401952</v>
      </c>
    </row>
    <row r="44" spans="2:66" x14ac:dyDescent="0.25">
      <c r="B44">
        <v>1</v>
      </c>
      <c r="C44">
        <v>0</v>
      </c>
      <c r="D44">
        <f t="shared" si="17"/>
        <v>0</v>
      </c>
      <c r="E44" t="s">
        <v>162</v>
      </c>
      <c r="F44" t="s">
        <v>206</v>
      </c>
      <c r="G44" t="s">
        <v>207</v>
      </c>
      <c r="H44" s="188">
        <f t="shared" si="18"/>
        <v>0</v>
      </c>
      <c r="I44" s="188">
        <f t="shared" si="19"/>
        <v>199869</v>
      </c>
      <c r="J44" s="189">
        <f t="shared" si="20"/>
        <v>8.906082387749592E-3</v>
      </c>
      <c r="K44" s="188">
        <f t="shared" si="21"/>
        <v>201657</v>
      </c>
      <c r="L44" s="189">
        <f t="shared" si="22"/>
        <v>8.2915488377786062E-3</v>
      </c>
      <c r="M44" s="188">
        <f t="shared" si="16"/>
        <v>203336</v>
      </c>
      <c r="N44" s="189">
        <f t="shared" si="23"/>
        <v>8.0526302360688362E-3</v>
      </c>
      <c r="O44" s="188">
        <f t="shared" si="24"/>
        <v>204980</v>
      </c>
      <c r="P44" s="189">
        <f t="shared" si="25"/>
        <v>7.9108647008787614E-3</v>
      </c>
      <c r="Q44" s="188">
        <f t="shared" si="26"/>
        <v>206608</v>
      </c>
      <c r="R44" s="188">
        <v>4269</v>
      </c>
      <c r="S44" s="188">
        <v>4773</v>
      </c>
      <c r="T44" s="188">
        <v>5303</v>
      </c>
      <c r="U44" s="188">
        <v>6076</v>
      </c>
      <c r="V44" s="188">
        <v>6666</v>
      </c>
      <c r="W44" s="188">
        <v>63875</v>
      </c>
      <c r="X44" s="188">
        <v>71097</v>
      </c>
      <c r="Y44" s="188">
        <v>80668</v>
      </c>
      <c r="Z44" s="188">
        <v>91280</v>
      </c>
      <c r="AA44" s="188">
        <v>100537</v>
      </c>
      <c r="AB44" s="188">
        <v>4022</v>
      </c>
      <c r="AC44" s="188">
        <v>4288</v>
      </c>
      <c r="AD44" s="188">
        <v>4575</v>
      </c>
      <c r="AE44" s="188">
        <v>4861</v>
      </c>
      <c r="AF44" s="188">
        <v>5110</v>
      </c>
      <c r="AG44" s="188">
        <v>58678</v>
      </c>
      <c r="AH44" s="188">
        <v>62422</v>
      </c>
      <c r="AI44" s="188">
        <v>66361</v>
      </c>
      <c r="AJ44" s="188">
        <v>70425</v>
      </c>
      <c r="AK44" s="188">
        <v>74771</v>
      </c>
      <c r="AL44" s="189">
        <v>6.13E-2</v>
      </c>
      <c r="AM44" s="189">
        <v>6.6100000000000006E-2</v>
      </c>
      <c r="AN44" s="189">
        <v>6.7000000000000004E-2</v>
      </c>
      <c r="AO44" s="189">
        <v>6.2600000000000003E-2</v>
      </c>
      <c r="AP44" s="189">
        <v>5.0999999999999997E-2</v>
      </c>
      <c r="AQ44" s="189">
        <v>6.8600000000000008E-2</v>
      </c>
      <c r="AR44" s="189">
        <v>6.3799999999999996E-2</v>
      </c>
      <c r="AS44" s="189">
        <v>6.3099999999999989E-2</v>
      </c>
      <c r="AT44" s="189">
        <v>6.1200000000000004E-2</v>
      </c>
      <c r="AU44" s="189">
        <v>6.1699999999999998E-2</v>
      </c>
      <c r="AV44" s="188">
        <v>21359</v>
      </c>
      <c r="AW44" s="188">
        <v>23669</v>
      </c>
      <c r="AX44" s="188">
        <v>26080</v>
      </c>
      <c r="AY44" s="188">
        <v>29642</v>
      </c>
      <c r="AZ44" s="188">
        <v>32264</v>
      </c>
      <c r="BA44" s="188">
        <v>27373</v>
      </c>
      <c r="BB44" s="188">
        <v>30121</v>
      </c>
      <c r="BC44" s="188">
        <v>33800</v>
      </c>
      <c r="BD44" s="188">
        <v>37842</v>
      </c>
      <c r="BE44" s="188">
        <v>41256</v>
      </c>
      <c r="BF44" s="231">
        <f t="shared" si="27"/>
        <v>0.89694094533771851</v>
      </c>
      <c r="BG44" s="188">
        <f t="shared" si="28"/>
        <v>1006</v>
      </c>
      <c r="BH44" s="188">
        <f t="shared" si="29"/>
        <v>14491</v>
      </c>
      <c r="BI44" s="188">
        <f t="shared" si="30"/>
        <v>70361</v>
      </c>
      <c r="BJ44" s="188">
        <f t="shared" si="31"/>
        <v>120750</v>
      </c>
      <c r="BK44" s="240">
        <f>'ERR Calculation'!$C$3*($V44/$V$70)*(BG44/$Q44)</f>
        <v>505.55699085835573</v>
      </c>
      <c r="BL44" s="240">
        <f>'ERR Calculation'!$C$3*($V44/$V$70)*(BH44/$Q44)</f>
        <v>7282.3323603662357</v>
      </c>
      <c r="BM44" s="240">
        <f>'ERR Calculation'!$C$3*($V44/$V$70)*(BI44/$Q44)</f>
        <v>35359.33939740037</v>
      </c>
      <c r="BN44" s="240">
        <f>'ERR Calculation'!$C$3*($V44/$V$70)*(BJ44/$Q44)</f>
        <v>60681.915155215174</v>
      </c>
    </row>
    <row r="45" spans="2:66" x14ac:dyDescent="0.25">
      <c r="B45">
        <v>1</v>
      </c>
      <c r="C45">
        <v>1</v>
      </c>
      <c r="D45">
        <f t="shared" si="17"/>
        <v>1</v>
      </c>
      <c r="E45" t="s">
        <v>162</v>
      </c>
      <c r="F45" t="s">
        <v>208</v>
      </c>
      <c r="G45" t="s">
        <v>207</v>
      </c>
      <c r="H45" s="188">
        <f t="shared" si="18"/>
        <v>1</v>
      </c>
      <c r="I45" s="188">
        <f t="shared" si="19"/>
        <v>193123</v>
      </c>
      <c r="J45" s="189">
        <f t="shared" si="20"/>
        <v>9.0618242599251886E-3</v>
      </c>
      <c r="K45" s="188">
        <f t="shared" si="21"/>
        <v>194881</v>
      </c>
      <c r="L45" s="189">
        <f t="shared" si="22"/>
        <v>7.7948294806375884E-3</v>
      </c>
      <c r="M45" s="188">
        <f t="shared" si="16"/>
        <v>196406</v>
      </c>
      <c r="N45" s="189">
        <f t="shared" si="23"/>
        <v>8.5324792995447041E-3</v>
      </c>
      <c r="O45" s="188">
        <f t="shared" si="24"/>
        <v>198089</v>
      </c>
      <c r="P45" s="189">
        <f t="shared" si="25"/>
        <v>7.1078366908867707E-3</v>
      </c>
      <c r="Q45" s="188">
        <f t="shared" si="26"/>
        <v>199502</v>
      </c>
      <c r="R45" s="188">
        <v>6408</v>
      </c>
      <c r="S45" s="188">
        <v>7187</v>
      </c>
      <c r="T45" s="188">
        <v>8262</v>
      </c>
      <c r="U45" s="188">
        <v>9389</v>
      </c>
      <c r="V45" s="188">
        <v>10406</v>
      </c>
      <c r="W45" s="188">
        <v>63875</v>
      </c>
      <c r="X45" s="188">
        <v>71097</v>
      </c>
      <c r="Y45" s="188">
        <v>80668</v>
      </c>
      <c r="Z45" s="188">
        <v>91280</v>
      </c>
      <c r="AA45" s="188">
        <v>100537</v>
      </c>
      <c r="AB45" s="188">
        <v>5910</v>
      </c>
      <c r="AC45" s="188">
        <v>6318</v>
      </c>
      <c r="AD45" s="188">
        <v>6792</v>
      </c>
      <c r="AE45" s="188">
        <v>7269</v>
      </c>
      <c r="AF45" s="188">
        <v>7782</v>
      </c>
      <c r="AG45" s="188">
        <v>58678</v>
      </c>
      <c r="AH45" s="188">
        <v>62422</v>
      </c>
      <c r="AI45" s="188">
        <v>66361</v>
      </c>
      <c r="AJ45" s="188">
        <v>70425</v>
      </c>
      <c r="AK45" s="188">
        <v>74771</v>
      </c>
      <c r="AL45" s="189">
        <v>7.1199999999999999E-2</v>
      </c>
      <c r="AM45" s="189">
        <v>6.9099999999999995E-2</v>
      </c>
      <c r="AN45" s="189">
        <v>7.4999999999999997E-2</v>
      </c>
      <c r="AO45" s="189">
        <v>7.0300000000000001E-2</v>
      </c>
      <c r="AP45" s="189">
        <v>7.0599999999999996E-2</v>
      </c>
      <c r="AQ45" s="189">
        <v>6.8600000000000008E-2</v>
      </c>
      <c r="AR45" s="189">
        <v>6.3799999999999996E-2</v>
      </c>
      <c r="AS45" s="189">
        <v>6.3099999999999989E-2</v>
      </c>
      <c r="AT45" s="189">
        <v>6.1200000000000004E-2</v>
      </c>
      <c r="AU45" s="189">
        <v>6.1699999999999998E-2</v>
      </c>
      <c r="AV45" s="188">
        <v>33181</v>
      </c>
      <c r="AW45" s="188">
        <v>36879</v>
      </c>
      <c r="AX45" s="188">
        <v>42066</v>
      </c>
      <c r="AY45" s="188">
        <v>47398</v>
      </c>
      <c r="AZ45" s="188">
        <v>52160</v>
      </c>
      <c r="BA45" s="188">
        <v>27373</v>
      </c>
      <c r="BB45" s="188">
        <v>30121</v>
      </c>
      <c r="BC45" s="188">
        <v>33800</v>
      </c>
      <c r="BD45" s="188">
        <v>37842</v>
      </c>
      <c r="BE45" s="188">
        <v>41256</v>
      </c>
      <c r="BF45" s="231">
        <f t="shared" si="27"/>
        <v>0.89694094533771851</v>
      </c>
      <c r="BG45" s="188">
        <f t="shared" si="28"/>
        <v>972</v>
      </c>
      <c r="BH45" s="188">
        <f t="shared" si="29"/>
        <v>13992</v>
      </c>
      <c r="BI45" s="188">
        <f t="shared" si="30"/>
        <v>67941</v>
      </c>
      <c r="BJ45" s="188">
        <f t="shared" si="31"/>
        <v>116597</v>
      </c>
      <c r="BK45" s="240">
        <f>'ERR Calculation'!$C$3*($V45/$V$70)*(BG45/$Q45)</f>
        <v>789.69028730803609</v>
      </c>
      <c r="BL45" s="240">
        <f>'ERR Calculation'!$C$3*($V45/$V$70)*(BH45/$Q45)</f>
        <v>11367.64043211321</v>
      </c>
      <c r="BM45" s="240">
        <f>'ERR Calculation'!$C$3*($V45/$V$70)*(BI45/$Q45)</f>
        <v>55197.888693410772</v>
      </c>
      <c r="BN45" s="240">
        <f>'ERR Calculation'!$C$3*($V45/$V$70)*(BJ45/$Q45)</f>
        <v>94727.899618575189</v>
      </c>
    </row>
    <row r="46" spans="2:66" x14ac:dyDescent="0.25">
      <c r="B46">
        <v>1</v>
      </c>
      <c r="C46">
        <v>1</v>
      </c>
      <c r="D46">
        <f t="shared" si="17"/>
        <v>1</v>
      </c>
      <c r="E46" t="s">
        <v>162</v>
      </c>
      <c r="F46" t="s">
        <v>209</v>
      </c>
      <c r="G46" t="s">
        <v>192</v>
      </c>
      <c r="H46" s="188">
        <f t="shared" si="18"/>
        <v>0</v>
      </c>
      <c r="I46" s="188">
        <f t="shared" si="19"/>
        <v>366513</v>
      </c>
      <c r="J46" s="189">
        <f t="shared" si="20"/>
        <v>2.890856559533006E-2</v>
      </c>
      <c r="K46" s="188">
        <f t="shared" si="21"/>
        <v>377263</v>
      </c>
      <c r="L46" s="189">
        <f t="shared" si="22"/>
        <v>2.8884609817806606E-2</v>
      </c>
      <c r="M46" s="188">
        <f t="shared" si="16"/>
        <v>388319</v>
      </c>
      <c r="N46" s="189">
        <f t="shared" si="23"/>
        <v>2.7540182746395914E-2</v>
      </c>
      <c r="O46" s="188">
        <f t="shared" si="24"/>
        <v>399162</v>
      </c>
      <c r="P46" s="189">
        <f t="shared" si="25"/>
        <v>2.7618734812403289E-2</v>
      </c>
      <c r="Q46" s="188">
        <f t="shared" si="26"/>
        <v>410340</v>
      </c>
      <c r="R46" s="188">
        <v>11783</v>
      </c>
      <c r="S46" s="188">
        <v>13566</v>
      </c>
      <c r="T46" s="188">
        <v>15384</v>
      </c>
      <c r="U46" s="188">
        <v>17049</v>
      </c>
      <c r="V46" s="188">
        <v>19105</v>
      </c>
      <c r="W46" s="188">
        <v>115070</v>
      </c>
      <c r="X46" s="188">
        <v>129976</v>
      </c>
      <c r="Y46" s="188">
        <v>144814</v>
      </c>
      <c r="Z46" s="188">
        <v>155106</v>
      </c>
      <c r="AA46" s="188">
        <v>171711</v>
      </c>
      <c r="AB46" s="188">
        <v>10867</v>
      </c>
      <c r="AC46" s="188">
        <v>11644</v>
      </c>
      <c r="AD46" s="188">
        <v>12578</v>
      </c>
      <c r="AE46" s="188">
        <v>13238</v>
      </c>
      <c r="AF46" s="188">
        <v>13956</v>
      </c>
      <c r="AG46" s="188">
        <v>104615</v>
      </c>
      <c r="AH46" s="188">
        <v>111766</v>
      </c>
      <c r="AI46" s="188">
        <v>119991</v>
      </c>
      <c r="AJ46" s="188">
        <v>125036</v>
      </c>
      <c r="AK46" s="188">
        <v>130500</v>
      </c>
      <c r="AL46" s="189">
        <v>7.2300000000000003E-2</v>
      </c>
      <c r="AM46" s="189">
        <v>7.1500000000000008E-2</v>
      </c>
      <c r="AN46" s="189">
        <v>8.0299999999999996E-2</v>
      </c>
      <c r="AO46" s="189">
        <v>5.2499999999999998E-2</v>
      </c>
      <c r="AP46" s="189">
        <v>5.4299999999999994E-2</v>
      </c>
      <c r="AQ46" s="189">
        <v>7.0300000000000001E-2</v>
      </c>
      <c r="AR46" s="189">
        <v>6.8400000000000002E-2</v>
      </c>
      <c r="AS46" s="189">
        <v>7.3599999999999999E-2</v>
      </c>
      <c r="AT46" s="189">
        <v>4.2000000000000003E-2</v>
      </c>
      <c r="AU46" s="189">
        <v>4.3700000000000003E-2</v>
      </c>
      <c r="AV46" s="188">
        <v>32149</v>
      </c>
      <c r="AW46" s="188">
        <v>35959</v>
      </c>
      <c r="AX46" s="188">
        <v>39617</v>
      </c>
      <c r="AY46" s="188">
        <v>42712</v>
      </c>
      <c r="AZ46" s="188">
        <v>46559</v>
      </c>
      <c r="BA46" s="188">
        <v>35658</v>
      </c>
      <c r="BB46" s="188">
        <v>39554</v>
      </c>
      <c r="BC46" s="188">
        <v>43300</v>
      </c>
      <c r="BD46" s="188">
        <v>45592</v>
      </c>
      <c r="BE46" s="188">
        <v>49643</v>
      </c>
      <c r="BF46" s="231">
        <f t="shared" si="27"/>
        <v>1.0792815432761382</v>
      </c>
      <c r="BG46" s="188">
        <f t="shared" si="28"/>
        <v>1729</v>
      </c>
      <c r="BH46" s="188">
        <f t="shared" si="29"/>
        <v>26285</v>
      </c>
      <c r="BI46" s="188">
        <f t="shared" si="30"/>
        <v>133533</v>
      </c>
      <c r="BJ46" s="188">
        <f t="shared" si="31"/>
        <v>248793</v>
      </c>
      <c r="BK46" s="240">
        <f>'ERR Calculation'!$C$3*($V46/$V$70)*(BG46/$Q46)</f>
        <v>1253.8689416225855</v>
      </c>
      <c r="BL46" s="240">
        <f>'ERR Calculation'!$C$3*($V46/$V$70)*(BH46/$Q46)</f>
        <v>19061.853748149024</v>
      </c>
      <c r="BM46" s="240">
        <f>'ERR Calculation'!$C$3*($V46/$V$70)*(BI46/$Q46)</f>
        <v>96837.988075007932</v>
      </c>
      <c r="BN46" s="240">
        <f>'ERR Calculation'!$C$3*($V46/$V$70)*(BJ46/$Q46)</f>
        <v>180424.41619034583</v>
      </c>
    </row>
    <row r="47" spans="2:66" x14ac:dyDescent="0.25">
      <c r="B47">
        <v>1</v>
      </c>
      <c r="C47">
        <v>1</v>
      </c>
      <c r="D47">
        <f t="shared" si="17"/>
        <v>1</v>
      </c>
      <c r="E47" t="s">
        <v>2</v>
      </c>
      <c r="F47" t="s">
        <v>210</v>
      </c>
      <c r="G47" t="s">
        <v>210</v>
      </c>
      <c r="H47" s="188">
        <f t="shared" si="18"/>
        <v>1</v>
      </c>
      <c r="I47" s="188">
        <f t="shared" si="19"/>
        <v>4646695</v>
      </c>
      <c r="J47" s="189">
        <f t="shared" si="20"/>
        <v>1.368285012522108E-2</v>
      </c>
      <c r="K47" s="188">
        <f t="shared" si="21"/>
        <v>4710712</v>
      </c>
      <c r="L47" s="189">
        <f t="shared" si="22"/>
        <v>1.3286182397420632E-2</v>
      </c>
      <c r="M47" s="188">
        <f t="shared" si="16"/>
        <v>4773717</v>
      </c>
      <c r="N47" s="189">
        <f t="shared" si="23"/>
        <v>1.289113673082376E-2</v>
      </c>
      <c r="O47" s="188">
        <f t="shared" si="24"/>
        <v>4835654</v>
      </c>
      <c r="P47" s="189">
        <f t="shared" si="25"/>
        <v>1.245526491507043E-2</v>
      </c>
      <c r="Q47" s="188">
        <f t="shared" si="26"/>
        <v>4896260</v>
      </c>
      <c r="R47" s="188">
        <v>69022</v>
      </c>
      <c r="S47" s="188">
        <v>73619</v>
      </c>
      <c r="T47" s="188">
        <v>81621</v>
      </c>
      <c r="U47" s="188">
        <v>103865</v>
      </c>
      <c r="V47" s="188">
        <v>116247</v>
      </c>
      <c r="W47" s="188">
        <v>69022</v>
      </c>
      <c r="X47" s="188">
        <v>73619</v>
      </c>
      <c r="Y47" s="188">
        <v>81621</v>
      </c>
      <c r="Z47" s="188">
        <v>103865</v>
      </c>
      <c r="AA47" s="188">
        <v>116247</v>
      </c>
      <c r="AB47" s="188">
        <v>66341</v>
      </c>
      <c r="AC47" s="188">
        <v>69767</v>
      </c>
      <c r="AD47" s="188">
        <v>73373</v>
      </c>
      <c r="AE47" s="188">
        <v>89345</v>
      </c>
      <c r="AF47" s="188">
        <v>94548</v>
      </c>
      <c r="AG47" s="188">
        <v>66341</v>
      </c>
      <c r="AH47" s="188">
        <v>69767</v>
      </c>
      <c r="AI47" s="188">
        <v>73373</v>
      </c>
      <c r="AJ47" s="188">
        <v>89345</v>
      </c>
      <c r="AK47" s="188">
        <v>94548</v>
      </c>
      <c r="AL47" s="189">
        <v>-1.54E-2</v>
      </c>
      <c r="AM47" s="189">
        <v>5.16E-2</v>
      </c>
      <c r="AN47" s="189">
        <v>5.1699999999999996E-2</v>
      </c>
      <c r="AO47" s="189">
        <v>0.2177</v>
      </c>
      <c r="AP47" s="189">
        <v>5.8200000000000002E-2</v>
      </c>
      <c r="AQ47" s="189">
        <v>-1.54E-2</v>
      </c>
      <c r="AR47" s="189">
        <v>5.16E-2</v>
      </c>
      <c r="AS47" s="189">
        <v>5.1699999999999996E-2</v>
      </c>
      <c r="AT47" s="189">
        <v>0.2177</v>
      </c>
      <c r="AU47" s="189">
        <v>5.8200000000000002E-2</v>
      </c>
      <c r="AV47" s="188">
        <v>14854</v>
      </c>
      <c r="AW47" s="188">
        <v>15628</v>
      </c>
      <c r="AX47" s="188">
        <v>17098</v>
      </c>
      <c r="AY47" s="188">
        <v>21479</v>
      </c>
      <c r="AZ47" s="188">
        <v>23742</v>
      </c>
      <c r="BA47" s="188">
        <v>14854</v>
      </c>
      <c r="BB47" s="188">
        <v>15628</v>
      </c>
      <c r="BC47" s="188">
        <v>17098</v>
      </c>
      <c r="BD47" s="188">
        <v>21479</v>
      </c>
      <c r="BE47" s="188">
        <v>23742</v>
      </c>
      <c r="BF47" s="231">
        <f t="shared" si="27"/>
        <v>0.51617151260927174</v>
      </c>
      <c r="BG47" s="188">
        <f t="shared" si="28"/>
        <v>30561</v>
      </c>
      <c r="BH47" s="188">
        <f t="shared" si="29"/>
        <v>405585</v>
      </c>
      <c r="BI47" s="188">
        <f t="shared" si="30"/>
        <v>1822181</v>
      </c>
      <c r="BJ47" s="188">
        <f t="shared" si="31"/>
        <v>2637933</v>
      </c>
      <c r="BK47" s="240">
        <f>'ERR Calculation'!$C$3*($V47/$V$70)*(BG47/$Q47)</f>
        <v>11301.570719971864</v>
      </c>
      <c r="BL47" s="240">
        <f>'ERR Calculation'!$C$3*($V47/$V$70)*(BH47/$Q47)</f>
        <v>149986.8315977811</v>
      </c>
      <c r="BM47" s="240">
        <f>'ERR Calculation'!$C$3*($V47/$V$70)*(BI47/$Q47)</f>
        <v>673849.26658450474</v>
      </c>
      <c r="BN47" s="240">
        <f>'ERR Calculation'!$C$3*($V47/$V$70)*(BJ47/$Q47)</f>
        <v>975517.37031011865</v>
      </c>
    </row>
    <row r="48" spans="2:66" x14ac:dyDescent="0.25">
      <c r="B48">
        <v>1</v>
      </c>
      <c r="C48">
        <v>1</v>
      </c>
      <c r="D48">
        <f t="shared" si="17"/>
        <v>1</v>
      </c>
      <c r="E48" t="s">
        <v>2</v>
      </c>
      <c r="F48" t="s">
        <v>211</v>
      </c>
      <c r="G48" t="s">
        <v>211</v>
      </c>
      <c r="H48" s="188">
        <f t="shared" si="18"/>
        <v>1</v>
      </c>
      <c r="I48" s="188">
        <f t="shared" si="19"/>
        <v>4871151</v>
      </c>
      <c r="J48" s="189">
        <f t="shared" si="20"/>
        <v>1.6855993318454665E-2</v>
      </c>
      <c r="K48" s="188">
        <f t="shared" si="21"/>
        <v>4953955</v>
      </c>
      <c r="L48" s="189">
        <f t="shared" si="22"/>
        <v>1.6577763463253348E-2</v>
      </c>
      <c r="M48" s="188">
        <f t="shared" si="16"/>
        <v>5036765</v>
      </c>
      <c r="N48" s="189">
        <f t="shared" si="23"/>
        <v>1.6394139061699065E-2</v>
      </c>
      <c r="O48" s="188">
        <f t="shared" si="24"/>
        <v>5120019</v>
      </c>
      <c r="P48" s="189">
        <f t="shared" si="25"/>
        <v>1.618754720989557E-2</v>
      </c>
      <c r="Q48" s="188">
        <f t="shared" si="26"/>
        <v>5203574</v>
      </c>
      <c r="R48" s="188">
        <v>54893</v>
      </c>
      <c r="S48" s="188">
        <v>61325</v>
      </c>
      <c r="T48" s="188">
        <v>68500</v>
      </c>
      <c r="U48" s="188">
        <v>76191</v>
      </c>
      <c r="V48" s="188">
        <v>84173</v>
      </c>
      <c r="W48" s="188">
        <v>54893</v>
      </c>
      <c r="X48" s="188">
        <v>61325</v>
      </c>
      <c r="Y48" s="188">
        <v>68500</v>
      </c>
      <c r="Z48" s="188">
        <v>76191</v>
      </c>
      <c r="AA48" s="188">
        <v>84173</v>
      </c>
      <c r="AB48" s="188">
        <v>48863</v>
      </c>
      <c r="AC48" s="188">
        <v>51505</v>
      </c>
      <c r="AD48" s="188">
        <v>54108</v>
      </c>
      <c r="AE48" s="188">
        <v>56832</v>
      </c>
      <c r="AF48" s="188">
        <v>59776</v>
      </c>
      <c r="AG48" s="188">
        <v>48863</v>
      </c>
      <c r="AH48" s="188">
        <v>51505</v>
      </c>
      <c r="AI48" s="188">
        <v>54108</v>
      </c>
      <c r="AJ48" s="188">
        <v>56832</v>
      </c>
      <c r="AK48" s="188">
        <v>59776</v>
      </c>
      <c r="AL48" s="189">
        <v>5.4600000000000003E-2</v>
      </c>
      <c r="AM48" s="189">
        <v>5.4100000000000002E-2</v>
      </c>
      <c r="AN48" s="189">
        <v>5.0499999999999996E-2</v>
      </c>
      <c r="AO48" s="189">
        <v>5.0300000000000004E-2</v>
      </c>
      <c r="AP48" s="189">
        <v>5.1799999999999999E-2</v>
      </c>
      <c r="AQ48" s="189">
        <v>5.4600000000000003E-2</v>
      </c>
      <c r="AR48" s="189">
        <v>5.4100000000000002E-2</v>
      </c>
      <c r="AS48" s="189">
        <v>5.0499999999999996E-2</v>
      </c>
      <c r="AT48" s="189">
        <v>5.0300000000000004E-2</v>
      </c>
      <c r="AU48" s="189">
        <v>5.1799999999999999E-2</v>
      </c>
      <c r="AV48" s="188">
        <v>11269</v>
      </c>
      <c r="AW48" s="188">
        <v>12379</v>
      </c>
      <c r="AX48" s="188">
        <v>13600</v>
      </c>
      <c r="AY48" s="188">
        <v>14881</v>
      </c>
      <c r="AZ48" s="188">
        <v>16176</v>
      </c>
      <c r="BA48" s="188">
        <v>11269</v>
      </c>
      <c r="BB48" s="188">
        <v>12379</v>
      </c>
      <c r="BC48" s="188">
        <v>13600</v>
      </c>
      <c r="BD48" s="188">
        <v>14881</v>
      </c>
      <c r="BE48" s="188">
        <v>16176</v>
      </c>
      <c r="BF48" s="231">
        <f t="shared" si="27"/>
        <v>0.351680161231892</v>
      </c>
      <c r="BG48" s="188">
        <f t="shared" si="28"/>
        <v>35561</v>
      </c>
      <c r="BH48" s="188">
        <f t="shared" si="29"/>
        <v>459587</v>
      </c>
      <c r="BI48" s="188">
        <f t="shared" si="30"/>
        <v>2007594</v>
      </c>
      <c r="BJ48" s="188">
        <f t="shared" si="31"/>
        <v>2700832</v>
      </c>
      <c r="BK48" s="240">
        <f>'ERR Calculation'!$C$3*($V48/$V$70)*(BG48/$Q48)</f>
        <v>8959.8141226029766</v>
      </c>
      <c r="BL48" s="240">
        <f>'ERR Calculation'!$C$3*($V48/$V$70)*(BH48/$Q48)</f>
        <v>115795.79013989298</v>
      </c>
      <c r="BM48" s="240">
        <f>'ERR Calculation'!$C$3*($V48/$V$70)*(BI48/$Q48)</f>
        <v>505825.73813033936</v>
      </c>
      <c r="BN48" s="240">
        <f>'ERR Calculation'!$C$3*($V48/$V$70)*(BJ48/$Q48)</f>
        <v>680491.344348529</v>
      </c>
    </row>
    <row r="49" spans="2:66" x14ac:dyDescent="0.25">
      <c r="B49">
        <v>0</v>
      </c>
      <c r="C49">
        <v>2</v>
      </c>
      <c r="D49">
        <f t="shared" si="17"/>
        <v>1</v>
      </c>
      <c r="E49" t="s">
        <v>162</v>
      </c>
      <c r="F49" t="s">
        <v>236</v>
      </c>
      <c r="G49" t="s">
        <v>174</v>
      </c>
      <c r="H49" s="188">
        <f t="shared" si="18"/>
        <v>1</v>
      </c>
      <c r="I49" s="188">
        <f t="shared" si="19"/>
        <v>753333</v>
      </c>
      <c r="J49" s="189">
        <f t="shared" si="20"/>
        <v>1.5198523625238991E-2</v>
      </c>
      <c r="K49" s="188">
        <f t="shared" si="21"/>
        <v>764870</v>
      </c>
      <c r="L49" s="189">
        <f t="shared" si="22"/>
        <v>1.4802242305206548E-2</v>
      </c>
      <c r="M49" s="188">
        <f t="shared" ref="M49:M69" si="32">CEILING(T49/AX49*1000000,1)</f>
        <v>776276</v>
      </c>
      <c r="N49" s="189">
        <f t="shared" si="23"/>
        <v>1.437302126885065E-2</v>
      </c>
      <c r="O49" s="188">
        <f t="shared" si="24"/>
        <v>787514</v>
      </c>
      <c r="P49" s="189">
        <f t="shared" si="25"/>
        <v>1.3830024437524457E-2</v>
      </c>
      <c r="Q49" s="188">
        <f t="shared" si="26"/>
        <v>798481</v>
      </c>
      <c r="R49" s="188">
        <v>16049</v>
      </c>
      <c r="S49" s="188">
        <v>18145</v>
      </c>
      <c r="T49" s="188">
        <v>19986</v>
      </c>
      <c r="U49" s="188">
        <v>21733</v>
      </c>
      <c r="V49" s="188">
        <v>23326</v>
      </c>
      <c r="W49" s="188">
        <v>253265</v>
      </c>
      <c r="X49" s="188">
        <v>280348</v>
      </c>
      <c r="Y49" s="188">
        <v>306422</v>
      </c>
      <c r="Z49" s="188">
        <v>332893</v>
      </c>
      <c r="AA49" s="188">
        <v>355419</v>
      </c>
      <c r="AB49" s="188">
        <v>14231</v>
      </c>
      <c r="AC49" s="188">
        <v>15136</v>
      </c>
      <c r="AD49" s="188">
        <v>15903</v>
      </c>
      <c r="AE49" s="188">
        <v>16667</v>
      </c>
      <c r="AF49" s="188">
        <v>17450</v>
      </c>
      <c r="AG49" s="188">
        <v>220459</v>
      </c>
      <c r="AH49" s="188">
        <v>232175</v>
      </c>
      <c r="AI49" s="188">
        <v>243298</v>
      </c>
      <c r="AJ49" s="188">
        <v>254045</v>
      </c>
      <c r="AK49" s="188">
        <v>266815</v>
      </c>
      <c r="AL49" s="189">
        <v>6.5599999999999992E-2</v>
      </c>
      <c r="AM49" s="189">
        <v>6.3600000000000004E-2</v>
      </c>
      <c r="AN49" s="189">
        <v>5.0700000000000002E-2</v>
      </c>
      <c r="AO49" s="189">
        <v>4.8099999999999997E-2</v>
      </c>
      <c r="AP49" s="189">
        <v>4.7E-2</v>
      </c>
      <c r="AQ49" s="189">
        <v>6.83E-2</v>
      </c>
      <c r="AR49" s="189">
        <v>5.3099999999999994E-2</v>
      </c>
      <c r="AS49" s="189">
        <v>4.7899999999999998E-2</v>
      </c>
      <c r="AT49" s="189">
        <v>4.4199999999999996E-2</v>
      </c>
      <c r="AU49" s="189">
        <v>5.0300000000000004E-2</v>
      </c>
      <c r="AV49" s="188">
        <v>21304</v>
      </c>
      <c r="AW49" s="188">
        <v>23723</v>
      </c>
      <c r="AX49" s="188">
        <v>25746</v>
      </c>
      <c r="AY49" s="188">
        <v>27597</v>
      </c>
      <c r="AZ49" s="188">
        <v>29213</v>
      </c>
      <c r="BA49" s="188">
        <v>32830</v>
      </c>
      <c r="BB49" s="188">
        <v>35810</v>
      </c>
      <c r="BC49" s="188">
        <v>38585</v>
      </c>
      <c r="BD49" s="188">
        <v>41341</v>
      </c>
      <c r="BE49" s="188">
        <v>43551</v>
      </c>
      <c r="BF49" s="231">
        <f t="shared" si="27"/>
        <v>0.9468362204383115</v>
      </c>
      <c r="BG49" s="188">
        <f t="shared" si="28"/>
        <v>3746</v>
      </c>
      <c r="BH49" s="188">
        <f t="shared" si="29"/>
        <v>54674</v>
      </c>
      <c r="BI49" s="188">
        <f t="shared" si="30"/>
        <v>268619</v>
      </c>
      <c r="BJ49" s="188">
        <f t="shared" si="31"/>
        <v>471442</v>
      </c>
      <c r="BK49" s="240">
        <f>'ERR Calculation'!$C$3*($V49/$V$70)*(BG49/$Q49)</f>
        <v>1704.5016331881845</v>
      </c>
      <c r="BL49" s="240">
        <f>'ERR Calculation'!$C$3*($V49/$V$70)*(BH49/$Q49)</f>
        <v>24877.715507990069</v>
      </c>
      <c r="BM49" s="240">
        <f>'ERR Calculation'!$C$3*($V49/$V$70)*(BI49/$Q49)</f>
        <v>122226.78168856833</v>
      </c>
      <c r="BN49" s="240">
        <f>'ERR Calculation'!$C$3*($V49/$V$70)*(BJ49/$Q49)</f>
        <v>214515.1251878014</v>
      </c>
    </row>
    <row r="50" spans="2:66" x14ac:dyDescent="0.25">
      <c r="B50">
        <v>1</v>
      </c>
      <c r="C50">
        <v>0</v>
      </c>
      <c r="D50">
        <f t="shared" si="17"/>
        <v>0</v>
      </c>
      <c r="E50" t="s">
        <v>162</v>
      </c>
      <c r="F50" t="s">
        <v>212</v>
      </c>
      <c r="G50" t="s">
        <v>205</v>
      </c>
      <c r="H50" s="188">
        <f t="shared" si="18"/>
        <v>0</v>
      </c>
      <c r="I50" s="188">
        <f t="shared" si="19"/>
        <v>335074</v>
      </c>
      <c r="J50" s="189">
        <f t="shared" si="20"/>
        <v>1.4544213406534112E-2</v>
      </c>
      <c r="K50" s="188">
        <f t="shared" si="21"/>
        <v>339983</v>
      </c>
      <c r="L50" s="189">
        <f t="shared" si="22"/>
        <v>1.4460377123491241E-2</v>
      </c>
      <c r="M50" s="188">
        <f t="shared" si="32"/>
        <v>344935</v>
      </c>
      <c r="N50" s="189">
        <f t="shared" si="23"/>
        <v>1.399985153161154E-2</v>
      </c>
      <c r="O50" s="188">
        <f t="shared" si="24"/>
        <v>349798</v>
      </c>
      <c r="P50" s="189">
        <f t="shared" si="25"/>
        <v>1.3366605229803596E-2</v>
      </c>
      <c r="Q50" s="188">
        <f t="shared" si="26"/>
        <v>354505</v>
      </c>
      <c r="R50" s="188">
        <v>8537</v>
      </c>
      <c r="S50" s="188">
        <v>9255</v>
      </c>
      <c r="T50" s="188">
        <v>9990</v>
      </c>
      <c r="U50" s="188">
        <v>10630</v>
      </c>
      <c r="V50" s="188">
        <v>11537</v>
      </c>
      <c r="W50" s="188">
        <v>253265</v>
      </c>
      <c r="X50" s="188">
        <v>280348</v>
      </c>
      <c r="Y50" s="188">
        <v>306422</v>
      </c>
      <c r="Z50" s="188">
        <v>332893</v>
      </c>
      <c r="AA50" s="188">
        <v>355419</v>
      </c>
      <c r="AB50" s="188">
        <v>7376</v>
      </c>
      <c r="AC50" s="188">
        <v>7705</v>
      </c>
      <c r="AD50" s="188">
        <v>7988</v>
      </c>
      <c r="AE50" s="188">
        <v>8231</v>
      </c>
      <c r="AF50" s="188">
        <v>8556</v>
      </c>
      <c r="AG50" s="188">
        <v>220459</v>
      </c>
      <c r="AH50" s="188">
        <v>232175</v>
      </c>
      <c r="AI50" s="188">
        <v>243298</v>
      </c>
      <c r="AJ50" s="188">
        <v>254045</v>
      </c>
      <c r="AK50" s="188">
        <v>266815</v>
      </c>
      <c r="AL50" s="189">
        <v>5.2600000000000001E-2</v>
      </c>
      <c r="AM50" s="189">
        <v>4.4600000000000001E-2</v>
      </c>
      <c r="AN50" s="189">
        <v>3.6699999999999997E-2</v>
      </c>
      <c r="AO50" s="189">
        <v>3.0499999999999999E-2</v>
      </c>
      <c r="AP50" s="189">
        <v>3.95E-2</v>
      </c>
      <c r="AQ50" s="189">
        <v>6.83E-2</v>
      </c>
      <c r="AR50" s="189">
        <v>5.3099999999999994E-2</v>
      </c>
      <c r="AS50" s="189">
        <v>4.7899999999999998E-2</v>
      </c>
      <c r="AT50" s="189">
        <v>4.4199999999999996E-2</v>
      </c>
      <c r="AU50" s="189">
        <v>5.0300000000000004E-2</v>
      </c>
      <c r="AV50" s="188">
        <v>25478</v>
      </c>
      <c r="AW50" s="188">
        <v>27222</v>
      </c>
      <c r="AX50" s="188">
        <v>28962</v>
      </c>
      <c r="AY50" s="188">
        <v>30389</v>
      </c>
      <c r="AZ50" s="188">
        <v>32544</v>
      </c>
      <c r="BA50" s="188">
        <v>32830</v>
      </c>
      <c r="BB50" s="188">
        <v>35810</v>
      </c>
      <c r="BC50" s="188">
        <v>38585</v>
      </c>
      <c r="BD50" s="188">
        <v>41341</v>
      </c>
      <c r="BE50" s="188">
        <v>43551</v>
      </c>
      <c r="BF50" s="231">
        <f t="shared" si="27"/>
        <v>0.9468362204383115</v>
      </c>
      <c r="BG50" s="188">
        <f t="shared" si="28"/>
        <v>1663</v>
      </c>
      <c r="BH50" s="188">
        <f t="shared" si="29"/>
        <v>24274</v>
      </c>
      <c r="BI50" s="188">
        <f t="shared" si="30"/>
        <v>119260</v>
      </c>
      <c r="BJ50" s="188">
        <f t="shared" si="31"/>
        <v>209308</v>
      </c>
      <c r="BK50" s="240">
        <f>'ERR Calculation'!$C$3*($V50/$V$70)*(BG50/$Q50)</f>
        <v>842.97897088161767</v>
      </c>
      <c r="BL50" s="240">
        <f>'ERR Calculation'!$C$3*($V50/$V$70)*(BH50/$Q50)</f>
        <v>12304.552939976182</v>
      </c>
      <c r="BM50" s="240">
        <f>'ERR Calculation'!$C$3*($V50/$V$70)*(BI50/$Q50)</f>
        <v>60453.200281023288</v>
      </c>
      <c r="BN50" s="240">
        <f>'ERR Calculation'!$C$3*($V50/$V$70)*(BJ50/$Q50)</f>
        <v>106098.76274040267</v>
      </c>
    </row>
    <row r="51" spans="2:66" x14ac:dyDescent="0.25">
      <c r="B51">
        <v>1</v>
      </c>
      <c r="C51">
        <v>0</v>
      </c>
      <c r="D51">
        <f t="shared" si="17"/>
        <v>0</v>
      </c>
      <c r="E51" t="s">
        <v>162</v>
      </c>
      <c r="F51" t="s">
        <v>213</v>
      </c>
      <c r="G51" t="s">
        <v>176</v>
      </c>
      <c r="H51" s="188">
        <f t="shared" si="18"/>
        <v>0</v>
      </c>
      <c r="I51" s="188">
        <f t="shared" si="19"/>
        <v>817656</v>
      </c>
      <c r="J51" s="189">
        <f t="shared" si="20"/>
        <v>1.1870715585985181E-2</v>
      </c>
      <c r="K51" s="188">
        <f t="shared" si="21"/>
        <v>827420</v>
      </c>
      <c r="L51" s="189">
        <f t="shared" si="22"/>
        <v>1.0545825946925547E-2</v>
      </c>
      <c r="M51" s="188">
        <f t="shared" si="32"/>
        <v>836192</v>
      </c>
      <c r="N51" s="189">
        <f t="shared" si="23"/>
        <v>1.082506102946823E-2</v>
      </c>
      <c r="O51" s="188">
        <f t="shared" si="24"/>
        <v>845293</v>
      </c>
      <c r="P51" s="189">
        <f t="shared" si="25"/>
        <v>1.0452778011568853E-2</v>
      </c>
      <c r="Q51" s="188">
        <f t="shared" si="26"/>
        <v>854175</v>
      </c>
      <c r="R51" s="188">
        <v>8901</v>
      </c>
      <c r="S51" s="188">
        <v>9910</v>
      </c>
      <c r="T51" s="188">
        <v>11067</v>
      </c>
      <c r="U51" s="188">
        <v>12299</v>
      </c>
      <c r="V51" s="188">
        <v>13525</v>
      </c>
      <c r="W51" s="188">
        <v>1248767</v>
      </c>
      <c r="X51" s="188">
        <v>1382501</v>
      </c>
      <c r="Y51" s="188">
        <v>1537948</v>
      </c>
      <c r="Z51" s="188">
        <v>1692903</v>
      </c>
      <c r="AA51" s="188">
        <v>1855043</v>
      </c>
      <c r="AB51" s="188">
        <v>7894</v>
      </c>
      <c r="AC51" s="188">
        <v>8375</v>
      </c>
      <c r="AD51" s="188">
        <v>8846</v>
      </c>
      <c r="AE51" s="188">
        <v>9317</v>
      </c>
      <c r="AF51" s="188">
        <v>9816</v>
      </c>
      <c r="AG51" s="188">
        <v>1124465</v>
      </c>
      <c r="AH51" s="188">
        <v>1192790</v>
      </c>
      <c r="AI51" s="188">
        <v>1262684</v>
      </c>
      <c r="AJ51" s="188">
        <v>1331395</v>
      </c>
      <c r="AK51" s="188">
        <v>1405236</v>
      </c>
      <c r="AL51" s="189">
        <v>6.25E-2</v>
      </c>
      <c r="AM51" s="189">
        <v>6.0999999999999999E-2</v>
      </c>
      <c r="AN51" s="189">
        <v>5.62E-2</v>
      </c>
      <c r="AO51" s="189">
        <v>5.3200000000000004E-2</v>
      </c>
      <c r="AP51" s="189">
        <v>5.3499999999999999E-2</v>
      </c>
      <c r="AQ51" s="189">
        <v>6.6400000000000001E-2</v>
      </c>
      <c r="AR51" s="189">
        <v>6.08E-2</v>
      </c>
      <c r="AS51" s="189">
        <v>5.8600000000000006E-2</v>
      </c>
      <c r="AT51" s="189">
        <v>5.4400000000000004E-2</v>
      </c>
      <c r="AU51" s="189">
        <v>5.5500000000000001E-2</v>
      </c>
      <c r="AV51" s="188">
        <v>10886</v>
      </c>
      <c r="AW51" s="188">
        <v>11977</v>
      </c>
      <c r="AX51" s="188">
        <v>13235</v>
      </c>
      <c r="AY51" s="188">
        <v>14550</v>
      </c>
      <c r="AZ51" s="188">
        <v>15834</v>
      </c>
      <c r="BA51" s="188">
        <v>32770</v>
      </c>
      <c r="BB51" s="188">
        <v>36037</v>
      </c>
      <c r="BC51" s="188">
        <v>39833</v>
      </c>
      <c r="BD51" s="188">
        <v>43578</v>
      </c>
      <c r="BE51" s="188">
        <v>47474</v>
      </c>
      <c r="BF51" s="231">
        <f t="shared" si="27"/>
        <v>1.0321256166124406</v>
      </c>
      <c r="BG51" s="188">
        <f t="shared" si="28"/>
        <v>3745</v>
      </c>
      <c r="BH51" s="188">
        <f t="shared" si="29"/>
        <v>56058</v>
      </c>
      <c r="BI51" s="188">
        <f t="shared" si="30"/>
        <v>281309</v>
      </c>
      <c r="BJ51" s="188">
        <f t="shared" si="31"/>
        <v>513063</v>
      </c>
      <c r="BK51" s="240">
        <f>'ERR Calculation'!$C$3*($V51/$V$70)*(BG51/$Q51)</f>
        <v>923.6261138654728</v>
      </c>
      <c r="BL51" s="240">
        <f>'ERR Calculation'!$C$3*($V51/$V$70)*(BH51/$Q51)</f>
        <v>13825.536099084295</v>
      </c>
      <c r="BM51" s="240">
        <f>'ERR Calculation'!$C$3*($V51/$V$70)*(BI51/$Q51)</f>
        <v>69378.995584881792</v>
      </c>
      <c r="BN51" s="240">
        <f>'ERR Calculation'!$C$3*($V51/$V$70)*(BJ51/$Q51)</f>
        <v>126536.28434129804</v>
      </c>
    </row>
    <row r="52" spans="2:66" x14ac:dyDescent="0.25">
      <c r="B52">
        <v>1</v>
      </c>
      <c r="C52">
        <v>1</v>
      </c>
      <c r="D52">
        <f t="shared" si="17"/>
        <v>1</v>
      </c>
      <c r="E52" t="s">
        <v>162</v>
      </c>
      <c r="F52" t="s">
        <v>214</v>
      </c>
      <c r="G52" t="s">
        <v>176</v>
      </c>
      <c r="H52" s="188">
        <f t="shared" si="18"/>
        <v>1</v>
      </c>
      <c r="I52" s="188">
        <f t="shared" si="19"/>
        <v>1543722</v>
      </c>
      <c r="J52" s="189">
        <f t="shared" si="20"/>
        <v>8.391726204020955E-3</v>
      </c>
      <c r="K52" s="188">
        <f t="shared" si="21"/>
        <v>1556731</v>
      </c>
      <c r="L52" s="189">
        <f t="shared" si="22"/>
        <v>8.1798189343427197E-3</v>
      </c>
      <c r="M52" s="188">
        <f t="shared" si="32"/>
        <v>1569517</v>
      </c>
      <c r="N52" s="189">
        <f t="shared" si="23"/>
        <v>7.7765444718860266E-3</v>
      </c>
      <c r="O52" s="188">
        <f t="shared" si="24"/>
        <v>1581770</v>
      </c>
      <c r="P52" s="189">
        <f t="shared" si="25"/>
        <v>7.5013342033027897E-3</v>
      </c>
      <c r="Q52" s="188">
        <f t="shared" si="26"/>
        <v>1593680</v>
      </c>
      <c r="R52" s="188">
        <v>77660</v>
      </c>
      <c r="S52" s="188">
        <v>84943</v>
      </c>
      <c r="T52" s="188">
        <v>94882</v>
      </c>
      <c r="U52" s="188">
        <v>104778</v>
      </c>
      <c r="V52" s="188">
        <v>114882</v>
      </c>
      <c r="W52" s="188">
        <v>1248767</v>
      </c>
      <c r="X52" s="188">
        <v>1382501</v>
      </c>
      <c r="Y52" s="188">
        <v>1537948</v>
      </c>
      <c r="Z52" s="188">
        <v>1692903</v>
      </c>
      <c r="AA52" s="188">
        <v>1855043</v>
      </c>
      <c r="AB52" s="188">
        <v>70167</v>
      </c>
      <c r="AC52" s="188">
        <v>75044</v>
      </c>
      <c r="AD52" s="188">
        <v>80105</v>
      </c>
      <c r="AE52" s="188">
        <v>84416</v>
      </c>
      <c r="AF52" s="188">
        <v>89011</v>
      </c>
      <c r="AG52" s="188">
        <v>1124465</v>
      </c>
      <c r="AH52" s="188">
        <v>1192790</v>
      </c>
      <c r="AI52" s="188">
        <v>1262684</v>
      </c>
      <c r="AJ52" s="188">
        <v>1331395</v>
      </c>
      <c r="AK52" s="188">
        <v>1405236</v>
      </c>
      <c r="AL52" s="189">
        <v>7.4999999999999997E-2</v>
      </c>
      <c r="AM52" s="189">
        <v>6.9500000000000006E-2</v>
      </c>
      <c r="AN52" s="189">
        <v>6.7400000000000002E-2</v>
      </c>
      <c r="AO52" s="189">
        <v>5.3800000000000001E-2</v>
      </c>
      <c r="AP52" s="189">
        <v>5.4400000000000004E-2</v>
      </c>
      <c r="AQ52" s="189">
        <v>6.6400000000000001E-2</v>
      </c>
      <c r="AR52" s="189">
        <v>6.08E-2</v>
      </c>
      <c r="AS52" s="189">
        <v>5.8600000000000006E-2</v>
      </c>
      <c r="AT52" s="189">
        <v>5.4400000000000004E-2</v>
      </c>
      <c r="AU52" s="189">
        <v>5.5500000000000001E-2</v>
      </c>
      <c r="AV52" s="188">
        <v>50307</v>
      </c>
      <c r="AW52" s="188">
        <v>54565</v>
      </c>
      <c r="AX52" s="188">
        <v>60453</v>
      </c>
      <c r="AY52" s="188">
        <v>66241</v>
      </c>
      <c r="AZ52" s="188">
        <v>72086</v>
      </c>
      <c r="BA52" s="188">
        <v>32770</v>
      </c>
      <c r="BB52" s="188">
        <v>36037</v>
      </c>
      <c r="BC52" s="188">
        <v>39833</v>
      </c>
      <c r="BD52" s="188">
        <v>43578</v>
      </c>
      <c r="BE52" s="188">
        <v>47474</v>
      </c>
      <c r="BF52" s="231">
        <f t="shared" si="27"/>
        <v>1.0321256166124406</v>
      </c>
      <c r="BG52" s="188">
        <f t="shared" si="28"/>
        <v>6987</v>
      </c>
      <c r="BH52" s="188">
        <f t="shared" si="29"/>
        <v>104591</v>
      </c>
      <c r="BI52" s="188">
        <f t="shared" si="30"/>
        <v>524852</v>
      </c>
      <c r="BJ52" s="188">
        <f t="shared" si="31"/>
        <v>957250</v>
      </c>
      <c r="BK52" s="240">
        <f>'ERR Calculation'!$C$3*($V52/$V$70)*(BG52/$Q52)</f>
        <v>7845.0474063423262</v>
      </c>
      <c r="BL52" s="240">
        <f>'ERR Calculation'!$C$3*($V52/$V$70)*(BH52/$Q52)</f>
        <v>117435.43055342068</v>
      </c>
      <c r="BM52" s="240">
        <f>'ERR Calculation'!$C$3*($V52/$V$70)*(BI52/$Q52)</f>
        <v>589307.11626071029</v>
      </c>
      <c r="BN52" s="240">
        <f>'ERR Calculation'!$C$3*($V52/$V$70)*(BJ52/$Q52)</f>
        <v>1074806.3016632593</v>
      </c>
    </row>
    <row r="53" spans="2:66" x14ac:dyDescent="0.25">
      <c r="B53">
        <v>1</v>
      </c>
      <c r="C53">
        <v>0</v>
      </c>
      <c r="D53">
        <f t="shared" si="17"/>
        <v>0</v>
      </c>
      <c r="E53" t="s">
        <v>162</v>
      </c>
      <c r="F53" t="s">
        <v>215</v>
      </c>
      <c r="G53" t="s">
        <v>186</v>
      </c>
      <c r="H53" s="188">
        <f t="shared" si="18"/>
        <v>0</v>
      </c>
      <c r="I53" s="188">
        <f t="shared" si="19"/>
        <v>438872</v>
      </c>
      <c r="J53" s="189">
        <f t="shared" si="20"/>
        <v>8.6867997957167375E-3</v>
      </c>
      <c r="K53" s="188">
        <f t="shared" si="21"/>
        <v>442701</v>
      </c>
      <c r="L53" s="189">
        <f t="shared" si="22"/>
        <v>8.5022476180576234E-3</v>
      </c>
      <c r="M53" s="188">
        <f t="shared" si="32"/>
        <v>446481</v>
      </c>
      <c r="N53" s="189">
        <f t="shared" si="23"/>
        <v>8.3172943563560864E-3</v>
      </c>
      <c r="O53" s="188">
        <f t="shared" si="24"/>
        <v>450210</v>
      </c>
      <c r="P53" s="189">
        <f t="shared" si="25"/>
        <v>7.9688747872364019E-3</v>
      </c>
      <c r="Q53" s="188">
        <f t="shared" si="26"/>
        <v>453812</v>
      </c>
      <c r="R53" s="188">
        <v>7359</v>
      </c>
      <c r="S53" s="188">
        <v>8209</v>
      </c>
      <c r="T53" s="188">
        <v>9114</v>
      </c>
      <c r="U53" s="188">
        <v>9865</v>
      </c>
      <c r="V53" s="188">
        <v>10685</v>
      </c>
      <c r="W53" s="188">
        <v>131436</v>
      </c>
      <c r="X53" s="188">
        <v>146900</v>
      </c>
      <c r="Y53" s="188">
        <v>164944</v>
      </c>
      <c r="Z53" s="188">
        <v>179405</v>
      </c>
      <c r="AA53" s="188">
        <v>195683</v>
      </c>
      <c r="AB53" s="188">
        <v>6597</v>
      </c>
      <c r="AC53" s="188">
        <v>6987</v>
      </c>
      <c r="AD53" s="188">
        <v>7393</v>
      </c>
      <c r="AE53" s="188">
        <v>7816</v>
      </c>
      <c r="AF53" s="188">
        <v>8230</v>
      </c>
      <c r="AG53" s="188">
        <v>118724</v>
      </c>
      <c r="AH53" s="188">
        <v>125941</v>
      </c>
      <c r="AI53" s="188">
        <v>133341</v>
      </c>
      <c r="AJ53" s="188">
        <v>140705</v>
      </c>
      <c r="AK53" s="188">
        <v>148111</v>
      </c>
      <c r="AL53" s="189">
        <v>5.8200000000000002E-2</v>
      </c>
      <c r="AM53" s="189">
        <v>5.9000000000000004E-2</v>
      </c>
      <c r="AN53" s="189">
        <v>5.7999999999999996E-2</v>
      </c>
      <c r="AO53" s="189">
        <v>5.7300000000000004E-2</v>
      </c>
      <c r="AP53" s="189">
        <v>5.2999999999999999E-2</v>
      </c>
      <c r="AQ53" s="189">
        <v>6.3099999999999989E-2</v>
      </c>
      <c r="AR53" s="189">
        <v>6.08E-2</v>
      </c>
      <c r="AS53" s="189">
        <v>5.8799999999999998E-2</v>
      </c>
      <c r="AT53" s="189">
        <v>5.5199999999999999E-2</v>
      </c>
      <c r="AU53" s="189">
        <v>5.2600000000000001E-2</v>
      </c>
      <c r="AV53" s="188">
        <v>16768</v>
      </c>
      <c r="AW53" s="188">
        <v>18543</v>
      </c>
      <c r="AX53" s="188">
        <v>20413</v>
      </c>
      <c r="AY53" s="188">
        <v>21912</v>
      </c>
      <c r="AZ53" s="188">
        <v>23545</v>
      </c>
      <c r="BA53" s="188">
        <v>26286</v>
      </c>
      <c r="BB53" s="188">
        <v>28994</v>
      </c>
      <c r="BC53" s="188">
        <v>32141</v>
      </c>
      <c r="BD53" s="188">
        <v>34526</v>
      </c>
      <c r="BE53" s="188">
        <v>37205</v>
      </c>
      <c r="BF53" s="231">
        <f t="shared" si="27"/>
        <v>0.80886871900547364</v>
      </c>
      <c r="BG53" s="188">
        <f t="shared" si="28"/>
        <v>2354</v>
      </c>
      <c r="BH53" s="188">
        <f t="shared" si="29"/>
        <v>33162</v>
      </c>
      <c r="BI53" s="188">
        <f t="shared" si="30"/>
        <v>157865</v>
      </c>
      <c r="BJ53" s="188">
        <f t="shared" si="31"/>
        <v>260431</v>
      </c>
      <c r="BK53" s="240">
        <f>'ERR Calculation'!$C$3*($V53/$V$70)*(BG53/$Q53)</f>
        <v>863.29449838870562</v>
      </c>
      <c r="BL53" s="240">
        <f>'ERR Calculation'!$C$3*($V53/$V$70)*(BH53/$Q53)</f>
        <v>12161.670414429165</v>
      </c>
      <c r="BM53" s="240">
        <f>'ERR Calculation'!$C$3*($V53/$V$70)*(BI53/$Q53)</f>
        <v>57894.6414563012</v>
      </c>
      <c r="BN53" s="240">
        <f>'ERR Calculation'!$C$3*($V53/$V$70)*(BJ53/$Q53)</f>
        <v>95509.196903087926</v>
      </c>
    </row>
    <row r="54" spans="2:66" x14ac:dyDescent="0.25">
      <c r="B54">
        <v>1</v>
      </c>
      <c r="C54">
        <v>1</v>
      </c>
      <c r="D54">
        <f t="shared" si="17"/>
        <v>1</v>
      </c>
      <c r="E54" t="s">
        <v>162</v>
      </c>
      <c r="F54" t="s">
        <v>216</v>
      </c>
      <c r="G54" t="s">
        <v>192</v>
      </c>
      <c r="H54" s="188">
        <f t="shared" si="18"/>
        <v>0</v>
      </c>
      <c r="I54" s="188">
        <f t="shared" si="19"/>
        <v>259989</v>
      </c>
      <c r="J54" s="189">
        <f t="shared" si="20"/>
        <v>2.3364376406361131E-2</v>
      </c>
      <c r="K54" s="188">
        <f t="shared" si="21"/>
        <v>266135</v>
      </c>
      <c r="L54" s="189">
        <f t="shared" si="22"/>
        <v>2.2592169963882469E-2</v>
      </c>
      <c r="M54" s="188">
        <f t="shared" si="32"/>
        <v>272216</v>
      </c>
      <c r="N54" s="189">
        <f t="shared" si="23"/>
        <v>2.17839498085457E-2</v>
      </c>
      <c r="O54" s="188">
        <f t="shared" si="24"/>
        <v>278211</v>
      </c>
      <c r="P54" s="189">
        <f t="shared" si="25"/>
        <v>2.1333582925345596E-2</v>
      </c>
      <c r="Q54" s="188">
        <f t="shared" si="26"/>
        <v>284210</v>
      </c>
      <c r="R54" s="188">
        <v>8362</v>
      </c>
      <c r="S54" s="188">
        <v>9435</v>
      </c>
      <c r="T54" s="188">
        <v>10440</v>
      </c>
      <c r="U54" s="188">
        <v>11176</v>
      </c>
      <c r="V54" s="188">
        <v>12246</v>
      </c>
      <c r="W54" s="188">
        <v>115070</v>
      </c>
      <c r="X54" s="188">
        <v>129976</v>
      </c>
      <c r="Y54" s="188">
        <v>144814</v>
      </c>
      <c r="Z54" s="188">
        <v>155106</v>
      </c>
      <c r="AA54" s="188">
        <v>171711</v>
      </c>
      <c r="AB54" s="188">
        <v>7663</v>
      </c>
      <c r="AC54" s="188">
        <v>8246</v>
      </c>
      <c r="AD54" s="188">
        <v>8675</v>
      </c>
      <c r="AE54" s="188">
        <v>8987</v>
      </c>
      <c r="AF54" s="188">
        <v>9369</v>
      </c>
      <c r="AG54" s="188">
        <v>104615</v>
      </c>
      <c r="AH54" s="188">
        <v>111766</v>
      </c>
      <c r="AI54" s="188">
        <v>119991</v>
      </c>
      <c r="AJ54" s="188">
        <v>125036</v>
      </c>
      <c r="AK54" s="188">
        <v>130500</v>
      </c>
      <c r="AL54" s="189">
        <v>8.4900000000000003E-2</v>
      </c>
      <c r="AM54" s="189">
        <v>7.6100000000000001E-2</v>
      </c>
      <c r="AN54" s="189">
        <v>5.2000000000000005E-2</v>
      </c>
      <c r="AO54" s="189">
        <v>3.5900000000000001E-2</v>
      </c>
      <c r="AP54" s="189">
        <v>4.2599999999999999E-2</v>
      </c>
      <c r="AQ54" s="189">
        <v>7.0300000000000001E-2</v>
      </c>
      <c r="AR54" s="189">
        <v>6.8400000000000002E-2</v>
      </c>
      <c r="AS54" s="189">
        <v>7.3599999999999999E-2</v>
      </c>
      <c r="AT54" s="189">
        <v>4.2000000000000003E-2</v>
      </c>
      <c r="AU54" s="189">
        <v>4.3700000000000003E-2</v>
      </c>
      <c r="AV54" s="188">
        <v>32163</v>
      </c>
      <c r="AW54" s="188">
        <v>35452</v>
      </c>
      <c r="AX54" s="188">
        <v>38352</v>
      </c>
      <c r="AY54" s="188">
        <v>40171</v>
      </c>
      <c r="AZ54" s="188">
        <v>43088</v>
      </c>
      <c r="BA54" s="188">
        <v>35658</v>
      </c>
      <c r="BB54" s="188">
        <v>39554</v>
      </c>
      <c r="BC54" s="188">
        <v>43300</v>
      </c>
      <c r="BD54" s="188">
        <v>45592</v>
      </c>
      <c r="BE54" s="188">
        <v>49643</v>
      </c>
      <c r="BF54" s="231">
        <f t="shared" si="27"/>
        <v>1.0792815432761382</v>
      </c>
      <c r="BG54" s="188">
        <f t="shared" si="28"/>
        <v>1198</v>
      </c>
      <c r="BH54" s="188">
        <f t="shared" si="29"/>
        <v>18205</v>
      </c>
      <c r="BI54" s="188">
        <f t="shared" si="30"/>
        <v>92488</v>
      </c>
      <c r="BJ54" s="188">
        <f t="shared" si="31"/>
        <v>172319</v>
      </c>
      <c r="BK54" s="240">
        <f>'ERR Calculation'!$C$3*($V54/$V$70)*(BG54/$Q54)</f>
        <v>804.01783472208376</v>
      </c>
      <c r="BL54" s="240">
        <f>'ERR Calculation'!$C$3*($V54/$V$70)*(BH54/$Q54)</f>
        <v>12217.983874053032</v>
      </c>
      <c r="BM54" s="240">
        <f>'ERR Calculation'!$C$3*($V54/$V$70)*(BI54/$Q54)</f>
        <v>62071.78756074798</v>
      </c>
      <c r="BN54" s="240">
        <f>'ERR Calculation'!$C$3*($V54/$V$70)*(BJ54/$Q54)</f>
        <v>115649.0394503128</v>
      </c>
    </row>
    <row r="55" spans="2:66" x14ac:dyDescent="0.25">
      <c r="B55">
        <v>1</v>
      </c>
      <c r="C55">
        <v>0</v>
      </c>
      <c r="D55">
        <f t="shared" si="17"/>
        <v>0</v>
      </c>
      <c r="E55" t="s">
        <v>165</v>
      </c>
      <c r="F55" t="s">
        <v>217</v>
      </c>
      <c r="G55" t="s">
        <v>186</v>
      </c>
      <c r="H55" s="188">
        <f t="shared" si="18"/>
        <v>0</v>
      </c>
      <c r="I55" s="188">
        <f t="shared" si="19"/>
        <v>58429</v>
      </c>
      <c r="J55" s="189">
        <f t="shared" si="20"/>
        <v>9.1995401695754708E-3</v>
      </c>
      <c r="K55" s="188">
        <f t="shared" si="21"/>
        <v>58969</v>
      </c>
      <c r="L55" s="189">
        <f t="shared" si="22"/>
        <v>1.0895338164607082E-2</v>
      </c>
      <c r="M55" s="188">
        <f t="shared" si="32"/>
        <v>59615</v>
      </c>
      <c r="N55" s="189">
        <f t="shared" si="23"/>
        <v>9.4993159998253418E-3</v>
      </c>
      <c r="O55" s="188">
        <f t="shared" si="24"/>
        <v>60184</v>
      </c>
      <c r="P55" s="189">
        <f t="shared" si="25"/>
        <v>9.9036083542038966E-3</v>
      </c>
      <c r="Q55" s="188">
        <f t="shared" si="26"/>
        <v>60783</v>
      </c>
      <c r="R55" s="188">
        <v>2103</v>
      </c>
      <c r="S55" s="188">
        <v>2301</v>
      </c>
      <c r="T55" s="188">
        <v>2514</v>
      </c>
      <c r="U55" s="188">
        <v>2715</v>
      </c>
      <c r="V55" s="188">
        <v>2939</v>
      </c>
      <c r="W55" s="188">
        <v>131436</v>
      </c>
      <c r="X55" s="188">
        <v>146900</v>
      </c>
      <c r="Y55" s="188">
        <v>164944</v>
      </c>
      <c r="Z55" s="188">
        <v>179405</v>
      </c>
      <c r="AA55" s="188">
        <v>195683</v>
      </c>
      <c r="AB55" s="188">
        <v>1887</v>
      </c>
      <c r="AC55" s="188">
        <v>2002</v>
      </c>
      <c r="AD55" s="188">
        <v>2124</v>
      </c>
      <c r="AE55" s="188">
        <v>2251</v>
      </c>
      <c r="AF55" s="188">
        <v>2380</v>
      </c>
      <c r="AG55" s="188">
        <v>118724</v>
      </c>
      <c r="AH55" s="188">
        <v>125941</v>
      </c>
      <c r="AI55" s="188">
        <v>133341</v>
      </c>
      <c r="AJ55" s="188">
        <v>140705</v>
      </c>
      <c r="AK55" s="188">
        <v>148111</v>
      </c>
      <c r="AL55" s="189">
        <v>5.5300000000000002E-2</v>
      </c>
      <c r="AM55" s="189">
        <v>6.1100000000000002E-2</v>
      </c>
      <c r="AN55" s="189">
        <v>6.08E-2</v>
      </c>
      <c r="AO55" s="189">
        <v>6.0199999999999997E-2</v>
      </c>
      <c r="AP55" s="189">
        <v>5.7099999999999998E-2</v>
      </c>
      <c r="AQ55" s="189">
        <v>6.3099999999999989E-2</v>
      </c>
      <c r="AR55" s="189">
        <v>6.08E-2</v>
      </c>
      <c r="AS55" s="189">
        <v>5.8799999999999998E-2</v>
      </c>
      <c r="AT55" s="189">
        <v>5.5199999999999999E-2</v>
      </c>
      <c r="AU55" s="189">
        <v>5.2600000000000001E-2</v>
      </c>
      <c r="AV55" s="188">
        <v>35993</v>
      </c>
      <c r="AW55" s="188">
        <v>39021</v>
      </c>
      <c r="AX55" s="188">
        <v>42171</v>
      </c>
      <c r="AY55" s="188">
        <v>45112</v>
      </c>
      <c r="AZ55" s="188">
        <v>48353</v>
      </c>
      <c r="BA55" s="188">
        <v>26286</v>
      </c>
      <c r="BB55" s="188">
        <v>28994</v>
      </c>
      <c r="BC55" s="188">
        <v>32141</v>
      </c>
      <c r="BD55" s="188">
        <v>34526</v>
      </c>
      <c r="BE55" s="188">
        <v>37205</v>
      </c>
      <c r="BF55" s="231">
        <f t="shared" si="27"/>
        <v>0.80886871900547364</v>
      </c>
      <c r="BG55" s="188">
        <f t="shared" si="28"/>
        <v>315</v>
      </c>
      <c r="BH55" s="188">
        <f t="shared" si="29"/>
        <v>4442</v>
      </c>
      <c r="BI55" s="188">
        <f t="shared" si="30"/>
        <v>21144</v>
      </c>
      <c r="BJ55" s="188">
        <f t="shared" si="31"/>
        <v>34882</v>
      </c>
      <c r="BK55" s="240">
        <f>'ERR Calculation'!$C$3*($V55/$V$70)*(BG55/$Q55)</f>
        <v>237.23675360729061</v>
      </c>
      <c r="BL55" s="240">
        <f>'ERR Calculation'!$C$3*($V55/$V$70)*(BH55/$Q55)</f>
        <v>3345.4147921383642</v>
      </c>
      <c r="BM55" s="240">
        <f>'ERR Calculation'!$C$3*($V55/$V$70)*(BI55/$Q55)</f>
        <v>15924.234661182707</v>
      </c>
      <c r="BN55" s="240">
        <f>'ERR Calculation'!$C$3*($V55/$V$70)*(BJ55/$Q55)</f>
        <v>26270.769648665111</v>
      </c>
    </row>
    <row r="56" spans="2:66" x14ac:dyDescent="0.25">
      <c r="B56">
        <v>1</v>
      </c>
      <c r="C56">
        <v>0</v>
      </c>
      <c r="D56">
        <f t="shared" si="17"/>
        <v>0</v>
      </c>
      <c r="E56" t="s">
        <v>162</v>
      </c>
      <c r="F56" t="s">
        <v>218</v>
      </c>
      <c r="G56" t="s">
        <v>205</v>
      </c>
      <c r="H56" s="188">
        <f t="shared" si="18"/>
        <v>0</v>
      </c>
      <c r="I56" s="188">
        <f t="shared" si="19"/>
        <v>279799</v>
      </c>
      <c r="J56" s="189">
        <f t="shared" si="20"/>
        <v>1.2473745936523173E-2</v>
      </c>
      <c r="K56" s="188">
        <f t="shared" si="21"/>
        <v>283311</v>
      </c>
      <c r="L56" s="189">
        <f t="shared" si="22"/>
        <v>1.1524835144131274E-2</v>
      </c>
      <c r="M56" s="188">
        <f t="shared" si="32"/>
        <v>286595</v>
      </c>
      <c r="N56" s="189">
        <f t="shared" si="23"/>
        <v>1.1072650216679136E-2</v>
      </c>
      <c r="O56" s="188">
        <f t="shared" si="24"/>
        <v>289786</v>
      </c>
      <c r="P56" s="189">
        <f t="shared" si="25"/>
        <v>1.0975280476577254E-2</v>
      </c>
      <c r="Q56" s="188">
        <f t="shared" si="26"/>
        <v>292984</v>
      </c>
      <c r="R56" s="188">
        <v>6108</v>
      </c>
      <c r="S56" s="188">
        <v>6936</v>
      </c>
      <c r="T56" s="188">
        <v>8047</v>
      </c>
      <c r="U56" s="188">
        <v>9305</v>
      </c>
      <c r="V56" s="188">
        <v>10773</v>
      </c>
      <c r="W56" s="188">
        <v>228285</v>
      </c>
      <c r="X56" s="188">
        <v>258836</v>
      </c>
      <c r="Y56" s="188">
        <v>298034</v>
      </c>
      <c r="Z56" s="188">
        <v>340326</v>
      </c>
      <c r="AA56" s="188">
        <v>379209</v>
      </c>
      <c r="AB56" s="188">
        <v>5298</v>
      </c>
      <c r="AC56" s="188">
        <v>5665</v>
      </c>
      <c r="AD56" s="188">
        <v>6110</v>
      </c>
      <c r="AE56" s="188">
        <v>6598</v>
      </c>
      <c r="AF56" s="188">
        <v>7191</v>
      </c>
      <c r="AG56" s="188">
        <v>202185</v>
      </c>
      <c r="AH56" s="188">
        <v>217589</v>
      </c>
      <c r="AI56" s="188">
        <v>233988</v>
      </c>
      <c r="AJ56" s="188">
        <v>250758</v>
      </c>
      <c r="AK56" s="188">
        <v>269339</v>
      </c>
      <c r="AL56" s="189">
        <v>8.929999999999999E-2</v>
      </c>
      <c r="AM56" s="189">
        <v>6.93E-2</v>
      </c>
      <c r="AN56" s="189">
        <v>7.8700000000000006E-2</v>
      </c>
      <c r="AO56" s="189">
        <v>7.980000000000001E-2</v>
      </c>
      <c r="AP56" s="189">
        <v>0.09</v>
      </c>
      <c r="AQ56" s="189">
        <v>8.8699999999999987E-2</v>
      </c>
      <c r="AR56" s="189">
        <v>7.6200000000000004E-2</v>
      </c>
      <c r="AS56" s="189">
        <v>7.5399999999999995E-2</v>
      </c>
      <c r="AT56" s="189">
        <v>7.17E-2</v>
      </c>
      <c r="AU56" s="189">
        <v>7.4099999999999999E-2</v>
      </c>
      <c r="AV56" s="188">
        <v>21830</v>
      </c>
      <c r="AW56" s="188">
        <v>24482</v>
      </c>
      <c r="AX56" s="188">
        <v>28078</v>
      </c>
      <c r="AY56" s="188">
        <v>32110</v>
      </c>
      <c r="AZ56" s="188">
        <v>36770</v>
      </c>
      <c r="BA56" s="188">
        <v>27671</v>
      </c>
      <c r="BB56" s="188">
        <v>31028</v>
      </c>
      <c r="BC56" s="188">
        <v>35345</v>
      </c>
      <c r="BD56" s="188">
        <v>39943</v>
      </c>
      <c r="BE56" s="188">
        <v>44061</v>
      </c>
      <c r="BF56" s="231">
        <f t="shared" si="27"/>
        <v>0.95792405934955438</v>
      </c>
      <c r="BG56" s="188">
        <f t="shared" si="28"/>
        <v>1363</v>
      </c>
      <c r="BH56" s="188">
        <f t="shared" si="29"/>
        <v>19953</v>
      </c>
      <c r="BI56" s="188">
        <f t="shared" si="30"/>
        <v>98294</v>
      </c>
      <c r="BJ56" s="188">
        <f t="shared" si="31"/>
        <v>173374</v>
      </c>
      <c r="BK56" s="240">
        <f>'ERR Calculation'!$C$3*($V56/$V$70)*(BG56/$Q56)</f>
        <v>780.6252154022178</v>
      </c>
      <c r="BL56" s="240">
        <f>'ERR Calculation'!$C$3*($V56/$V$70)*(BH56/$Q56)</f>
        <v>11427.597155480888</v>
      </c>
      <c r="BM56" s="240">
        <f>'ERR Calculation'!$C$3*($V56/$V$70)*(BI56/$Q56)</f>
        <v>56295.506179563898</v>
      </c>
      <c r="BN56" s="240">
        <f>'ERR Calculation'!$C$3*($V56/$V$70)*(BJ56/$Q56)</f>
        <v>99295.756489467429</v>
      </c>
    </row>
    <row r="57" spans="2:66" x14ac:dyDescent="0.25">
      <c r="B57">
        <v>1</v>
      </c>
      <c r="C57">
        <v>1</v>
      </c>
      <c r="D57">
        <f t="shared" si="17"/>
        <v>1</v>
      </c>
      <c r="E57" t="s">
        <v>162</v>
      </c>
      <c r="F57" t="s">
        <v>219</v>
      </c>
      <c r="G57" t="s">
        <v>186</v>
      </c>
      <c r="H57" s="188">
        <f t="shared" si="18"/>
        <v>1</v>
      </c>
      <c r="I57" s="188">
        <f t="shared" si="19"/>
        <v>355617</v>
      </c>
      <c r="J57" s="189">
        <f t="shared" si="20"/>
        <v>7.6921301431287503E-3</v>
      </c>
      <c r="K57" s="188">
        <f t="shared" si="21"/>
        <v>358363</v>
      </c>
      <c r="L57" s="189">
        <f t="shared" si="22"/>
        <v>7.6001811365973282E-3</v>
      </c>
      <c r="M57" s="188">
        <f t="shared" si="32"/>
        <v>361097</v>
      </c>
      <c r="N57" s="189">
        <f t="shared" si="23"/>
        <v>7.108491927752425E-3</v>
      </c>
      <c r="O57" s="188">
        <f t="shared" si="24"/>
        <v>363673</v>
      </c>
      <c r="P57" s="189">
        <f t="shared" si="25"/>
        <v>6.9791334848510189E-3</v>
      </c>
      <c r="Q57" s="188">
        <f t="shared" si="26"/>
        <v>366220</v>
      </c>
      <c r="R57" s="188">
        <v>7639</v>
      </c>
      <c r="S57" s="188">
        <v>8500</v>
      </c>
      <c r="T57" s="188">
        <v>9408</v>
      </c>
      <c r="U57" s="188">
        <v>10153</v>
      </c>
      <c r="V57" s="188">
        <v>11047</v>
      </c>
      <c r="W57" s="188">
        <v>131436</v>
      </c>
      <c r="X57" s="188">
        <v>146900</v>
      </c>
      <c r="Y57" s="188">
        <v>164944</v>
      </c>
      <c r="Z57" s="188">
        <v>179405</v>
      </c>
      <c r="AA57" s="188">
        <v>195683</v>
      </c>
      <c r="AB57" s="188">
        <v>6860</v>
      </c>
      <c r="AC57" s="188">
        <v>7246</v>
      </c>
      <c r="AD57" s="188">
        <v>7665</v>
      </c>
      <c r="AE57" s="188">
        <v>8082</v>
      </c>
      <c r="AF57" s="188">
        <v>8510</v>
      </c>
      <c r="AG57" s="188">
        <v>118724</v>
      </c>
      <c r="AH57" s="188">
        <v>125941</v>
      </c>
      <c r="AI57" s="188">
        <v>133341</v>
      </c>
      <c r="AJ57" s="188">
        <v>140705</v>
      </c>
      <c r="AK57" s="188">
        <v>148111</v>
      </c>
      <c r="AL57" s="189">
        <v>6.4299999999999996E-2</v>
      </c>
      <c r="AM57" s="189">
        <v>5.6299999999999996E-2</v>
      </c>
      <c r="AN57" s="189">
        <v>5.79E-2</v>
      </c>
      <c r="AO57" s="189">
        <v>5.4299999999999994E-2</v>
      </c>
      <c r="AP57" s="189">
        <v>5.2999999999999999E-2</v>
      </c>
      <c r="AQ57" s="189">
        <v>6.3099999999999989E-2</v>
      </c>
      <c r="AR57" s="189">
        <v>6.08E-2</v>
      </c>
      <c r="AS57" s="189">
        <v>5.8799999999999998E-2</v>
      </c>
      <c r="AT57" s="189">
        <v>5.5199999999999999E-2</v>
      </c>
      <c r="AU57" s="189">
        <v>5.2600000000000001E-2</v>
      </c>
      <c r="AV57" s="188">
        <v>21481</v>
      </c>
      <c r="AW57" s="188">
        <v>23719</v>
      </c>
      <c r="AX57" s="188">
        <v>26054</v>
      </c>
      <c r="AY57" s="188">
        <v>27918</v>
      </c>
      <c r="AZ57" s="188">
        <v>30165</v>
      </c>
      <c r="BA57" s="188">
        <v>26286</v>
      </c>
      <c r="BB57" s="188">
        <v>28994</v>
      </c>
      <c r="BC57" s="188">
        <v>32141</v>
      </c>
      <c r="BD57" s="188">
        <v>34526</v>
      </c>
      <c r="BE57" s="188">
        <v>37205</v>
      </c>
      <c r="BF57" s="231">
        <f t="shared" si="27"/>
        <v>0.80886871900547364</v>
      </c>
      <c r="BG57" s="188">
        <f t="shared" si="28"/>
        <v>1900</v>
      </c>
      <c r="BH57" s="188">
        <f t="shared" si="29"/>
        <v>26761</v>
      </c>
      <c r="BI57" s="188">
        <f t="shared" si="30"/>
        <v>127395</v>
      </c>
      <c r="BJ57" s="188">
        <f t="shared" si="31"/>
        <v>210164</v>
      </c>
      <c r="BK57" s="240">
        <f>'ERR Calculation'!$C$3*($V57/$V$70)*(BG57/$Q57)</f>
        <v>892.70889166665211</v>
      </c>
      <c r="BL57" s="240">
        <f>'ERR Calculation'!$C$3*($V57/$V$70)*(BH57/$Q57)</f>
        <v>12573.569815732251</v>
      </c>
      <c r="BM57" s="240">
        <f>'ERR Calculation'!$C$3*($V57/$V$70)*(BI57/$Q57)</f>
        <v>59856.131186249033</v>
      </c>
      <c r="BN57" s="240">
        <f>'ERR Calculation'!$C$3*($V57/$V$70)*(BJ57/$Q57)</f>
        <v>98744.879741173834</v>
      </c>
    </row>
    <row r="58" spans="2:66" x14ac:dyDescent="0.25">
      <c r="B58">
        <v>0</v>
      </c>
      <c r="C58">
        <v>2</v>
      </c>
      <c r="D58">
        <f t="shared" si="17"/>
        <v>1</v>
      </c>
      <c r="E58" t="s">
        <v>162</v>
      </c>
      <c r="F58" t="s">
        <v>220</v>
      </c>
      <c r="G58" t="s">
        <v>172</v>
      </c>
      <c r="H58" s="188">
        <f t="shared" si="18"/>
        <v>1</v>
      </c>
      <c r="I58" s="188">
        <f t="shared" si="19"/>
        <v>2393190</v>
      </c>
      <c r="J58" s="189">
        <f t="shared" si="20"/>
        <v>6.3520309877809211E-3</v>
      </c>
      <c r="K58" s="188">
        <f t="shared" si="21"/>
        <v>2408440</v>
      </c>
      <c r="L58" s="189">
        <f t="shared" si="22"/>
        <v>5.6693219109948956E-3</v>
      </c>
      <c r="M58" s="188">
        <f t="shared" si="32"/>
        <v>2422133</v>
      </c>
      <c r="N58" s="189">
        <f t="shared" si="23"/>
        <v>4.976587329897697E-3</v>
      </c>
      <c r="O58" s="188">
        <f t="shared" si="24"/>
        <v>2434217</v>
      </c>
      <c r="P58" s="189">
        <f t="shared" si="25"/>
        <v>4.2428668810305936E-3</v>
      </c>
      <c r="Q58" s="188">
        <f t="shared" si="26"/>
        <v>2444567</v>
      </c>
      <c r="R58" s="188">
        <v>33945</v>
      </c>
      <c r="S58" s="188">
        <v>38470</v>
      </c>
      <c r="T58" s="188">
        <v>42506</v>
      </c>
      <c r="U58" s="188">
        <v>46939</v>
      </c>
      <c r="V58" s="188">
        <v>51133</v>
      </c>
      <c r="W58" s="188">
        <v>1128246</v>
      </c>
      <c r="X58" s="188">
        <v>1258989</v>
      </c>
      <c r="Y58" s="188">
        <v>1385825</v>
      </c>
      <c r="Z58" s="188">
        <v>1524832</v>
      </c>
      <c r="AA58" s="188">
        <v>1652589</v>
      </c>
      <c r="AB58" s="188">
        <v>31768</v>
      </c>
      <c r="AC58" s="188">
        <v>33517</v>
      </c>
      <c r="AD58" s="188">
        <v>35521</v>
      </c>
      <c r="AE58" s="188">
        <v>37265</v>
      </c>
      <c r="AF58" s="188">
        <v>39338</v>
      </c>
      <c r="AG58" s="188">
        <v>1028410</v>
      </c>
      <c r="AH58" s="188">
        <v>1093544</v>
      </c>
      <c r="AI58" s="188">
        <v>1149216</v>
      </c>
      <c r="AJ58" s="188">
        <v>1207083</v>
      </c>
      <c r="AK58" s="188">
        <v>1275546</v>
      </c>
      <c r="AL58" s="189">
        <v>6.3799999999999996E-2</v>
      </c>
      <c r="AM58" s="189">
        <v>5.5099999999999996E-2</v>
      </c>
      <c r="AN58" s="189">
        <v>5.9800000000000006E-2</v>
      </c>
      <c r="AO58" s="189">
        <v>4.9100000000000005E-2</v>
      </c>
      <c r="AP58" s="189">
        <v>5.5599999999999997E-2</v>
      </c>
      <c r="AQ58" s="189">
        <v>6.5000000000000002E-2</v>
      </c>
      <c r="AR58" s="189">
        <v>6.3299999999999995E-2</v>
      </c>
      <c r="AS58" s="189">
        <v>5.0900000000000001E-2</v>
      </c>
      <c r="AT58" s="189">
        <v>5.04E-2</v>
      </c>
      <c r="AU58" s="189">
        <v>5.67E-2</v>
      </c>
      <c r="AV58" s="188">
        <v>14184</v>
      </c>
      <c r="AW58" s="188">
        <v>15973</v>
      </c>
      <c r="AX58" s="188">
        <v>17549</v>
      </c>
      <c r="AY58" s="188">
        <v>19283</v>
      </c>
      <c r="AZ58" s="188">
        <v>20917</v>
      </c>
      <c r="BA58" s="188">
        <v>25272</v>
      </c>
      <c r="BB58" s="188">
        <v>27767</v>
      </c>
      <c r="BC58" s="188">
        <v>30107</v>
      </c>
      <c r="BD58" s="188">
        <v>32645</v>
      </c>
      <c r="BE58" s="188">
        <v>34880</v>
      </c>
      <c r="BF58" s="231">
        <f t="shared" si="27"/>
        <v>0.75832121808657216</v>
      </c>
      <c r="BG58" s="188">
        <f t="shared" si="28"/>
        <v>13127</v>
      </c>
      <c r="BH58" s="188">
        <f t="shared" si="29"/>
        <v>182756</v>
      </c>
      <c r="BI58" s="188">
        <f t="shared" si="30"/>
        <v>860633</v>
      </c>
      <c r="BJ58" s="188">
        <f t="shared" si="31"/>
        <v>1388051</v>
      </c>
      <c r="BK58" s="240">
        <f>'ERR Calculation'!$C$3*($V58/$V$70)*(BG58/$Q58)</f>
        <v>4276.7983913715225</v>
      </c>
      <c r="BL58" s="240">
        <f>'ERR Calculation'!$C$3*($V58/$V$70)*(BH58/$Q58)</f>
        <v>59542.208182638387</v>
      </c>
      <c r="BM58" s="240">
        <f>'ERR Calculation'!$C$3*($V58/$V$70)*(BI58/$Q58)</f>
        <v>280395.66008693899</v>
      </c>
      <c r="BN58" s="240">
        <f>'ERR Calculation'!$C$3*($V58/$V$70)*(BJ58/$Q58)</f>
        <v>452229.32002297812</v>
      </c>
    </row>
    <row r="59" spans="2:66" x14ac:dyDescent="0.25">
      <c r="B59">
        <v>1</v>
      </c>
      <c r="C59">
        <v>1</v>
      </c>
      <c r="D59">
        <f t="shared" si="17"/>
        <v>1</v>
      </c>
      <c r="E59" t="s">
        <v>165</v>
      </c>
      <c r="F59" t="s">
        <v>220</v>
      </c>
      <c r="G59" t="s">
        <v>172</v>
      </c>
      <c r="H59" s="188">
        <f t="shared" si="18"/>
        <v>1</v>
      </c>
      <c r="I59" s="188">
        <f t="shared" si="19"/>
        <v>308433</v>
      </c>
      <c r="J59" s="189">
        <f t="shared" si="20"/>
        <v>1.0966355082205226E-2</v>
      </c>
      <c r="K59" s="188">
        <f t="shared" si="21"/>
        <v>311834</v>
      </c>
      <c r="L59" s="189">
        <f t="shared" si="22"/>
        <v>1.0120691325354869E-2</v>
      </c>
      <c r="M59" s="188">
        <f t="shared" si="32"/>
        <v>315006</v>
      </c>
      <c r="N59" s="189">
        <f t="shared" si="23"/>
        <v>9.8244098751099074E-3</v>
      </c>
      <c r="O59" s="188">
        <f t="shared" si="24"/>
        <v>318116</v>
      </c>
      <c r="P59" s="189">
        <f t="shared" si="25"/>
        <v>9.31470465716977E-3</v>
      </c>
      <c r="Q59" s="188">
        <f t="shared" si="26"/>
        <v>321093</v>
      </c>
      <c r="R59" s="188">
        <v>6511</v>
      </c>
      <c r="S59" s="188">
        <v>7310</v>
      </c>
      <c r="T59" s="188">
        <v>8141</v>
      </c>
      <c r="U59" s="188">
        <v>8968</v>
      </c>
      <c r="V59" s="188">
        <v>9714</v>
      </c>
      <c r="W59" s="188">
        <v>1128246</v>
      </c>
      <c r="X59" s="188">
        <v>1258989</v>
      </c>
      <c r="Y59" s="188">
        <v>1385825</v>
      </c>
      <c r="Z59" s="188">
        <v>1524832</v>
      </c>
      <c r="AA59" s="188">
        <v>1652589</v>
      </c>
      <c r="AB59" s="188">
        <v>5978</v>
      </c>
      <c r="AC59" s="188">
        <v>6302</v>
      </c>
      <c r="AD59" s="188">
        <v>6644</v>
      </c>
      <c r="AE59" s="188">
        <v>6984</v>
      </c>
      <c r="AF59" s="188">
        <v>7379</v>
      </c>
      <c r="AG59" s="188">
        <v>1028410</v>
      </c>
      <c r="AH59" s="188">
        <v>1093544</v>
      </c>
      <c r="AI59" s="188">
        <v>1149216</v>
      </c>
      <c r="AJ59" s="188">
        <v>1207083</v>
      </c>
      <c r="AK59" s="188">
        <v>1275546</v>
      </c>
      <c r="AL59" s="189">
        <v>5.7999999999999996E-2</v>
      </c>
      <c r="AM59" s="189">
        <v>5.4100000000000002E-2</v>
      </c>
      <c r="AN59" s="189">
        <v>5.4299999999999994E-2</v>
      </c>
      <c r="AO59" s="189">
        <v>5.1299999999999998E-2</v>
      </c>
      <c r="AP59" s="189">
        <v>5.6600000000000004E-2</v>
      </c>
      <c r="AQ59" s="189">
        <v>6.5000000000000002E-2</v>
      </c>
      <c r="AR59" s="189">
        <v>6.3299999999999995E-2</v>
      </c>
      <c r="AS59" s="189">
        <v>5.0900000000000001E-2</v>
      </c>
      <c r="AT59" s="189">
        <v>5.04E-2</v>
      </c>
      <c r="AU59" s="189">
        <v>5.67E-2</v>
      </c>
      <c r="AV59" s="188">
        <v>21110</v>
      </c>
      <c r="AW59" s="188">
        <v>23442</v>
      </c>
      <c r="AX59" s="188">
        <v>25844</v>
      </c>
      <c r="AY59" s="188">
        <v>28191</v>
      </c>
      <c r="AZ59" s="188">
        <v>30253</v>
      </c>
      <c r="BA59" s="188">
        <v>25272</v>
      </c>
      <c r="BB59" s="188">
        <v>27767</v>
      </c>
      <c r="BC59" s="188">
        <v>30107</v>
      </c>
      <c r="BD59" s="188">
        <v>32645</v>
      </c>
      <c r="BE59" s="188">
        <v>34880</v>
      </c>
      <c r="BF59" s="231">
        <f t="shared" si="27"/>
        <v>0.75832121808657216</v>
      </c>
      <c r="BG59" s="188">
        <f t="shared" si="28"/>
        <v>1724</v>
      </c>
      <c r="BH59" s="188">
        <f t="shared" si="29"/>
        <v>24005</v>
      </c>
      <c r="BI59" s="188">
        <f t="shared" si="30"/>
        <v>113044</v>
      </c>
      <c r="BJ59" s="188">
        <f t="shared" si="31"/>
        <v>182320</v>
      </c>
      <c r="BK59" s="240">
        <f>'ERR Calculation'!$C$3*($V59/$V$70)*(BG59/$Q59)</f>
        <v>812.37862268180686</v>
      </c>
      <c r="BL59" s="240">
        <f>'ERR Calculation'!$C$3*($V59/$V$70)*(BH59/$Q59)</f>
        <v>11311.571251436642</v>
      </c>
      <c r="BM59" s="240">
        <f>'ERR Calculation'!$C$3*($V59/$V$70)*(BI59/$Q59)</f>
        <v>53268.288296080151</v>
      </c>
      <c r="BN59" s="240">
        <f>'ERR Calculation'!$C$3*($V59/$V$70)*(BJ59/$Q59)</f>
        <v>85912.337869690862</v>
      </c>
    </row>
    <row r="60" spans="2:66" x14ac:dyDescent="0.25">
      <c r="B60">
        <v>1</v>
      </c>
      <c r="C60">
        <v>0</v>
      </c>
      <c r="D60">
        <f t="shared" si="17"/>
        <v>0</v>
      </c>
      <c r="E60" t="s">
        <v>2</v>
      </c>
      <c r="F60" t="s">
        <v>202</v>
      </c>
      <c r="G60" t="s">
        <v>202</v>
      </c>
      <c r="H60" s="188">
        <f t="shared" si="18"/>
        <v>0</v>
      </c>
      <c r="I60" s="188">
        <f t="shared" si="19"/>
        <v>1210724</v>
      </c>
      <c r="J60" s="189">
        <f t="shared" si="20"/>
        <v>1.9243349960431644E-2</v>
      </c>
      <c r="K60" s="188">
        <f t="shared" si="21"/>
        <v>1234248</v>
      </c>
      <c r="L60" s="189">
        <f t="shared" si="22"/>
        <v>1.9127256105997859E-2</v>
      </c>
      <c r="M60" s="188">
        <f t="shared" si="32"/>
        <v>1258083</v>
      </c>
      <c r="N60" s="189">
        <f t="shared" si="23"/>
        <v>1.8960141589500878E-2</v>
      </c>
      <c r="O60" s="188">
        <f t="shared" si="24"/>
        <v>1282164</v>
      </c>
      <c r="P60" s="189">
        <f t="shared" si="25"/>
        <v>1.8789518596353361E-2</v>
      </c>
      <c r="Q60" s="188">
        <f t="shared" si="26"/>
        <v>1306483</v>
      </c>
      <c r="R60" s="188">
        <v>22626</v>
      </c>
      <c r="S60" s="188">
        <v>25249</v>
      </c>
      <c r="T60" s="188">
        <v>29458</v>
      </c>
      <c r="U60" s="188">
        <v>33017</v>
      </c>
      <c r="V60" s="188">
        <v>35974</v>
      </c>
      <c r="W60" s="188">
        <v>22626</v>
      </c>
      <c r="X60" s="188">
        <v>25249</v>
      </c>
      <c r="Y60" s="188">
        <v>29458</v>
      </c>
      <c r="Z60" s="188">
        <v>33017</v>
      </c>
      <c r="AA60" s="188">
        <v>35974</v>
      </c>
      <c r="AB60" s="188">
        <v>20787</v>
      </c>
      <c r="AC60" s="188">
        <v>22227</v>
      </c>
      <c r="AD60" s="188">
        <v>24196</v>
      </c>
      <c r="AE60" s="188">
        <v>25984</v>
      </c>
      <c r="AF60" s="188">
        <v>27550</v>
      </c>
      <c r="AG60" s="188">
        <v>20787</v>
      </c>
      <c r="AH60" s="188">
        <v>22227</v>
      </c>
      <c r="AI60" s="188">
        <v>24196</v>
      </c>
      <c r="AJ60" s="188">
        <v>25984</v>
      </c>
      <c r="AK60" s="188">
        <v>27550</v>
      </c>
      <c r="AL60" s="189">
        <v>9.2499999999999999E-2</v>
      </c>
      <c r="AM60" s="189">
        <v>6.93E-2</v>
      </c>
      <c r="AN60" s="189">
        <v>8.8599999999999998E-2</v>
      </c>
      <c r="AO60" s="189">
        <v>7.3899999999999993E-2</v>
      </c>
      <c r="AP60" s="189">
        <v>6.0299999999999999E-2</v>
      </c>
      <c r="AQ60" s="189">
        <v>9.2499999999999999E-2</v>
      </c>
      <c r="AR60" s="189">
        <v>6.93E-2</v>
      </c>
      <c r="AS60" s="189">
        <v>8.8599999999999998E-2</v>
      </c>
      <c r="AT60" s="189">
        <v>7.3899999999999993E-2</v>
      </c>
      <c r="AU60" s="189">
        <v>6.0299999999999999E-2</v>
      </c>
      <c r="AV60" s="188">
        <v>18688</v>
      </c>
      <c r="AW60" s="188">
        <v>20457</v>
      </c>
      <c r="AX60" s="188">
        <v>23415</v>
      </c>
      <c r="AY60" s="188">
        <v>25751</v>
      </c>
      <c r="AZ60" s="188">
        <v>27535</v>
      </c>
      <c r="BA60" s="188">
        <v>18688</v>
      </c>
      <c r="BB60" s="188">
        <v>20457</v>
      </c>
      <c r="BC60" s="188">
        <v>23415</v>
      </c>
      <c r="BD60" s="188">
        <v>25751</v>
      </c>
      <c r="BE60" s="188">
        <v>27535</v>
      </c>
      <c r="BF60" s="231">
        <f t="shared" si="27"/>
        <v>0.5986345969040644</v>
      </c>
      <c r="BG60" s="188">
        <f t="shared" si="28"/>
        <v>7767</v>
      </c>
      <c r="BH60" s="188">
        <f t="shared" si="29"/>
        <v>104630</v>
      </c>
      <c r="BI60" s="188">
        <f t="shared" si="30"/>
        <v>477276</v>
      </c>
      <c r="BJ60" s="188">
        <f t="shared" si="31"/>
        <v>716810</v>
      </c>
      <c r="BK60" s="240">
        <f>'ERR Calculation'!$C$3*($V60/$V$70)*(BG60/$Q60)</f>
        <v>3331.1350206369802</v>
      </c>
      <c r="BL60" s="240">
        <f>'ERR Calculation'!$C$3*($V60/$V$70)*(BH60/$Q60)</f>
        <v>44874.03852314243</v>
      </c>
      <c r="BM60" s="240">
        <f>'ERR Calculation'!$C$3*($V60/$V$70)*(BI60/$Q60)</f>
        <v>204695.60938709092</v>
      </c>
      <c r="BN60" s="240">
        <f>'ERR Calculation'!$C$3*($V60/$V$70)*(BJ60/$Q60)</f>
        <v>307427.69333626801</v>
      </c>
    </row>
    <row r="61" spans="2:66" x14ac:dyDescent="0.25">
      <c r="B61">
        <v>1</v>
      </c>
      <c r="C61">
        <v>2</v>
      </c>
      <c r="D61">
        <f t="shared" si="17"/>
        <v>1</v>
      </c>
      <c r="E61" t="s">
        <v>2</v>
      </c>
      <c r="F61" t="s">
        <v>221</v>
      </c>
      <c r="G61" t="s">
        <v>221</v>
      </c>
      <c r="H61" s="188">
        <f t="shared" si="18"/>
        <v>1</v>
      </c>
      <c r="I61" s="188">
        <f t="shared" si="19"/>
        <v>2345431</v>
      </c>
      <c r="J61" s="189">
        <f t="shared" si="20"/>
        <v>2.1629869440845439E-2</v>
      </c>
      <c r="K61" s="188">
        <f t="shared" si="21"/>
        <v>2396715</v>
      </c>
      <c r="L61" s="189">
        <f t="shared" si="22"/>
        <v>2.1198458339219073E-2</v>
      </c>
      <c r="M61" s="188">
        <f t="shared" si="32"/>
        <v>2448064</v>
      </c>
      <c r="N61" s="189">
        <f t="shared" si="23"/>
        <v>2.0805606175887448E-2</v>
      </c>
      <c r="O61" s="188">
        <f t="shared" si="24"/>
        <v>2499531</v>
      </c>
      <c r="P61" s="189">
        <f t="shared" si="25"/>
        <v>2.0372916765079907E-2</v>
      </c>
      <c r="Q61" s="188">
        <f t="shared" si="26"/>
        <v>2550976</v>
      </c>
      <c r="R61" s="188">
        <v>64694</v>
      </c>
      <c r="S61" s="188">
        <v>71041</v>
      </c>
      <c r="T61" s="188">
        <v>78622</v>
      </c>
      <c r="U61" s="188">
        <v>87766</v>
      </c>
      <c r="V61" s="188">
        <v>96983</v>
      </c>
      <c r="W61" s="188">
        <v>64694</v>
      </c>
      <c r="X61" s="188">
        <v>71041</v>
      </c>
      <c r="Y61" s="188">
        <v>78622</v>
      </c>
      <c r="Z61" s="188">
        <v>87766</v>
      </c>
      <c r="AA61" s="188">
        <v>96983</v>
      </c>
      <c r="AB61" s="188">
        <v>59785</v>
      </c>
      <c r="AC61" s="188">
        <v>64269</v>
      </c>
      <c r="AD61" s="188">
        <v>68292</v>
      </c>
      <c r="AE61" s="188">
        <v>72991</v>
      </c>
      <c r="AF61" s="188">
        <v>77740</v>
      </c>
      <c r="AG61" s="188">
        <v>59785</v>
      </c>
      <c r="AH61" s="188">
        <v>64269</v>
      </c>
      <c r="AI61" s="188">
        <v>68292</v>
      </c>
      <c r="AJ61" s="188">
        <v>72991</v>
      </c>
      <c r="AK61" s="188">
        <v>77740</v>
      </c>
      <c r="AL61" s="189">
        <v>0.11650000000000001</v>
      </c>
      <c r="AM61" s="189">
        <v>7.4999999999999997E-2</v>
      </c>
      <c r="AN61" s="189">
        <v>6.2600000000000003E-2</v>
      </c>
      <c r="AO61" s="189">
        <v>6.88E-2</v>
      </c>
      <c r="AP61" s="189">
        <v>6.5099999999999991E-2</v>
      </c>
      <c r="AQ61" s="189">
        <v>0.11650000000000001</v>
      </c>
      <c r="AR61" s="189">
        <v>7.4999999999999997E-2</v>
      </c>
      <c r="AS61" s="189">
        <v>6.2600000000000003E-2</v>
      </c>
      <c r="AT61" s="189">
        <v>6.88E-2</v>
      </c>
      <c r="AU61" s="189">
        <v>6.5099999999999991E-2</v>
      </c>
      <c r="AV61" s="188">
        <v>27583</v>
      </c>
      <c r="AW61" s="188">
        <v>29641</v>
      </c>
      <c r="AX61" s="188">
        <v>32116</v>
      </c>
      <c r="AY61" s="188">
        <v>35113</v>
      </c>
      <c r="AZ61" s="188">
        <v>38018</v>
      </c>
      <c r="BA61" s="188">
        <v>27583</v>
      </c>
      <c r="BB61" s="188">
        <v>29641</v>
      </c>
      <c r="BC61" s="188">
        <v>32116</v>
      </c>
      <c r="BD61" s="188">
        <v>35113</v>
      </c>
      <c r="BE61" s="188">
        <v>38018</v>
      </c>
      <c r="BF61" s="231">
        <f t="shared" si="27"/>
        <v>0.8265440386816314</v>
      </c>
      <c r="BG61" s="188">
        <f t="shared" si="28"/>
        <v>13072</v>
      </c>
      <c r="BH61" s="188">
        <f t="shared" si="29"/>
        <v>184907</v>
      </c>
      <c r="BI61" s="188">
        <f t="shared" si="30"/>
        <v>883650</v>
      </c>
      <c r="BJ61" s="188">
        <f t="shared" si="31"/>
        <v>1469347</v>
      </c>
      <c r="BK61" s="240">
        <f>'ERR Calculation'!$C$3*($V61/$V$70)*(BG61/$Q61)</f>
        <v>7740.7892658251603</v>
      </c>
      <c r="BL61" s="240">
        <f>'ERR Calculation'!$C$3*($V61/$V$70)*(BH61/$Q61)</f>
        <v>109495.57227478069</v>
      </c>
      <c r="BM61" s="240">
        <f>'ERR Calculation'!$C$3*($V61/$V$70)*(BI61/$Q61)</f>
        <v>523267.1691207469</v>
      </c>
      <c r="BN61" s="240">
        <f>'ERR Calculation'!$C$3*($V61/$V$70)*(BJ61/$Q61)</f>
        <v>870096.80885651789</v>
      </c>
    </row>
    <row r="62" spans="2:66" x14ac:dyDescent="0.25">
      <c r="B62">
        <v>0</v>
      </c>
      <c r="C62">
        <v>2</v>
      </c>
      <c r="D62">
        <f t="shared" si="17"/>
        <v>1</v>
      </c>
      <c r="E62" t="s">
        <v>162</v>
      </c>
      <c r="F62" t="s">
        <v>237</v>
      </c>
      <c r="G62" t="s">
        <v>210</v>
      </c>
      <c r="H62" s="188">
        <f t="shared" si="18"/>
        <v>0</v>
      </c>
      <c r="I62" s="188">
        <f t="shared" si="19"/>
        <v>427114</v>
      </c>
      <c r="J62" s="189">
        <f t="shared" si="20"/>
        <v>1.1207951168200836E-2</v>
      </c>
      <c r="K62" s="188">
        <f t="shared" si="21"/>
        <v>431928</v>
      </c>
      <c r="L62" s="189">
        <f t="shared" si="22"/>
        <v>1.0788311523798555E-2</v>
      </c>
      <c r="M62" s="188">
        <f t="shared" si="32"/>
        <v>436613</v>
      </c>
      <c r="N62" s="189">
        <f t="shared" si="23"/>
        <v>1.0203984155316093E-2</v>
      </c>
      <c r="O62" s="188">
        <f t="shared" si="24"/>
        <v>441091</v>
      </c>
      <c r="P62" s="189">
        <f t="shared" si="25"/>
        <v>9.9572668263139263E-3</v>
      </c>
      <c r="Q62" s="188">
        <f t="shared" si="26"/>
        <v>445505</v>
      </c>
      <c r="R62" s="188">
        <v>7410</v>
      </c>
      <c r="S62" s="188">
        <v>8052</v>
      </c>
      <c r="T62" s="188">
        <v>9075</v>
      </c>
      <c r="U62" s="188">
        <v>10288</v>
      </c>
      <c r="V62" s="188">
        <v>11392</v>
      </c>
      <c r="W62" s="188">
        <v>69022</v>
      </c>
      <c r="X62" s="188">
        <v>73619</v>
      </c>
      <c r="Y62" s="188">
        <v>81621</v>
      </c>
      <c r="Z62" s="188">
        <v>103865</v>
      </c>
      <c r="AA62" s="188">
        <v>116247</v>
      </c>
      <c r="AB62" s="188">
        <v>7047</v>
      </c>
      <c r="AC62" s="188">
        <v>7500</v>
      </c>
      <c r="AD62" s="188">
        <v>7997</v>
      </c>
      <c r="AE62" s="188">
        <v>8511</v>
      </c>
      <c r="AF62" s="188">
        <v>8959</v>
      </c>
      <c r="AG62" s="188">
        <v>66341</v>
      </c>
      <c r="AH62" s="188">
        <v>69767</v>
      </c>
      <c r="AI62" s="188">
        <v>73373</v>
      </c>
      <c r="AJ62" s="188">
        <v>89345</v>
      </c>
      <c r="AK62" s="188">
        <v>94548</v>
      </c>
      <c r="AL62" s="189">
        <v>6.6699999999999995E-2</v>
      </c>
      <c r="AM62" s="189">
        <v>6.4399999999999999E-2</v>
      </c>
      <c r="AN62" s="189">
        <v>6.6299999999999998E-2</v>
      </c>
      <c r="AO62" s="189">
        <v>6.4299999999999996E-2</v>
      </c>
      <c r="AP62" s="189">
        <v>5.2600000000000001E-2</v>
      </c>
      <c r="AQ62" s="189">
        <v>-1.54E-2</v>
      </c>
      <c r="AR62" s="189">
        <v>5.16E-2</v>
      </c>
      <c r="AS62" s="189">
        <v>5.1699999999999996E-2</v>
      </c>
      <c r="AT62" s="189">
        <v>0.2177</v>
      </c>
      <c r="AU62" s="189">
        <v>5.8200000000000002E-2</v>
      </c>
      <c r="AV62" s="188">
        <v>17349</v>
      </c>
      <c r="AW62" s="188">
        <v>18642</v>
      </c>
      <c r="AX62" s="188">
        <v>20785</v>
      </c>
      <c r="AY62" s="188">
        <v>23324</v>
      </c>
      <c r="AZ62" s="188">
        <v>25571</v>
      </c>
      <c r="BA62" s="188">
        <v>14854</v>
      </c>
      <c r="BB62" s="188">
        <v>15628</v>
      </c>
      <c r="BC62" s="188">
        <v>17098</v>
      </c>
      <c r="BD62" s="188">
        <v>21479</v>
      </c>
      <c r="BE62" s="188">
        <v>23742</v>
      </c>
      <c r="BF62" s="231">
        <f t="shared" si="27"/>
        <v>0.51617151260927174</v>
      </c>
      <c r="BG62" s="188">
        <f t="shared" si="28"/>
        <v>2781</v>
      </c>
      <c r="BH62" s="188">
        <f t="shared" si="29"/>
        <v>36904</v>
      </c>
      <c r="BI62" s="188">
        <f t="shared" si="30"/>
        <v>165798</v>
      </c>
      <c r="BJ62" s="188">
        <f t="shared" si="31"/>
        <v>240022</v>
      </c>
      <c r="BK62" s="240">
        <f>'ERR Calculation'!$C$3*($V62/$V$70)*(BG62/$Q62)</f>
        <v>1107.6494760891558</v>
      </c>
      <c r="BL62" s="240">
        <f>'ERR Calculation'!$C$3*($V62/$V$70)*(BH62/$Q62)</f>
        <v>14698.560325636177</v>
      </c>
      <c r="BM62" s="240">
        <f>'ERR Calculation'!$C$3*($V62/$V$70)*(BI62/$Q62)</f>
        <v>66035.982681276466</v>
      </c>
      <c r="BN62" s="240">
        <f>'ERR Calculation'!$C$3*($V62/$V$70)*(BJ62/$Q62)</f>
        <v>95598.792718400349</v>
      </c>
    </row>
    <row r="63" spans="2:66" x14ac:dyDescent="0.25">
      <c r="B63">
        <v>1</v>
      </c>
      <c r="C63">
        <v>0</v>
      </c>
      <c r="D63">
        <f t="shared" si="17"/>
        <v>0</v>
      </c>
      <c r="E63" t="s">
        <v>162</v>
      </c>
      <c r="F63" t="s">
        <v>222</v>
      </c>
      <c r="G63" t="s">
        <v>171</v>
      </c>
      <c r="H63" s="188">
        <f t="shared" si="18"/>
        <v>0</v>
      </c>
      <c r="I63" s="188">
        <f t="shared" si="19"/>
        <v>227717</v>
      </c>
      <c r="J63" s="189">
        <f t="shared" si="20"/>
        <v>1.74002226509824E-2</v>
      </c>
      <c r="K63" s="188">
        <f t="shared" si="21"/>
        <v>231714</v>
      </c>
      <c r="L63" s="189">
        <f t="shared" si="22"/>
        <v>1.7369866515513976E-2</v>
      </c>
      <c r="M63" s="188">
        <f t="shared" si="32"/>
        <v>235774</v>
      </c>
      <c r="N63" s="189">
        <f t="shared" si="23"/>
        <v>1.6047062425444736E-2</v>
      </c>
      <c r="O63" s="188">
        <f t="shared" si="24"/>
        <v>239588</v>
      </c>
      <c r="P63" s="189">
        <f t="shared" si="25"/>
        <v>1.6072950132455688E-2</v>
      </c>
      <c r="Q63" s="188">
        <f t="shared" si="26"/>
        <v>243470</v>
      </c>
      <c r="R63" s="188">
        <v>12922</v>
      </c>
      <c r="S63" s="188">
        <v>13812</v>
      </c>
      <c r="T63" s="188">
        <v>14737</v>
      </c>
      <c r="U63" s="188">
        <v>14887</v>
      </c>
      <c r="V63" s="188">
        <v>15286</v>
      </c>
      <c r="W63" s="188">
        <v>106725</v>
      </c>
      <c r="X63" s="188">
        <v>115858</v>
      </c>
      <c r="Y63" s="188">
        <v>127882</v>
      </c>
      <c r="Z63" s="188">
        <v>137392</v>
      </c>
      <c r="AA63" s="188">
        <v>146326</v>
      </c>
      <c r="AB63" s="188">
        <v>11625</v>
      </c>
      <c r="AC63" s="188">
        <v>12132</v>
      </c>
      <c r="AD63" s="188">
        <v>12621</v>
      </c>
      <c r="AE63" s="188">
        <v>12919</v>
      </c>
      <c r="AF63" s="188">
        <v>13314</v>
      </c>
      <c r="AG63" s="188">
        <v>96698</v>
      </c>
      <c r="AH63" s="188">
        <v>101851</v>
      </c>
      <c r="AI63" s="188">
        <v>106779</v>
      </c>
      <c r="AJ63" s="188">
        <v>110868</v>
      </c>
      <c r="AK63" s="188">
        <v>115728</v>
      </c>
      <c r="AL63" s="189">
        <v>5.33E-2</v>
      </c>
      <c r="AM63" s="189">
        <v>4.36E-2</v>
      </c>
      <c r="AN63" s="189">
        <v>4.0300000000000002E-2</v>
      </c>
      <c r="AO63" s="189">
        <v>2.3599999999999999E-2</v>
      </c>
      <c r="AP63" s="189">
        <v>3.0600000000000002E-2</v>
      </c>
      <c r="AQ63" s="189">
        <v>5.9699999999999996E-2</v>
      </c>
      <c r="AR63" s="189">
        <v>5.33E-2</v>
      </c>
      <c r="AS63" s="189">
        <v>4.8399999999999999E-2</v>
      </c>
      <c r="AT63" s="189">
        <v>3.8300000000000001E-2</v>
      </c>
      <c r="AU63" s="189">
        <v>4.3799999999999999E-2</v>
      </c>
      <c r="AV63" s="188">
        <v>56746</v>
      </c>
      <c r="AW63" s="188">
        <v>59608</v>
      </c>
      <c r="AX63" s="188">
        <v>62505</v>
      </c>
      <c r="AY63" s="188">
        <v>62136</v>
      </c>
      <c r="AZ63" s="188">
        <v>62784</v>
      </c>
      <c r="BA63" s="188">
        <v>28197</v>
      </c>
      <c r="BB63" s="188">
        <v>30058</v>
      </c>
      <c r="BC63" s="188">
        <v>32600</v>
      </c>
      <c r="BD63" s="188">
        <v>34436</v>
      </c>
      <c r="BE63" s="188">
        <v>36081</v>
      </c>
      <c r="BF63" s="231">
        <f t="shared" si="27"/>
        <v>0.78443199167951871</v>
      </c>
      <c r="BG63" s="188">
        <f t="shared" si="28"/>
        <v>1285</v>
      </c>
      <c r="BH63" s="188">
        <f t="shared" si="29"/>
        <v>17990</v>
      </c>
      <c r="BI63" s="188">
        <f t="shared" si="30"/>
        <v>85188</v>
      </c>
      <c r="BJ63" s="188">
        <f t="shared" si="31"/>
        <v>139007</v>
      </c>
      <c r="BK63" s="240">
        <f>'ERR Calculation'!$C$3*($V63/$V$70)*(BG63/$Q63)</f>
        <v>1256.6244081318339</v>
      </c>
      <c r="BL63" s="240">
        <f>'ERR Calculation'!$C$3*($V63/$V$70)*(BH63/$Q63)</f>
        <v>17592.741713845673</v>
      </c>
      <c r="BM63" s="240">
        <f>'ERR Calculation'!$C$3*($V63/$V$70)*(BI63/$Q63)</f>
        <v>83306.863875435549</v>
      </c>
      <c r="BN63" s="240">
        <f>'ERR Calculation'!$C$3*($V63/$V$70)*(BJ63/$Q63)</f>
        <v>135937.42342504422</v>
      </c>
    </row>
    <row r="64" spans="2:66" x14ac:dyDescent="0.25">
      <c r="B64">
        <v>1</v>
      </c>
      <c r="C64">
        <v>0</v>
      </c>
      <c r="D64">
        <f t="shared" si="17"/>
        <v>0</v>
      </c>
      <c r="E64" t="s">
        <v>162</v>
      </c>
      <c r="F64" t="s">
        <v>223</v>
      </c>
      <c r="G64" t="s">
        <v>164</v>
      </c>
      <c r="H64" s="188">
        <f t="shared" si="18"/>
        <v>0</v>
      </c>
      <c r="I64" s="188">
        <f t="shared" si="19"/>
        <v>427810</v>
      </c>
      <c r="J64" s="189">
        <f t="shared" si="20"/>
        <v>6.5607921871482233E-3</v>
      </c>
      <c r="K64" s="188">
        <f t="shared" si="21"/>
        <v>430626</v>
      </c>
      <c r="L64" s="189">
        <f t="shared" si="22"/>
        <v>6.1442063125340951E-3</v>
      </c>
      <c r="M64" s="188">
        <f t="shared" si="32"/>
        <v>433280</v>
      </c>
      <c r="N64" s="189">
        <f t="shared" si="23"/>
        <v>6.0676879706083042E-3</v>
      </c>
      <c r="O64" s="188">
        <f t="shared" si="24"/>
        <v>435917</v>
      </c>
      <c r="P64" s="189">
        <f t="shared" si="25"/>
        <v>5.8851482806314692E-3</v>
      </c>
      <c r="Q64" s="188">
        <f t="shared" si="26"/>
        <v>438490</v>
      </c>
      <c r="R64" s="188">
        <v>11470</v>
      </c>
      <c r="S64" s="188">
        <v>12967</v>
      </c>
      <c r="T64" s="188">
        <v>15066</v>
      </c>
      <c r="U64" s="188">
        <v>17203</v>
      </c>
      <c r="V64" s="188">
        <v>18770</v>
      </c>
      <c r="W64" s="188">
        <v>117987</v>
      </c>
      <c r="X64" s="188">
        <v>134408</v>
      </c>
      <c r="Y64" s="188">
        <v>156396</v>
      </c>
      <c r="Z64" s="188">
        <v>177156</v>
      </c>
      <c r="AA64" s="188">
        <v>195376</v>
      </c>
      <c r="AB64" s="188">
        <v>10500</v>
      </c>
      <c r="AC64" s="188">
        <v>11178</v>
      </c>
      <c r="AD64" s="188">
        <v>11908</v>
      </c>
      <c r="AE64" s="188">
        <v>12651</v>
      </c>
      <c r="AF64" s="188">
        <v>13426</v>
      </c>
      <c r="AG64" s="188">
        <v>106951</v>
      </c>
      <c r="AH64" s="188">
        <v>114104</v>
      </c>
      <c r="AI64" s="188">
        <v>121788</v>
      </c>
      <c r="AJ64" s="188">
        <v>129131</v>
      </c>
      <c r="AK64" s="188">
        <v>137193</v>
      </c>
      <c r="AL64" s="189">
        <v>6.1200000000000004E-2</v>
      </c>
      <c r="AM64" s="189">
        <v>6.4500000000000002E-2</v>
      </c>
      <c r="AN64" s="189">
        <v>6.5299999999999997E-2</v>
      </c>
      <c r="AO64" s="189">
        <v>6.2400000000000004E-2</v>
      </c>
      <c r="AP64" s="189">
        <v>6.1200000000000004E-2</v>
      </c>
      <c r="AQ64" s="189">
        <v>6.9599999999999995E-2</v>
      </c>
      <c r="AR64" s="189">
        <v>6.6900000000000001E-2</v>
      </c>
      <c r="AS64" s="189">
        <v>6.7299999999999999E-2</v>
      </c>
      <c r="AT64" s="189">
        <v>6.0299999999999999E-2</v>
      </c>
      <c r="AU64" s="189">
        <v>6.2400000000000004E-2</v>
      </c>
      <c r="AV64" s="188">
        <v>26811</v>
      </c>
      <c r="AW64" s="188">
        <v>30112</v>
      </c>
      <c r="AX64" s="188">
        <v>34772</v>
      </c>
      <c r="AY64" s="188">
        <v>39464</v>
      </c>
      <c r="AZ64" s="188">
        <v>42806</v>
      </c>
      <c r="BA64" s="188">
        <v>29444</v>
      </c>
      <c r="BB64" s="188">
        <v>33135</v>
      </c>
      <c r="BC64" s="188">
        <v>38100</v>
      </c>
      <c r="BD64" s="188">
        <v>42659</v>
      </c>
      <c r="BE64" s="188">
        <v>46517</v>
      </c>
      <c r="BF64" s="231">
        <f t="shared" si="27"/>
        <v>1.0113196130084026</v>
      </c>
      <c r="BG64" s="188">
        <f t="shared" si="28"/>
        <v>1955</v>
      </c>
      <c r="BH64" s="188">
        <f t="shared" si="29"/>
        <v>29082</v>
      </c>
      <c r="BI64" s="188">
        <f t="shared" si="30"/>
        <v>145167</v>
      </c>
      <c r="BJ64" s="188">
        <f t="shared" si="31"/>
        <v>262286</v>
      </c>
      <c r="BK64" s="240">
        <f>'ERR Calculation'!$C$3*($V64/$V$70)*(BG64/$Q64)</f>
        <v>1303.4827995622361</v>
      </c>
      <c r="BL64" s="240">
        <f>'ERR Calculation'!$C$3*($V64/$V$70)*(BH64/$Q64)</f>
        <v>19390.223415278233</v>
      </c>
      <c r="BM64" s="240">
        <f>'ERR Calculation'!$C$3*($V64/$V$70)*(BI64/$Q64)</f>
        <v>96789.098498235864</v>
      </c>
      <c r="BN64" s="240">
        <f>'ERR Calculation'!$C$3*($V64/$V$70)*(BJ64/$Q64)</f>
        <v>174877.38596725353</v>
      </c>
    </row>
    <row r="65" spans="2:66" x14ac:dyDescent="0.25">
      <c r="B65">
        <v>1</v>
      </c>
      <c r="C65">
        <v>1</v>
      </c>
      <c r="D65">
        <f t="shared" si="17"/>
        <v>1</v>
      </c>
      <c r="E65" t="s">
        <v>165</v>
      </c>
      <c r="F65" t="s">
        <v>224</v>
      </c>
      <c r="G65" t="s">
        <v>225</v>
      </c>
      <c r="H65" s="188">
        <f t="shared" si="18"/>
        <v>1</v>
      </c>
      <c r="I65" s="188">
        <f t="shared" si="19"/>
        <v>1904598</v>
      </c>
      <c r="J65" s="189">
        <f t="shared" si="20"/>
        <v>2.4793032043355367E-2</v>
      </c>
      <c r="K65" s="188">
        <f t="shared" si="21"/>
        <v>1952409</v>
      </c>
      <c r="L65" s="189">
        <f t="shared" si="22"/>
        <v>2.4028684343409878E-2</v>
      </c>
      <c r="M65" s="188">
        <f t="shared" si="32"/>
        <v>1999891</v>
      </c>
      <c r="N65" s="189">
        <f t="shared" si="23"/>
        <v>2.3334897855272985E-2</v>
      </c>
      <c r="O65" s="188">
        <f t="shared" si="24"/>
        <v>2047107</v>
      </c>
      <c r="P65" s="189">
        <f t="shared" si="25"/>
        <v>2.2511467863264301E-2</v>
      </c>
      <c r="Q65" s="188">
        <f t="shared" si="26"/>
        <v>2093713</v>
      </c>
      <c r="R65" s="188">
        <v>83648</v>
      </c>
      <c r="S65" s="188">
        <v>94561</v>
      </c>
      <c r="T65" s="188">
        <v>109956</v>
      </c>
      <c r="U65" s="188">
        <v>124677</v>
      </c>
      <c r="V65" s="188">
        <v>136085</v>
      </c>
      <c r="W65" s="188">
        <v>338225</v>
      </c>
      <c r="X65" s="188">
        <v>377836</v>
      </c>
      <c r="Y65" s="188">
        <v>428740</v>
      </c>
      <c r="Z65" s="188">
        <v>478544</v>
      </c>
      <c r="AA65" s="188">
        <v>516327</v>
      </c>
      <c r="AB65" s="188">
        <v>76946</v>
      </c>
      <c r="AC65" s="188">
        <v>81965</v>
      </c>
      <c r="AD65" s="188">
        <v>86184</v>
      </c>
      <c r="AE65" s="188">
        <v>90811</v>
      </c>
      <c r="AF65" s="188">
        <v>95622</v>
      </c>
      <c r="AG65" s="188">
        <v>310386</v>
      </c>
      <c r="AH65" s="188">
        <v>331099</v>
      </c>
      <c r="AI65" s="188">
        <v>349351</v>
      </c>
      <c r="AJ65" s="188">
        <v>368217</v>
      </c>
      <c r="AK65" s="188">
        <v>387595</v>
      </c>
      <c r="AL65" s="189">
        <v>7.0699999999999999E-2</v>
      </c>
      <c r="AM65" s="189">
        <v>6.5199999999999994E-2</v>
      </c>
      <c r="AN65" s="189">
        <v>5.1500000000000004E-2</v>
      </c>
      <c r="AO65" s="189">
        <v>5.3699999999999998E-2</v>
      </c>
      <c r="AP65" s="189">
        <v>5.2999999999999999E-2</v>
      </c>
      <c r="AQ65" s="189">
        <v>6.83E-2</v>
      </c>
      <c r="AR65" s="189">
        <v>6.6699999999999995E-2</v>
      </c>
      <c r="AS65" s="189">
        <v>5.5099999999999996E-2</v>
      </c>
      <c r="AT65" s="189">
        <v>5.4000000000000006E-2</v>
      </c>
      <c r="AU65" s="189">
        <v>5.2600000000000001E-2</v>
      </c>
      <c r="AV65" s="188">
        <v>43919</v>
      </c>
      <c r="AW65" s="188">
        <v>48433</v>
      </c>
      <c r="AX65" s="188">
        <v>54981</v>
      </c>
      <c r="AY65" s="188">
        <v>60904</v>
      </c>
      <c r="AZ65" s="188">
        <v>64997</v>
      </c>
      <c r="BA65" s="188">
        <v>30202</v>
      </c>
      <c r="BB65" s="188">
        <v>32992</v>
      </c>
      <c r="BC65" s="188">
        <v>36629</v>
      </c>
      <c r="BD65" s="188">
        <v>40028</v>
      </c>
      <c r="BE65" s="188">
        <v>42311</v>
      </c>
      <c r="BF65" s="231">
        <f t="shared" si="27"/>
        <v>0.91987755328156418</v>
      </c>
      <c r="BG65" s="188">
        <f t="shared" si="28"/>
        <v>10026</v>
      </c>
      <c r="BH65" s="188">
        <f t="shared" si="29"/>
        <v>145245</v>
      </c>
      <c r="BI65" s="188">
        <f t="shared" si="30"/>
        <v>709036</v>
      </c>
      <c r="BJ65" s="188">
        <f t="shared" si="31"/>
        <v>1229406</v>
      </c>
      <c r="BK65" s="240">
        <f>'ERR Calculation'!$C$3*($V65/$V$70)*(BG65/$Q65)</f>
        <v>10150.204030319352</v>
      </c>
      <c r="BL65" s="240">
        <f>'ERR Calculation'!$C$3*($V65/$V$70)*(BH65/$Q65)</f>
        <v>147044.32319805847</v>
      </c>
      <c r="BM65" s="240">
        <f>'ERR Calculation'!$C$3*($V65/$V$70)*(BI65/$Q65)</f>
        <v>717819.67532829754</v>
      </c>
      <c r="BN65" s="240">
        <f>'ERR Calculation'!$C$3*($V65/$V$70)*(BJ65/$Q65)</f>
        <v>1244636.1196986628</v>
      </c>
    </row>
    <row r="66" spans="2:66" x14ac:dyDescent="0.25">
      <c r="B66">
        <v>1</v>
      </c>
      <c r="C66">
        <v>0</v>
      </c>
      <c r="D66">
        <f t="shared" si="17"/>
        <v>0</v>
      </c>
      <c r="E66" t="s">
        <v>162</v>
      </c>
      <c r="F66" t="s">
        <v>226</v>
      </c>
      <c r="G66" t="s">
        <v>192</v>
      </c>
      <c r="H66" s="188">
        <f t="shared" si="18"/>
        <v>0</v>
      </c>
      <c r="I66" s="188">
        <f t="shared" si="19"/>
        <v>292717</v>
      </c>
      <c r="J66" s="189">
        <f t="shared" si="20"/>
        <v>2.0514632344914574E-2</v>
      </c>
      <c r="K66" s="188">
        <f t="shared" si="21"/>
        <v>298784</v>
      </c>
      <c r="L66" s="189">
        <f t="shared" si="22"/>
        <v>2.0262949692693155E-2</v>
      </c>
      <c r="M66" s="188">
        <f t="shared" si="32"/>
        <v>304900</v>
      </c>
      <c r="N66" s="189">
        <f t="shared" si="23"/>
        <v>1.9555006624054627E-2</v>
      </c>
      <c r="O66" s="188">
        <f t="shared" si="24"/>
        <v>310921</v>
      </c>
      <c r="P66" s="189">
        <f t="shared" si="25"/>
        <v>1.8753895037491475E-2</v>
      </c>
      <c r="Q66" s="188">
        <f t="shared" si="26"/>
        <v>316807</v>
      </c>
      <c r="R66" s="188">
        <v>24006</v>
      </c>
      <c r="S66" s="188">
        <v>26889</v>
      </c>
      <c r="T66" s="188">
        <v>29238</v>
      </c>
      <c r="U66" s="188">
        <v>29469</v>
      </c>
      <c r="V66" s="188">
        <v>31443</v>
      </c>
      <c r="W66" s="188">
        <v>115070</v>
      </c>
      <c r="X66" s="188">
        <v>129976</v>
      </c>
      <c r="Y66" s="188">
        <v>144814</v>
      </c>
      <c r="Z66" s="188">
        <v>155106</v>
      </c>
      <c r="AA66" s="188">
        <v>171711</v>
      </c>
      <c r="AB66" s="188">
        <v>21823</v>
      </c>
      <c r="AC66" s="188">
        <v>23074</v>
      </c>
      <c r="AD66" s="188">
        <v>24552</v>
      </c>
      <c r="AE66" s="188">
        <v>25446</v>
      </c>
      <c r="AF66" s="188">
        <v>26245</v>
      </c>
      <c r="AG66" s="188">
        <v>104615</v>
      </c>
      <c r="AH66" s="188">
        <v>111766</v>
      </c>
      <c r="AI66" s="188">
        <v>119991</v>
      </c>
      <c r="AJ66" s="188">
        <v>125036</v>
      </c>
      <c r="AK66" s="188">
        <v>130500</v>
      </c>
      <c r="AL66" s="189">
        <v>4.9500000000000002E-2</v>
      </c>
      <c r="AM66" s="189">
        <v>5.7300000000000004E-2</v>
      </c>
      <c r="AN66" s="189">
        <v>6.4100000000000004E-2</v>
      </c>
      <c r="AO66" s="189">
        <v>3.6400000000000002E-2</v>
      </c>
      <c r="AP66" s="189">
        <v>3.1400000000000004E-2</v>
      </c>
      <c r="AQ66" s="189">
        <v>7.0300000000000001E-2</v>
      </c>
      <c r="AR66" s="189">
        <v>6.8400000000000002E-2</v>
      </c>
      <c r="AS66" s="189">
        <v>7.3599999999999999E-2</v>
      </c>
      <c r="AT66" s="189">
        <v>4.2000000000000003E-2</v>
      </c>
      <c r="AU66" s="189">
        <v>4.3700000000000003E-2</v>
      </c>
      <c r="AV66" s="188">
        <v>82011</v>
      </c>
      <c r="AW66" s="188">
        <v>89995</v>
      </c>
      <c r="AX66" s="188">
        <v>95894</v>
      </c>
      <c r="AY66" s="188">
        <v>94780</v>
      </c>
      <c r="AZ66" s="188">
        <v>99250</v>
      </c>
      <c r="BA66" s="188">
        <v>35658</v>
      </c>
      <c r="BB66" s="188">
        <v>39554</v>
      </c>
      <c r="BC66" s="188">
        <v>43300</v>
      </c>
      <c r="BD66" s="188">
        <v>45592</v>
      </c>
      <c r="BE66" s="188">
        <v>49643</v>
      </c>
      <c r="BF66" s="231">
        <f t="shared" si="27"/>
        <v>1.0792815432761382</v>
      </c>
      <c r="BG66" s="188">
        <f t="shared" si="28"/>
        <v>1335</v>
      </c>
      <c r="BH66" s="188">
        <f t="shared" si="29"/>
        <v>20293</v>
      </c>
      <c r="BI66" s="188">
        <f t="shared" si="30"/>
        <v>103095</v>
      </c>
      <c r="BJ66" s="188">
        <f t="shared" si="31"/>
        <v>192084</v>
      </c>
      <c r="BK66" s="240">
        <f>'ERR Calculation'!$C$3*($V66/$V$70)*(BG66/$Q66)</f>
        <v>2063.7849272515314</v>
      </c>
      <c r="BL66" s="240">
        <f>'ERR Calculation'!$C$3*($V66/$V$70)*(BH66/$Q66)</f>
        <v>31371.076800535826</v>
      </c>
      <c r="BM66" s="240">
        <f>'ERR Calculation'!$C$3*($V66/$V$70)*(BI66/$Q66)</f>
        <v>159375.2112921323</v>
      </c>
      <c r="BN66" s="240">
        <f>'ERR Calculation'!$C$3*($V66/$V$70)*(BJ66/$Q66)</f>
        <v>296943.86813946301</v>
      </c>
    </row>
    <row r="67" spans="2:66" x14ac:dyDescent="0.25">
      <c r="B67">
        <v>1</v>
      </c>
      <c r="C67">
        <v>0</v>
      </c>
      <c r="D67">
        <f t="shared" si="17"/>
        <v>0</v>
      </c>
      <c r="E67" t="s">
        <v>162</v>
      </c>
      <c r="F67" t="s">
        <v>227</v>
      </c>
      <c r="G67" t="s">
        <v>192</v>
      </c>
      <c r="H67" s="188">
        <f t="shared" si="18"/>
        <v>0</v>
      </c>
      <c r="I67" s="188">
        <f t="shared" si="19"/>
        <v>312181</v>
      </c>
      <c r="J67" s="189">
        <f t="shared" si="20"/>
        <v>2.0384636497603026E-2</v>
      </c>
      <c r="K67" s="188">
        <f t="shared" si="21"/>
        <v>318610</v>
      </c>
      <c r="L67" s="189">
        <f t="shared" si="22"/>
        <v>1.9589669883165683E-2</v>
      </c>
      <c r="M67" s="188">
        <f t="shared" si="32"/>
        <v>324913</v>
      </c>
      <c r="N67" s="189">
        <f t="shared" si="23"/>
        <v>1.8503517730762198E-2</v>
      </c>
      <c r="O67" s="188">
        <f t="shared" si="24"/>
        <v>330981</v>
      </c>
      <c r="P67" s="189">
        <f t="shared" si="25"/>
        <v>1.8060533359168573E-2</v>
      </c>
      <c r="Q67" s="188">
        <f t="shared" si="26"/>
        <v>337013</v>
      </c>
      <c r="R67" s="188">
        <v>7138</v>
      </c>
      <c r="S67" s="188">
        <v>8237</v>
      </c>
      <c r="T67" s="188">
        <v>9235</v>
      </c>
      <c r="U67" s="188">
        <v>10316</v>
      </c>
      <c r="V67" s="188">
        <v>11634</v>
      </c>
      <c r="W67" s="188">
        <v>115070</v>
      </c>
      <c r="X67" s="188">
        <v>129976</v>
      </c>
      <c r="Y67" s="188">
        <v>144814</v>
      </c>
      <c r="Z67" s="188">
        <v>155106</v>
      </c>
      <c r="AA67" s="188">
        <v>171711</v>
      </c>
      <c r="AB67" s="188">
        <v>6729</v>
      </c>
      <c r="AC67" s="188">
        <v>7243</v>
      </c>
      <c r="AD67" s="188">
        <v>7881</v>
      </c>
      <c r="AE67" s="188">
        <v>8298</v>
      </c>
      <c r="AF67" s="188">
        <v>8744</v>
      </c>
      <c r="AG67" s="188">
        <v>104615</v>
      </c>
      <c r="AH67" s="188">
        <v>111766</v>
      </c>
      <c r="AI67" s="188">
        <v>119991</v>
      </c>
      <c r="AJ67" s="188">
        <v>125036</v>
      </c>
      <c r="AK67" s="188">
        <v>130500</v>
      </c>
      <c r="AL67" s="189">
        <v>7.6999999999999999E-2</v>
      </c>
      <c r="AM67" s="189">
        <v>7.6299999999999993E-2</v>
      </c>
      <c r="AN67" s="189">
        <v>8.8200000000000001E-2</v>
      </c>
      <c r="AO67" s="189">
        <v>5.2900000000000003E-2</v>
      </c>
      <c r="AP67" s="189">
        <v>5.3800000000000001E-2</v>
      </c>
      <c r="AQ67" s="189">
        <v>7.0300000000000001E-2</v>
      </c>
      <c r="AR67" s="189">
        <v>6.8400000000000002E-2</v>
      </c>
      <c r="AS67" s="189">
        <v>7.3599999999999999E-2</v>
      </c>
      <c r="AT67" s="189">
        <v>4.2000000000000003E-2</v>
      </c>
      <c r="AU67" s="189">
        <v>4.3700000000000003E-2</v>
      </c>
      <c r="AV67" s="188">
        <v>22865</v>
      </c>
      <c r="AW67" s="188">
        <v>25853</v>
      </c>
      <c r="AX67" s="188">
        <v>28423</v>
      </c>
      <c r="AY67" s="188">
        <v>31168</v>
      </c>
      <c r="AZ67" s="188">
        <v>34521</v>
      </c>
      <c r="BA67" s="188">
        <v>35658</v>
      </c>
      <c r="BB67" s="188">
        <v>39554</v>
      </c>
      <c r="BC67" s="188">
        <v>43300</v>
      </c>
      <c r="BD67" s="188">
        <v>45592</v>
      </c>
      <c r="BE67" s="188">
        <v>49643</v>
      </c>
      <c r="BF67" s="231">
        <f t="shared" si="27"/>
        <v>1.0792815432761382</v>
      </c>
      <c r="BG67" s="188">
        <f t="shared" si="28"/>
        <v>1420</v>
      </c>
      <c r="BH67" s="188">
        <f t="shared" si="29"/>
        <v>21588</v>
      </c>
      <c r="BI67" s="188">
        <f t="shared" si="30"/>
        <v>109671</v>
      </c>
      <c r="BJ67" s="188">
        <f t="shared" si="31"/>
        <v>204334</v>
      </c>
      <c r="BK67" s="240">
        <f>'ERR Calculation'!$C$3*($V67/$V$70)*(BG67/$Q67)</f>
        <v>763.52755320681604</v>
      </c>
      <c r="BL67" s="240">
        <f>'ERR Calculation'!$C$3*($V67/$V$70)*(BH67/$Q67)</f>
        <v>11607.769590583624</v>
      </c>
      <c r="BM67" s="240">
        <f>'ERR Calculation'!$C$3*($V67/$V$70)*(BI67/$Q67)</f>
        <v>58969.598794186422</v>
      </c>
      <c r="BN67" s="240">
        <f>'ERR Calculation'!$C$3*($V67/$V$70)*(BJ67/$Q67)</f>
        <v>109869.4641246208</v>
      </c>
    </row>
    <row r="68" spans="2:66" x14ac:dyDescent="0.25">
      <c r="B68">
        <v>1</v>
      </c>
      <c r="C68">
        <v>0</v>
      </c>
      <c r="D68">
        <f t="shared" si="17"/>
        <v>0</v>
      </c>
      <c r="E68" t="s">
        <v>162</v>
      </c>
      <c r="F68" t="s">
        <v>228</v>
      </c>
      <c r="G68" t="s">
        <v>169</v>
      </c>
      <c r="H68" s="188">
        <f t="shared" si="18"/>
        <v>0</v>
      </c>
      <c r="I68" s="188">
        <f t="shared" si="19"/>
        <v>217831</v>
      </c>
      <c r="J68" s="189">
        <f t="shared" si="20"/>
        <v>1.2785687271051671E-2</v>
      </c>
      <c r="K68" s="188">
        <f t="shared" si="21"/>
        <v>220634</v>
      </c>
      <c r="L68" s="189">
        <f t="shared" si="22"/>
        <v>1.2127367300225345E-2</v>
      </c>
      <c r="M68" s="188">
        <f t="shared" si="32"/>
        <v>223326</v>
      </c>
      <c r="N68" s="189">
        <f t="shared" si="23"/>
        <v>1.1349161555493481E-2</v>
      </c>
      <c r="O68" s="188">
        <f t="shared" si="24"/>
        <v>225875</v>
      </c>
      <c r="P68" s="189">
        <f t="shared" si="25"/>
        <v>1.1453799900522199E-2</v>
      </c>
      <c r="Q68" s="188">
        <f t="shared" si="26"/>
        <v>228477</v>
      </c>
      <c r="R68" s="188">
        <v>4310</v>
      </c>
      <c r="S68" s="188">
        <v>4891</v>
      </c>
      <c r="T68" s="188">
        <v>5490</v>
      </c>
      <c r="U68" s="188">
        <v>6081</v>
      </c>
      <c r="V68" s="188">
        <v>6600</v>
      </c>
      <c r="W68" s="188">
        <v>69638</v>
      </c>
      <c r="X68" s="188">
        <v>79842</v>
      </c>
      <c r="Y68" s="188">
        <v>90246</v>
      </c>
      <c r="Z68" s="188">
        <v>107599</v>
      </c>
      <c r="AA68" s="188">
        <v>120233</v>
      </c>
      <c r="AB68" s="188">
        <v>3855</v>
      </c>
      <c r="AC68" s="188">
        <v>4160</v>
      </c>
      <c r="AD68" s="188">
        <v>4420</v>
      </c>
      <c r="AE68" s="188">
        <v>4713</v>
      </c>
      <c r="AF68" s="188">
        <v>4968</v>
      </c>
      <c r="AG68" s="188">
        <v>62250</v>
      </c>
      <c r="AH68" s="188">
        <v>68219</v>
      </c>
      <c r="AI68" s="188">
        <v>71678</v>
      </c>
      <c r="AJ68" s="188">
        <v>82803</v>
      </c>
      <c r="AK68" s="188">
        <v>91071</v>
      </c>
      <c r="AL68" s="189">
        <v>7.8799999999999995E-2</v>
      </c>
      <c r="AM68" s="189">
        <v>7.9100000000000004E-2</v>
      </c>
      <c r="AN68" s="189">
        <v>6.2400000000000004E-2</v>
      </c>
      <c r="AO68" s="189">
        <v>6.6299999999999998E-2</v>
      </c>
      <c r="AP68" s="189">
        <v>5.4199999999999998E-2</v>
      </c>
      <c r="AQ68" s="189">
        <v>9.5299999999999996E-2</v>
      </c>
      <c r="AR68" s="189">
        <v>9.5899999999999999E-2</v>
      </c>
      <c r="AS68" s="189">
        <v>5.0700000000000002E-2</v>
      </c>
      <c r="AT68" s="189">
        <v>0.1552</v>
      </c>
      <c r="AU68" s="189">
        <v>9.98E-2</v>
      </c>
      <c r="AV68" s="188">
        <v>19786</v>
      </c>
      <c r="AW68" s="188">
        <v>22168</v>
      </c>
      <c r="AX68" s="188">
        <v>24583</v>
      </c>
      <c r="AY68" s="188">
        <v>26922</v>
      </c>
      <c r="AZ68" s="188">
        <v>28887</v>
      </c>
      <c r="BA68" s="188">
        <v>25422</v>
      </c>
      <c r="BB68" s="188">
        <v>28664</v>
      </c>
      <c r="BC68" s="188">
        <v>31875</v>
      </c>
      <c r="BD68" s="188">
        <v>37404</v>
      </c>
      <c r="BE68" s="188">
        <v>41151</v>
      </c>
      <c r="BF68" s="231">
        <f t="shared" si="27"/>
        <v>0.8946581549736391</v>
      </c>
      <c r="BG68" s="188">
        <f t="shared" si="28"/>
        <v>1115</v>
      </c>
      <c r="BH68" s="188">
        <f t="shared" si="29"/>
        <v>16042</v>
      </c>
      <c r="BI68" s="188">
        <f t="shared" si="30"/>
        <v>77852</v>
      </c>
      <c r="BJ68" s="188">
        <f t="shared" si="31"/>
        <v>133468</v>
      </c>
      <c r="BK68" s="240">
        <f>'ERR Calculation'!$C$3*($V68/$V$70)*(BG68/$Q68)</f>
        <v>501.68403307351014</v>
      </c>
      <c r="BL68" s="240">
        <f>'ERR Calculation'!$C$3*($V68/$V$70)*(BH68/$Q68)</f>
        <v>7217.9509045428249</v>
      </c>
      <c r="BM68" s="240">
        <f>'ERR Calculation'!$C$3*($V68/$V$70)*(BI68/$Q68)</f>
        <v>35028.794029451943</v>
      </c>
      <c r="BN68" s="240">
        <f>'ERR Calculation'!$C$3*($V68/$V$70)*(BJ68/$Q68)</f>
        <v>60052.703610991266</v>
      </c>
    </row>
    <row r="69" spans="2:66" x14ac:dyDescent="0.25">
      <c r="B69">
        <v>1</v>
      </c>
      <c r="C69">
        <v>1</v>
      </c>
      <c r="D69">
        <f t="shared" si="17"/>
        <v>1</v>
      </c>
      <c r="E69" t="s">
        <v>165</v>
      </c>
      <c r="F69" t="s">
        <v>229</v>
      </c>
      <c r="G69" t="s">
        <v>191</v>
      </c>
      <c r="H69" s="188">
        <f t="shared" si="18"/>
        <v>1</v>
      </c>
      <c r="I69" s="188">
        <f t="shared" si="19"/>
        <v>397596</v>
      </c>
      <c r="J69" s="189">
        <f t="shared" si="20"/>
        <v>1.2708270849977055E-2</v>
      </c>
      <c r="K69" s="188">
        <f t="shared" si="21"/>
        <v>402681</v>
      </c>
      <c r="L69" s="189">
        <f t="shared" si="22"/>
        <v>1.2296167482626075E-2</v>
      </c>
      <c r="M69" s="188">
        <f t="shared" si="32"/>
        <v>407663</v>
      </c>
      <c r="N69" s="189">
        <f t="shared" si="23"/>
        <v>1.2299468409242564E-2</v>
      </c>
      <c r="O69" s="188">
        <f t="shared" si="24"/>
        <v>412708</v>
      </c>
      <c r="P69" s="189">
        <f t="shared" si="25"/>
        <v>1.2135665009685326E-2</v>
      </c>
      <c r="Q69" s="188">
        <f t="shared" si="26"/>
        <v>417747</v>
      </c>
      <c r="R69" s="188">
        <v>20537</v>
      </c>
      <c r="S69" s="188">
        <v>22538</v>
      </c>
      <c r="T69" s="188">
        <v>24664</v>
      </c>
      <c r="U69" s="188">
        <v>26793</v>
      </c>
      <c r="V69" s="188">
        <v>28916</v>
      </c>
      <c r="W69" s="188">
        <v>77248</v>
      </c>
      <c r="X69" s="188">
        <v>84925</v>
      </c>
      <c r="Y69" s="188">
        <v>92842</v>
      </c>
      <c r="Z69" s="188">
        <v>101448</v>
      </c>
      <c r="AA69" s="188">
        <v>110098</v>
      </c>
      <c r="AB69" s="188">
        <v>19189</v>
      </c>
      <c r="AC69" s="188">
        <v>20240</v>
      </c>
      <c r="AD69" s="188">
        <v>21308</v>
      </c>
      <c r="AE69" s="188">
        <v>22393</v>
      </c>
      <c r="AF69" s="188">
        <v>23538</v>
      </c>
      <c r="AG69" s="188">
        <v>71702</v>
      </c>
      <c r="AH69" s="188">
        <v>75627</v>
      </c>
      <c r="AI69" s="188">
        <v>79536</v>
      </c>
      <c r="AJ69" s="188">
        <v>83474</v>
      </c>
      <c r="AK69" s="188">
        <v>87688</v>
      </c>
      <c r="AL69" s="189">
        <v>5.4000000000000006E-2</v>
      </c>
      <c r="AM69" s="189">
        <v>5.4699999999999999E-2</v>
      </c>
      <c r="AN69" s="189">
        <v>5.28E-2</v>
      </c>
      <c r="AO69" s="189">
        <v>5.0900000000000001E-2</v>
      </c>
      <c r="AP69" s="189">
        <v>5.1100000000000007E-2</v>
      </c>
      <c r="AQ69" s="189">
        <v>5.3699999999999998E-2</v>
      </c>
      <c r="AR69" s="189">
        <v>5.4699999999999999E-2</v>
      </c>
      <c r="AS69" s="189">
        <v>5.1699999999999996E-2</v>
      </c>
      <c r="AT69" s="189">
        <v>4.9500000000000002E-2</v>
      </c>
      <c r="AU69" s="189">
        <v>5.0499999999999996E-2</v>
      </c>
      <c r="AV69" s="188">
        <v>51653</v>
      </c>
      <c r="AW69" s="188">
        <v>55970</v>
      </c>
      <c r="AX69" s="188">
        <v>60501</v>
      </c>
      <c r="AY69" s="188">
        <v>64920</v>
      </c>
      <c r="AZ69" s="188">
        <v>69219</v>
      </c>
      <c r="BA69" s="188">
        <v>21745</v>
      </c>
      <c r="BB69" s="188">
        <v>23624</v>
      </c>
      <c r="BC69" s="188">
        <v>25526</v>
      </c>
      <c r="BD69" s="188">
        <v>27573</v>
      </c>
      <c r="BE69" s="188">
        <v>29589</v>
      </c>
      <c r="BF69" s="231">
        <f t="shared" si="27"/>
        <v>0.64329032459757984</v>
      </c>
      <c r="BG69" s="188">
        <f t="shared" si="28"/>
        <v>2416</v>
      </c>
      <c r="BH69" s="188">
        <f t="shared" si="29"/>
        <v>32833</v>
      </c>
      <c r="BI69" s="188">
        <f t="shared" si="30"/>
        <v>151060</v>
      </c>
      <c r="BJ69" s="188">
        <f t="shared" si="31"/>
        <v>231438</v>
      </c>
      <c r="BK69" s="240">
        <f>'ERR Calculation'!$C$3*($V69/$V$70)*(BG69/$Q69)</f>
        <v>2604.8083184099328</v>
      </c>
      <c r="BL69" s="240">
        <f>'ERR Calculation'!$C$3*($V69/$V$70)*(BH69/$Q69)</f>
        <v>35398.870661570079</v>
      </c>
      <c r="BM69" s="240">
        <f>'ERR Calculation'!$C$3*($V69/$V$70)*(BI69/$Q69)</f>
        <v>162865.20884892569</v>
      </c>
      <c r="BN69" s="240">
        <f>'ERR Calculation'!$C$3*($V69/$V$70)*(BJ69/$Q69)</f>
        <v>249524.68029642297</v>
      </c>
    </row>
    <row r="70" spans="2:66" x14ac:dyDescent="0.25">
      <c r="C70" s="305"/>
      <c r="D70" s="305"/>
      <c r="E70" s="308" t="s">
        <v>484</v>
      </c>
      <c r="F70" s="305"/>
      <c r="G70" s="305"/>
      <c r="H70" s="305"/>
      <c r="I70" s="306">
        <v>248883232</v>
      </c>
      <c r="J70" s="306"/>
      <c r="K70" s="306">
        <v>252032263</v>
      </c>
      <c r="L70" s="306"/>
      <c r="M70" s="306">
        <v>255131116</v>
      </c>
      <c r="N70" s="306"/>
      <c r="O70" s="306">
        <v>258162113</v>
      </c>
      <c r="P70" s="306"/>
      <c r="Q70" s="306">
        <v>261115456</v>
      </c>
      <c r="R70" s="305"/>
      <c r="S70" s="305"/>
      <c r="T70" s="305"/>
      <c r="U70" s="305"/>
      <c r="V70" s="306">
        <f>SUMIFS(V$6:V$69,$H$6:$H$69,"&gt;0",$C$6:$C$69,"&gt;0")</f>
        <v>4050314</v>
      </c>
      <c r="W70" s="305"/>
      <c r="X70" s="305"/>
      <c r="Y70" s="305"/>
      <c r="Z70" s="305"/>
      <c r="AA70" s="306">
        <f>SUMIFS(AA$6:AA$69,$H$6:$H$69,"&gt;0",$C$6:$C$69,"&gt;0")</f>
        <v>20482132</v>
      </c>
      <c r="AB70" s="305"/>
      <c r="AC70" s="305"/>
      <c r="AD70" s="305"/>
      <c r="AE70" s="305"/>
      <c r="AF70" s="305"/>
      <c r="AG70" s="305"/>
      <c r="AH70" s="305"/>
      <c r="AI70" s="305"/>
      <c r="AJ70" s="305"/>
      <c r="AK70" s="305"/>
      <c r="AL70" s="305"/>
      <c r="AM70" s="305"/>
      <c r="AN70" s="305"/>
      <c r="AO70" s="305"/>
      <c r="AP70" s="305"/>
      <c r="AQ70" s="305"/>
      <c r="AR70" s="305"/>
      <c r="AS70" s="305"/>
      <c r="AT70" s="305"/>
      <c r="AU70" s="305"/>
      <c r="AV70" s="305"/>
      <c r="AW70" s="305"/>
      <c r="AX70" s="305"/>
      <c r="AY70" s="305"/>
      <c r="AZ70" s="305"/>
      <c r="BA70" s="305"/>
      <c r="BB70" s="305"/>
      <c r="BC70" s="305"/>
      <c r="BD70" s="305"/>
      <c r="BE70" s="305"/>
      <c r="BF70" s="306">
        <v>45996.339240000001</v>
      </c>
      <c r="BG70" s="313">
        <f t="shared" ref="BG70:BN70" si="33">SUMIFS(BG$6:BG$69,$H$6:$H$69,"&gt;0",$C$6:$C$69,"&gt;0")</f>
        <v>193363</v>
      </c>
      <c r="BH70" s="313">
        <f t="shared" si="33"/>
        <v>2720771</v>
      </c>
      <c r="BI70" s="313">
        <f t="shared" si="33"/>
        <v>13437886</v>
      </c>
      <c r="BJ70" s="313">
        <f t="shared" si="33"/>
        <v>32120177</v>
      </c>
      <c r="BK70" s="314">
        <f t="shared" si="33"/>
        <v>122744.8991603352</v>
      </c>
      <c r="BL70" s="314">
        <f t="shared" si="33"/>
        <v>1815815.8270268487</v>
      </c>
      <c r="BM70" s="314">
        <f t="shared" si="33"/>
        <v>10451907.433490882</v>
      </c>
      <c r="BN70" s="314">
        <f t="shared" si="33"/>
        <v>50696935.854984142</v>
      </c>
    </row>
    <row r="71" spans="2:66" hidden="1" x14ac:dyDescent="0.25">
      <c r="C71">
        <v>2</v>
      </c>
      <c r="D71">
        <f t="shared" ref="D71:D77" si="34">IF(C71&gt;0,1,0)</f>
        <v>1</v>
      </c>
      <c r="F71" t="s">
        <v>0</v>
      </c>
      <c r="G71" t="s">
        <v>187</v>
      </c>
      <c r="I71" t="s">
        <v>139</v>
      </c>
      <c r="K71" t="s">
        <v>139</v>
      </c>
      <c r="M71" t="s">
        <v>139</v>
      </c>
      <c r="O71" t="s">
        <v>139</v>
      </c>
      <c r="Q71" t="s">
        <v>139</v>
      </c>
      <c r="R71" t="s">
        <v>139</v>
      </c>
      <c r="S71" t="s">
        <v>139</v>
      </c>
      <c r="T71" t="s">
        <v>139</v>
      </c>
      <c r="U71" t="s">
        <v>139</v>
      </c>
      <c r="V71" t="s">
        <v>139</v>
      </c>
      <c r="W71" t="s">
        <v>139</v>
      </c>
      <c r="X71" t="s">
        <v>139</v>
      </c>
      <c r="Y71" t="s">
        <v>139</v>
      </c>
      <c r="Z71" t="s">
        <v>139</v>
      </c>
      <c r="AA71" t="s">
        <v>139</v>
      </c>
      <c r="AB71" t="s">
        <v>139</v>
      </c>
      <c r="AC71" t="s">
        <v>139</v>
      </c>
      <c r="AD71" t="s">
        <v>139</v>
      </c>
      <c r="AE71" t="s">
        <v>139</v>
      </c>
      <c r="AF71" t="s">
        <v>139</v>
      </c>
      <c r="AG71" t="s">
        <v>139</v>
      </c>
      <c r="AH71" t="s">
        <v>139</v>
      </c>
      <c r="AI71" t="s">
        <v>139</v>
      </c>
      <c r="AJ71" t="s">
        <v>139</v>
      </c>
      <c r="AK71" t="s">
        <v>139</v>
      </c>
      <c r="AL71" t="s">
        <v>139</v>
      </c>
      <c r="AM71" t="s">
        <v>139</v>
      </c>
      <c r="AN71" t="s">
        <v>139</v>
      </c>
      <c r="AO71" t="s">
        <v>139</v>
      </c>
      <c r="AP71" t="s">
        <v>139</v>
      </c>
      <c r="AQ71" t="s">
        <v>139</v>
      </c>
      <c r="AR71" t="s">
        <v>139</v>
      </c>
      <c r="AS71" t="s">
        <v>139</v>
      </c>
      <c r="AT71" t="s">
        <v>139</v>
      </c>
      <c r="AU71" t="s">
        <v>139</v>
      </c>
      <c r="AV71" t="s">
        <v>139</v>
      </c>
      <c r="AW71" t="s">
        <v>139</v>
      </c>
      <c r="AX71" t="s">
        <v>139</v>
      </c>
      <c r="AY71" t="s">
        <v>139</v>
      </c>
      <c r="AZ71" t="s">
        <v>139</v>
      </c>
      <c r="BA71" t="s">
        <v>139</v>
      </c>
      <c r="BB71" t="s">
        <v>139</v>
      </c>
      <c r="BC71" t="s">
        <v>139</v>
      </c>
      <c r="BD71" t="s">
        <v>139</v>
      </c>
      <c r="BE71" t="s">
        <v>139</v>
      </c>
      <c r="BF71" s="194"/>
      <c r="BG71" s="194"/>
      <c r="BH71" s="194"/>
      <c r="BI71" s="194"/>
      <c r="BJ71" s="194"/>
      <c r="BK71" s="194"/>
      <c r="BL71" s="194"/>
      <c r="BM71" s="194"/>
      <c r="BN71" s="194"/>
    </row>
    <row r="72" spans="2:66" hidden="1" x14ac:dyDescent="0.25">
      <c r="C72">
        <v>1</v>
      </c>
      <c r="D72">
        <f t="shared" si="34"/>
        <v>1</v>
      </c>
      <c r="F72" t="s">
        <v>7</v>
      </c>
      <c r="G72" t="s">
        <v>187</v>
      </c>
      <c r="I72" t="s">
        <v>139</v>
      </c>
      <c r="K72" t="s">
        <v>139</v>
      </c>
      <c r="M72" t="s">
        <v>139</v>
      </c>
      <c r="O72" t="s">
        <v>139</v>
      </c>
      <c r="Q72" t="s">
        <v>139</v>
      </c>
      <c r="R72" t="s">
        <v>139</v>
      </c>
      <c r="S72" t="s">
        <v>139</v>
      </c>
      <c r="T72" t="s">
        <v>139</v>
      </c>
      <c r="U72" t="s">
        <v>139</v>
      </c>
      <c r="V72" t="s">
        <v>139</v>
      </c>
      <c r="W72" t="s">
        <v>139</v>
      </c>
      <c r="X72" t="s">
        <v>139</v>
      </c>
      <c r="Y72" t="s">
        <v>139</v>
      </c>
      <c r="Z72" t="s">
        <v>139</v>
      </c>
      <c r="AA72" t="s">
        <v>139</v>
      </c>
      <c r="AB72" t="s">
        <v>139</v>
      </c>
      <c r="AC72" t="s">
        <v>139</v>
      </c>
      <c r="AD72" t="s">
        <v>139</v>
      </c>
      <c r="AE72" t="s">
        <v>139</v>
      </c>
      <c r="AF72" t="s">
        <v>139</v>
      </c>
      <c r="AG72" t="s">
        <v>139</v>
      </c>
      <c r="AH72" t="s">
        <v>139</v>
      </c>
      <c r="AI72" t="s">
        <v>139</v>
      </c>
      <c r="AJ72" t="s">
        <v>139</v>
      </c>
      <c r="AK72" t="s">
        <v>139</v>
      </c>
      <c r="AL72" t="s">
        <v>139</v>
      </c>
      <c r="AM72" t="s">
        <v>139</v>
      </c>
      <c r="AN72" t="s">
        <v>139</v>
      </c>
      <c r="AO72" t="s">
        <v>139</v>
      </c>
      <c r="AP72" t="s">
        <v>139</v>
      </c>
      <c r="AQ72" t="s">
        <v>139</v>
      </c>
      <c r="AR72" t="s">
        <v>139</v>
      </c>
      <c r="AS72" t="s">
        <v>139</v>
      </c>
      <c r="AT72" t="s">
        <v>139</v>
      </c>
      <c r="AU72" t="s">
        <v>139</v>
      </c>
      <c r="AV72" t="s">
        <v>139</v>
      </c>
      <c r="AW72" t="s">
        <v>139</v>
      </c>
      <c r="AX72" t="s">
        <v>139</v>
      </c>
      <c r="AY72" t="s">
        <v>139</v>
      </c>
      <c r="AZ72" t="s">
        <v>139</v>
      </c>
      <c r="BA72" t="s">
        <v>139</v>
      </c>
      <c r="BB72" t="s">
        <v>139</v>
      </c>
      <c r="BC72" t="s">
        <v>139</v>
      </c>
      <c r="BD72" t="s">
        <v>139</v>
      </c>
      <c r="BE72" t="s">
        <v>139</v>
      </c>
      <c r="BF72" s="194"/>
    </row>
    <row r="73" spans="2:66" hidden="1" x14ac:dyDescent="0.25">
      <c r="C73">
        <v>1</v>
      </c>
      <c r="D73">
        <f t="shared" si="34"/>
        <v>1</v>
      </c>
      <c r="F73" t="s">
        <v>8</v>
      </c>
      <c r="G73" t="s">
        <v>187</v>
      </c>
      <c r="I73" t="s">
        <v>139</v>
      </c>
      <c r="K73" t="s">
        <v>139</v>
      </c>
      <c r="M73" t="s">
        <v>139</v>
      </c>
      <c r="O73" t="s">
        <v>139</v>
      </c>
      <c r="Q73" t="s">
        <v>139</v>
      </c>
      <c r="R73" t="s">
        <v>139</v>
      </c>
      <c r="S73" t="s">
        <v>139</v>
      </c>
      <c r="T73" t="s">
        <v>139</v>
      </c>
      <c r="U73" t="s">
        <v>139</v>
      </c>
      <c r="V73" t="s">
        <v>139</v>
      </c>
      <c r="W73" t="s">
        <v>139</v>
      </c>
      <c r="X73" t="s">
        <v>139</v>
      </c>
      <c r="Y73" t="s">
        <v>139</v>
      </c>
      <c r="Z73" t="s">
        <v>139</v>
      </c>
      <c r="AA73" t="s">
        <v>139</v>
      </c>
      <c r="AB73" t="s">
        <v>139</v>
      </c>
      <c r="AC73" t="s">
        <v>139</v>
      </c>
      <c r="AD73" t="s">
        <v>139</v>
      </c>
      <c r="AE73" t="s">
        <v>139</v>
      </c>
      <c r="AF73" t="s">
        <v>139</v>
      </c>
      <c r="AG73" t="s">
        <v>139</v>
      </c>
      <c r="AH73" t="s">
        <v>139</v>
      </c>
      <c r="AI73" t="s">
        <v>139</v>
      </c>
      <c r="AJ73" t="s">
        <v>139</v>
      </c>
      <c r="AK73" t="s">
        <v>139</v>
      </c>
      <c r="AL73" t="s">
        <v>139</v>
      </c>
      <c r="AM73" t="s">
        <v>139</v>
      </c>
      <c r="AN73" t="s">
        <v>139</v>
      </c>
      <c r="AO73" t="s">
        <v>139</v>
      </c>
      <c r="AP73" t="s">
        <v>139</v>
      </c>
      <c r="AQ73" t="s">
        <v>139</v>
      </c>
      <c r="AR73" t="s">
        <v>139</v>
      </c>
      <c r="AS73" t="s">
        <v>139</v>
      </c>
      <c r="AT73" t="s">
        <v>139</v>
      </c>
      <c r="AU73" t="s">
        <v>139</v>
      </c>
      <c r="AV73" t="s">
        <v>139</v>
      </c>
      <c r="AW73" t="s">
        <v>139</v>
      </c>
      <c r="AX73" t="s">
        <v>139</v>
      </c>
      <c r="AY73" t="s">
        <v>139</v>
      </c>
      <c r="AZ73" t="s">
        <v>139</v>
      </c>
      <c r="BA73" t="s">
        <v>139</v>
      </c>
      <c r="BB73" t="s">
        <v>139</v>
      </c>
      <c r="BC73" t="s">
        <v>139</v>
      </c>
      <c r="BD73" t="s">
        <v>139</v>
      </c>
      <c r="BE73" s="194" t="s">
        <v>139</v>
      </c>
      <c r="BF73" s="194"/>
    </row>
    <row r="74" spans="2:66" hidden="1" x14ac:dyDescent="0.25">
      <c r="C74">
        <v>2</v>
      </c>
      <c r="D74">
        <f t="shared" si="34"/>
        <v>1</v>
      </c>
      <c r="F74" t="s">
        <v>9</v>
      </c>
      <c r="G74" t="s">
        <v>187</v>
      </c>
      <c r="I74" t="s">
        <v>139</v>
      </c>
      <c r="K74" t="s">
        <v>139</v>
      </c>
      <c r="M74" t="s">
        <v>139</v>
      </c>
      <c r="O74" t="s">
        <v>139</v>
      </c>
      <c r="Q74" t="s">
        <v>139</v>
      </c>
      <c r="R74" t="s">
        <v>139</v>
      </c>
      <c r="S74" t="s">
        <v>139</v>
      </c>
      <c r="T74" t="s">
        <v>139</v>
      </c>
      <c r="U74" t="s">
        <v>139</v>
      </c>
      <c r="V74" t="s">
        <v>139</v>
      </c>
      <c r="W74" t="s">
        <v>139</v>
      </c>
      <c r="X74" t="s">
        <v>139</v>
      </c>
      <c r="Y74" t="s">
        <v>139</v>
      </c>
      <c r="Z74" t="s">
        <v>139</v>
      </c>
      <c r="AA74" t="s">
        <v>139</v>
      </c>
      <c r="AB74" t="s">
        <v>139</v>
      </c>
      <c r="AC74" t="s">
        <v>139</v>
      </c>
      <c r="AD74" t="s">
        <v>139</v>
      </c>
      <c r="AE74" t="s">
        <v>139</v>
      </c>
      <c r="AF74" t="s">
        <v>139</v>
      </c>
      <c r="AG74" t="s">
        <v>139</v>
      </c>
      <c r="AH74" t="s">
        <v>139</v>
      </c>
      <c r="AI74" t="s">
        <v>139</v>
      </c>
      <c r="AJ74" t="s">
        <v>139</v>
      </c>
      <c r="AK74" t="s">
        <v>139</v>
      </c>
      <c r="AL74" t="s">
        <v>139</v>
      </c>
      <c r="AM74" t="s">
        <v>139</v>
      </c>
      <c r="AN74" t="s">
        <v>139</v>
      </c>
      <c r="AO74" t="s">
        <v>139</v>
      </c>
      <c r="AP74" t="s">
        <v>139</v>
      </c>
      <c r="AQ74" t="s">
        <v>139</v>
      </c>
      <c r="AR74" t="s">
        <v>139</v>
      </c>
      <c r="AS74" t="s">
        <v>139</v>
      </c>
      <c r="AT74" t="s">
        <v>139</v>
      </c>
      <c r="AU74" t="s">
        <v>139</v>
      </c>
      <c r="AV74" t="s">
        <v>139</v>
      </c>
      <c r="AW74" t="s">
        <v>139</v>
      </c>
      <c r="AX74" t="s">
        <v>139</v>
      </c>
      <c r="AY74" t="s">
        <v>139</v>
      </c>
      <c r="AZ74" t="s">
        <v>139</v>
      </c>
      <c r="BA74" t="s">
        <v>139</v>
      </c>
      <c r="BB74" t="s">
        <v>139</v>
      </c>
      <c r="BC74" t="s">
        <v>139</v>
      </c>
      <c r="BD74" t="s">
        <v>139</v>
      </c>
      <c r="BE74" t="s">
        <v>139</v>
      </c>
      <c r="BF74" s="194"/>
    </row>
    <row r="75" spans="2:66" hidden="1" x14ac:dyDescent="0.25">
      <c r="C75">
        <v>2</v>
      </c>
      <c r="D75">
        <f t="shared" si="34"/>
        <v>1</v>
      </c>
      <c r="F75" t="s">
        <v>10</v>
      </c>
      <c r="G75" t="s">
        <v>187</v>
      </c>
      <c r="I75" t="s">
        <v>139</v>
      </c>
      <c r="K75" t="s">
        <v>139</v>
      </c>
      <c r="M75" t="s">
        <v>139</v>
      </c>
      <c r="O75" t="s">
        <v>139</v>
      </c>
      <c r="Q75" t="s">
        <v>139</v>
      </c>
      <c r="R75" t="s">
        <v>139</v>
      </c>
      <c r="S75" t="s">
        <v>139</v>
      </c>
      <c r="T75" t="s">
        <v>139</v>
      </c>
      <c r="U75" t="s">
        <v>139</v>
      </c>
      <c r="V75" t="s">
        <v>139</v>
      </c>
      <c r="W75" t="s">
        <v>139</v>
      </c>
      <c r="X75" t="s">
        <v>139</v>
      </c>
      <c r="Y75" t="s">
        <v>139</v>
      </c>
      <c r="Z75" t="s">
        <v>139</v>
      </c>
      <c r="AA75" t="s">
        <v>139</v>
      </c>
      <c r="AB75" t="s">
        <v>139</v>
      </c>
      <c r="AC75" t="s">
        <v>139</v>
      </c>
      <c r="AD75" t="s">
        <v>139</v>
      </c>
      <c r="AE75" t="s">
        <v>139</v>
      </c>
      <c r="AF75" t="s">
        <v>139</v>
      </c>
      <c r="AG75" t="s">
        <v>139</v>
      </c>
      <c r="AH75" t="s">
        <v>139</v>
      </c>
      <c r="AI75" t="s">
        <v>139</v>
      </c>
      <c r="AJ75" t="s">
        <v>139</v>
      </c>
      <c r="AK75" t="s">
        <v>139</v>
      </c>
      <c r="AL75" t="s">
        <v>139</v>
      </c>
      <c r="AM75" t="s">
        <v>139</v>
      </c>
      <c r="AN75" t="s">
        <v>139</v>
      </c>
      <c r="AO75" t="s">
        <v>139</v>
      </c>
      <c r="AP75" t="s">
        <v>139</v>
      </c>
      <c r="AQ75" t="s">
        <v>139</v>
      </c>
      <c r="AR75" t="s">
        <v>139</v>
      </c>
      <c r="AS75" t="s">
        <v>139</v>
      </c>
      <c r="AT75" t="s">
        <v>139</v>
      </c>
      <c r="AU75" t="s">
        <v>139</v>
      </c>
      <c r="AV75" t="s">
        <v>139</v>
      </c>
      <c r="AW75" t="s">
        <v>139</v>
      </c>
      <c r="AX75" t="s">
        <v>139</v>
      </c>
      <c r="AY75" t="s">
        <v>139</v>
      </c>
      <c r="AZ75" t="s">
        <v>139</v>
      </c>
      <c r="BA75" t="s">
        <v>139</v>
      </c>
      <c r="BB75" t="s">
        <v>139</v>
      </c>
      <c r="BC75" t="s">
        <v>139</v>
      </c>
      <c r="BD75" t="s">
        <v>139</v>
      </c>
      <c r="BE75" t="s">
        <v>139</v>
      </c>
      <c r="BF75" s="194"/>
    </row>
    <row r="76" spans="2:66" hidden="1" x14ac:dyDescent="0.25">
      <c r="C76">
        <v>1</v>
      </c>
      <c r="D76">
        <f t="shared" si="34"/>
        <v>1</v>
      </c>
      <c r="F76" t="s">
        <v>32</v>
      </c>
      <c r="G76" t="s">
        <v>172</v>
      </c>
      <c r="I76" t="s">
        <v>139</v>
      </c>
      <c r="K76" t="s">
        <v>139</v>
      </c>
      <c r="M76" t="s">
        <v>139</v>
      </c>
      <c r="O76" t="s">
        <v>139</v>
      </c>
      <c r="Q76" t="s">
        <v>139</v>
      </c>
      <c r="R76" t="s">
        <v>139</v>
      </c>
      <c r="S76" t="s">
        <v>139</v>
      </c>
      <c r="T76" t="s">
        <v>139</v>
      </c>
      <c r="U76" t="s">
        <v>139</v>
      </c>
      <c r="V76" t="s">
        <v>139</v>
      </c>
      <c r="W76" t="s">
        <v>139</v>
      </c>
      <c r="X76" t="s">
        <v>139</v>
      </c>
      <c r="Y76" t="s">
        <v>139</v>
      </c>
      <c r="Z76" t="s">
        <v>139</v>
      </c>
      <c r="AA76" t="s">
        <v>139</v>
      </c>
      <c r="AB76" t="s">
        <v>139</v>
      </c>
      <c r="AC76" t="s">
        <v>139</v>
      </c>
      <c r="AD76" t="s">
        <v>139</v>
      </c>
      <c r="AE76" t="s">
        <v>139</v>
      </c>
      <c r="AF76" t="s">
        <v>139</v>
      </c>
      <c r="AG76" t="s">
        <v>139</v>
      </c>
      <c r="AH76" t="s">
        <v>139</v>
      </c>
      <c r="AI76" t="s">
        <v>139</v>
      </c>
      <c r="AJ76" t="s">
        <v>139</v>
      </c>
      <c r="AK76" t="s">
        <v>139</v>
      </c>
      <c r="AL76" t="s">
        <v>139</v>
      </c>
      <c r="AM76" t="s">
        <v>139</v>
      </c>
      <c r="AN76" t="s">
        <v>139</v>
      </c>
      <c r="AO76" t="s">
        <v>139</v>
      </c>
      <c r="AP76" t="s">
        <v>139</v>
      </c>
      <c r="AQ76" t="s">
        <v>139</v>
      </c>
      <c r="AR76" t="s">
        <v>139</v>
      </c>
      <c r="AS76" t="s">
        <v>139</v>
      </c>
      <c r="AT76" t="s">
        <v>139</v>
      </c>
      <c r="AU76" t="s">
        <v>139</v>
      </c>
      <c r="AV76" t="s">
        <v>139</v>
      </c>
      <c r="AW76" t="s">
        <v>139</v>
      </c>
      <c r="AX76" t="s">
        <v>139</v>
      </c>
      <c r="AY76" t="s">
        <v>139</v>
      </c>
      <c r="AZ76" t="s">
        <v>139</v>
      </c>
      <c r="BA76" t="s">
        <v>139</v>
      </c>
      <c r="BB76" t="s">
        <v>139</v>
      </c>
      <c r="BC76" t="s">
        <v>139</v>
      </c>
      <c r="BD76" t="s">
        <v>139</v>
      </c>
      <c r="BE76" t="s">
        <v>139</v>
      </c>
      <c r="BF76" s="194"/>
      <c r="BG76" s="194"/>
    </row>
    <row r="77" spans="2:66" hidden="1" x14ac:dyDescent="0.25">
      <c r="C77">
        <v>1</v>
      </c>
      <c r="D77">
        <f t="shared" si="34"/>
        <v>1</v>
      </c>
      <c r="F77" t="s">
        <v>27</v>
      </c>
      <c r="G77" t="s">
        <v>187</v>
      </c>
      <c r="I77" t="s">
        <v>139</v>
      </c>
      <c r="K77" t="s">
        <v>139</v>
      </c>
      <c r="M77" t="s">
        <v>139</v>
      </c>
      <c r="O77" t="s">
        <v>139</v>
      </c>
      <c r="Q77" t="s">
        <v>139</v>
      </c>
      <c r="R77" t="s">
        <v>139</v>
      </c>
      <c r="S77" t="s">
        <v>139</v>
      </c>
      <c r="T77" t="s">
        <v>139</v>
      </c>
      <c r="U77" t="s">
        <v>139</v>
      </c>
      <c r="V77" t="s">
        <v>139</v>
      </c>
      <c r="W77" t="s">
        <v>139</v>
      </c>
      <c r="X77" t="s">
        <v>139</v>
      </c>
      <c r="Y77" t="s">
        <v>139</v>
      </c>
      <c r="Z77" t="s">
        <v>139</v>
      </c>
      <c r="AA77" t="s">
        <v>139</v>
      </c>
      <c r="AB77" t="s">
        <v>139</v>
      </c>
      <c r="AC77" t="s">
        <v>139</v>
      </c>
      <c r="AD77" t="s">
        <v>139</v>
      </c>
      <c r="AE77" t="s">
        <v>139</v>
      </c>
      <c r="AF77" t="s">
        <v>139</v>
      </c>
      <c r="AG77" t="s">
        <v>139</v>
      </c>
      <c r="AH77" t="s">
        <v>139</v>
      </c>
      <c r="AI77" t="s">
        <v>139</v>
      </c>
      <c r="AJ77" t="s">
        <v>139</v>
      </c>
      <c r="AK77" t="s">
        <v>139</v>
      </c>
      <c r="AL77" t="s">
        <v>139</v>
      </c>
      <c r="AM77" t="s">
        <v>139</v>
      </c>
      <c r="AN77" t="s">
        <v>139</v>
      </c>
      <c r="AO77" t="s">
        <v>139</v>
      </c>
      <c r="AP77" t="s">
        <v>139</v>
      </c>
      <c r="AQ77" t="s">
        <v>139</v>
      </c>
      <c r="AR77" t="s">
        <v>139</v>
      </c>
      <c r="AS77" t="s">
        <v>139</v>
      </c>
      <c r="AT77" t="s">
        <v>139</v>
      </c>
      <c r="AU77" t="s">
        <v>139</v>
      </c>
      <c r="AV77" t="s">
        <v>139</v>
      </c>
      <c r="AW77" t="s">
        <v>139</v>
      </c>
      <c r="AX77" t="s">
        <v>139</v>
      </c>
      <c r="AY77" t="s">
        <v>139</v>
      </c>
      <c r="AZ77" t="s">
        <v>139</v>
      </c>
      <c r="BA77" t="s">
        <v>139</v>
      </c>
      <c r="BB77" t="s">
        <v>139</v>
      </c>
      <c r="BC77" t="s">
        <v>139</v>
      </c>
      <c r="BD77" t="s">
        <v>139</v>
      </c>
      <c r="BE77" s="194" t="s">
        <v>139</v>
      </c>
      <c r="BF77" s="194"/>
    </row>
    <row r="78" spans="2:66" x14ac:dyDescent="0.25">
      <c r="C78" s="305">
        <f>COUNTIF(C6:C77,"&gt;0")</f>
        <v>44</v>
      </c>
      <c r="D78" s="305"/>
      <c r="E78" s="305" t="s">
        <v>238</v>
      </c>
      <c r="F78" s="305"/>
      <c r="G78" s="305"/>
      <c r="H78" s="305"/>
      <c r="I78" s="306">
        <f t="shared" ref="I78:Q78" si="35">SUMIF($H6:$H69,"&gt;0",I$6:I$69)</f>
        <v>45731732</v>
      </c>
      <c r="J78" s="306">
        <f t="shared" si="35"/>
        <v>0.48359022150735953</v>
      </c>
      <c r="K78" s="306">
        <f t="shared" si="35"/>
        <v>46430835</v>
      </c>
      <c r="L78" s="306">
        <f t="shared" si="35"/>
        <v>0.45876874184057392</v>
      </c>
      <c r="M78" s="306">
        <f t="shared" si="35"/>
        <v>47117903</v>
      </c>
      <c r="N78" s="306">
        <f t="shared" si="35"/>
        <v>0.4644625903934525</v>
      </c>
      <c r="O78" s="306">
        <f t="shared" si="35"/>
        <v>47801423</v>
      </c>
      <c r="P78" s="306">
        <f t="shared" si="35"/>
        <v>0.44201995193222388</v>
      </c>
      <c r="Q78" s="306">
        <f t="shared" si="35"/>
        <v>48472197</v>
      </c>
      <c r="R78" s="306">
        <f t="shared" ref="R78:AK78" si="36">SUMIF($C6:$C69,"&gt;0",R6:R69)</f>
        <v>2648399</v>
      </c>
      <c r="S78" s="306">
        <f t="shared" si="36"/>
        <v>2974787</v>
      </c>
      <c r="T78" s="306">
        <f t="shared" si="36"/>
        <v>3360586</v>
      </c>
      <c r="U78" s="306">
        <f t="shared" si="36"/>
        <v>3771338</v>
      </c>
      <c r="V78" s="306">
        <f t="shared" si="36"/>
        <v>4133721</v>
      </c>
      <c r="W78" s="306">
        <f t="shared" si="36"/>
        <v>14649721</v>
      </c>
      <c r="X78" s="306">
        <f t="shared" si="36"/>
        <v>16133866</v>
      </c>
      <c r="Y78" s="306">
        <f t="shared" si="36"/>
        <v>17831444</v>
      </c>
      <c r="Z78" s="306">
        <f t="shared" si="36"/>
        <v>19580069</v>
      </c>
      <c r="AA78" s="306">
        <f t="shared" si="36"/>
        <v>21272172</v>
      </c>
      <c r="AB78" s="306">
        <f t="shared" si="36"/>
        <v>2385789</v>
      </c>
      <c r="AC78" s="306">
        <f t="shared" si="36"/>
        <v>2532628</v>
      </c>
      <c r="AD78" s="306">
        <f t="shared" si="36"/>
        <v>2686278</v>
      </c>
      <c r="AE78" s="306">
        <f t="shared" si="36"/>
        <v>2857301</v>
      </c>
      <c r="AF78" s="306">
        <f t="shared" si="36"/>
        <v>3025592</v>
      </c>
      <c r="AG78" s="306">
        <f t="shared" si="36"/>
        <v>13199823</v>
      </c>
      <c r="AH78" s="306">
        <f t="shared" si="36"/>
        <v>13904650</v>
      </c>
      <c r="AI78" s="306">
        <f t="shared" si="36"/>
        <v>14639755</v>
      </c>
      <c r="AJ78" s="306">
        <f t="shared" si="36"/>
        <v>15403754</v>
      </c>
      <c r="AK78" s="306">
        <f t="shared" si="36"/>
        <v>16224182</v>
      </c>
      <c r="AL78" s="307">
        <f t="shared" ref="AL78:AU78" si="37">SUMPRODUCT(AL6:AL69,AB6:AB69,$D6:$D69)/AB78</f>
        <v>6.7398484652247126E-2</v>
      </c>
      <c r="AM78" s="307">
        <f t="shared" si="37"/>
        <v>6.2332325118414536E-2</v>
      </c>
      <c r="AN78" s="307">
        <f t="shared" si="37"/>
        <v>6.0703969470025078E-2</v>
      </c>
      <c r="AO78" s="307">
        <f t="shared" si="37"/>
        <v>6.4600024113665305E-2</v>
      </c>
      <c r="AP78" s="307">
        <f t="shared" si="37"/>
        <v>5.9383579213588604E-2</v>
      </c>
      <c r="AQ78" s="307">
        <f t="shared" si="37"/>
        <v>5.8260005357647603E-2</v>
      </c>
      <c r="AR78" s="307">
        <f t="shared" si="37"/>
        <v>6.0377876214072243E-2</v>
      </c>
      <c r="AS78" s="307">
        <f t="shared" si="37"/>
        <v>5.2976578385362336E-2</v>
      </c>
      <c r="AT78" s="307">
        <f t="shared" si="37"/>
        <v>5.2901511293935236E-2</v>
      </c>
      <c r="AU78" s="307">
        <f t="shared" si="37"/>
        <v>5.3486052837671542E-2</v>
      </c>
      <c r="AV78" s="306">
        <f t="shared" ref="AV78:BE78" si="38">SUMIF($C6:$C69,"&gt;0",AV6:AV69)</f>
        <v>1665699</v>
      </c>
      <c r="AW78" s="306">
        <f t="shared" si="38"/>
        <v>1837240</v>
      </c>
      <c r="AX78" s="306">
        <f t="shared" si="38"/>
        <v>2019286</v>
      </c>
      <c r="AY78" s="306">
        <f t="shared" si="38"/>
        <v>2197834</v>
      </c>
      <c r="AZ78" s="306">
        <f t="shared" si="38"/>
        <v>2376048</v>
      </c>
      <c r="BA78" s="306">
        <f t="shared" si="38"/>
        <v>1374041</v>
      </c>
      <c r="BB78" s="306">
        <f t="shared" si="38"/>
        <v>1505052</v>
      </c>
      <c r="BC78" s="306">
        <f t="shared" si="38"/>
        <v>1622625</v>
      </c>
      <c r="BD78" s="306">
        <f t="shared" si="38"/>
        <v>1730850</v>
      </c>
      <c r="BE78" s="306">
        <f t="shared" si="38"/>
        <v>1842883</v>
      </c>
      <c r="BF78" s="309" t="s">
        <v>556</v>
      </c>
      <c r="BG78" s="310">
        <f>BG70/$Q$78</f>
        <v>3.9891527920634584E-3</v>
      </c>
      <c r="BH78" s="310">
        <f>BH70/$Q$78</f>
        <v>5.6130548404892809E-2</v>
      </c>
      <c r="BI78" s="310">
        <f>BI70/$Q$78</f>
        <v>0.27722873795054098</v>
      </c>
      <c r="BJ78" s="310">
        <f>BJ70/$Q$78</f>
        <v>0.66265156085250276</v>
      </c>
      <c r="BK78" s="310">
        <f>BK70/SUM($BK70:$BN70)</f>
        <v>1.9456324297605896E-3</v>
      </c>
      <c r="BL78" s="310">
        <f>BL70/SUM($BK70:$BN70)</f>
        <v>2.8782541545136858E-2</v>
      </c>
      <c r="BM78" s="310">
        <f>BM70/SUM($BK70:$BN70)</f>
        <v>0.16567344300712933</v>
      </c>
      <c r="BN78" s="310">
        <f>BN70/SUM($BK70:$BN70)</f>
        <v>0.80359838301797326</v>
      </c>
    </row>
    <row r="79" spans="2:66" x14ac:dyDescent="0.25">
      <c r="BF79" s="194"/>
      <c r="BJ79" s="311" t="s">
        <v>557</v>
      </c>
      <c r="BK79" s="312">
        <f>BK70/BG70</f>
        <v>0.63479000201866542</v>
      </c>
      <c r="BL79" s="312">
        <f>BL70/BH70</f>
        <v>0.66739017250141552</v>
      </c>
      <c r="BM79" s="312">
        <f>BM70/BI70</f>
        <v>0.77779402455794622</v>
      </c>
      <c r="BN79" s="312">
        <f>BN70/BJ70</f>
        <v>1.5783516963491249</v>
      </c>
    </row>
    <row r="80" spans="2:66" s="190" customFormat="1" ht="15.75" thickBot="1" x14ac:dyDescent="0.3">
      <c r="E80" s="191">
        <f>AVERAGE(I80:O80)</f>
        <v>1.4529762766471067E-2</v>
      </c>
      <c r="F80" s="186" t="s">
        <v>239</v>
      </c>
      <c r="G80" s="192" t="s">
        <v>243</v>
      </c>
      <c r="H80" s="192"/>
      <c r="I80" s="191">
        <f>SUMPRODUCT($H$6:$H$69,J$6:J$69,I$6:I$69)/SUMPRODUCT($H$6:$H$69,I$6:I$69)</f>
        <v>1.5151420605466979E-2</v>
      </c>
      <c r="J80" s="191"/>
      <c r="K80" s="191">
        <f>SUMPRODUCT($H$6:$H$69,L$6:L$69,K$6:K$69)/SUMPRODUCT($H$6:$H$69,K$6:K$69)</f>
        <v>1.466940029335363E-2</v>
      </c>
      <c r="L80" s="191"/>
      <c r="M80" s="191">
        <f>SUMPRODUCT($H$6:$H$69,N$6:N$69,M$6:M$69)/SUMPRODUCT($H$6:$H$69,M$6:M$69)</f>
        <v>1.4382464125786028E-2</v>
      </c>
      <c r="N80" s="191"/>
      <c r="O80" s="191">
        <f>SUMPRODUCT($H$6:$H$69,P$6:P$69,O$6:O$69)/SUMPRODUCT($H$6:$H$69,O$6:O$69)</f>
        <v>1.391576604127763E-2</v>
      </c>
      <c r="P80" s="191"/>
      <c r="Q80" s="191"/>
    </row>
    <row r="81" spans="3:6" x14ac:dyDescent="0.25">
      <c r="C81" s="439" t="s">
        <v>240</v>
      </c>
      <c r="D81" s="440"/>
      <c r="E81" s="440"/>
      <c r="F81" s="441"/>
    </row>
    <row r="82" spans="3:6" x14ac:dyDescent="0.25">
      <c r="C82" s="202" t="s">
        <v>140</v>
      </c>
      <c r="D82" s="201"/>
      <c r="E82" s="201" t="s">
        <v>241</v>
      </c>
      <c r="F82" s="203" t="s">
        <v>242</v>
      </c>
    </row>
    <row r="83" spans="3:6" x14ac:dyDescent="0.25">
      <c r="C83" s="193">
        <v>2016</v>
      </c>
      <c r="D83" s="194"/>
      <c r="E83" s="195">
        <f t="shared" ref="E83:E103" si="39">-0.0004*$C83+0.8192</f>
        <v>1.2800000000000034E-2</v>
      </c>
      <c r="F83" s="196">
        <f>$Q$78</f>
        <v>48472197</v>
      </c>
    </row>
    <row r="84" spans="3:6" x14ac:dyDescent="0.25">
      <c r="C84" s="193">
        <v>2017</v>
      </c>
      <c r="D84" s="194"/>
      <c r="E84" s="195">
        <f t="shared" si="39"/>
        <v>1.2399999999999967E-2</v>
      </c>
      <c r="F84" s="196">
        <f t="shared" ref="F84:F105" si="40">CEILING($F83*($E83+1),1)</f>
        <v>49092642</v>
      </c>
    </row>
    <row r="85" spans="3:6" x14ac:dyDescent="0.25">
      <c r="C85" s="221">
        <v>2018</v>
      </c>
      <c r="D85" s="222"/>
      <c r="E85" s="223">
        <f t="shared" si="39"/>
        <v>1.2000000000000011E-2</v>
      </c>
      <c r="F85" s="224">
        <f t="shared" si="40"/>
        <v>49701391</v>
      </c>
    </row>
    <row r="86" spans="3:6" x14ac:dyDescent="0.25">
      <c r="C86" s="193">
        <v>2019</v>
      </c>
      <c r="D86" s="194"/>
      <c r="E86" s="195">
        <f t="shared" si="39"/>
        <v>1.1600000000000055E-2</v>
      </c>
      <c r="F86" s="196">
        <f t="shared" si="40"/>
        <v>50297808</v>
      </c>
    </row>
    <row r="87" spans="3:6" x14ac:dyDescent="0.25">
      <c r="C87" s="193">
        <v>2020</v>
      </c>
      <c r="D87" s="194"/>
      <c r="E87" s="195">
        <f t="shared" si="39"/>
        <v>1.1199999999999988E-2</v>
      </c>
      <c r="F87" s="196">
        <f t="shared" si="40"/>
        <v>50881263</v>
      </c>
    </row>
    <row r="88" spans="3:6" x14ac:dyDescent="0.25">
      <c r="C88" s="193">
        <v>2021</v>
      </c>
      <c r="D88" s="194"/>
      <c r="E88" s="195">
        <f t="shared" si="39"/>
        <v>1.0800000000000032E-2</v>
      </c>
      <c r="F88" s="196">
        <f t="shared" si="40"/>
        <v>51451134</v>
      </c>
    </row>
    <row r="89" spans="3:6" x14ac:dyDescent="0.25">
      <c r="C89" s="193">
        <v>2022</v>
      </c>
      <c r="D89" s="194"/>
      <c r="E89" s="195">
        <f t="shared" si="39"/>
        <v>1.0399999999999965E-2</v>
      </c>
      <c r="F89" s="196">
        <f t="shared" si="40"/>
        <v>52006807</v>
      </c>
    </row>
    <row r="90" spans="3:6" x14ac:dyDescent="0.25">
      <c r="C90" s="193">
        <v>2023</v>
      </c>
      <c r="D90" s="194"/>
      <c r="E90" s="195">
        <f t="shared" si="39"/>
        <v>1.0000000000000009E-2</v>
      </c>
      <c r="F90" s="196">
        <f t="shared" si="40"/>
        <v>52547678</v>
      </c>
    </row>
    <row r="91" spans="3:6" x14ac:dyDescent="0.25">
      <c r="C91" s="193">
        <v>2024</v>
      </c>
      <c r="D91" s="194"/>
      <c r="E91" s="195">
        <f t="shared" si="39"/>
        <v>9.6000000000000529E-3</v>
      </c>
      <c r="F91" s="196">
        <f t="shared" si="40"/>
        <v>53073155</v>
      </c>
    </row>
    <row r="92" spans="3:6" x14ac:dyDescent="0.25">
      <c r="C92" s="193">
        <v>2025</v>
      </c>
      <c r="D92" s="194"/>
      <c r="E92" s="195">
        <f t="shared" si="39"/>
        <v>9.199999999999986E-3</v>
      </c>
      <c r="F92" s="196">
        <f t="shared" si="40"/>
        <v>53582658</v>
      </c>
    </row>
    <row r="93" spans="3:6" x14ac:dyDescent="0.25">
      <c r="C93" s="193">
        <v>2026</v>
      </c>
      <c r="D93" s="194"/>
      <c r="E93" s="195">
        <f t="shared" si="39"/>
        <v>8.80000000000003E-3</v>
      </c>
      <c r="F93" s="196">
        <f t="shared" si="40"/>
        <v>54075619</v>
      </c>
    </row>
    <row r="94" spans="3:6" x14ac:dyDescent="0.25">
      <c r="C94" s="193">
        <v>2027</v>
      </c>
      <c r="D94" s="194"/>
      <c r="E94" s="195">
        <f t="shared" si="39"/>
        <v>8.3999999999999631E-3</v>
      </c>
      <c r="F94" s="196">
        <f t="shared" si="40"/>
        <v>54551485</v>
      </c>
    </row>
    <row r="95" spans="3:6" x14ac:dyDescent="0.25">
      <c r="C95" s="193">
        <v>2028</v>
      </c>
      <c r="D95" s="194"/>
      <c r="E95" s="195">
        <f t="shared" si="39"/>
        <v>8.0000000000000071E-3</v>
      </c>
      <c r="F95" s="196">
        <f t="shared" si="40"/>
        <v>55009718</v>
      </c>
    </row>
    <row r="96" spans="3:6" x14ac:dyDescent="0.25">
      <c r="C96" s="193">
        <v>2029</v>
      </c>
      <c r="D96" s="194"/>
      <c r="E96" s="195">
        <f t="shared" si="39"/>
        <v>7.6000000000000512E-3</v>
      </c>
      <c r="F96" s="196">
        <f t="shared" si="40"/>
        <v>55449796</v>
      </c>
    </row>
    <row r="97" spans="3:17" x14ac:dyDescent="0.25">
      <c r="C97" s="193">
        <v>2030</v>
      </c>
      <c r="D97" s="194"/>
      <c r="E97" s="195">
        <f t="shared" si="39"/>
        <v>7.1999999999999842E-3</v>
      </c>
      <c r="F97" s="196">
        <f t="shared" si="40"/>
        <v>55871215</v>
      </c>
      <c r="I97" s="214" t="s">
        <v>479</v>
      </c>
    </row>
    <row r="98" spans="3:17" x14ac:dyDescent="0.25">
      <c r="C98" s="193">
        <v>2031</v>
      </c>
      <c r="D98" s="194"/>
      <c r="E98" s="195">
        <f t="shared" si="39"/>
        <v>6.8000000000000282E-3</v>
      </c>
      <c r="F98" s="196">
        <f t="shared" si="40"/>
        <v>56273488</v>
      </c>
      <c r="I98" s="214" t="s">
        <v>481</v>
      </c>
      <c r="K98">
        <v>1.25</v>
      </c>
      <c r="M98">
        <v>2</v>
      </c>
      <c r="O98">
        <v>4</v>
      </c>
    </row>
    <row r="99" spans="3:17" x14ac:dyDescent="0.25">
      <c r="C99" s="193">
        <v>2032</v>
      </c>
      <c r="D99" s="194"/>
      <c r="E99" s="195">
        <f t="shared" si="39"/>
        <v>6.3999999999999613E-3</v>
      </c>
      <c r="F99" s="196">
        <f t="shared" si="40"/>
        <v>56656148</v>
      </c>
      <c r="I99" s="214" t="s">
        <v>480</v>
      </c>
      <c r="K99">
        <v>4.5000000000000005E-3</v>
      </c>
      <c r="M99">
        <v>6.6699999999999995E-2</v>
      </c>
      <c r="O99">
        <v>0.33200000000000002</v>
      </c>
      <c r="Q99">
        <v>0.5968</v>
      </c>
    </row>
    <row r="100" spans="3:17" x14ac:dyDescent="0.25">
      <c r="C100" s="193">
        <v>2033</v>
      </c>
      <c r="D100" s="194"/>
      <c r="E100" s="195">
        <f t="shared" si="39"/>
        <v>6.0000000000000053E-3</v>
      </c>
      <c r="F100" s="196">
        <f t="shared" si="40"/>
        <v>57018748</v>
      </c>
      <c r="K100">
        <f>K99</f>
        <v>4.5000000000000005E-3</v>
      </c>
      <c r="M100">
        <f>M99+K99</f>
        <v>7.1199999999999999E-2</v>
      </c>
      <c r="O100">
        <f>O99+M99+K99</f>
        <v>0.4032</v>
      </c>
      <c r="Q100">
        <f>1</f>
        <v>1</v>
      </c>
    </row>
    <row r="101" spans="3:17" x14ac:dyDescent="0.25">
      <c r="C101" s="193">
        <v>2034</v>
      </c>
      <c r="D101" s="194"/>
      <c r="E101" s="195">
        <f t="shared" si="39"/>
        <v>5.6000000000000494E-3</v>
      </c>
      <c r="F101" s="196">
        <f t="shared" si="40"/>
        <v>57360861</v>
      </c>
    </row>
    <row r="102" spans="3:17" x14ac:dyDescent="0.25">
      <c r="C102" s="193">
        <v>2035</v>
      </c>
      <c r="D102" s="194"/>
      <c r="E102" s="195">
        <f t="shared" si="39"/>
        <v>5.1999999999999824E-3</v>
      </c>
      <c r="F102" s="196">
        <f t="shared" si="40"/>
        <v>57682082</v>
      </c>
    </row>
    <row r="103" spans="3:17" x14ac:dyDescent="0.25">
      <c r="C103" s="193">
        <v>2036</v>
      </c>
      <c r="D103" s="194"/>
      <c r="E103" s="195">
        <f t="shared" si="39"/>
        <v>4.8000000000000265E-3</v>
      </c>
      <c r="F103" s="196">
        <f t="shared" si="40"/>
        <v>57982029</v>
      </c>
    </row>
    <row r="104" spans="3:17" x14ac:dyDescent="0.25">
      <c r="C104" s="193">
        <v>2037</v>
      </c>
      <c r="D104" s="194"/>
      <c r="E104" s="195">
        <f>-0.0004*$C104+0.8192</f>
        <v>4.3999999999999595E-3</v>
      </c>
      <c r="F104" s="196">
        <f t="shared" si="40"/>
        <v>58260343</v>
      </c>
    </row>
    <row r="105" spans="3:17" ht="15.75" thickBot="1" x14ac:dyDescent="0.3">
      <c r="C105" s="197">
        <v>2038</v>
      </c>
      <c r="D105" s="198"/>
      <c r="E105" s="199">
        <f>-0.0004*$C105+0.8192</f>
        <v>4.0000000000000036E-3</v>
      </c>
      <c r="F105" s="200">
        <f t="shared" si="40"/>
        <v>58516689</v>
      </c>
    </row>
    <row r="107" spans="3:17" x14ac:dyDescent="0.25">
      <c r="D107" s="214"/>
      <c r="E107" s="215" t="s">
        <v>483</v>
      </c>
      <c r="F107" s="230">
        <v>263991379</v>
      </c>
    </row>
    <row r="108" spans="3:17" x14ac:dyDescent="0.25">
      <c r="E108" s="215" t="s">
        <v>490</v>
      </c>
      <c r="F108" s="214">
        <f>(0.3205*118.33+0.4069*145.66)/263.991</f>
        <v>0.36817095658564114</v>
      </c>
    </row>
    <row r="109" spans="3:17" x14ac:dyDescent="0.25">
      <c r="E109" s="239" t="s">
        <v>493</v>
      </c>
      <c r="F109" s="238">
        <f>932.256*1000000000*Parameters!$C$6</f>
        <v>1.2406767695712E+16</v>
      </c>
    </row>
  </sheetData>
  <autoFilter ref="B5:G69"/>
  <sortState ref="B6:BN69">
    <sortCondition ref="F6:F69"/>
    <sortCondition ref="E6:E69"/>
  </sortState>
  <mergeCells count="1">
    <mergeCell ref="C81:F81"/>
  </mergeCells>
  <pageMargins left="0.7" right="0.7" top="0.75" bottom="0.75" header="0.3" footer="0.3"/>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232"/>
  <sheetViews>
    <sheetView workbookViewId="0"/>
  </sheetViews>
  <sheetFormatPr defaultColWidth="9.140625" defaultRowHeight="15" x14ac:dyDescent="0.25"/>
  <cols>
    <col min="1" max="10" width="9.140625" style="276"/>
    <col min="11" max="11" width="20.42578125" style="276" bestFit="1" customWidth="1"/>
    <col min="12" max="16384" width="9.140625" style="276"/>
  </cols>
  <sheetData>
    <row r="1" spans="2:10" x14ac:dyDescent="0.25">
      <c r="E1" s="333"/>
      <c r="F1" s="334" t="s">
        <v>614</v>
      </c>
      <c r="J1" s="335"/>
    </row>
    <row r="2" spans="2:10" x14ac:dyDescent="0.25">
      <c r="F2" s="280" t="s">
        <v>698</v>
      </c>
      <c r="J2" s="335"/>
    </row>
    <row r="3" spans="2:10" x14ac:dyDescent="0.25">
      <c r="F3" s="280" t="s">
        <v>699</v>
      </c>
      <c r="J3" s="335"/>
    </row>
    <row r="4" spans="2:10" x14ac:dyDescent="0.25">
      <c r="F4" s="280"/>
      <c r="J4" s="335"/>
    </row>
    <row r="5" spans="2:10" x14ac:dyDescent="0.25">
      <c r="B5" s="276" t="s">
        <v>615</v>
      </c>
      <c r="F5" s="280"/>
      <c r="J5" s="335"/>
    </row>
    <row r="6" spans="2:10" x14ac:dyDescent="0.25">
      <c r="C6" s="276" t="s">
        <v>616</v>
      </c>
      <c r="E6" s="336">
        <v>10000</v>
      </c>
      <c r="F6" s="280"/>
      <c r="J6" s="335"/>
    </row>
    <row r="7" spans="2:10" x14ac:dyDescent="0.25">
      <c r="C7" s="276" t="s">
        <v>617</v>
      </c>
      <c r="F7" s="280"/>
      <c r="J7" s="335"/>
    </row>
    <row r="8" spans="2:10" x14ac:dyDescent="0.25">
      <c r="C8" s="276" t="s">
        <v>618</v>
      </c>
      <c r="F8" s="280"/>
      <c r="J8" s="335"/>
    </row>
    <row r="9" spans="2:10" x14ac:dyDescent="0.25">
      <c r="C9" s="276" t="s">
        <v>619</v>
      </c>
      <c r="F9" s="280"/>
      <c r="J9" s="335"/>
    </row>
    <row r="10" spans="2:10" x14ac:dyDescent="0.25">
      <c r="C10" s="276" t="s">
        <v>620</v>
      </c>
      <c r="E10" s="337">
        <v>0.95</v>
      </c>
      <c r="F10" s="280"/>
      <c r="J10" s="335"/>
    </row>
    <row r="11" spans="2:10" x14ac:dyDescent="0.25">
      <c r="F11" s="280"/>
      <c r="J11" s="335"/>
    </row>
    <row r="12" spans="2:10" x14ac:dyDescent="0.25">
      <c r="B12" s="276" t="s">
        <v>621</v>
      </c>
      <c r="F12" s="280"/>
      <c r="J12" s="335"/>
    </row>
    <row r="13" spans="2:10" x14ac:dyDescent="0.25">
      <c r="C13" s="276" t="s">
        <v>622</v>
      </c>
      <c r="E13" s="338">
        <v>23.646083603167192</v>
      </c>
      <c r="F13" s="280"/>
      <c r="J13" s="335"/>
    </row>
    <row r="14" spans="2:10" x14ac:dyDescent="0.25">
      <c r="C14" s="276" t="s">
        <v>623</v>
      </c>
      <c r="E14" s="336">
        <v>422.9030129395544</v>
      </c>
      <c r="F14" s="280"/>
      <c r="J14" s="335"/>
    </row>
    <row r="15" spans="2:10" x14ac:dyDescent="0.25">
      <c r="C15" s="276" t="s">
        <v>624</v>
      </c>
      <c r="E15" s="336">
        <v>2960.3210905768806</v>
      </c>
      <c r="F15" s="280"/>
      <c r="J15" s="335"/>
    </row>
    <row r="16" spans="2:10" x14ac:dyDescent="0.25">
      <c r="F16" s="280"/>
      <c r="J16" s="335"/>
    </row>
    <row r="17" spans="1:10" x14ac:dyDescent="0.25">
      <c r="B17" s="276" t="s">
        <v>625</v>
      </c>
      <c r="F17" s="280"/>
      <c r="J17" s="335"/>
    </row>
    <row r="18" spans="1:10" x14ac:dyDescent="0.25">
      <c r="C18" s="276" t="s">
        <v>626</v>
      </c>
      <c r="E18" s="276">
        <v>7</v>
      </c>
      <c r="F18" s="280"/>
      <c r="J18" s="335"/>
    </row>
    <row r="19" spans="1:10" x14ac:dyDescent="0.25">
      <c r="C19" s="276" t="s">
        <v>627</v>
      </c>
      <c r="E19" s="276">
        <v>0</v>
      </c>
      <c r="F19" s="280"/>
      <c r="J19" s="335"/>
    </row>
    <row r="20" spans="1:10" x14ac:dyDescent="0.25">
      <c r="C20" s="276" t="s">
        <v>628</v>
      </c>
      <c r="E20" s="276">
        <v>0</v>
      </c>
      <c r="F20" s="280"/>
      <c r="J20" s="335"/>
    </row>
    <row r="21" spans="1:10" x14ac:dyDescent="0.25">
      <c r="C21" s="276" t="s">
        <v>629</v>
      </c>
      <c r="E21" s="276">
        <v>0</v>
      </c>
      <c r="F21" s="280"/>
      <c r="J21" s="335"/>
    </row>
    <row r="22" spans="1:10" x14ac:dyDescent="0.25">
      <c r="C22" s="276" t="s">
        <v>630</v>
      </c>
      <c r="E22" s="276">
        <v>2</v>
      </c>
      <c r="F22" s="280"/>
      <c r="J22" s="335"/>
    </row>
    <row r="23" spans="1:10" x14ac:dyDescent="0.25">
      <c r="F23" s="280"/>
      <c r="J23" s="335"/>
    </row>
    <row r="24" spans="1:10" x14ac:dyDescent="0.25">
      <c r="F24" s="334" t="s">
        <v>630</v>
      </c>
      <c r="J24" s="335"/>
    </row>
    <row r="25" spans="1:10" x14ac:dyDescent="0.25">
      <c r="F25" s="280"/>
      <c r="J25" s="335"/>
    </row>
    <row r="26" spans="1:10" x14ac:dyDescent="0.25">
      <c r="F26" s="280"/>
      <c r="J26" s="335"/>
    </row>
    <row r="27" spans="1:10" x14ac:dyDescent="0.25">
      <c r="A27" s="339" t="s">
        <v>700</v>
      </c>
      <c r="F27" s="280"/>
      <c r="J27" s="335"/>
    </row>
    <row r="28" spans="1:10" x14ac:dyDescent="0.25">
      <c r="F28" s="280"/>
      <c r="J28" s="335"/>
    </row>
    <row r="29" spans="1:10" x14ac:dyDescent="0.25">
      <c r="A29" s="339" t="s">
        <v>631</v>
      </c>
      <c r="B29" s="339"/>
      <c r="C29" s="339"/>
      <c r="D29" s="339"/>
      <c r="E29" s="339"/>
      <c r="F29" s="334"/>
      <c r="G29" s="339"/>
      <c r="H29" s="339"/>
      <c r="I29" s="339"/>
      <c r="J29" s="340" t="s">
        <v>701</v>
      </c>
    </row>
    <row r="30" spans="1:10" x14ac:dyDescent="0.25">
      <c r="F30" s="280"/>
      <c r="J30" s="335"/>
    </row>
    <row r="31" spans="1:10" x14ac:dyDescent="0.25">
      <c r="B31" s="276" t="s">
        <v>632</v>
      </c>
      <c r="F31" s="280"/>
      <c r="J31" s="335"/>
    </row>
    <row r="32" spans="1:10" x14ac:dyDescent="0.25">
      <c r="C32" s="276" t="s">
        <v>702</v>
      </c>
      <c r="F32" s="280"/>
      <c r="J32" s="335"/>
    </row>
    <row r="33" spans="3:10" x14ac:dyDescent="0.25">
      <c r="C33" s="276" t="s">
        <v>633</v>
      </c>
      <c r="F33" s="280"/>
      <c r="J33" s="335"/>
    </row>
    <row r="34" spans="3:10" x14ac:dyDescent="0.25">
      <c r="C34" s="276" t="s">
        <v>703</v>
      </c>
      <c r="F34" s="280"/>
      <c r="J34" s="335"/>
    </row>
    <row r="35" spans="3:10" x14ac:dyDescent="0.25">
      <c r="C35" s="276" t="s">
        <v>704</v>
      </c>
      <c r="F35" s="280"/>
      <c r="J35" s="335"/>
    </row>
    <row r="36" spans="3:10" x14ac:dyDescent="0.25">
      <c r="C36" s="276" t="s">
        <v>705</v>
      </c>
      <c r="F36" s="280"/>
      <c r="J36" s="335"/>
    </row>
    <row r="37" spans="3:10" x14ac:dyDescent="0.25">
      <c r="F37" s="280"/>
      <c r="J37" s="335"/>
    </row>
    <row r="38" spans="3:10" x14ac:dyDescent="0.25">
      <c r="F38" s="280"/>
      <c r="J38" s="335"/>
    </row>
    <row r="39" spans="3:10" x14ac:dyDescent="0.25">
      <c r="F39" s="280"/>
      <c r="J39" s="335"/>
    </row>
    <row r="40" spans="3:10" x14ac:dyDescent="0.25">
      <c r="F40" s="280"/>
      <c r="J40" s="335"/>
    </row>
    <row r="41" spans="3:10" x14ac:dyDescent="0.25">
      <c r="F41" s="280"/>
      <c r="J41" s="335"/>
    </row>
    <row r="42" spans="3:10" x14ac:dyDescent="0.25">
      <c r="F42" s="280"/>
      <c r="J42" s="335"/>
    </row>
    <row r="43" spans="3:10" x14ac:dyDescent="0.25">
      <c r="F43" s="280"/>
      <c r="J43" s="335"/>
    </row>
    <row r="44" spans="3:10" x14ac:dyDescent="0.25">
      <c r="F44" s="280"/>
      <c r="J44" s="335"/>
    </row>
    <row r="45" spans="3:10" x14ac:dyDescent="0.25">
      <c r="F45" s="280"/>
      <c r="J45" s="335"/>
    </row>
    <row r="46" spans="3:10" x14ac:dyDescent="0.25">
      <c r="F46" s="280"/>
      <c r="J46" s="335"/>
    </row>
    <row r="47" spans="3:10" x14ac:dyDescent="0.25">
      <c r="F47" s="280"/>
      <c r="J47" s="335"/>
    </row>
    <row r="48" spans="3:10" x14ac:dyDescent="0.25">
      <c r="F48" s="280"/>
      <c r="J48" s="335"/>
    </row>
    <row r="49" spans="2:10" x14ac:dyDescent="0.25">
      <c r="F49" s="280"/>
      <c r="J49" s="335"/>
    </row>
    <row r="50" spans="2:10" x14ac:dyDescent="0.25">
      <c r="F50" s="280"/>
      <c r="J50" s="335"/>
    </row>
    <row r="51" spans="2:10" x14ac:dyDescent="0.25">
      <c r="F51" s="280"/>
      <c r="J51" s="335"/>
    </row>
    <row r="52" spans="2:10" x14ac:dyDescent="0.25">
      <c r="F52" s="280"/>
      <c r="J52" s="335"/>
    </row>
    <row r="53" spans="2:10" x14ac:dyDescent="0.25">
      <c r="F53" s="280"/>
      <c r="J53" s="335"/>
    </row>
    <row r="54" spans="2:10" x14ac:dyDescent="0.25">
      <c r="F54" s="280"/>
      <c r="J54" s="335"/>
    </row>
    <row r="55" spans="2:10" x14ac:dyDescent="0.25">
      <c r="F55" s="280"/>
      <c r="J55" s="335"/>
    </row>
    <row r="56" spans="2:10" x14ac:dyDescent="0.25">
      <c r="B56" s="276" t="s">
        <v>634</v>
      </c>
      <c r="E56" s="341" t="s">
        <v>635</v>
      </c>
      <c r="F56" s="280"/>
      <c r="J56" s="335"/>
    </row>
    <row r="57" spans="2:10" x14ac:dyDescent="0.25">
      <c r="C57" s="276" t="s">
        <v>636</v>
      </c>
      <c r="E57" s="336">
        <v>6037</v>
      </c>
      <c r="F57" s="280"/>
      <c r="J57" s="335"/>
    </row>
    <row r="58" spans="2:10" x14ac:dyDescent="0.25">
      <c r="C58" s="276" t="s">
        <v>637</v>
      </c>
      <c r="E58" s="342">
        <v>0.10720351386913074</v>
      </c>
      <c r="F58" s="280"/>
      <c r="J58" s="335"/>
    </row>
    <row r="59" spans="2:10" x14ac:dyDescent="0.25">
      <c r="C59" s="276" t="s">
        <v>638</v>
      </c>
      <c r="E59" s="342">
        <v>0.30913027944982946</v>
      </c>
      <c r="F59" s="280"/>
      <c r="J59" s="335"/>
    </row>
    <row r="60" spans="2:10" x14ac:dyDescent="0.25">
      <c r="C60" s="276" t="s">
        <v>639</v>
      </c>
      <c r="E60" s="342">
        <v>0.31670545125898952</v>
      </c>
      <c r="F60" s="280"/>
      <c r="J60" s="335"/>
    </row>
    <row r="61" spans="2:10" x14ac:dyDescent="0.25">
      <c r="C61" s="276" t="s">
        <v>640</v>
      </c>
      <c r="E61" s="343" t="s">
        <v>641</v>
      </c>
      <c r="F61" s="280"/>
      <c r="J61" s="335"/>
    </row>
    <row r="62" spans="2:10" x14ac:dyDescent="0.25">
      <c r="C62" s="276" t="s">
        <v>642</v>
      </c>
      <c r="E62" s="342">
        <v>0.19480523252829859</v>
      </c>
      <c r="F62" s="280"/>
      <c r="J62" s="335"/>
    </row>
    <row r="63" spans="2:10" x14ac:dyDescent="0.25">
      <c r="C63" s="276" t="s">
        <v>643</v>
      </c>
      <c r="E63" s="342">
        <v>3.7949078620404489E-2</v>
      </c>
      <c r="F63" s="280"/>
      <c r="J63" s="335"/>
    </row>
    <row r="64" spans="2:10" x14ac:dyDescent="0.25">
      <c r="C64" s="276" t="s">
        <v>644</v>
      </c>
      <c r="E64" s="344">
        <v>-0.15499957200198028</v>
      </c>
      <c r="F64" s="280"/>
      <c r="J64" s="335"/>
    </row>
    <row r="65" spans="1:11" x14ac:dyDescent="0.25">
      <c r="C65" s="276" t="s">
        <v>645</v>
      </c>
      <c r="E65" s="345">
        <v>2.5204105011919582</v>
      </c>
      <c r="F65" s="280"/>
      <c r="J65" s="335"/>
    </row>
    <row r="66" spans="1:11" x14ac:dyDescent="0.25">
      <c r="C66" s="276" t="s">
        <v>646</v>
      </c>
      <c r="E66" s="344">
        <v>0.63017195492787259</v>
      </c>
      <c r="F66" s="280"/>
      <c r="J66" s="335"/>
    </row>
    <row r="67" spans="1:11" x14ac:dyDescent="0.25">
      <c r="C67" s="276" t="s">
        <v>647</v>
      </c>
      <c r="E67" s="342">
        <v>-0.24576729190433599</v>
      </c>
      <c r="F67" s="280"/>
      <c r="J67" s="335"/>
    </row>
    <row r="68" spans="1:11" x14ac:dyDescent="0.25">
      <c r="C68" s="276" t="s">
        <v>648</v>
      </c>
      <c r="E68" s="342">
        <v>0.92568880753924954</v>
      </c>
      <c r="F68" s="280"/>
      <c r="J68" s="335"/>
    </row>
    <row r="69" spans="1:11" x14ac:dyDescent="0.25">
      <c r="C69" s="276" t="s">
        <v>649</v>
      </c>
      <c r="E69" s="342">
        <v>1.1714560994435854</v>
      </c>
      <c r="F69" s="280"/>
      <c r="J69" s="335"/>
    </row>
    <row r="70" spans="1:11" x14ac:dyDescent="0.25">
      <c r="C70" s="276" t="s">
        <v>650</v>
      </c>
      <c r="E70" s="342">
        <v>2.5072060670755145E-3</v>
      </c>
      <c r="F70" s="280"/>
      <c r="J70" s="335"/>
    </row>
    <row r="71" spans="1:11" x14ac:dyDescent="0.25">
      <c r="C71" s="276" t="s">
        <v>651</v>
      </c>
      <c r="E71" s="346">
        <v>3963</v>
      </c>
      <c r="F71" s="280"/>
      <c r="J71" s="335"/>
    </row>
    <row r="72" spans="1:11" x14ac:dyDescent="0.25">
      <c r="F72" s="280"/>
      <c r="J72" s="335"/>
    </row>
    <row r="73" spans="1:11" x14ac:dyDescent="0.25">
      <c r="A73" s="339" t="s">
        <v>652</v>
      </c>
      <c r="B73" s="339"/>
      <c r="C73" s="339"/>
      <c r="D73" s="339"/>
      <c r="E73" s="339"/>
      <c r="F73" s="334"/>
      <c r="G73" s="339"/>
      <c r="H73" s="339"/>
      <c r="I73" s="339"/>
      <c r="J73" s="340" t="s">
        <v>701</v>
      </c>
    </row>
    <row r="74" spans="1:11" x14ac:dyDescent="0.25">
      <c r="F74" s="280"/>
      <c r="J74" s="335"/>
    </row>
    <row r="75" spans="1:11" x14ac:dyDescent="0.25">
      <c r="B75" s="276" t="s">
        <v>653</v>
      </c>
      <c r="E75" s="341" t="s">
        <v>635</v>
      </c>
      <c r="F75" s="280"/>
      <c r="J75" s="335"/>
      <c r="K75" s="341"/>
    </row>
    <row r="76" spans="1:11" x14ac:dyDescent="0.25">
      <c r="C76" s="276" t="s">
        <v>654</v>
      </c>
      <c r="E76" s="342">
        <v>-0.24576729190433599</v>
      </c>
      <c r="F76" s="280"/>
      <c r="J76" s="335"/>
    </row>
    <row r="77" spans="1:11" x14ac:dyDescent="0.25">
      <c r="C77" s="276" t="s">
        <v>655</v>
      </c>
      <c r="E77" s="342">
        <v>3.9697563882054997E-2</v>
      </c>
      <c r="F77" s="280"/>
      <c r="J77" s="335"/>
      <c r="K77" s="348"/>
    </row>
    <row r="78" spans="1:11" x14ac:dyDescent="0.25">
      <c r="C78" s="276" t="s">
        <v>656</v>
      </c>
      <c r="E78" s="342">
        <v>0.138995604832721</v>
      </c>
      <c r="F78" s="280"/>
      <c r="J78" s="335"/>
    </row>
    <row r="79" spans="1:11" x14ac:dyDescent="0.25">
      <c r="C79" s="276" t="s">
        <v>657</v>
      </c>
      <c r="E79" s="342">
        <v>0.206465351383292</v>
      </c>
      <c r="F79" s="280"/>
      <c r="J79" s="335"/>
    </row>
    <row r="80" spans="1:11" x14ac:dyDescent="0.25">
      <c r="C80" s="276" t="s">
        <v>658</v>
      </c>
      <c r="E80" s="342">
        <v>0.26561663464970198</v>
      </c>
      <c r="F80" s="280"/>
      <c r="J80" s="335"/>
    </row>
    <row r="81" spans="1:10" x14ac:dyDescent="0.25">
      <c r="C81" s="276" t="s">
        <v>659</v>
      </c>
      <c r="E81" s="342">
        <v>0.31667546369197203</v>
      </c>
      <c r="F81" s="280"/>
      <c r="J81" s="335"/>
    </row>
    <row r="82" spans="1:10" x14ac:dyDescent="0.25">
      <c r="C82" s="276" t="s">
        <v>660</v>
      </c>
      <c r="E82" s="342">
        <v>0.36848829059135702</v>
      </c>
      <c r="F82" s="280"/>
      <c r="J82" s="335"/>
    </row>
    <row r="83" spans="1:10" x14ac:dyDescent="0.25">
      <c r="C83" s="276" t="s">
        <v>661</v>
      </c>
      <c r="E83" s="342">
        <v>0.42309628714674402</v>
      </c>
      <c r="F83" s="280"/>
      <c r="J83" s="335"/>
    </row>
    <row r="84" spans="1:10" x14ac:dyDescent="0.25">
      <c r="C84" s="276" t="s">
        <v>662</v>
      </c>
      <c r="E84" s="342">
        <v>0.48399882968882002</v>
      </c>
      <c r="F84" s="280"/>
      <c r="J84" s="335"/>
    </row>
    <row r="85" spans="1:10" x14ac:dyDescent="0.25">
      <c r="C85" s="276" t="s">
        <v>663</v>
      </c>
      <c r="E85" s="342">
        <v>0.56006634506173603</v>
      </c>
      <c r="F85" s="280"/>
      <c r="J85" s="335"/>
    </row>
    <row r="86" spans="1:10" x14ac:dyDescent="0.25">
      <c r="C86" s="276" t="s">
        <v>664</v>
      </c>
      <c r="E86" s="342">
        <v>0.92568880753924998</v>
      </c>
      <c r="F86" s="280"/>
      <c r="J86" s="335"/>
    </row>
    <row r="87" spans="1:10" x14ac:dyDescent="0.25">
      <c r="F87" s="280"/>
      <c r="J87" s="335"/>
    </row>
    <row r="88" spans="1:10" x14ac:dyDescent="0.25">
      <c r="A88" s="339" t="s">
        <v>706</v>
      </c>
      <c r="F88" s="280"/>
      <c r="J88" s="335"/>
    </row>
    <row r="89" spans="1:10" x14ac:dyDescent="0.25">
      <c r="F89" s="280"/>
      <c r="J89" s="335"/>
    </row>
    <row r="90" spans="1:10" x14ac:dyDescent="0.25">
      <c r="A90" s="339" t="s">
        <v>707</v>
      </c>
      <c r="B90" s="339"/>
      <c r="C90" s="339"/>
      <c r="D90" s="339"/>
      <c r="E90" s="339"/>
      <c r="F90" s="334"/>
      <c r="G90" s="339"/>
      <c r="H90" s="339"/>
      <c r="I90" s="339"/>
      <c r="J90" s="340" t="s">
        <v>708</v>
      </c>
    </row>
    <row r="91" spans="1:10" x14ac:dyDescent="0.25">
      <c r="F91" s="280"/>
      <c r="J91" s="335"/>
    </row>
    <row r="92" spans="1:10" x14ac:dyDescent="0.25">
      <c r="B92" s="276" t="s">
        <v>632</v>
      </c>
      <c r="F92" s="280"/>
      <c r="J92" s="335"/>
    </row>
    <row r="93" spans="1:10" x14ac:dyDescent="0.25">
      <c r="C93" s="276" t="s">
        <v>709</v>
      </c>
      <c r="F93" s="280"/>
      <c r="J93" s="335"/>
    </row>
    <row r="94" spans="1:10" x14ac:dyDescent="0.25">
      <c r="C94" s="276" t="s">
        <v>633</v>
      </c>
      <c r="F94" s="280"/>
      <c r="J94" s="335"/>
    </row>
    <row r="95" spans="1:10" x14ac:dyDescent="0.25">
      <c r="C95" s="276" t="s">
        <v>710</v>
      </c>
      <c r="F95" s="280"/>
      <c r="J95" s="335"/>
    </row>
    <row r="96" spans="1:10" x14ac:dyDescent="0.25">
      <c r="C96" s="276" t="s">
        <v>711</v>
      </c>
      <c r="F96" s="280"/>
      <c r="J96" s="335"/>
    </row>
    <row r="97" spans="3:10" x14ac:dyDescent="0.25">
      <c r="C97" s="276" t="s">
        <v>712</v>
      </c>
      <c r="F97" s="280"/>
      <c r="J97" s="335"/>
    </row>
    <row r="98" spans="3:10" x14ac:dyDescent="0.25">
      <c r="F98" s="280"/>
      <c r="J98" s="335"/>
    </row>
    <row r="99" spans="3:10" x14ac:dyDescent="0.25">
      <c r="F99" s="280"/>
      <c r="J99" s="335"/>
    </row>
    <row r="100" spans="3:10" x14ac:dyDescent="0.25">
      <c r="F100" s="280"/>
      <c r="J100" s="335"/>
    </row>
    <row r="101" spans="3:10" x14ac:dyDescent="0.25">
      <c r="F101" s="280"/>
      <c r="J101" s="335"/>
    </row>
    <row r="102" spans="3:10" x14ac:dyDescent="0.25">
      <c r="F102" s="280"/>
      <c r="J102" s="335"/>
    </row>
    <row r="103" spans="3:10" x14ac:dyDescent="0.25">
      <c r="F103" s="280"/>
      <c r="J103" s="335"/>
    </row>
    <row r="104" spans="3:10" x14ac:dyDescent="0.25">
      <c r="F104" s="280"/>
      <c r="J104" s="335"/>
    </row>
    <row r="105" spans="3:10" x14ac:dyDescent="0.25">
      <c r="F105" s="280"/>
      <c r="J105" s="335"/>
    </row>
    <row r="106" spans="3:10" x14ac:dyDescent="0.25">
      <c r="F106" s="280"/>
      <c r="J106" s="335"/>
    </row>
    <row r="107" spans="3:10" x14ac:dyDescent="0.25">
      <c r="F107" s="280"/>
      <c r="J107" s="335"/>
    </row>
    <row r="108" spans="3:10" x14ac:dyDescent="0.25">
      <c r="F108" s="280"/>
      <c r="J108" s="335"/>
    </row>
    <row r="109" spans="3:10" x14ac:dyDescent="0.25">
      <c r="F109" s="280"/>
      <c r="J109" s="335"/>
    </row>
    <row r="110" spans="3:10" x14ac:dyDescent="0.25">
      <c r="F110" s="280"/>
      <c r="J110" s="335"/>
    </row>
    <row r="111" spans="3:10" x14ac:dyDescent="0.25">
      <c r="F111" s="280"/>
      <c r="J111" s="335"/>
    </row>
    <row r="112" spans="3:10" x14ac:dyDescent="0.25">
      <c r="F112" s="280"/>
      <c r="J112" s="335"/>
    </row>
    <row r="113" spans="2:10" x14ac:dyDescent="0.25">
      <c r="F113" s="280"/>
      <c r="J113" s="335"/>
    </row>
    <row r="114" spans="2:10" x14ac:dyDescent="0.25">
      <c r="F114" s="280"/>
      <c r="J114" s="335"/>
    </row>
    <row r="115" spans="2:10" x14ac:dyDescent="0.25">
      <c r="B115" s="276" t="s">
        <v>634</v>
      </c>
      <c r="E115" s="341" t="s">
        <v>635</v>
      </c>
      <c r="F115" s="280"/>
      <c r="J115" s="335"/>
    </row>
    <row r="116" spans="2:10" x14ac:dyDescent="0.25">
      <c r="C116" s="276" t="s">
        <v>636</v>
      </c>
      <c r="E116" s="336">
        <v>5566</v>
      </c>
      <c r="F116" s="280"/>
      <c r="J116" s="335"/>
    </row>
    <row r="117" spans="2:10" x14ac:dyDescent="0.25">
      <c r="C117" s="276" t="s">
        <v>637</v>
      </c>
      <c r="E117" s="342">
        <v>0.14215213475689703</v>
      </c>
      <c r="F117" s="280"/>
      <c r="J117" s="335"/>
    </row>
    <row r="118" spans="2:10" x14ac:dyDescent="0.25">
      <c r="C118" s="276" t="s">
        <v>638</v>
      </c>
      <c r="E118" s="342">
        <v>0.38145603659936583</v>
      </c>
      <c r="F118" s="280"/>
      <c r="J118" s="335"/>
    </row>
    <row r="119" spans="2:10" x14ac:dyDescent="0.25">
      <c r="C119" s="276" t="s">
        <v>639</v>
      </c>
      <c r="E119" s="342">
        <v>0.38425464550535049</v>
      </c>
      <c r="F119" s="280"/>
      <c r="J119" s="335"/>
    </row>
    <row r="120" spans="2:10" x14ac:dyDescent="0.25">
      <c r="C120" s="276" t="s">
        <v>640</v>
      </c>
      <c r="E120" s="343" t="s">
        <v>641</v>
      </c>
      <c r="F120" s="280"/>
      <c r="J120" s="335"/>
    </row>
    <row r="121" spans="2:10" x14ac:dyDescent="0.25">
      <c r="C121" s="276" t="s">
        <v>642</v>
      </c>
      <c r="E121" s="342">
        <v>0.22237990918087264</v>
      </c>
      <c r="F121" s="280"/>
      <c r="J121" s="335"/>
    </row>
    <row r="122" spans="2:10" x14ac:dyDescent="0.25">
      <c r="C122" s="276" t="s">
        <v>643</v>
      </c>
      <c r="E122" s="342">
        <v>4.9452824007293159E-2</v>
      </c>
      <c r="F122" s="280"/>
      <c r="J122" s="335"/>
    </row>
    <row r="123" spans="2:10" x14ac:dyDescent="0.25">
      <c r="C123" s="276" t="s">
        <v>644</v>
      </c>
      <c r="E123" s="344">
        <v>5.4494681889940052E-3</v>
      </c>
      <c r="F123" s="280"/>
      <c r="J123" s="335"/>
    </row>
    <row r="124" spans="2:10" x14ac:dyDescent="0.25">
      <c r="C124" s="276" t="s">
        <v>645</v>
      </c>
      <c r="E124" s="345">
        <v>2.6103166068102639</v>
      </c>
      <c r="F124" s="280"/>
      <c r="J124" s="335"/>
    </row>
    <row r="125" spans="2:10" x14ac:dyDescent="0.25">
      <c r="C125" s="276" t="s">
        <v>646</v>
      </c>
      <c r="E125" s="344">
        <v>0.58297651064422118</v>
      </c>
      <c r="F125" s="280"/>
      <c r="J125" s="335"/>
    </row>
    <row r="126" spans="2:10" x14ac:dyDescent="0.25">
      <c r="C126" s="276" t="s">
        <v>647</v>
      </c>
      <c r="E126" s="342">
        <v>-0.19254312821062058</v>
      </c>
      <c r="F126" s="280"/>
      <c r="J126" s="335"/>
    </row>
    <row r="127" spans="2:10" x14ac:dyDescent="0.25">
      <c r="C127" s="276" t="s">
        <v>648</v>
      </c>
      <c r="E127" s="342">
        <v>1.1100413747323552</v>
      </c>
      <c r="F127" s="280"/>
      <c r="J127" s="335"/>
    </row>
    <row r="128" spans="2:10" x14ac:dyDescent="0.25">
      <c r="C128" s="276" t="s">
        <v>649</v>
      </c>
      <c r="E128" s="342">
        <v>1.3025845029429757</v>
      </c>
      <c r="F128" s="280"/>
      <c r="J128" s="335"/>
    </row>
    <row r="129" spans="1:10" x14ac:dyDescent="0.25">
      <c r="C129" s="276" t="s">
        <v>650</v>
      </c>
      <c r="E129" s="342">
        <v>2.9807389835614755E-3</v>
      </c>
      <c r="F129" s="280"/>
      <c r="J129" s="335"/>
    </row>
    <row r="130" spans="1:10" x14ac:dyDescent="0.25">
      <c r="C130" s="276" t="s">
        <v>651</v>
      </c>
      <c r="E130" s="346">
        <v>4434</v>
      </c>
      <c r="F130" s="280"/>
      <c r="J130" s="335"/>
    </row>
    <row r="131" spans="1:10" x14ac:dyDescent="0.25">
      <c r="F131" s="280"/>
      <c r="J131" s="335"/>
    </row>
    <row r="132" spans="1:10" x14ac:dyDescent="0.25">
      <c r="A132" s="339" t="s">
        <v>713</v>
      </c>
      <c r="B132" s="339"/>
      <c r="C132" s="339"/>
      <c r="D132" s="339"/>
      <c r="E132" s="339"/>
      <c r="F132" s="334"/>
      <c r="G132" s="339"/>
      <c r="H132" s="339"/>
      <c r="I132" s="339"/>
      <c r="J132" s="340" t="s">
        <v>708</v>
      </c>
    </row>
    <row r="133" spans="1:10" x14ac:dyDescent="0.25">
      <c r="F133" s="280"/>
      <c r="J133" s="335"/>
    </row>
    <row r="134" spans="1:10" x14ac:dyDescent="0.25">
      <c r="B134" s="276" t="s">
        <v>653</v>
      </c>
      <c r="E134" s="341" t="s">
        <v>635</v>
      </c>
      <c r="F134" s="280"/>
      <c r="J134" s="335"/>
    </row>
    <row r="135" spans="1:10" x14ac:dyDescent="0.25">
      <c r="C135" s="276" t="s">
        <v>654</v>
      </c>
      <c r="E135" s="342">
        <v>-0.19254312821062058</v>
      </c>
      <c r="F135" s="280"/>
      <c r="J135" s="335"/>
    </row>
    <row r="136" spans="1:10" x14ac:dyDescent="0.25">
      <c r="C136" s="276" t="s">
        <v>655</v>
      </c>
      <c r="E136" s="342">
        <v>8.7711007086601997E-2</v>
      </c>
      <c r="F136" s="280"/>
      <c r="J136" s="335"/>
    </row>
    <row r="137" spans="1:10" x14ac:dyDescent="0.25">
      <c r="C137" s="276" t="s">
        <v>656</v>
      </c>
      <c r="E137" s="342">
        <v>0.18361025632981201</v>
      </c>
      <c r="F137" s="280"/>
      <c r="J137" s="335"/>
    </row>
    <row r="138" spans="1:10" x14ac:dyDescent="0.25">
      <c r="C138" s="276" t="s">
        <v>657</v>
      </c>
      <c r="E138" s="342">
        <v>0.25732692405069302</v>
      </c>
      <c r="F138" s="280"/>
      <c r="J138" s="335"/>
    </row>
    <row r="139" spans="1:10" x14ac:dyDescent="0.25">
      <c r="C139" s="276" t="s">
        <v>658</v>
      </c>
      <c r="E139" s="342">
        <v>0.32557568125964098</v>
      </c>
      <c r="F139" s="280"/>
      <c r="J139" s="335"/>
    </row>
    <row r="140" spans="1:10" x14ac:dyDescent="0.25">
      <c r="C140" s="276" t="s">
        <v>659</v>
      </c>
      <c r="E140" s="342">
        <v>0.38421173077329102</v>
      </c>
      <c r="F140" s="280"/>
      <c r="J140" s="335"/>
    </row>
    <row r="141" spans="1:10" x14ac:dyDescent="0.25">
      <c r="C141" s="276" t="s">
        <v>660</v>
      </c>
      <c r="E141" s="342">
        <v>0.44142246059104401</v>
      </c>
      <c r="F141" s="280"/>
      <c r="J141" s="335"/>
    </row>
    <row r="142" spans="1:10" x14ac:dyDescent="0.25">
      <c r="C142" s="276" t="s">
        <v>661</v>
      </c>
      <c r="E142" s="342">
        <v>0.50278970337054396</v>
      </c>
      <c r="F142" s="280"/>
      <c r="J142" s="335"/>
    </row>
    <row r="143" spans="1:10" x14ac:dyDescent="0.25">
      <c r="C143" s="276" t="s">
        <v>662</v>
      </c>
      <c r="E143" s="342">
        <v>0.57529232781454998</v>
      </c>
      <c r="F143" s="280"/>
      <c r="J143" s="335"/>
    </row>
    <row r="144" spans="1:10" x14ac:dyDescent="0.25">
      <c r="C144" s="276" t="s">
        <v>663</v>
      </c>
      <c r="E144" s="342">
        <v>0.67493426239832999</v>
      </c>
      <c r="F144" s="280"/>
      <c r="J144" s="335"/>
    </row>
    <row r="145" spans="1:10" x14ac:dyDescent="0.25">
      <c r="C145" s="276" t="s">
        <v>664</v>
      </c>
      <c r="E145" s="342">
        <v>1.110041374732355</v>
      </c>
      <c r="F145" s="280"/>
      <c r="J145" s="335"/>
    </row>
    <row r="146" spans="1:10" x14ac:dyDescent="0.25">
      <c r="F146" s="280"/>
      <c r="J146" s="335"/>
    </row>
    <row r="147" spans="1:10" x14ac:dyDescent="0.25">
      <c r="A147" s="276" t="s">
        <v>665</v>
      </c>
      <c r="F147" s="280"/>
      <c r="J147" s="335"/>
    </row>
    <row r="148" spans="1:10" x14ac:dyDescent="0.25">
      <c r="F148" s="334" t="s">
        <v>626</v>
      </c>
      <c r="J148" s="335"/>
    </row>
    <row r="149" spans="1:10" x14ac:dyDescent="0.25">
      <c r="F149" s="280"/>
      <c r="J149" s="335"/>
    </row>
    <row r="150" spans="1:10" x14ac:dyDescent="0.25">
      <c r="F150" s="280"/>
      <c r="J150" s="335"/>
    </row>
    <row r="151" spans="1:10" x14ac:dyDescent="0.25">
      <c r="A151" s="339" t="s">
        <v>700</v>
      </c>
      <c r="F151" s="280"/>
      <c r="J151" s="335"/>
    </row>
    <row r="152" spans="1:10" x14ac:dyDescent="0.25">
      <c r="F152" s="280"/>
      <c r="J152" s="335"/>
    </row>
    <row r="153" spans="1:10" x14ac:dyDescent="0.25">
      <c r="A153" s="339" t="s">
        <v>666</v>
      </c>
      <c r="B153" s="339"/>
      <c r="C153" s="339"/>
      <c r="D153" s="339"/>
      <c r="E153" s="339"/>
      <c r="F153" s="334"/>
      <c r="G153" s="339"/>
      <c r="H153" s="339"/>
      <c r="I153" s="339"/>
      <c r="J153" s="340" t="s">
        <v>667</v>
      </c>
    </row>
    <row r="154" spans="1:10" x14ac:dyDescent="0.25">
      <c r="F154" s="280"/>
      <c r="J154" s="335"/>
    </row>
    <row r="155" spans="1:10" x14ac:dyDescent="0.25">
      <c r="B155" s="276" t="s">
        <v>668</v>
      </c>
      <c r="F155" s="280"/>
      <c r="J155" s="335"/>
    </row>
    <row r="156" spans="1:10" x14ac:dyDescent="0.25">
      <c r="C156" s="276" t="s">
        <v>638</v>
      </c>
      <c r="E156" s="347">
        <v>5.2999999999999999E-2</v>
      </c>
      <c r="F156" s="280"/>
      <c r="J156" s="335"/>
    </row>
    <row r="157" spans="1:10" x14ac:dyDescent="0.25">
      <c r="C157" s="276" t="s">
        <v>669</v>
      </c>
      <c r="E157" s="347">
        <v>0.03</v>
      </c>
      <c r="F157" s="280"/>
      <c r="J157" s="335"/>
    </row>
    <row r="158" spans="1:10" x14ac:dyDescent="0.25">
      <c r="E158" s="341"/>
      <c r="F158" s="280"/>
      <c r="J158" s="335"/>
    </row>
    <row r="159" spans="1:10" x14ac:dyDescent="0.25">
      <c r="E159" s="341"/>
      <c r="F159" s="280"/>
      <c r="J159" s="335"/>
    </row>
    <row r="160" spans="1:10" x14ac:dyDescent="0.25">
      <c r="F160" s="280"/>
      <c r="J160" s="335"/>
    </row>
    <row r="161" spans="1:10" x14ac:dyDescent="0.25">
      <c r="F161" s="280"/>
      <c r="J161" s="335"/>
    </row>
    <row r="162" spans="1:10" x14ac:dyDescent="0.25">
      <c r="F162" s="280"/>
      <c r="J162" s="335"/>
    </row>
    <row r="163" spans="1:10" x14ac:dyDescent="0.25">
      <c r="F163" s="280"/>
      <c r="J163" s="335"/>
    </row>
    <row r="164" spans="1:10" x14ac:dyDescent="0.25">
      <c r="A164" s="339" t="s">
        <v>670</v>
      </c>
      <c r="B164" s="339"/>
      <c r="C164" s="339"/>
      <c r="D164" s="339"/>
      <c r="E164" s="339"/>
      <c r="F164" s="334"/>
      <c r="G164" s="339"/>
      <c r="H164" s="339"/>
      <c r="I164" s="339"/>
      <c r="J164" s="340" t="s">
        <v>671</v>
      </c>
    </row>
    <row r="165" spans="1:10" x14ac:dyDescent="0.25">
      <c r="F165" s="280"/>
      <c r="J165" s="335"/>
    </row>
    <row r="166" spans="1:10" x14ac:dyDescent="0.25">
      <c r="B166" s="276" t="s">
        <v>668</v>
      </c>
      <c r="F166" s="280"/>
      <c r="J166" s="335"/>
    </row>
    <row r="167" spans="1:10" x14ac:dyDescent="0.25">
      <c r="C167" s="276" t="s">
        <v>638</v>
      </c>
      <c r="E167" s="347">
        <v>5.1999999999999998E-2</v>
      </c>
      <c r="F167" s="280"/>
      <c r="J167" s="335"/>
    </row>
    <row r="168" spans="1:10" x14ac:dyDescent="0.25">
      <c r="C168" s="276" t="s">
        <v>669</v>
      </c>
      <c r="E168" s="347">
        <v>0.03</v>
      </c>
      <c r="F168" s="280"/>
      <c r="J168" s="335"/>
    </row>
    <row r="169" spans="1:10" x14ac:dyDescent="0.25">
      <c r="E169" s="341"/>
      <c r="F169" s="280"/>
      <c r="J169" s="335"/>
    </row>
    <row r="170" spans="1:10" x14ac:dyDescent="0.25">
      <c r="E170" s="341"/>
      <c r="F170" s="280"/>
      <c r="J170" s="335"/>
    </row>
    <row r="171" spans="1:10" x14ac:dyDescent="0.25">
      <c r="F171" s="280"/>
      <c r="J171" s="335"/>
    </row>
    <row r="172" spans="1:10" x14ac:dyDescent="0.25">
      <c r="F172" s="280"/>
      <c r="J172" s="335"/>
    </row>
    <row r="173" spans="1:10" x14ac:dyDescent="0.25">
      <c r="F173" s="280"/>
      <c r="J173" s="335"/>
    </row>
    <row r="174" spans="1:10" x14ac:dyDescent="0.25">
      <c r="F174" s="280"/>
      <c r="J174" s="335"/>
    </row>
    <row r="175" spans="1:10" x14ac:dyDescent="0.25">
      <c r="A175" s="339" t="s">
        <v>672</v>
      </c>
      <c r="B175" s="339"/>
      <c r="C175" s="339"/>
      <c r="D175" s="339"/>
      <c r="E175" s="339"/>
      <c r="F175" s="334"/>
      <c r="G175" s="339"/>
      <c r="H175" s="339"/>
      <c r="I175" s="339"/>
      <c r="J175" s="340" t="s">
        <v>673</v>
      </c>
    </row>
    <row r="176" spans="1:10" x14ac:dyDescent="0.25">
      <c r="F176" s="280"/>
      <c r="J176" s="335"/>
    </row>
    <row r="177" spans="1:10" x14ac:dyDescent="0.25">
      <c r="B177" s="276" t="s">
        <v>668</v>
      </c>
      <c r="F177" s="280"/>
      <c r="J177" s="335"/>
    </row>
    <row r="178" spans="1:10" x14ac:dyDescent="0.25">
      <c r="C178" s="276" t="s">
        <v>638</v>
      </c>
      <c r="E178" s="347">
        <v>6.6000000000000003E-2</v>
      </c>
      <c r="F178" s="280"/>
      <c r="J178" s="335"/>
    </row>
    <row r="179" spans="1:10" x14ac:dyDescent="0.25">
      <c r="C179" s="276" t="s">
        <v>669</v>
      </c>
      <c r="E179" s="347">
        <v>0.03</v>
      </c>
      <c r="F179" s="280"/>
      <c r="J179" s="335"/>
    </row>
    <row r="180" spans="1:10" x14ac:dyDescent="0.25">
      <c r="E180" s="341"/>
      <c r="F180" s="280"/>
      <c r="J180" s="335"/>
    </row>
    <row r="181" spans="1:10" x14ac:dyDescent="0.25">
      <c r="E181" s="341"/>
      <c r="F181" s="280"/>
      <c r="J181" s="335"/>
    </row>
    <row r="182" spans="1:10" x14ac:dyDescent="0.25">
      <c r="F182" s="280"/>
      <c r="J182" s="335"/>
    </row>
    <row r="183" spans="1:10" x14ac:dyDescent="0.25">
      <c r="F183" s="280"/>
      <c r="J183" s="335"/>
    </row>
    <row r="184" spans="1:10" x14ac:dyDescent="0.25">
      <c r="F184" s="280"/>
      <c r="J184" s="335"/>
    </row>
    <row r="185" spans="1:10" x14ac:dyDescent="0.25">
      <c r="F185" s="280"/>
      <c r="J185" s="335"/>
    </row>
    <row r="186" spans="1:10" x14ac:dyDescent="0.25">
      <c r="A186" s="339" t="s">
        <v>677</v>
      </c>
      <c r="B186" s="339"/>
      <c r="C186" s="339"/>
      <c r="D186" s="339"/>
      <c r="E186" s="339"/>
      <c r="F186" s="334"/>
      <c r="G186" s="339"/>
      <c r="H186" s="339"/>
      <c r="I186" s="339"/>
      <c r="J186" s="340" t="s">
        <v>674</v>
      </c>
    </row>
    <row r="187" spans="1:10" x14ac:dyDescent="0.25">
      <c r="F187" s="280"/>
      <c r="J187" s="335"/>
    </row>
    <row r="188" spans="1:10" x14ac:dyDescent="0.25">
      <c r="B188" s="276" t="s">
        <v>714</v>
      </c>
      <c r="F188" s="280"/>
      <c r="J188" s="335"/>
    </row>
    <row r="189" spans="1:10" x14ac:dyDescent="0.25">
      <c r="C189" s="276" t="s">
        <v>715</v>
      </c>
      <c r="E189" s="347">
        <v>50</v>
      </c>
      <c r="F189" s="280"/>
      <c r="J189" s="335"/>
    </row>
    <row r="190" spans="1:10" x14ac:dyDescent="0.25">
      <c r="E190" s="341"/>
      <c r="F190" s="280"/>
      <c r="J190" s="335"/>
    </row>
    <row r="191" spans="1:10" x14ac:dyDescent="0.25">
      <c r="E191" s="341"/>
      <c r="F191" s="280"/>
      <c r="J191" s="335"/>
    </row>
    <row r="192" spans="1:10" x14ac:dyDescent="0.25">
      <c r="F192" s="280"/>
      <c r="J192" s="335"/>
    </row>
    <row r="193" spans="1:10" x14ac:dyDescent="0.25">
      <c r="F193" s="280"/>
      <c r="J193" s="335"/>
    </row>
    <row r="194" spans="1:10" x14ac:dyDescent="0.25">
      <c r="F194" s="280"/>
      <c r="J194" s="335"/>
    </row>
    <row r="195" spans="1:10" x14ac:dyDescent="0.25">
      <c r="F195" s="280"/>
      <c r="J195" s="335"/>
    </row>
    <row r="196" spans="1:10" x14ac:dyDescent="0.25">
      <c r="F196" s="280"/>
      <c r="J196" s="335"/>
    </row>
    <row r="197" spans="1:10" x14ac:dyDescent="0.25">
      <c r="A197" s="339" t="s">
        <v>678</v>
      </c>
      <c r="B197" s="339"/>
      <c r="C197" s="339"/>
      <c r="D197" s="339"/>
      <c r="E197" s="339"/>
      <c r="F197" s="334"/>
      <c r="G197" s="339"/>
      <c r="H197" s="339"/>
      <c r="I197" s="339"/>
      <c r="J197" s="340" t="s">
        <v>679</v>
      </c>
    </row>
    <row r="198" spans="1:10" x14ac:dyDescent="0.25">
      <c r="F198" s="280"/>
      <c r="J198" s="335"/>
    </row>
    <row r="199" spans="1:10" x14ac:dyDescent="0.25">
      <c r="B199" s="276" t="s">
        <v>680</v>
      </c>
      <c r="F199" s="280"/>
      <c r="J199" s="335"/>
    </row>
    <row r="200" spans="1:10" x14ac:dyDescent="0.25">
      <c r="C200" s="276" t="s">
        <v>647</v>
      </c>
      <c r="E200" s="343">
        <v>0.5</v>
      </c>
      <c r="F200" s="280"/>
      <c r="J200" s="335"/>
    </row>
    <row r="201" spans="1:10" x14ac:dyDescent="0.25">
      <c r="C201" s="276" t="s">
        <v>648</v>
      </c>
      <c r="E201" s="343">
        <v>0.67799999999999994</v>
      </c>
      <c r="F201" s="280"/>
      <c r="J201" s="335"/>
    </row>
    <row r="202" spans="1:10" x14ac:dyDescent="0.25">
      <c r="E202" s="341"/>
      <c r="F202" s="280"/>
      <c r="J202" s="335"/>
    </row>
    <row r="203" spans="1:10" x14ac:dyDescent="0.25">
      <c r="E203" s="341"/>
      <c r="F203" s="280"/>
      <c r="J203" s="335"/>
    </row>
    <row r="204" spans="1:10" x14ac:dyDescent="0.25">
      <c r="F204" s="280"/>
      <c r="J204" s="335"/>
    </row>
    <row r="205" spans="1:10" x14ac:dyDescent="0.25">
      <c r="F205" s="280"/>
      <c r="J205" s="335"/>
    </row>
    <row r="206" spans="1:10" x14ac:dyDescent="0.25">
      <c r="F206" s="280"/>
      <c r="J206" s="335"/>
    </row>
    <row r="207" spans="1:10" x14ac:dyDescent="0.25">
      <c r="F207" s="280"/>
      <c r="J207" s="335"/>
    </row>
    <row r="208" spans="1:10" x14ac:dyDescent="0.25">
      <c r="A208" s="339" t="s">
        <v>681</v>
      </c>
      <c r="B208" s="339"/>
      <c r="C208" s="339"/>
      <c r="D208" s="339"/>
      <c r="E208" s="339"/>
      <c r="F208" s="334"/>
      <c r="G208" s="339"/>
      <c r="H208" s="339"/>
      <c r="I208" s="339"/>
      <c r="J208" s="340" t="s">
        <v>682</v>
      </c>
    </row>
    <row r="209" spans="1:10" x14ac:dyDescent="0.25">
      <c r="F209" s="280"/>
      <c r="J209" s="335"/>
    </row>
    <row r="210" spans="1:10" x14ac:dyDescent="0.25">
      <c r="B210" s="276" t="s">
        <v>675</v>
      </c>
      <c r="F210" s="280"/>
      <c r="J210" s="335"/>
    </row>
    <row r="211" spans="1:10" x14ac:dyDescent="0.25">
      <c r="C211" s="276" t="s">
        <v>647</v>
      </c>
      <c r="E211" s="343">
        <v>1.4999999999999999E-2</v>
      </c>
      <c r="F211" s="280"/>
      <c r="J211" s="335"/>
    </row>
    <row r="212" spans="1:10" x14ac:dyDescent="0.25">
      <c r="C212" s="276" t="s">
        <v>676</v>
      </c>
      <c r="E212" s="343">
        <v>1.4999999999999999E-2</v>
      </c>
      <c r="F212" s="280"/>
      <c r="J212" s="335"/>
    </row>
    <row r="213" spans="1:10" x14ac:dyDescent="0.25">
      <c r="C213" s="276" t="s">
        <v>648</v>
      </c>
      <c r="E213" s="343">
        <v>0.03</v>
      </c>
      <c r="F213" s="280"/>
      <c r="J213" s="335"/>
    </row>
    <row r="214" spans="1:10" x14ac:dyDescent="0.25">
      <c r="E214" s="341"/>
      <c r="F214" s="280"/>
      <c r="J214" s="335"/>
    </row>
    <row r="215" spans="1:10" x14ac:dyDescent="0.25">
      <c r="E215" s="341"/>
      <c r="F215" s="280"/>
      <c r="J215" s="335"/>
    </row>
    <row r="216" spans="1:10" x14ac:dyDescent="0.25">
      <c r="F216" s="280"/>
      <c r="J216" s="335"/>
    </row>
    <row r="217" spans="1:10" x14ac:dyDescent="0.25">
      <c r="F217" s="280"/>
      <c r="J217" s="335"/>
    </row>
    <row r="218" spans="1:10" x14ac:dyDescent="0.25">
      <c r="F218" s="280"/>
      <c r="J218" s="335"/>
    </row>
    <row r="219" spans="1:10" x14ac:dyDescent="0.25">
      <c r="A219" s="339" t="s">
        <v>706</v>
      </c>
      <c r="F219" s="280"/>
      <c r="J219" s="335"/>
    </row>
    <row r="220" spans="1:10" x14ac:dyDescent="0.25">
      <c r="F220" s="280"/>
      <c r="J220" s="335"/>
    </row>
    <row r="221" spans="1:10" x14ac:dyDescent="0.25">
      <c r="A221" s="339" t="s">
        <v>716</v>
      </c>
      <c r="B221" s="339"/>
      <c r="C221" s="339"/>
      <c r="D221" s="339"/>
      <c r="E221" s="339"/>
      <c r="F221" s="334"/>
      <c r="G221" s="339"/>
      <c r="H221" s="339"/>
      <c r="I221" s="339"/>
      <c r="J221" s="340" t="s">
        <v>717</v>
      </c>
    </row>
    <row r="222" spans="1:10" x14ac:dyDescent="0.25">
      <c r="F222" s="280"/>
      <c r="J222" s="335"/>
    </row>
    <row r="223" spans="1:10" x14ac:dyDescent="0.25">
      <c r="B223" s="276" t="s">
        <v>675</v>
      </c>
      <c r="F223" s="280"/>
      <c r="J223" s="335"/>
    </row>
    <row r="224" spans="1:10" x14ac:dyDescent="0.25">
      <c r="C224" s="276" t="s">
        <v>647</v>
      </c>
      <c r="E224" s="343">
        <v>0</v>
      </c>
      <c r="F224" s="280"/>
      <c r="J224" s="335"/>
    </row>
    <row r="225" spans="1:10" x14ac:dyDescent="0.25">
      <c r="C225" s="276" t="s">
        <v>676</v>
      </c>
      <c r="E225" s="343">
        <v>0.1</v>
      </c>
      <c r="F225" s="280"/>
      <c r="J225" s="335"/>
    </row>
    <row r="226" spans="1:10" x14ac:dyDescent="0.25">
      <c r="C226" s="276" t="s">
        <v>648</v>
      </c>
      <c r="E226" s="343">
        <v>0.25</v>
      </c>
      <c r="F226" s="280"/>
      <c r="J226" s="335"/>
    </row>
    <row r="227" spans="1:10" x14ac:dyDescent="0.25">
      <c r="E227" s="341"/>
      <c r="F227" s="280"/>
      <c r="J227" s="335"/>
    </row>
    <row r="228" spans="1:10" x14ac:dyDescent="0.25">
      <c r="E228" s="341"/>
      <c r="F228" s="280"/>
      <c r="J228" s="335"/>
    </row>
    <row r="229" spans="1:10" x14ac:dyDescent="0.25">
      <c r="F229" s="280"/>
      <c r="J229" s="335"/>
    </row>
    <row r="230" spans="1:10" x14ac:dyDescent="0.25">
      <c r="F230" s="280"/>
      <c r="J230" s="335"/>
    </row>
    <row r="231" spans="1:10" x14ac:dyDescent="0.25">
      <c r="F231" s="280"/>
      <c r="J231" s="335"/>
    </row>
    <row r="232" spans="1:10" x14ac:dyDescent="0.25">
      <c r="A232" s="276" t="s">
        <v>683</v>
      </c>
      <c r="F232" s="280"/>
      <c r="J232" s="335"/>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39"/>
  <sheetViews>
    <sheetView topLeftCell="A16" workbookViewId="0"/>
  </sheetViews>
  <sheetFormatPr defaultColWidth="9.140625" defaultRowHeight="12.75" x14ac:dyDescent="0.2"/>
  <cols>
    <col min="1" max="1" width="9.140625" style="93"/>
    <col min="2" max="2" width="0.42578125" style="93" customWidth="1"/>
    <col min="3" max="3" width="47.28515625" style="93" customWidth="1"/>
    <col min="4" max="4" width="12.28515625" style="93" customWidth="1"/>
    <col min="5" max="5" width="0.7109375" style="93" customWidth="1"/>
    <col min="6" max="6" width="8.85546875" style="93" customWidth="1"/>
    <col min="7" max="8" width="7.85546875" style="93" customWidth="1"/>
    <col min="9" max="9" width="8.140625" style="93" customWidth="1"/>
    <col min="10" max="10" width="1.140625" style="93" customWidth="1"/>
    <col min="11" max="16384" width="9.140625" style="93"/>
  </cols>
  <sheetData>
    <row r="1" spans="1:12" ht="15" x14ac:dyDescent="0.25">
      <c r="A1" s="101"/>
      <c r="B1" s="101"/>
      <c r="C1" s="98"/>
      <c r="D1" s="101"/>
      <c r="E1" s="98"/>
      <c r="F1" s="98"/>
      <c r="G1" s="98"/>
      <c r="H1" s="98"/>
      <c r="I1" s="98"/>
      <c r="J1" s="101"/>
      <c r="L1" s="92" t="str">
        <f>'Cover Page'!$E$1</f>
        <v>Last updated: 07/17/2017</v>
      </c>
    </row>
    <row r="2" spans="1:12" ht="20.25" x14ac:dyDescent="0.3">
      <c r="A2" s="101"/>
      <c r="B2" s="98"/>
      <c r="C2" s="98"/>
      <c r="D2" s="445" t="s">
        <v>88</v>
      </c>
      <c r="E2" s="445"/>
      <c r="F2" s="445"/>
      <c r="G2" s="445"/>
      <c r="H2" s="445"/>
      <c r="I2" s="445"/>
      <c r="J2" s="445"/>
    </row>
    <row r="3" spans="1:12" ht="15.75" x14ac:dyDescent="0.25">
      <c r="A3" s="101"/>
      <c r="B3" s="101"/>
      <c r="C3" s="98"/>
      <c r="D3" s="446"/>
      <c r="E3" s="446"/>
      <c r="F3" s="446"/>
      <c r="G3" s="446"/>
      <c r="H3" s="446"/>
      <c r="I3" s="446"/>
      <c r="J3" s="101"/>
    </row>
    <row r="4" spans="1:12" ht="15.75" x14ac:dyDescent="0.25">
      <c r="A4" s="101"/>
      <c r="B4" s="101"/>
      <c r="C4" s="98"/>
      <c r="D4" s="149"/>
      <c r="E4" s="148"/>
      <c r="F4" s="147"/>
      <c r="G4" s="146"/>
      <c r="H4" s="146"/>
      <c r="I4" s="146"/>
      <c r="J4" s="101"/>
    </row>
    <row r="5" spans="1:12" ht="15.75" x14ac:dyDescent="0.25">
      <c r="A5" s="101"/>
      <c r="B5" s="101"/>
      <c r="C5" s="447" t="s">
        <v>533</v>
      </c>
      <c r="D5" s="447"/>
      <c r="E5" s="447"/>
      <c r="F5" s="447"/>
      <c r="G5" s="447"/>
      <c r="H5" s="447"/>
      <c r="I5" s="447"/>
      <c r="J5" s="101"/>
    </row>
    <row r="6" spans="1:12" ht="15.75" thickBot="1" x14ac:dyDescent="0.3">
      <c r="A6" s="101"/>
      <c r="B6" s="101"/>
      <c r="C6" s="442" t="s">
        <v>534</v>
      </c>
      <c r="D6" s="442"/>
      <c r="E6" s="442"/>
      <c r="F6" s="442"/>
      <c r="G6" s="442"/>
      <c r="H6" s="442"/>
      <c r="I6" s="442"/>
      <c r="J6" s="101"/>
    </row>
    <row r="7" spans="1:12" ht="15" x14ac:dyDescent="0.25">
      <c r="A7" s="101"/>
      <c r="B7" s="145"/>
      <c r="C7" s="144"/>
      <c r="D7" s="143"/>
      <c r="E7" s="142"/>
      <c r="F7" s="142"/>
      <c r="G7" s="142"/>
      <c r="H7" s="142"/>
      <c r="I7" s="142"/>
      <c r="J7" s="141"/>
    </row>
    <row r="8" spans="1:12" ht="15" x14ac:dyDescent="0.25">
      <c r="A8" s="101"/>
      <c r="B8" s="100"/>
      <c r="C8" s="110" t="s">
        <v>134</v>
      </c>
      <c r="D8" s="237">
        <f>SUM('Cost-Benefit Summary'!D22:H22)/1000000</f>
        <v>65.284787857500007</v>
      </c>
      <c r="E8" s="102"/>
      <c r="F8" s="443"/>
      <c r="G8" s="443"/>
      <c r="H8" s="443"/>
      <c r="I8" s="140"/>
      <c r="J8" s="99"/>
    </row>
    <row r="9" spans="1:12" ht="15" x14ac:dyDescent="0.25">
      <c r="A9" s="101"/>
      <c r="B9" s="100"/>
      <c r="C9" s="110" t="s">
        <v>133</v>
      </c>
      <c r="D9" s="225">
        <f>'Cost-Benefit Summary'!$C$19</f>
        <v>0.11515085935768599</v>
      </c>
      <c r="E9" s="102"/>
      <c r="F9" s="102"/>
      <c r="G9" s="102"/>
      <c r="H9" s="102"/>
      <c r="I9" s="102"/>
      <c r="J9" s="99"/>
    </row>
    <row r="10" spans="1:12" ht="15" customHeight="1" x14ac:dyDescent="0.25">
      <c r="A10" s="101"/>
      <c r="B10" s="100"/>
      <c r="C10" s="110" t="s">
        <v>132</v>
      </c>
      <c r="D10" s="237">
        <f>NPV(0.1,'Cost-Benefit Summary'!D23:W23)/1000000</f>
        <v>63.087404014662212</v>
      </c>
      <c r="E10" s="102"/>
      <c r="F10" s="102"/>
      <c r="G10" s="102"/>
      <c r="H10" s="102"/>
      <c r="I10" s="102"/>
      <c r="J10" s="99"/>
    </row>
    <row r="11" spans="1:12" ht="15" x14ac:dyDescent="0.25">
      <c r="A11" s="101"/>
      <c r="B11" s="100"/>
      <c r="C11" s="118" t="s">
        <v>131</v>
      </c>
      <c r="D11" s="237">
        <f>NPV(0.1,'Cost-Benefit Summary'!D22:H22)/1000000</f>
        <v>46.301804113075811</v>
      </c>
      <c r="E11" s="102"/>
      <c r="F11" s="101"/>
      <c r="G11" s="101"/>
      <c r="H11" s="101"/>
      <c r="I11" s="101"/>
      <c r="J11" s="99"/>
    </row>
    <row r="12" spans="1:12" ht="15" x14ac:dyDescent="0.25">
      <c r="A12" s="101"/>
      <c r="B12" s="100"/>
      <c r="C12" s="118"/>
      <c r="D12" s="139"/>
      <c r="E12" s="102"/>
      <c r="F12" s="444" t="s">
        <v>130</v>
      </c>
      <c r="G12" s="444"/>
      <c r="H12" s="444"/>
      <c r="I12" s="444"/>
      <c r="J12" s="99"/>
    </row>
    <row r="13" spans="1:12" ht="15" x14ac:dyDescent="0.25">
      <c r="A13" s="101"/>
      <c r="B13" s="100"/>
      <c r="C13" s="121" t="s">
        <v>129</v>
      </c>
      <c r="D13" s="127" t="s">
        <v>128</v>
      </c>
      <c r="E13" s="128"/>
      <c r="F13" s="127" t="s">
        <v>127</v>
      </c>
      <c r="G13" s="127" t="s">
        <v>126</v>
      </c>
      <c r="H13" s="127" t="s">
        <v>125</v>
      </c>
      <c r="I13" s="127" t="s">
        <v>124</v>
      </c>
      <c r="J13" s="99"/>
    </row>
    <row r="14" spans="1:12" ht="15" x14ac:dyDescent="0.25">
      <c r="A14" s="101"/>
      <c r="B14" s="100"/>
      <c r="C14" s="126"/>
      <c r="D14" s="124"/>
      <c r="E14" s="125"/>
      <c r="F14" s="124"/>
      <c r="G14" s="124"/>
      <c r="H14" s="124"/>
      <c r="I14" s="124"/>
      <c r="J14" s="99"/>
    </row>
    <row r="15" spans="1:12" ht="15" x14ac:dyDescent="0.25">
      <c r="A15" s="101"/>
      <c r="B15" s="100"/>
      <c r="C15" s="102" t="s">
        <v>476</v>
      </c>
      <c r="D15" s="233">
        <f>D16/4</f>
        <v>12425347.75</v>
      </c>
      <c r="E15" s="134"/>
      <c r="F15" s="138"/>
      <c r="G15" s="138"/>
      <c r="H15" s="138"/>
      <c r="I15" s="138"/>
      <c r="J15" s="99"/>
    </row>
    <row r="16" spans="1:12" ht="15" x14ac:dyDescent="0.25">
      <c r="A16" s="101"/>
      <c r="B16" s="100"/>
      <c r="C16" s="104" t="s">
        <v>477</v>
      </c>
      <c r="D16" s="233">
        <f>Demographics!F85</f>
        <v>49701391</v>
      </c>
      <c r="E16" s="134"/>
      <c r="F16" s="137"/>
      <c r="G16" s="137"/>
      <c r="H16" s="137"/>
      <c r="I16" s="137"/>
      <c r="J16" s="99"/>
    </row>
    <row r="17" spans="1:10" ht="15" x14ac:dyDescent="0.25">
      <c r="A17" s="101"/>
      <c r="B17" s="100"/>
      <c r="C17" s="104" t="s">
        <v>478</v>
      </c>
      <c r="D17" s="136">
        <v>263990000</v>
      </c>
      <c r="E17" s="134"/>
      <c r="F17" s="135"/>
      <c r="G17" s="135"/>
      <c r="H17" s="135"/>
      <c r="I17" s="135"/>
      <c r="J17" s="99"/>
    </row>
    <row r="18" spans="1:10" ht="15" x14ac:dyDescent="0.25">
      <c r="A18" s="101"/>
      <c r="B18" s="100"/>
      <c r="C18" s="104"/>
      <c r="D18" s="136"/>
      <c r="E18" s="134"/>
      <c r="F18" s="135"/>
      <c r="G18" s="135"/>
      <c r="H18" s="135"/>
      <c r="I18" s="135"/>
      <c r="J18" s="99"/>
    </row>
    <row r="19" spans="1:10" ht="15" x14ac:dyDescent="0.25">
      <c r="A19" s="101"/>
      <c r="B19" s="100"/>
      <c r="C19" s="104" t="s">
        <v>123</v>
      </c>
      <c r="D19" s="135"/>
      <c r="E19" s="134"/>
      <c r="F19" s="232">
        <f>Demographics!BG78</f>
        <v>3.9891527920634584E-3</v>
      </c>
      <c r="G19" s="232">
        <f>Demographics!BH78</f>
        <v>5.6130548404892809E-2</v>
      </c>
      <c r="H19" s="232">
        <f>Demographics!BI78</f>
        <v>0.27722873795054098</v>
      </c>
      <c r="I19" s="232">
        <f>Demographics!BJ78</f>
        <v>0.66265156085250276</v>
      </c>
      <c r="J19" s="99"/>
    </row>
    <row r="20" spans="1:10" ht="15" x14ac:dyDescent="0.25">
      <c r="A20" s="101"/>
      <c r="B20" s="100"/>
      <c r="C20" s="115" t="s">
        <v>122</v>
      </c>
      <c r="D20" s="133"/>
      <c r="E20" s="132"/>
      <c r="F20" s="229">
        <f>0.45/100</f>
        <v>4.5000000000000005E-3</v>
      </c>
      <c r="G20" s="229">
        <f>(7.12-0.45)/100</f>
        <v>6.6699999999999995E-2</v>
      </c>
      <c r="H20" s="229">
        <f>(40.32-7.12)/100</f>
        <v>0.33200000000000002</v>
      </c>
      <c r="I20" s="229">
        <f>(1-SUM(F20:H20))</f>
        <v>0.5968</v>
      </c>
      <c r="J20" s="99"/>
    </row>
    <row r="21" spans="1:10" ht="15" x14ac:dyDescent="0.25">
      <c r="A21" s="101"/>
      <c r="B21" s="131"/>
      <c r="C21" s="130"/>
      <c r="D21" s="113"/>
      <c r="E21" s="112"/>
      <c r="F21" s="113"/>
      <c r="G21" s="129"/>
      <c r="H21" s="129"/>
      <c r="I21" s="129"/>
      <c r="J21" s="99"/>
    </row>
    <row r="22" spans="1:10" ht="15" x14ac:dyDescent="0.25">
      <c r="A22" s="101"/>
      <c r="B22" s="100"/>
      <c r="C22" s="121" t="s">
        <v>121</v>
      </c>
      <c r="D22" s="127"/>
      <c r="E22" s="128"/>
      <c r="F22" s="127"/>
      <c r="G22" s="127"/>
      <c r="H22" s="127"/>
      <c r="I22" s="127"/>
      <c r="J22" s="99"/>
    </row>
    <row r="23" spans="1:10" ht="15" x14ac:dyDescent="0.25">
      <c r="A23" s="101"/>
      <c r="B23" s="100"/>
      <c r="C23" s="126"/>
      <c r="D23" s="124"/>
      <c r="E23" s="125"/>
      <c r="F23" s="124"/>
      <c r="G23" s="124"/>
      <c r="H23" s="124"/>
      <c r="I23" s="124"/>
      <c r="J23" s="99"/>
    </row>
    <row r="24" spans="1:10" ht="15" x14ac:dyDescent="0.25">
      <c r="A24" s="101"/>
      <c r="B24" s="100"/>
      <c r="C24" s="104" t="s">
        <v>120</v>
      </c>
      <c r="D24" s="235">
        <f>SUMPRODUCT(F24:I24,F19:I19)</f>
        <v>1.3015173216650817</v>
      </c>
      <c r="E24" s="123"/>
      <c r="F24" s="234">
        <f>Demographics!BK79</f>
        <v>0.63479000201866542</v>
      </c>
      <c r="G24" s="234">
        <f>Demographics!BL79</f>
        <v>0.66739017250141552</v>
      </c>
      <c r="H24" s="234">
        <f>Demographics!BM79</f>
        <v>0.77779402455794622</v>
      </c>
      <c r="I24" s="234">
        <f>Demographics!BN79</f>
        <v>1.5783516963491249</v>
      </c>
      <c r="J24" s="99"/>
    </row>
    <row r="25" spans="1:10" ht="15" x14ac:dyDescent="0.25">
      <c r="A25" s="101"/>
      <c r="B25" s="100"/>
      <c r="C25" s="114"/>
      <c r="D25" s="113"/>
      <c r="E25" s="112"/>
      <c r="F25" s="122"/>
      <c r="G25" s="122"/>
      <c r="H25" s="122"/>
      <c r="I25" s="122"/>
      <c r="J25" s="99"/>
    </row>
    <row r="26" spans="1:10" ht="15" x14ac:dyDescent="0.25">
      <c r="A26" s="101"/>
      <c r="B26" s="100"/>
      <c r="C26" s="121" t="s">
        <v>119</v>
      </c>
      <c r="D26" s="119"/>
      <c r="E26" s="120"/>
      <c r="F26" s="119"/>
      <c r="G26" s="119"/>
      <c r="H26" s="119"/>
      <c r="I26" s="119"/>
      <c r="J26" s="99"/>
    </row>
    <row r="27" spans="1:10" ht="15" x14ac:dyDescent="0.25">
      <c r="A27" s="101"/>
      <c r="B27" s="100"/>
      <c r="C27" s="118"/>
      <c r="D27" s="116"/>
      <c r="E27" s="117"/>
      <c r="F27" s="116"/>
      <c r="G27" s="116"/>
      <c r="H27" s="116"/>
      <c r="I27" s="116"/>
      <c r="J27" s="99"/>
    </row>
    <row r="28" spans="1:10" ht="15" x14ac:dyDescent="0.25">
      <c r="A28" s="101"/>
      <c r="B28" s="100"/>
      <c r="C28" s="115" t="s">
        <v>118</v>
      </c>
      <c r="D28" s="315">
        <f>D10/D11</f>
        <v>1.3625258285960844</v>
      </c>
      <c r="E28" s="316"/>
      <c r="F28" s="318">
        <f>F19*$D$16*F24/($D$11*1000000)</f>
        <v>2.7181998187340481E-3</v>
      </c>
      <c r="G28" s="317">
        <f>G19*$D$16*G24/($D$11*1000000)</f>
        <v>4.0211448994157274E-2</v>
      </c>
      <c r="H28" s="317">
        <f>H19*$D$16*H24/($D$11*1000000)</f>
        <v>0.23145868451958229</v>
      </c>
      <c r="I28" s="317">
        <f>I19*$D$16*I24/($D$11*1000000)</f>
        <v>1.1226894379650183</v>
      </c>
      <c r="J28" s="99"/>
    </row>
    <row r="29" spans="1:10" ht="15" x14ac:dyDescent="0.25">
      <c r="A29" s="101"/>
      <c r="B29" s="100"/>
      <c r="C29" s="114"/>
      <c r="D29" s="113"/>
      <c r="E29" s="112"/>
      <c r="F29" s="111"/>
      <c r="G29" s="111"/>
      <c r="H29" s="111"/>
      <c r="I29" s="111"/>
      <c r="J29" s="99"/>
    </row>
    <row r="30" spans="1:10" ht="15" x14ac:dyDescent="0.25">
      <c r="A30" s="101"/>
      <c r="B30" s="100"/>
      <c r="C30" s="110" t="s">
        <v>117</v>
      </c>
      <c r="D30" s="319">
        <v>0.49640000000000001</v>
      </c>
      <c r="E30" s="108"/>
      <c r="F30" s="107"/>
      <c r="G30" s="107"/>
      <c r="H30" s="107"/>
      <c r="I30" s="107"/>
      <c r="J30" s="99"/>
    </row>
    <row r="31" spans="1:10" ht="15" x14ac:dyDescent="0.25">
      <c r="A31" s="101"/>
      <c r="B31" s="100"/>
      <c r="C31" s="104"/>
      <c r="D31" s="109"/>
      <c r="E31" s="108"/>
      <c r="F31" s="107"/>
      <c r="G31" s="107"/>
      <c r="H31" s="107"/>
      <c r="I31" s="107"/>
      <c r="J31" s="99"/>
    </row>
    <row r="32" spans="1:10" ht="15" x14ac:dyDescent="0.25">
      <c r="A32" s="101"/>
      <c r="B32" s="100"/>
      <c r="C32" s="104" t="s">
        <v>116</v>
      </c>
      <c r="D32" s="236">
        <v>3846.864</v>
      </c>
      <c r="E32" s="102"/>
      <c r="F32" s="102"/>
      <c r="G32" s="102"/>
      <c r="H32" s="102"/>
      <c r="I32" s="102"/>
      <c r="J32" s="99"/>
    </row>
    <row r="33" spans="1:10" ht="15" x14ac:dyDescent="0.25">
      <c r="A33" s="101"/>
      <c r="B33" s="100"/>
      <c r="C33" s="106" t="s">
        <v>115</v>
      </c>
      <c r="D33" s="136">
        <v>263991379</v>
      </c>
      <c r="E33" s="105"/>
      <c r="F33" s="105"/>
      <c r="G33" s="105"/>
      <c r="H33" s="105"/>
      <c r="I33" s="105"/>
      <c r="J33" s="99"/>
    </row>
    <row r="34" spans="1:10" ht="12.75" customHeight="1" x14ac:dyDescent="0.25">
      <c r="A34" s="101"/>
      <c r="B34" s="100"/>
      <c r="C34" s="104"/>
      <c r="D34" s="103"/>
      <c r="E34" s="102"/>
      <c r="F34" s="102"/>
      <c r="G34" s="102"/>
      <c r="H34" s="102"/>
      <c r="I34" s="102"/>
      <c r="J34" s="99"/>
    </row>
    <row r="35" spans="1:10" ht="15" x14ac:dyDescent="0.25">
      <c r="A35" s="101"/>
      <c r="B35" s="100"/>
      <c r="C35" s="282" t="s">
        <v>114</v>
      </c>
      <c r="D35" s="283"/>
      <c r="E35" s="102"/>
      <c r="F35" s="284"/>
      <c r="G35" s="284"/>
      <c r="H35" s="284"/>
      <c r="I35" s="284"/>
      <c r="J35" s="99"/>
    </row>
    <row r="36" spans="1:10" ht="15" x14ac:dyDescent="0.25">
      <c r="A36" s="101"/>
      <c r="B36" s="100"/>
      <c r="C36" s="285" t="s">
        <v>113</v>
      </c>
      <c r="D36" s="283"/>
      <c r="E36" s="102"/>
      <c r="F36" s="284"/>
      <c r="G36" s="284"/>
      <c r="H36" s="284"/>
      <c r="I36" s="284"/>
      <c r="J36" s="99"/>
    </row>
    <row r="37" spans="1:10" ht="15" x14ac:dyDescent="0.25">
      <c r="A37" s="101"/>
      <c r="B37" s="100"/>
      <c r="C37" s="285" t="s">
        <v>532</v>
      </c>
      <c r="D37" s="283"/>
      <c r="E37" s="102"/>
      <c r="F37" s="284"/>
      <c r="G37" s="284"/>
      <c r="H37" s="284"/>
      <c r="I37" s="284"/>
      <c r="J37" s="99"/>
    </row>
    <row r="38" spans="1:10" ht="15" x14ac:dyDescent="0.25">
      <c r="A38" s="98"/>
      <c r="B38" s="100"/>
      <c r="C38" s="286" t="s">
        <v>535</v>
      </c>
      <c r="D38" s="98"/>
      <c r="E38" s="98"/>
      <c r="F38" s="98"/>
      <c r="G38" s="98"/>
      <c r="H38" s="98"/>
      <c r="I38" s="98"/>
      <c r="J38" s="99"/>
    </row>
    <row r="39" spans="1:10" ht="15.75" thickBot="1" x14ac:dyDescent="0.3">
      <c r="A39" s="98"/>
      <c r="B39" s="97"/>
      <c r="C39" s="96" t="s">
        <v>536</v>
      </c>
      <c r="D39" s="95"/>
      <c r="E39" s="95"/>
      <c r="F39" s="95"/>
      <c r="G39" s="95"/>
      <c r="H39" s="95"/>
      <c r="I39" s="95"/>
      <c r="J39" s="94"/>
    </row>
  </sheetData>
  <mergeCells count="6">
    <mergeCell ref="C6:I6"/>
    <mergeCell ref="F8:H8"/>
    <mergeCell ref="F12:I12"/>
    <mergeCell ref="D2:J2"/>
    <mergeCell ref="D3:I3"/>
    <mergeCell ref="C5:I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44"/>
  <sheetViews>
    <sheetView showGridLines="0" zoomScale="90" zoomScaleNormal="90" workbookViewId="0">
      <selection activeCell="B47" sqref="B47"/>
    </sheetView>
  </sheetViews>
  <sheetFormatPr defaultColWidth="9.140625" defaultRowHeight="12.75" x14ac:dyDescent="0.2"/>
  <cols>
    <col min="1" max="1" width="5.7109375" style="47" customWidth="1"/>
    <col min="2" max="2" width="127.5703125" style="47" customWidth="1"/>
    <col min="3" max="3" width="9.140625" style="47"/>
    <col min="4" max="4" width="20.85546875" style="47" customWidth="1"/>
    <col min="5" max="16384" width="9.140625" style="47"/>
  </cols>
  <sheetData>
    <row r="1" spans="1:3" ht="13.15" x14ac:dyDescent="0.25">
      <c r="C1" s="92"/>
    </row>
    <row r="2" spans="1:3" ht="21" x14ac:dyDescent="0.4">
      <c r="B2" s="44" t="s">
        <v>135</v>
      </c>
    </row>
    <row r="3" spans="1:3" s="65" customFormat="1" ht="13.15" x14ac:dyDescent="0.25">
      <c r="B3" s="66"/>
    </row>
    <row r="4" spans="1:3" ht="17.45" x14ac:dyDescent="0.3">
      <c r="B4" s="64" t="s">
        <v>143</v>
      </c>
    </row>
    <row r="5" spans="1:3" ht="17.45" x14ac:dyDescent="0.3">
      <c r="A5" s="63"/>
    </row>
    <row r="6" spans="1:3" ht="17.45" x14ac:dyDescent="0.3">
      <c r="A6" s="63"/>
      <c r="B6" s="62" t="s">
        <v>86</v>
      </c>
    </row>
    <row r="8" spans="1:3" s="56" customFormat="1" ht="13.15" x14ac:dyDescent="0.3">
      <c r="B8" s="57" t="s">
        <v>83</v>
      </c>
    </row>
    <row r="9" spans="1:3" s="56" customFormat="1" ht="13.15" x14ac:dyDescent="0.3">
      <c r="B9" s="57"/>
    </row>
    <row r="10" spans="1:3" ht="38.25" x14ac:dyDescent="0.2">
      <c r="A10" s="395"/>
      <c r="B10" s="383" t="s">
        <v>762</v>
      </c>
    </row>
    <row r="11" spans="1:3" ht="51" x14ac:dyDescent="0.2">
      <c r="A11" s="395"/>
      <c r="B11" s="383" t="s">
        <v>754</v>
      </c>
    </row>
    <row r="12" spans="1:3" ht="38.25" x14ac:dyDescent="0.2">
      <c r="A12" s="395"/>
      <c r="B12" s="383" t="s">
        <v>763</v>
      </c>
    </row>
    <row r="13" spans="1:3" ht="63.75" x14ac:dyDescent="0.2">
      <c r="A13" s="395"/>
      <c r="B13" s="383" t="s">
        <v>764</v>
      </c>
    </row>
    <row r="14" spans="1:3" s="61" customFormat="1" ht="38.25" x14ac:dyDescent="0.25">
      <c r="A14" s="395"/>
      <c r="B14" s="383" t="s">
        <v>765</v>
      </c>
    </row>
    <row r="15" spans="1:3" ht="13.15" x14ac:dyDescent="0.25">
      <c r="A15" s="369"/>
      <c r="B15" s="59"/>
    </row>
    <row r="16" spans="1:3" s="49" customFormat="1" ht="13.15" x14ac:dyDescent="0.3">
      <c r="A16" s="51"/>
      <c r="B16" s="54" t="s">
        <v>82</v>
      </c>
    </row>
    <row r="17" spans="1:2" s="49" customFormat="1" x14ac:dyDescent="0.25">
      <c r="A17" s="51"/>
      <c r="B17" s="54"/>
    </row>
    <row r="18" spans="1:2" ht="89.25" x14ac:dyDescent="0.2">
      <c r="A18" s="369"/>
      <c r="B18" s="383" t="s">
        <v>757</v>
      </c>
    </row>
    <row r="19" spans="1:2" ht="89.25" x14ac:dyDescent="0.2">
      <c r="A19" s="369"/>
      <c r="B19" s="383" t="s">
        <v>766</v>
      </c>
    </row>
    <row r="20" spans="1:2" ht="63.75" x14ac:dyDescent="0.2">
      <c r="A20" s="369"/>
      <c r="B20" s="383" t="s">
        <v>767</v>
      </c>
    </row>
    <row r="21" spans="1:2" x14ac:dyDescent="0.2">
      <c r="A21" s="369"/>
      <c r="B21" s="59"/>
    </row>
    <row r="22" spans="1:2" s="49" customFormat="1" x14ac:dyDescent="0.25">
      <c r="A22" s="51"/>
      <c r="B22" s="50" t="s">
        <v>62</v>
      </c>
    </row>
    <row r="23" spans="1:2" s="49" customFormat="1" x14ac:dyDescent="0.25">
      <c r="A23" s="51"/>
      <c r="B23" s="50"/>
    </row>
    <row r="24" spans="1:2" x14ac:dyDescent="0.2">
      <c r="A24" s="369"/>
      <c r="B24" s="383" t="s">
        <v>139</v>
      </c>
    </row>
    <row r="25" spans="1:2" x14ac:dyDescent="0.2">
      <c r="A25" s="369"/>
      <c r="B25" s="59"/>
    </row>
    <row r="26" spans="1:2" x14ac:dyDescent="0.2">
      <c r="A26" s="369"/>
      <c r="B26" s="60" t="s">
        <v>85</v>
      </c>
    </row>
    <row r="27" spans="1:2" x14ac:dyDescent="0.2">
      <c r="A27" s="369"/>
      <c r="B27" s="60"/>
    </row>
    <row r="28" spans="1:2" ht="102" x14ac:dyDescent="0.2">
      <c r="A28" s="369"/>
      <c r="B28" s="383" t="s">
        <v>758</v>
      </c>
    </row>
    <row r="29" spans="1:2" x14ac:dyDescent="0.2">
      <c r="A29" s="369"/>
      <c r="B29" s="59"/>
    </row>
    <row r="30" spans="1:2" x14ac:dyDescent="0.2">
      <c r="A30" s="369"/>
      <c r="B30" s="58" t="s">
        <v>84</v>
      </c>
    </row>
    <row r="31" spans="1:2" x14ac:dyDescent="0.2">
      <c r="A31" s="369"/>
      <c r="B31" s="58"/>
    </row>
    <row r="32" spans="1:2" s="56" customFormat="1" x14ac:dyDescent="0.25">
      <c r="B32" s="57" t="s">
        <v>83</v>
      </c>
    </row>
    <row r="33" spans="1:2" x14ac:dyDescent="0.2">
      <c r="A33" s="369"/>
      <c r="B33" s="55"/>
    </row>
    <row r="34" spans="1:2" ht="89.25" x14ac:dyDescent="0.2">
      <c r="A34" s="369"/>
      <c r="B34" s="384" t="s">
        <v>768</v>
      </c>
    </row>
    <row r="35" spans="1:2" ht="102" x14ac:dyDescent="0.2">
      <c r="A35" s="369"/>
      <c r="B35" s="384" t="s">
        <v>769</v>
      </c>
    </row>
    <row r="36" spans="1:2" x14ac:dyDescent="0.2">
      <c r="A36" s="369"/>
      <c r="B36" s="52"/>
    </row>
    <row r="37" spans="1:2" s="49" customFormat="1" x14ac:dyDescent="0.25">
      <c r="A37" s="51"/>
      <c r="B37" s="54" t="s">
        <v>82</v>
      </c>
    </row>
    <row r="38" spans="1:2" s="49" customFormat="1" x14ac:dyDescent="0.25">
      <c r="A38" s="51"/>
      <c r="B38" s="385" t="s">
        <v>139</v>
      </c>
    </row>
    <row r="39" spans="1:2" x14ac:dyDescent="0.2">
      <c r="A39" s="369"/>
      <c r="B39" s="384"/>
    </row>
    <row r="40" spans="1:2" x14ac:dyDescent="0.2">
      <c r="A40" s="369"/>
      <c r="B40" s="52"/>
    </row>
    <row r="41" spans="1:2" s="49" customFormat="1" x14ac:dyDescent="0.25">
      <c r="A41" s="51"/>
      <c r="B41" s="50" t="s">
        <v>62</v>
      </c>
    </row>
    <row r="42" spans="1:2" s="49" customFormat="1" ht="72.75" customHeight="1" x14ac:dyDescent="0.25">
      <c r="A42" s="51"/>
      <c r="B42" s="386" t="s">
        <v>770</v>
      </c>
    </row>
    <row r="43" spans="1:2" x14ac:dyDescent="0.2">
      <c r="B43" s="384"/>
    </row>
    <row r="44" spans="1:2" x14ac:dyDescent="0.2">
      <c r="B44" s="48" t="str">
        <f>'Cover Page'!$E$1</f>
        <v>Last updated: 07/17/2017</v>
      </c>
    </row>
  </sheetData>
  <mergeCells count="1">
    <mergeCell ref="A10:A14"/>
  </mergeCells>
  <pageMargins left="0.75" right="0.75" top="1" bottom="1" header="0.5" footer="0.5"/>
  <pageSetup scale="5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D41"/>
  <sheetViews>
    <sheetView showGridLines="0" zoomScale="90" zoomScaleNormal="90" workbookViewId="0">
      <selection activeCell="B39" sqref="B39"/>
    </sheetView>
  </sheetViews>
  <sheetFormatPr defaultColWidth="9.140625" defaultRowHeight="12.75" x14ac:dyDescent="0.2"/>
  <cols>
    <col min="1" max="1" width="5.7109375" style="47" customWidth="1"/>
    <col min="2" max="2" width="127.5703125" style="47" customWidth="1"/>
    <col min="3" max="3" width="9.140625" style="47"/>
    <col min="4" max="4" width="20.85546875" style="47" customWidth="1"/>
    <col min="5" max="16384" width="9.140625" style="47"/>
  </cols>
  <sheetData>
    <row r="1" spans="1:3" ht="13.15" x14ac:dyDescent="0.25">
      <c r="C1" s="92"/>
    </row>
    <row r="2" spans="1:3" ht="21" x14ac:dyDescent="0.4">
      <c r="B2" s="44" t="s">
        <v>135</v>
      </c>
    </row>
    <row r="3" spans="1:3" s="65" customFormat="1" ht="13.15" x14ac:dyDescent="0.25">
      <c r="B3" s="66"/>
    </row>
    <row r="4" spans="1:3" ht="17.45" x14ac:dyDescent="0.3">
      <c r="B4" s="64" t="s">
        <v>144</v>
      </c>
    </row>
    <row r="5" spans="1:3" ht="17.45" x14ac:dyDescent="0.3">
      <c r="A5" s="63"/>
    </row>
    <row r="6" spans="1:3" ht="17.45" x14ac:dyDescent="0.3">
      <c r="A6" s="63"/>
      <c r="B6" s="62" t="s">
        <v>86</v>
      </c>
    </row>
    <row r="8" spans="1:3" s="56" customFormat="1" ht="13.15" x14ac:dyDescent="0.3">
      <c r="B8" s="57" t="s">
        <v>83</v>
      </c>
    </row>
    <row r="9" spans="1:3" s="56" customFormat="1" ht="13.15" x14ac:dyDescent="0.3">
      <c r="B9" s="57"/>
    </row>
    <row r="10" spans="1:3" ht="25.5" x14ac:dyDescent="0.2">
      <c r="A10" s="395"/>
      <c r="B10" s="383" t="s">
        <v>771</v>
      </c>
    </row>
    <row r="11" spans="1:3" ht="51" x14ac:dyDescent="0.2">
      <c r="A11" s="395"/>
      <c r="B11" s="383" t="s">
        <v>772</v>
      </c>
    </row>
    <row r="12" spans="1:3" ht="51" x14ac:dyDescent="0.2">
      <c r="A12" s="395"/>
      <c r="B12" s="383" t="s">
        <v>755</v>
      </c>
    </row>
    <row r="13" spans="1:3" s="61" customFormat="1" ht="38.25" x14ac:dyDescent="0.25">
      <c r="A13" s="395"/>
      <c r="B13" s="383" t="s">
        <v>756</v>
      </c>
    </row>
    <row r="14" spans="1:3" ht="13.15" x14ac:dyDescent="0.25">
      <c r="A14" s="53"/>
      <c r="B14" s="59"/>
    </row>
    <row r="15" spans="1:3" s="49" customFormat="1" ht="13.15" x14ac:dyDescent="0.3">
      <c r="A15" s="51"/>
      <c r="B15" s="54" t="s">
        <v>82</v>
      </c>
    </row>
    <row r="16" spans="1:3" s="49" customFormat="1" ht="13.15" x14ac:dyDescent="0.3">
      <c r="A16" s="51"/>
      <c r="B16" s="54"/>
    </row>
    <row r="17" spans="1:16384" ht="13.15" x14ac:dyDescent="0.25">
      <c r="A17" s="53"/>
      <c r="B17" s="383" t="s">
        <v>139</v>
      </c>
    </row>
    <row r="18" spans="1:16384" ht="13.15" x14ac:dyDescent="0.25">
      <c r="A18" s="53"/>
      <c r="B18" s="59"/>
    </row>
    <row r="19" spans="1:16384" s="49" customFormat="1" ht="13.15" x14ac:dyDescent="0.3">
      <c r="A19" s="51"/>
      <c r="B19" s="50" t="s">
        <v>62</v>
      </c>
    </row>
    <row r="20" spans="1:16384" s="49" customFormat="1" x14ac:dyDescent="0.25">
      <c r="A20" s="51"/>
      <c r="B20" s="50"/>
    </row>
    <row r="21" spans="1:16384" x14ac:dyDescent="0.2">
      <c r="A21" s="53"/>
      <c r="B21" s="386" t="s">
        <v>139</v>
      </c>
    </row>
    <row r="22" spans="1:16384" x14ac:dyDescent="0.2">
      <c r="A22" s="53"/>
      <c r="B22" s="59"/>
    </row>
    <row r="23" spans="1:16384" x14ac:dyDescent="0.2">
      <c r="A23" s="53"/>
      <c r="B23" s="60" t="s">
        <v>85</v>
      </c>
    </row>
    <row r="24" spans="1:16384" x14ac:dyDescent="0.2">
      <c r="A24" s="53"/>
      <c r="B24" s="60"/>
    </row>
    <row r="25" spans="1:16384" ht="63.75" x14ac:dyDescent="0.2">
      <c r="A25" s="53"/>
      <c r="B25" s="383" t="s">
        <v>760</v>
      </c>
    </row>
    <row r="26" spans="1:16384" x14ac:dyDescent="0.2">
      <c r="A26" s="53"/>
      <c r="B26" s="59"/>
    </row>
    <row r="27" spans="1:16384" x14ac:dyDescent="0.2">
      <c r="A27" s="53"/>
      <c r="B27" s="58" t="s">
        <v>84</v>
      </c>
    </row>
    <row r="28" spans="1:16384" x14ac:dyDescent="0.2">
      <c r="A28" s="53"/>
      <c r="B28" s="58"/>
    </row>
    <row r="29" spans="1:16384" s="56" customFormat="1" x14ac:dyDescent="0.25">
      <c r="B29" s="57" t="s">
        <v>83</v>
      </c>
    </row>
    <row r="30" spans="1:16384" x14ac:dyDescent="0.2">
      <c r="A30" s="53"/>
      <c r="B30" s="55"/>
    </row>
    <row r="31" spans="1:16384" ht="102" x14ac:dyDescent="0.2">
      <c r="A31" s="384"/>
      <c r="B31" s="384" t="s">
        <v>759</v>
      </c>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4"/>
      <c r="BM31" s="384"/>
      <c r="BN31" s="384"/>
      <c r="BO31" s="384"/>
      <c r="BP31" s="384"/>
      <c r="BQ31" s="384"/>
      <c r="BR31" s="384"/>
      <c r="BS31" s="384"/>
      <c r="BT31" s="384"/>
      <c r="BU31" s="384"/>
      <c r="BV31" s="384"/>
      <c r="BW31" s="384"/>
      <c r="BX31" s="384"/>
      <c r="BY31" s="384"/>
      <c r="BZ31" s="384"/>
      <c r="CA31" s="384"/>
      <c r="CB31" s="384"/>
      <c r="CC31" s="384"/>
      <c r="CD31" s="384"/>
      <c r="CE31" s="384"/>
      <c r="CF31" s="384"/>
      <c r="CG31" s="384"/>
      <c r="CH31" s="384"/>
      <c r="CI31" s="384"/>
      <c r="CJ31" s="384"/>
      <c r="CK31" s="384"/>
      <c r="CL31" s="384"/>
      <c r="CM31" s="384"/>
      <c r="CN31" s="384"/>
      <c r="CO31" s="384"/>
      <c r="CP31" s="384"/>
      <c r="CQ31" s="384"/>
      <c r="CR31" s="384"/>
      <c r="CS31" s="384"/>
      <c r="CT31" s="384"/>
      <c r="CU31" s="384"/>
      <c r="CV31" s="384"/>
      <c r="CW31" s="384"/>
      <c r="CX31" s="384"/>
      <c r="CY31" s="384"/>
      <c r="CZ31" s="384"/>
      <c r="DA31" s="384"/>
      <c r="DB31" s="384"/>
      <c r="DC31" s="384"/>
      <c r="DD31" s="384"/>
      <c r="DE31" s="384"/>
      <c r="DF31" s="384"/>
      <c r="DG31" s="384"/>
      <c r="DH31" s="384"/>
      <c r="DI31" s="384"/>
      <c r="DJ31" s="384"/>
      <c r="DK31" s="384"/>
      <c r="DL31" s="384"/>
      <c r="DM31" s="384"/>
      <c r="DN31" s="384"/>
      <c r="DO31" s="384"/>
      <c r="DP31" s="384"/>
      <c r="DQ31" s="384"/>
      <c r="DR31" s="384"/>
      <c r="DS31" s="384"/>
      <c r="DT31" s="384"/>
      <c r="DU31" s="384"/>
      <c r="DV31" s="384"/>
      <c r="DW31" s="384"/>
      <c r="DX31" s="384"/>
      <c r="DY31" s="384"/>
      <c r="DZ31" s="384"/>
      <c r="EA31" s="384"/>
      <c r="EB31" s="384"/>
      <c r="EC31" s="384"/>
      <c r="ED31" s="384"/>
      <c r="EE31" s="384"/>
      <c r="EF31" s="384"/>
      <c r="EG31" s="384"/>
      <c r="EH31" s="384"/>
      <c r="EI31" s="384"/>
      <c r="EJ31" s="384"/>
      <c r="EK31" s="384"/>
      <c r="EL31" s="384"/>
      <c r="EM31" s="384"/>
      <c r="EN31" s="384"/>
      <c r="EO31" s="384"/>
      <c r="EP31" s="384"/>
      <c r="EQ31" s="384"/>
      <c r="ER31" s="384"/>
      <c r="ES31" s="384"/>
      <c r="ET31" s="384"/>
      <c r="EU31" s="384"/>
      <c r="EV31" s="384"/>
      <c r="EW31" s="384"/>
      <c r="EX31" s="384"/>
      <c r="EY31" s="384"/>
      <c r="EZ31" s="384"/>
      <c r="FA31" s="384"/>
      <c r="FB31" s="384"/>
      <c r="FC31" s="384"/>
      <c r="FD31" s="384"/>
      <c r="FE31" s="384"/>
      <c r="FF31" s="384"/>
      <c r="FG31" s="384"/>
      <c r="FH31" s="384"/>
      <c r="FI31" s="384"/>
      <c r="FJ31" s="384"/>
      <c r="FK31" s="384"/>
      <c r="FL31" s="384"/>
      <c r="FM31" s="384"/>
      <c r="FN31" s="384"/>
      <c r="FO31" s="384"/>
      <c r="FP31" s="384"/>
      <c r="FQ31" s="384"/>
      <c r="FR31" s="384"/>
      <c r="FS31" s="384"/>
      <c r="FT31" s="384"/>
      <c r="FU31" s="384"/>
      <c r="FV31" s="384"/>
      <c r="FW31" s="384"/>
      <c r="FX31" s="384"/>
      <c r="FY31" s="384"/>
      <c r="FZ31" s="384"/>
      <c r="GA31" s="384"/>
      <c r="GB31" s="384"/>
      <c r="GC31" s="384"/>
      <c r="GD31" s="384"/>
      <c r="GE31" s="384"/>
      <c r="GF31" s="384"/>
      <c r="GG31" s="384"/>
      <c r="GH31" s="384"/>
      <c r="GI31" s="384"/>
      <c r="GJ31" s="384"/>
      <c r="GK31" s="384"/>
      <c r="GL31" s="384"/>
      <c r="GM31" s="384"/>
      <c r="GN31" s="384"/>
      <c r="GO31" s="384"/>
      <c r="GP31" s="384"/>
      <c r="GQ31" s="384"/>
      <c r="GR31" s="384"/>
      <c r="GS31" s="384"/>
      <c r="GT31" s="384"/>
      <c r="GU31" s="384"/>
      <c r="GV31" s="384"/>
      <c r="GW31" s="384"/>
      <c r="GX31" s="384"/>
      <c r="GY31" s="384"/>
      <c r="GZ31" s="384"/>
      <c r="HA31" s="384"/>
      <c r="HB31" s="384"/>
      <c r="HC31" s="384"/>
      <c r="HD31" s="384"/>
      <c r="HE31" s="384"/>
      <c r="HF31" s="384"/>
      <c r="HG31" s="384"/>
      <c r="HH31" s="384"/>
      <c r="HI31" s="384"/>
      <c r="HJ31" s="384"/>
      <c r="HK31" s="384"/>
      <c r="HL31" s="384"/>
      <c r="HM31" s="384"/>
      <c r="HN31" s="384"/>
      <c r="HO31" s="384"/>
      <c r="HP31" s="384"/>
      <c r="HQ31" s="384"/>
      <c r="HR31" s="384"/>
      <c r="HS31" s="384"/>
      <c r="HT31" s="384"/>
      <c r="HU31" s="384"/>
      <c r="HV31" s="384"/>
      <c r="HW31" s="384"/>
      <c r="HX31" s="384"/>
      <c r="HY31" s="384"/>
      <c r="HZ31" s="384"/>
      <c r="IA31" s="384"/>
      <c r="IB31" s="384"/>
      <c r="IC31" s="384"/>
      <c r="ID31" s="384"/>
      <c r="IE31" s="384"/>
      <c r="IF31" s="384"/>
      <c r="IG31" s="384"/>
      <c r="IH31" s="384"/>
      <c r="II31" s="384"/>
      <c r="IJ31" s="384"/>
      <c r="IK31" s="384"/>
      <c r="IL31" s="384"/>
      <c r="IM31" s="384"/>
      <c r="IN31" s="384"/>
      <c r="IO31" s="384"/>
      <c r="IP31" s="384"/>
      <c r="IQ31" s="384"/>
      <c r="IR31" s="384"/>
      <c r="IS31" s="384"/>
      <c r="IT31" s="384"/>
      <c r="IU31" s="384"/>
      <c r="IV31" s="384"/>
      <c r="IW31" s="384"/>
      <c r="IX31" s="384"/>
      <c r="IY31" s="384"/>
      <c r="IZ31" s="384"/>
      <c r="JA31" s="384"/>
      <c r="JB31" s="384"/>
      <c r="JC31" s="384"/>
      <c r="JD31" s="384"/>
      <c r="JE31" s="384"/>
      <c r="JF31" s="384"/>
      <c r="JG31" s="384"/>
      <c r="JH31" s="384"/>
      <c r="JI31" s="384"/>
      <c r="JJ31" s="384"/>
      <c r="JK31" s="384"/>
      <c r="JL31" s="384"/>
      <c r="JM31" s="384"/>
      <c r="JN31" s="384"/>
      <c r="JO31" s="384"/>
      <c r="JP31" s="384"/>
      <c r="JQ31" s="384"/>
      <c r="JR31" s="384"/>
      <c r="JS31" s="384"/>
      <c r="JT31" s="384"/>
      <c r="JU31" s="384"/>
      <c r="JV31" s="384"/>
      <c r="JW31" s="384"/>
      <c r="JX31" s="384"/>
      <c r="JY31" s="384"/>
      <c r="JZ31" s="384"/>
      <c r="KA31" s="384"/>
      <c r="KB31" s="384"/>
      <c r="KC31" s="384"/>
      <c r="KD31" s="384"/>
      <c r="KE31" s="384"/>
      <c r="KF31" s="384"/>
      <c r="KG31" s="384"/>
      <c r="KH31" s="384"/>
      <c r="KI31" s="384"/>
      <c r="KJ31" s="384"/>
      <c r="KK31" s="384"/>
      <c r="KL31" s="384"/>
      <c r="KM31" s="384"/>
      <c r="KN31" s="384"/>
      <c r="KO31" s="384"/>
      <c r="KP31" s="384"/>
      <c r="KQ31" s="384"/>
      <c r="KR31" s="384"/>
      <c r="KS31" s="384"/>
      <c r="KT31" s="384"/>
      <c r="KU31" s="384"/>
      <c r="KV31" s="384"/>
      <c r="KW31" s="384"/>
      <c r="KX31" s="384"/>
      <c r="KY31" s="384"/>
      <c r="KZ31" s="384"/>
      <c r="LA31" s="384"/>
      <c r="LB31" s="384"/>
      <c r="LC31" s="384"/>
      <c r="LD31" s="384"/>
      <c r="LE31" s="384"/>
      <c r="LF31" s="384"/>
      <c r="LG31" s="384"/>
      <c r="LH31" s="384"/>
      <c r="LI31" s="384"/>
      <c r="LJ31" s="384"/>
      <c r="LK31" s="384"/>
      <c r="LL31" s="384"/>
      <c r="LM31" s="384"/>
      <c r="LN31" s="384"/>
      <c r="LO31" s="384"/>
      <c r="LP31" s="384"/>
      <c r="LQ31" s="384"/>
      <c r="LR31" s="384"/>
      <c r="LS31" s="384"/>
      <c r="LT31" s="384"/>
      <c r="LU31" s="384"/>
      <c r="LV31" s="384"/>
      <c r="LW31" s="384"/>
      <c r="LX31" s="384"/>
      <c r="LY31" s="384"/>
      <c r="LZ31" s="384"/>
      <c r="MA31" s="384"/>
      <c r="MB31" s="384"/>
      <c r="MC31" s="384"/>
      <c r="MD31" s="384"/>
      <c r="ME31" s="384"/>
      <c r="MF31" s="384"/>
      <c r="MG31" s="384"/>
      <c r="MH31" s="384"/>
      <c r="MI31" s="384"/>
      <c r="MJ31" s="384"/>
      <c r="MK31" s="384"/>
      <c r="ML31" s="384"/>
      <c r="MM31" s="384"/>
      <c r="MN31" s="384"/>
      <c r="MO31" s="384"/>
      <c r="MP31" s="384"/>
      <c r="MQ31" s="384"/>
      <c r="MR31" s="384"/>
      <c r="MS31" s="384"/>
      <c r="MT31" s="384"/>
      <c r="MU31" s="384"/>
      <c r="MV31" s="384"/>
      <c r="MW31" s="384"/>
      <c r="MX31" s="384"/>
      <c r="MY31" s="384"/>
      <c r="MZ31" s="384"/>
      <c r="NA31" s="384"/>
      <c r="NB31" s="384"/>
      <c r="NC31" s="384"/>
      <c r="ND31" s="384"/>
      <c r="NE31" s="384"/>
      <c r="NF31" s="384"/>
      <c r="NG31" s="384"/>
      <c r="NH31" s="384"/>
      <c r="NI31" s="384"/>
      <c r="NJ31" s="384"/>
      <c r="NK31" s="384"/>
      <c r="NL31" s="384"/>
      <c r="NM31" s="384"/>
      <c r="NN31" s="384"/>
      <c r="NO31" s="384"/>
      <c r="NP31" s="384"/>
      <c r="NQ31" s="384"/>
      <c r="NR31" s="384"/>
      <c r="NS31" s="384"/>
      <c r="NT31" s="384"/>
      <c r="NU31" s="384"/>
      <c r="NV31" s="384"/>
      <c r="NW31" s="384"/>
      <c r="NX31" s="384"/>
      <c r="NY31" s="384"/>
      <c r="NZ31" s="384"/>
      <c r="OA31" s="384"/>
      <c r="OB31" s="384"/>
      <c r="OC31" s="384"/>
      <c r="OD31" s="384"/>
      <c r="OE31" s="384"/>
      <c r="OF31" s="384"/>
      <c r="OG31" s="384"/>
      <c r="OH31" s="384"/>
      <c r="OI31" s="384"/>
      <c r="OJ31" s="384"/>
      <c r="OK31" s="384"/>
      <c r="OL31" s="384"/>
      <c r="OM31" s="384"/>
      <c r="ON31" s="384"/>
      <c r="OO31" s="384"/>
      <c r="OP31" s="384"/>
      <c r="OQ31" s="384"/>
      <c r="OR31" s="384"/>
      <c r="OS31" s="384"/>
      <c r="OT31" s="384"/>
      <c r="OU31" s="384"/>
      <c r="OV31" s="384"/>
      <c r="OW31" s="384"/>
      <c r="OX31" s="384"/>
      <c r="OY31" s="384"/>
      <c r="OZ31" s="384"/>
      <c r="PA31" s="384"/>
      <c r="PB31" s="384"/>
      <c r="PC31" s="384"/>
      <c r="PD31" s="384"/>
      <c r="PE31" s="384"/>
      <c r="PF31" s="384"/>
      <c r="PG31" s="384"/>
      <c r="PH31" s="384"/>
      <c r="PI31" s="384"/>
      <c r="PJ31" s="384"/>
      <c r="PK31" s="384"/>
      <c r="PL31" s="384"/>
      <c r="PM31" s="384"/>
      <c r="PN31" s="384"/>
      <c r="PO31" s="384"/>
      <c r="PP31" s="384"/>
      <c r="PQ31" s="384"/>
      <c r="PR31" s="384"/>
      <c r="PS31" s="384"/>
      <c r="PT31" s="384"/>
      <c r="PU31" s="384"/>
      <c r="PV31" s="384"/>
      <c r="PW31" s="384"/>
      <c r="PX31" s="384"/>
      <c r="PY31" s="384"/>
      <c r="PZ31" s="384"/>
      <c r="QA31" s="384"/>
      <c r="QB31" s="384"/>
      <c r="QC31" s="384"/>
      <c r="QD31" s="384"/>
      <c r="QE31" s="384"/>
      <c r="QF31" s="384"/>
      <c r="QG31" s="384"/>
      <c r="QH31" s="384"/>
      <c r="QI31" s="384"/>
      <c r="QJ31" s="384"/>
      <c r="QK31" s="384"/>
      <c r="QL31" s="384"/>
      <c r="QM31" s="384"/>
      <c r="QN31" s="384"/>
      <c r="QO31" s="384"/>
      <c r="QP31" s="384"/>
      <c r="QQ31" s="384"/>
      <c r="QR31" s="384"/>
      <c r="QS31" s="384"/>
      <c r="QT31" s="384"/>
      <c r="QU31" s="384"/>
      <c r="QV31" s="384"/>
      <c r="QW31" s="384"/>
      <c r="QX31" s="384"/>
      <c r="QY31" s="384"/>
      <c r="QZ31" s="384"/>
      <c r="RA31" s="384"/>
      <c r="RB31" s="384"/>
      <c r="RC31" s="384"/>
      <c r="RD31" s="384"/>
      <c r="RE31" s="384"/>
      <c r="RF31" s="384"/>
      <c r="RG31" s="384"/>
      <c r="RH31" s="384"/>
      <c r="RI31" s="384"/>
      <c r="RJ31" s="384"/>
      <c r="RK31" s="384"/>
      <c r="RL31" s="384"/>
      <c r="RM31" s="384"/>
      <c r="RN31" s="384"/>
      <c r="RO31" s="384"/>
      <c r="RP31" s="384"/>
      <c r="RQ31" s="384"/>
      <c r="RR31" s="384"/>
      <c r="RS31" s="384"/>
      <c r="RT31" s="384"/>
      <c r="RU31" s="384"/>
      <c r="RV31" s="384"/>
      <c r="RW31" s="384"/>
      <c r="RX31" s="384"/>
      <c r="RY31" s="384"/>
      <c r="RZ31" s="384"/>
      <c r="SA31" s="384"/>
      <c r="SB31" s="384"/>
      <c r="SC31" s="384"/>
      <c r="SD31" s="384"/>
      <c r="SE31" s="384"/>
      <c r="SF31" s="384"/>
      <c r="SG31" s="384"/>
      <c r="SH31" s="384"/>
      <c r="SI31" s="384"/>
      <c r="SJ31" s="384"/>
      <c r="SK31" s="384"/>
      <c r="SL31" s="384"/>
      <c r="SM31" s="384"/>
      <c r="SN31" s="384"/>
      <c r="SO31" s="384"/>
      <c r="SP31" s="384"/>
      <c r="SQ31" s="384"/>
      <c r="SR31" s="384"/>
      <c r="SS31" s="384"/>
      <c r="ST31" s="384"/>
      <c r="SU31" s="384"/>
      <c r="SV31" s="384"/>
      <c r="SW31" s="384"/>
      <c r="SX31" s="384"/>
      <c r="SY31" s="384"/>
      <c r="SZ31" s="384"/>
      <c r="TA31" s="384"/>
      <c r="TB31" s="384"/>
      <c r="TC31" s="384"/>
      <c r="TD31" s="384"/>
      <c r="TE31" s="384"/>
      <c r="TF31" s="384"/>
      <c r="TG31" s="384"/>
      <c r="TH31" s="384"/>
      <c r="TI31" s="384"/>
      <c r="TJ31" s="384"/>
      <c r="TK31" s="384"/>
      <c r="TL31" s="384"/>
      <c r="TM31" s="384"/>
      <c r="TN31" s="384"/>
      <c r="TO31" s="384"/>
      <c r="TP31" s="384"/>
      <c r="TQ31" s="384"/>
      <c r="TR31" s="384"/>
      <c r="TS31" s="384"/>
      <c r="TT31" s="384"/>
      <c r="TU31" s="384"/>
      <c r="TV31" s="384"/>
      <c r="TW31" s="384"/>
      <c r="TX31" s="384"/>
      <c r="TY31" s="384"/>
      <c r="TZ31" s="384"/>
      <c r="UA31" s="384"/>
      <c r="UB31" s="384"/>
      <c r="UC31" s="384"/>
      <c r="UD31" s="384"/>
      <c r="UE31" s="384"/>
      <c r="UF31" s="384"/>
      <c r="UG31" s="384"/>
      <c r="UH31" s="384"/>
      <c r="UI31" s="384"/>
      <c r="UJ31" s="384"/>
      <c r="UK31" s="384"/>
      <c r="UL31" s="384"/>
      <c r="UM31" s="384"/>
      <c r="UN31" s="384"/>
      <c r="UO31" s="384"/>
      <c r="UP31" s="384"/>
      <c r="UQ31" s="384"/>
      <c r="UR31" s="384"/>
      <c r="US31" s="384"/>
      <c r="UT31" s="384"/>
      <c r="UU31" s="384"/>
      <c r="UV31" s="384"/>
      <c r="UW31" s="384"/>
      <c r="UX31" s="384"/>
      <c r="UY31" s="384"/>
      <c r="UZ31" s="384"/>
      <c r="VA31" s="384"/>
      <c r="VB31" s="384"/>
      <c r="VC31" s="384"/>
      <c r="VD31" s="384"/>
      <c r="VE31" s="384"/>
      <c r="VF31" s="384"/>
      <c r="VG31" s="384"/>
      <c r="VH31" s="384"/>
      <c r="VI31" s="384"/>
      <c r="VJ31" s="384"/>
      <c r="VK31" s="384"/>
      <c r="VL31" s="384"/>
      <c r="VM31" s="384"/>
      <c r="VN31" s="384"/>
      <c r="VO31" s="384"/>
      <c r="VP31" s="384"/>
      <c r="VQ31" s="384"/>
      <c r="VR31" s="384"/>
      <c r="VS31" s="384"/>
      <c r="VT31" s="384"/>
      <c r="VU31" s="384"/>
      <c r="VV31" s="384"/>
      <c r="VW31" s="384"/>
      <c r="VX31" s="384"/>
      <c r="VY31" s="384"/>
      <c r="VZ31" s="384"/>
      <c r="WA31" s="384"/>
      <c r="WB31" s="384"/>
      <c r="WC31" s="384"/>
      <c r="WD31" s="384"/>
      <c r="WE31" s="384"/>
      <c r="WF31" s="384"/>
      <c r="WG31" s="384"/>
      <c r="WH31" s="384"/>
      <c r="WI31" s="384"/>
      <c r="WJ31" s="384"/>
      <c r="WK31" s="384"/>
      <c r="WL31" s="384"/>
      <c r="WM31" s="384"/>
      <c r="WN31" s="384"/>
      <c r="WO31" s="384"/>
      <c r="WP31" s="384"/>
      <c r="WQ31" s="384"/>
      <c r="WR31" s="384"/>
      <c r="WS31" s="384"/>
      <c r="WT31" s="384"/>
      <c r="WU31" s="384"/>
      <c r="WV31" s="384"/>
      <c r="WW31" s="384"/>
      <c r="WX31" s="384"/>
      <c r="WY31" s="384"/>
      <c r="WZ31" s="384"/>
      <c r="XA31" s="384"/>
      <c r="XB31" s="384"/>
      <c r="XC31" s="384"/>
      <c r="XD31" s="384"/>
      <c r="XE31" s="384"/>
      <c r="XF31" s="384"/>
      <c r="XG31" s="384"/>
      <c r="XH31" s="384"/>
      <c r="XI31" s="384"/>
      <c r="XJ31" s="384"/>
      <c r="XK31" s="384"/>
      <c r="XL31" s="384"/>
      <c r="XM31" s="384"/>
      <c r="XN31" s="384"/>
      <c r="XO31" s="384"/>
      <c r="XP31" s="384"/>
      <c r="XQ31" s="384"/>
      <c r="XR31" s="384"/>
      <c r="XS31" s="384"/>
      <c r="XT31" s="384"/>
      <c r="XU31" s="384"/>
      <c r="XV31" s="384"/>
      <c r="XW31" s="384"/>
      <c r="XX31" s="384"/>
      <c r="XY31" s="384"/>
      <c r="XZ31" s="384"/>
      <c r="YA31" s="384"/>
      <c r="YB31" s="384"/>
      <c r="YC31" s="384"/>
      <c r="YD31" s="384"/>
      <c r="YE31" s="384"/>
      <c r="YF31" s="384"/>
      <c r="YG31" s="384"/>
      <c r="YH31" s="384"/>
      <c r="YI31" s="384"/>
      <c r="YJ31" s="384"/>
      <c r="YK31" s="384"/>
      <c r="YL31" s="384"/>
      <c r="YM31" s="384"/>
      <c r="YN31" s="384"/>
      <c r="YO31" s="384"/>
      <c r="YP31" s="384"/>
      <c r="YQ31" s="384"/>
      <c r="YR31" s="384"/>
      <c r="YS31" s="384"/>
      <c r="YT31" s="384"/>
      <c r="YU31" s="384"/>
      <c r="YV31" s="384"/>
      <c r="YW31" s="384"/>
      <c r="YX31" s="384"/>
      <c r="YY31" s="384"/>
      <c r="YZ31" s="384"/>
      <c r="ZA31" s="384"/>
      <c r="ZB31" s="384"/>
      <c r="ZC31" s="384"/>
      <c r="ZD31" s="384"/>
      <c r="ZE31" s="384"/>
      <c r="ZF31" s="384"/>
      <c r="ZG31" s="384"/>
      <c r="ZH31" s="384"/>
      <c r="ZI31" s="384"/>
      <c r="ZJ31" s="384"/>
      <c r="ZK31" s="384"/>
      <c r="ZL31" s="384"/>
      <c r="ZM31" s="384"/>
      <c r="ZN31" s="384"/>
      <c r="ZO31" s="384"/>
      <c r="ZP31" s="384"/>
      <c r="ZQ31" s="384"/>
      <c r="ZR31" s="384"/>
      <c r="ZS31" s="384"/>
      <c r="ZT31" s="384"/>
      <c r="ZU31" s="384"/>
      <c r="ZV31" s="384"/>
      <c r="ZW31" s="384"/>
      <c r="ZX31" s="384"/>
      <c r="ZY31" s="384"/>
      <c r="ZZ31" s="384"/>
      <c r="AAA31" s="384"/>
      <c r="AAB31" s="384"/>
      <c r="AAC31" s="384"/>
      <c r="AAD31" s="384"/>
      <c r="AAE31" s="384"/>
      <c r="AAF31" s="384"/>
      <c r="AAG31" s="384"/>
      <c r="AAH31" s="384"/>
      <c r="AAI31" s="384"/>
      <c r="AAJ31" s="384"/>
      <c r="AAK31" s="384"/>
      <c r="AAL31" s="384"/>
      <c r="AAM31" s="384"/>
      <c r="AAN31" s="384"/>
      <c r="AAO31" s="384"/>
      <c r="AAP31" s="384"/>
      <c r="AAQ31" s="384"/>
      <c r="AAR31" s="384"/>
      <c r="AAS31" s="384"/>
      <c r="AAT31" s="384"/>
      <c r="AAU31" s="384"/>
      <c r="AAV31" s="384"/>
      <c r="AAW31" s="384"/>
      <c r="AAX31" s="384"/>
      <c r="AAY31" s="384"/>
      <c r="AAZ31" s="384"/>
      <c r="ABA31" s="384"/>
      <c r="ABB31" s="384"/>
      <c r="ABC31" s="384"/>
      <c r="ABD31" s="384"/>
      <c r="ABE31" s="384"/>
      <c r="ABF31" s="384"/>
      <c r="ABG31" s="384"/>
      <c r="ABH31" s="384"/>
      <c r="ABI31" s="384"/>
      <c r="ABJ31" s="384"/>
      <c r="ABK31" s="384"/>
      <c r="ABL31" s="384"/>
      <c r="ABM31" s="384"/>
      <c r="ABN31" s="384"/>
      <c r="ABO31" s="384"/>
      <c r="ABP31" s="384"/>
      <c r="ABQ31" s="384"/>
      <c r="ABR31" s="384"/>
      <c r="ABS31" s="384"/>
      <c r="ABT31" s="384"/>
      <c r="ABU31" s="384"/>
      <c r="ABV31" s="384"/>
      <c r="ABW31" s="384"/>
      <c r="ABX31" s="384"/>
      <c r="ABY31" s="384"/>
      <c r="ABZ31" s="384"/>
      <c r="ACA31" s="384"/>
      <c r="ACB31" s="384"/>
      <c r="ACC31" s="384"/>
      <c r="ACD31" s="384"/>
      <c r="ACE31" s="384"/>
      <c r="ACF31" s="384"/>
      <c r="ACG31" s="384"/>
      <c r="ACH31" s="384"/>
      <c r="ACI31" s="384"/>
      <c r="ACJ31" s="384"/>
      <c r="ACK31" s="384"/>
      <c r="ACL31" s="384"/>
      <c r="ACM31" s="384"/>
      <c r="ACN31" s="384"/>
      <c r="ACO31" s="384"/>
      <c r="ACP31" s="384"/>
      <c r="ACQ31" s="384"/>
      <c r="ACR31" s="384"/>
      <c r="ACS31" s="384"/>
      <c r="ACT31" s="384"/>
      <c r="ACU31" s="384"/>
      <c r="ACV31" s="384"/>
      <c r="ACW31" s="384"/>
      <c r="ACX31" s="384"/>
      <c r="ACY31" s="384"/>
      <c r="ACZ31" s="384"/>
      <c r="ADA31" s="384"/>
      <c r="ADB31" s="384"/>
      <c r="ADC31" s="384"/>
      <c r="ADD31" s="384"/>
      <c r="ADE31" s="384"/>
      <c r="ADF31" s="384"/>
      <c r="ADG31" s="384"/>
      <c r="ADH31" s="384"/>
      <c r="ADI31" s="384"/>
      <c r="ADJ31" s="384"/>
      <c r="ADK31" s="384"/>
      <c r="ADL31" s="384"/>
      <c r="ADM31" s="384"/>
      <c r="ADN31" s="384"/>
      <c r="ADO31" s="384"/>
      <c r="ADP31" s="384"/>
      <c r="ADQ31" s="384"/>
      <c r="ADR31" s="384"/>
      <c r="ADS31" s="384"/>
      <c r="ADT31" s="384"/>
      <c r="ADU31" s="384"/>
      <c r="ADV31" s="384"/>
      <c r="ADW31" s="384"/>
      <c r="ADX31" s="384"/>
      <c r="ADY31" s="384"/>
      <c r="ADZ31" s="384"/>
      <c r="AEA31" s="384"/>
      <c r="AEB31" s="384"/>
      <c r="AEC31" s="384"/>
      <c r="AED31" s="384"/>
      <c r="AEE31" s="384"/>
      <c r="AEF31" s="384"/>
      <c r="AEG31" s="384"/>
      <c r="AEH31" s="384"/>
      <c r="AEI31" s="384"/>
      <c r="AEJ31" s="384"/>
      <c r="AEK31" s="384"/>
      <c r="AEL31" s="384"/>
      <c r="AEM31" s="384"/>
      <c r="AEN31" s="384"/>
      <c r="AEO31" s="384"/>
      <c r="AEP31" s="384"/>
      <c r="AEQ31" s="384"/>
      <c r="AER31" s="384"/>
      <c r="AES31" s="384"/>
      <c r="AET31" s="384"/>
      <c r="AEU31" s="384"/>
      <c r="AEV31" s="384"/>
      <c r="AEW31" s="384"/>
      <c r="AEX31" s="384"/>
      <c r="AEY31" s="384"/>
      <c r="AEZ31" s="384"/>
      <c r="AFA31" s="384"/>
      <c r="AFB31" s="384"/>
      <c r="AFC31" s="384"/>
      <c r="AFD31" s="384"/>
      <c r="AFE31" s="384"/>
      <c r="AFF31" s="384"/>
      <c r="AFG31" s="384"/>
      <c r="AFH31" s="384"/>
      <c r="AFI31" s="384"/>
      <c r="AFJ31" s="384"/>
      <c r="AFK31" s="384"/>
      <c r="AFL31" s="384"/>
      <c r="AFM31" s="384"/>
      <c r="AFN31" s="384"/>
      <c r="AFO31" s="384"/>
      <c r="AFP31" s="384"/>
      <c r="AFQ31" s="384"/>
      <c r="AFR31" s="384"/>
      <c r="AFS31" s="384"/>
      <c r="AFT31" s="384"/>
      <c r="AFU31" s="384"/>
      <c r="AFV31" s="384"/>
      <c r="AFW31" s="384"/>
      <c r="AFX31" s="384"/>
      <c r="AFY31" s="384"/>
      <c r="AFZ31" s="384"/>
      <c r="AGA31" s="384"/>
      <c r="AGB31" s="384"/>
      <c r="AGC31" s="384"/>
      <c r="AGD31" s="384"/>
      <c r="AGE31" s="384"/>
      <c r="AGF31" s="384"/>
      <c r="AGG31" s="384"/>
      <c r="AGH31" s="384"/>
      <c r="AGI31" s="384"/>
      <c r="AGJ31" s="384"/>
      <c r="AGK31" s="384"/>
      <c r="AGL31" s="384"/>
      <c r="AGM31" s="384"/>
      <c r="AGN31" s="384"/>
      <c r="AGO31" s="384"/>
      <c r="AGP31" s="384"/>
      <c r="AGQ31" s="384"/>
      <c r="AGR31" s="384"/>
      <c r="AGS31" s="384"/>
      <c r="AGT31" s="384"/>
      <c r="AGU31" s="384"/>
      <c r="AGV31" s="384"/>
      <c r="AGW31" s="384"/>
      <c r="AGX31" s="384"/>
      <c r="AGY31" s="384"/>
      <c r="AGZ31" s="384"/>
      <c r="AHA31" s="384"/>
      <c r="AHB31" s="384"/>
      <c r="AHC31" s="384"/>
      <c r="AHD31" s="384"/>
      <c r="AHE31" s="384"/>
      <c r="AHF31" s="384"/>
      <c r="AHG31" s="384"/>
      <c r="AHH31" s="384"/>
      <c r="AHI31" s="384"/>
      <c r="AHJ31" s="384"/>
      <c r="AHK31" s="384"/>
      <c r="AHL31" s="384"/>
      <c r="AHM31" s="384"/>
      <c r="AHN31" s="384"/>
      <c r="AHO31" s="384"/>
      <c r="AHP31" s="384"/>
      <c r="AHQ31" s="384"/>
      <c r="AHR31" s="384"/>
      <c r="AHS31" s="384"/>
      <c r="AHT31" s="384"/>
      <c r="AHU31" s="384"/>
      <c r="AHV31" s="384"/>
      <c r="AHW31" s="384"/>
      <c r="AHX31" s="384"/>
      <c r="AHY31" s="384"/>
      <c r="AHZ31" s="384"/>
      <c r="AIA31" s="384"/>
      <c r="AIB31" s="384"/>
      <c r="AIC31" s="384"/>
      <c r="AID31" s="384"/>
      <c r="AIE31" s="384"/>
      <c r="AIF31" s="384"/>
      <c r="AIG31" s="384"/>
      <c r="AIH31" s="384"/>
      <c r="AII31" s="384"/>
      <c r="AIJ31" s="384"/>
      <c r="AIK31" s="384"/>
      <c r="AIL31" s="384"/>
      <c r="AIM31" s="384"/>
      <c r="AIN31" s="384"/>
      <c r="AIO31" s="384"/>
      <c r="AIP31" s="384"/>
      <c r="AIQ31" s="384"/>
      <c r="AIR31" s="384"/>
      <c r="AIS31" s="384"/>
      <c r="AIT31" s="384"/>
      <c r="AIU31" s="384"/>
      <c r="AIV31" s="384"/>
      <c r="AIW31" s="384"/>
      <c r="AIX31" s="384"/>
      <c r="AIY31" s="384"/>
      <c r="AIZ31" s="384"/>
      <c r="AJA31" s="384"/>
      <c r="AJB31" s="384"/>
      <c r="AJC31" s="384"/>
      <c r="AJD31" s="384"/>
      <c r="AJE31" s="384"/>
      <c r="AJF31" s="384"/>
      <c r="AJG31" s="384"/>
      <c r="AJH31" s="384"/>
      <c r="AJI31" s="384"/>
      <c r="AJJ31" s="384"/>
      <c r="AJK31" s="384"/>
      <c r="AJL31" s="384"/>
      <c r="AJM31" s="384"/>
      <c r="AJN31" s="384"/>
      <c r="AJO31" s="384"/>
      <c r="AJP31" s="384"/>
      <c r="AJQ31" s="384"/>
      <c r="AJR31" s="384"/>
      <c r="AJS31" s="384"/>
      <c r="AJT31" s="384"/>
      <c r="AJU31" s="384"/>
      <c r="AJV31" s="384"/>
      <c r="AJW31" s="384"/>
      <c r="AJX31" s="384"/>
      <c r="AJY31" s="384"/>
      <c r="AJZ31" s="384"/>
      <c r="AKA31" s="384"/>
      <c r="AKB31" s="384"/>
      <c r="AKC31" s="384"/>
      <c r="AKD31" s="384"/>
      <c r="AKE31" s="384"/>
      <c r="AKF31" s="384"/>
      <c r="AKG31" s="384"/>
      <c r="AKH31" s="384"/>
      <c r="AKI31" s="384"/>
      <c r="AKJ31" s="384"/>
      <c r="AKK31" s="384"/>
      <c r="AKL31" s="384"/>
      <c r="AKM31" s="384"/>
      <c r="AKN31" s="384"/>
      <c r="AKO31" s="384"/>
      <c r="AKP31" s="384"/>
      <c r="AKQ31" s="384"/>
      <c r="AKR31" s="384"/>
      <c r="AKS31" s="384"/>
      <c r="AKT31" s="384"/>
      <c r="AKU31" s="384"/>
      <c r="AKV31" s="384"/>
      <c r="AKW31" s="384"/>
      <c r="AKX31" s="384"/>
      <c r="AKY31" s="384"/>
      <c r="AKZ31" s="384"/>
      <c r="ALA31" s="384"/>
      <c r="ALB31" s="384"/>
      <c r="ALC31" s="384"/>
      <c r="ALD31" s="384"/>
      <c r="ALE31" s="384"/>
      <c r="ALF31" s="384"/>
      <c r="ALG31" s="384"/>
      <c r="ALH31" s="384"/>
      <c r="ALI31" s="384"/>
      <c r="ALJ31" s="384"/>
      <c r="ALK31" s="384"/>
      <c r="ALL31" s="384"/>
      <c r="ALM31" s="384"/>
      <c r="ALN31" s="384"/>
      <c r="ALO31" s="384"/>
      <c r="ALP31" s="384"/>
      <c r="ALQ31" s="384"/>
      <c r="ALR31" s="384"/>
      <c r="ALS31" s="384"/>
      <c r="ALT31" s="384"/>
      <c r="ALU31" s="384"/>
      <c r="ALV31" s="384"/>
      <c r="ALW31" s="384"/>
      <c r="ALX31" s="384"/>
      <c r="ALY31" s="384"/>
      <c r="ALZ31" s="384"/>
      <c r="AMA31" s="384"/>
      <c r="AMB31" s="384"/>
      <c r="AMC31" s="384"/>
      <c r="AMD31" s="384"/>
      <c r="AME31" s="384"/>
      <c r="AMF31" s="384"/>
      <c r="AMG31" s="384"/>
      <c r="AMH31" s="384"/>
      <c r="AMI31" s="384"/>
      <c r="AMJ31" s="384"/>
      <c r="AMK31" s="384"/>
      <c r="AML31" s="384"/>
      <c r="AMM31" s="384"/>
      <c r="AMN31" s="384"/>
      <c r="AMO31" s="384"/>
      <c r="AMP31" s="384"/>
      <c r="AMQ31" s="384"/>
      <c r="AMR31" s="384"/>
      <c r="AMS31" s="384"/>
      <c r="AMT31" s="384"/>
      <c r="AMU31" s="384"/>
      <c r="AMV31" s="384"/>
      <c r="AMW31" s="384"/>
      <c r="AMX31" s="384"/>
      <c r="AMY31" s="384"/>
      <c r="AMZ31" s="384"/>
      <c r="ANA31" s="384"/>
      <c r="ANB31" s="384"/>
      <c r="ANC31" s="384"/>
      <c r="AND31" s="384"/>
      <c r="ANE31" s="384"/>
      <c r="ANF31" s="384"/>
      <c r="ANG31" s="384"/>
      <c r="ANH31" s="384"/>
      <c r="ANI31" s="384"/>
      <c r="ANJ31" s="384"/>
      <c r="ANK31" s="384"/>
      <c r="ANL31" s="384"/>
      <c r="ANM31" s="384"/>
      <c r="ANN31" s="384"/>
      <c r="ANO31" s="384"/>
      <c r="ANP31" s="384"/>
      <c r="ANQ31" s="384"/>
      <c r="ANR31" s="384"/>
      <c r="ANS31" s="384"/>
      <c r="ANT31" s="384"/>
      <c r="ANU31" s="384"/>
      <c r="ANV31" s="384"/>
      <c r="ANW31" s="384"/>
      <c r="ANX31" s="384"/>
      <c r="ANY31" s="384"/>
      <c r="ANZ31" s="384"/>
      <c r="AOA31" s="384"/>
      <c r="AOB31" s="384"/>
      <c r="AOC31" s="384"/>
      <c r="AOD31" s="384"/>
      <c r="AOE31" s="384"/>
      <c r="AOF31" s="384"/>
      <c r="AOG31" s="384"/>
      <c r="AOH31" s="384"/>
      <c r="AOI31" s="384"/>
      <c r="AOJ31" s="384"/>
      <c r="AOK31" s="384"/>
      <c r="AOL31" s="384"/>
      <c r="AOM31" s="384"/>
      <c r="AON31" s="384"/>
      <c r="AOO31" s="384"/>
      <c r="AOP31" s="384"/>
      <c r="AOQ31" s="384"/>
      <c r="AOR31" s="384"/>
      <c r="AOS31" s="384"/>
      <c r="AOT31" s="384"/>
      <c r="AOU31" s="384"/>
      <c r="AOV31" s="384"/>
      <c r="AOW31" s="384"/>
      <c r="AOX31" s="384"/>
      <c r="AOY31" s="384"/>
      <c r="AOZ31" s="384"/>
      <c r="APA31" s="384"/>
      <c r="APB31" s="384"/>
      <c r="APC31" s="384"/>
      <c r="APD31" s="384"/>
      <c r="APE31" s="384"/>
      <c r="APF31" s="384"/>
      <c r="APG31" s="384"/>
      <c r="APH31" s="384"/>
      <c r="API31" s="384"/>
      <c r="APJ31" s="384"/>
      <c r="APK31" s="384"/>
      <c r="APL31" s="384"/>
      <c r="APM31" s="384"/>
      <c r="APN31" s="384"/>
      <c r="APO31" s="384"/>
      <c r="APP31" s="384"/>
      <c r="APQ31" s="384"/>
      <c r="APR31" s="384"/>
      <c r="APS31" s="384"/>
      <c r="APT31" s="384"/>
      <c r="APU31" s="384"/>
      <c r="APV31" s="384"/>
      <c r="APW31" s="384"/>
      <c r="APX31" s="384"/>
      <c r="APY31" s="384"/>
      <c r="APZ31" s="384"/>
      <c r="AQA31" s="384"/>
      <c r="AQB31" s="384"/>
      <c r="AQC31" s="384"/>
      <c r="AQD31" s="384"/>
      <c r="AQE31" s="384"/>
      <c r="AQF31" s="384"/>
      <c r="AQG31" s="384"/>
      <c r="AQH31" s="384"/>
      <c r="AQI31" s="384"/>
      <c r="AQJ31" s="384"/>
      <c r="AQK31" s="384"/>
      <c r="AQL31" s="384"/>
      <c r="AQM31" s="384"/>
      <c r="AQN31" s="384"/>
      <c r="AQO31" s="384"/>
      <c r="AQP31" s="384"/>
      <c r="AQQ31" s="384"/>
      <c r="AQR31" s="384"/>
      <c r="AQS31" s="384"/>
      <c r="AQT31" s="384"/>
      <c r="AQU31" s="384"/>
      <c r="AQV31" s="384"/>
      <c r="AQW31" s="384"/>
      <c r="AQX31" s="384"/>
      <c r="AQY31" s="384"/>
      <c r="AQZ31" s="384"/>
      <c r="ARA31" s="384"/>
      <c r="ARB31" s="384"/>
      <c r="ARC31" s="384"/>
      <c r="ARD31" s="384"/>
      <c r="ARE31" s="384"/>
      <c r="ARF31" s="384"/>
      <c r="ARG31" s="384"/>
      <c r="ARH31" s="384"/>
      <c r="ARI31" s="384"/>
      <c r="ARJ31" s="384"/>
      <c r="ARK31" s="384"/>
      <c r="ARL31" s="384"/>
      <c r="ARM31" s="384"/>
      <c r="ARN31" s="384"/>
      <c r="ARO31" s="384"/>
      <c r="ARP31" s="384"/>
      <c r="ARQ31" s="384"/>
      <c r="ARR31" s="384"/>
      <c r="ARS31" s="384"/>
      <c r="ART31" s="384"/>
      <c r="ARU31" s="384"/>
      <c r="ARV31" s="384"/>
      <c r="ARW31" s="384"/>
      <c r="ARX31" s="384"/>
      <c r="ARY31" s="384"/>
      <c r="ARZ31" s="384"/>
      <c r="ASA31" s="384"/>
      <c r="ASB31" s="384"/>
      <c r="ASC31" s="384"/>
      <c r="ASD31" s="384"/>
      <c r="ASE31" s="384"/>
      <c r="ASF31" s="384"/>
      <c r="ASG31" s="384"/>
      <c r="ASH31" s="384"/>
      <c r="ASI31" s="384"/>
      <c r="ASJ31" s="384"/>
      <c r="ASK31" s="384"/>
      <c r="ASL31" s="384"/>
      <c r="ASM31" s="384"/>
      <c r="ASN31" s="384"/>
      <c r="ASO31" s="384"/>
      <c r="ASP31" s="384"/>
      <c r="ASQ31" s="384"/>
      <c r="ASR31" s="384"/>
      <c r="ASS31" s="384"/>
      <c r="AST31" s="384"/>
      <c r="ASU31" s="384"/>
      <c r="ASV31" s="384"/>
      <c r="ASW31" s="384"/>
      <c r="ASX31" s="384"/>
      <c r="ASY31" s="384"/>
      <c r="ASZ31" s="384"/>
      <c r="ATA31" s="384"/>
      <c r="ATB31" s="384"/>
      <c r="ATC31" s="384"/>
      <c r="ATD31" s="384"/>
      <c r="ATE31" s="384"/>
      <c r="ATF31" s="384"/>
      <c r="ATG31" s="384"/>
      <c r="ATH31" s="384"/>
      <c r="ATI31" s="384"/>
      <c r="ATJ31" s="384"/>
      <c r="ATK31" s="384"/>
      <c r="ATL31" s="384"/>
      <c r="ATM31" s="384"/>
      <c r="ATN31" s="384"/>
      <c r="ATO31" s="384"/>
      <c r="ATP31" s="384"/>
      <c r="ATQ31" s="384"/>
      <c r="ATR31" s="384"/>
      <c r="ATS31" s="384"/>
      <c r="ATT31" s="384"/>
      <c r="ATU31" s="384"/>
      <c r="ATV31" s="384"/>
      <c r="ATW31" s="384"/>
      <c r="ATX31" s="384"/>
      <c r="ATY31" s="384"/>
      <c r="ATZ31" s="384"/>
      <c r="AUA31" s="384"/>
      <c r="AUB31" s="384"/>
      <c r="AUC31" s="384"/>
      <c r="AUD31" s="384"/>
      <c r="AUE31" s="384"/>
      <c r="AUF31" s="384"/>
      <c r="AUG31" s="384"/>
      <c r="AUH31" s="384"/>
      <c r="AUI31" s="384"/>
      <c r="AUJ31" s="384"/>
      <c r="AUK31" s="384"/>
      <c r="AUL31" s="384"/>
      <c r="AUM31" s="384"/>
      <c r="AUN31" s="384"/>
      <c r="AUO31" s="384"/>
      <c r="AUP31" s="384"/>
      <c r="AUQ31" s="384"/>
      <c r="AUR31" s="384"/>
      <c r="AUS31" s="384"/>
      <c r="AUT31" s="384"/>
      <c r="AUU31" s="384"/>
      <c r="AUV31" s="384"/>
      <c r="AUW31" s="384"/>
      <c r="AUX31" s="384"/>
      <c r="AUY31" s="384"/>
      <c r="AUZ31" s="384"/>
      <c r="AVA31" s="384"/>
      <c r="AVB31" s="384"/>
      <c r="AVC31" s="384"/>
      <c r="AVD31" s="384"/>
      <c r="AVE31" s="384"/>
      <c r="AVF31" s="384"/>
      <c r="AVG31" s="384"/>
      <c r="AVH31" s="384"/>
      <c r="AVI31" s="384"/>
      <c r="AVJ31" s="384"/>
      <c r="AVK31" s="384"/>
      <c r="AVL31" s="384"/>
      <c r="AVM31" s="384"/>
      <c r="AVN31" s="384"/>
      <c r="AVO31" s="384"/>
      <c r="AVP31" s="384"/>
      <c r="AVQ31" s="384"/>
      <c r="AVR31" s="384"/>
      <c r="AVS31" s="384"/>
      <c r="AVT31" s="384"/>
      <c r="AVU31" s="384"/>
      <c r="AVV31" s="384"/>
      <c r="AVW31" s="384"/>
      <c r="AVX31" s="384"/>
      <c r="AVY31" s="384"/>
      <c r="AVZ31" s="384"/>
      <c r="AWA31" s="384"/>
      <c r="AWB31" s="384"/>
      <c r="AWC31" s="384"/>
      <c r="AWD31" s="384"/>
      <c r="AWE31" s="384"/>
      <c r="AWF31" s="384"/>
      <c r="AWG31" s="384"/>
      <c r="AWH31" s="384"/>
      <c r="AWI31" s="384"/>
      <c r="AWJ31" s="384"/>
      <c r="AWK31" s="384"/>
      <c r="AWL31" s="384"/>
      <c r="AWM31" s="384"/>
      <c r="AWN31" s="384"/>
      <c r="AWO31" s="384"/>
      <c r="AWP31" s="384"/>
      <c r="AWQ31" s="384"/>
      <c r="AWR31" s="384"/>
      <c r="AWS31" s="384"/>
      <c r="AWT31" s="384"/>
      <c r="AWU31" s="384"/>
      <c r="AWV31" s="384"/>
      <c r="AWW31" s="384"/>
      <c r="AWX31" s="384"/>
      <c r="AWY31" s="384"/>
      <c r="AWZ31" s="384"/>
      <c r="AXA31" s="384"/>
      <c r="AXB31" s="384"/>
      <c r="AXC31" s="384"/>
      <c r="AXD31" s="384"/>
      <c r="AXE31" s="384"/>
      <c r="AXF31" s="384"/>
      <c r="AXG31" s="384"/>
      <c r="AXH31" s="384"/>
      <c r="AXI31" s="384"/>
      <c r="AXJ31" s="384"/>
      <c r="AXK31" s="384"/>
      <c r="AXL31" s="384"/>
      <c r="AXM31" s="384"/>
      <c r="AXN31" s="384"/>
      <c r="AXO31" s="384"/>
      <c r="AXP31" s="384"/>
      <c r="AXQ31" s="384"/>
      <c r="AXR31" s="384"/>
      <c r="AXS31" s="384"/>
      <c r="AXT31" s="384"/>
      <c r="AXU31" s="384"/>
      <c r="AXV31" s="384"/>
      <c r="AXW31" s="384"/>
      <c r="AXX31" s="384"/>
      <c r="AXY31" s="384"/>
      <c r="AXZ31" s="384"/>
      <c r="AYA31" s="384"/>
      <c r="AYB31" s="384"/>
      <c r="AYC31" s="384"/>
      <c r="AYD31" s="384"/>
      <c r="AYE31" s="384"/>
      <c r="AYF31" s="384"/>
      <c r="AYG31" s="384"/>
      <c r="AYH31" s="384"/>
      <c r="AYI31" s="384"/>
      <c r="AYJ31" s="384"/>
      <c r="AYK31" s="384"/>
      <c r="AYL31" s="384"/>
      <c r="AYM31" s="384"/>
      <c r="AYN31" s="384"/>
      <c r="AYO31" s="384"/>
      <c r="AYP31" s="384"/>
      <c r="AYQ31" s="384"/>
      <c r="AYR31" s="384"/>
      <c r="AYS31" s="384"/>
      <c r="AYT31" s="384"/>
      <c r="AYU31" s="384"/>
      <c r="AYV31" s="384"/>
      <c r="AYW31" s="384"/>
      <c r="AYX31" s="384"/>
      <c r="AYY31" s="384"/>
      <c r="AYZ31" s="384"/>
      <c r="AZA31" s="384"/>
      <c r="AZB31" s="384"/>
      <c r="AZC31" s="384"/>
      <c r="AZD31" s="384"/>
      <c r="AZE31" s="384"/>
      <c r="AZF31" s="384"/>
      <c r="AZG31" s="384"/>
      <c r="AZH31" s="384"/>
      <c r="AZI31" s="384"/>
      <c r="AZJ31" s="384"/>
      <c r="AZK31" s="384"/>
      <c r="AZL31" s="384"/>
      <c r="AZM31" s="384"/>
      <c r="AZN31" s="384"/>
      <c r="AZO31" s="384"/>
      <c r="AZP31" s="384"/>
      <c r="AZQ31" s="384"/>
      <c r="AZR31" s="384"/>
      <c r="AZS31" s="384"/>
      <c r="AZT31" s="384"/>
      <c r="AZU31" s="384"/>
      <c r="AZV31" s="384"/>
      <c r="AZW31" s="384"/>
      <c r="AZX31" s="384"/>
      <c r="AZY31" s="384"/>
      <c r="AZZ31" s="384"/>
      <c r="BAA31" s="384"/>
      <c r="BAB31" s="384"/>
      <c r="BAC31" s="384"/>
      <c r="BAD31" s="384"/>
      <c r="BAE31" s="384"/>
      <c r="BAF31" s="384"/>
      <c r="BAG31" s="384"/>
      <c r="BAH31" s="384"/>
      <c r="BAI31" s="384"/>
      <c r="BAJ31" s="384"/>
      <c r="BAK31" s="384"/>
      <c r="BAL31" s="384"/>
      <c r="BAM31" s="384"/>
      <c r="BAN31" s="384"/>
      <c r="BAO31" s="384"/>
      <c r="BAP31" s="384"/>
      <c r="BAQ31" s="384"/>
      <c r="BAR31" s="384"/>
      <c r="BAS31" s="384"/>
      <c r="BAT31" s="384"/>
      <c r="BAU31" s="384"/>
      <c r="BAV31" s="384"/>
      <c r="BAW31" s="384"/>
      <c r="BAX31" s="384"/>
      <c r="BAY31" s="384"/>
      <c r="BAZ31" s="384"/>
      <c r="BBA31" s="384"/>
      <c r="BBB31" s="384"/>
      <c r="BBC31" s="384"/>
      <c r="BBD31" s="384"/>
      <c r="BBE31" s="384"/>
      <c r="BBF31" s="384"/>
      <c r="BBG31" s="384"/>
      <c r="BBH31" s="384"/>
      <c r="BBI31" s="384"/>
      <c r="BBJ31" s="384"/>
      <c r="BBK31" s="384"/>
      <c r="BBL31" s="384"/>
      <c r="BBM31" s="384"/>
      <c r="BBN31" s="384"/>
      <c r="BBO31" s="384"/>
      <c r="BBP31" s="384"/>
      <c r="BBQ31" s="384"/>
      <c r="BBR31" s="384"/>
      <c r="BBS31" s="384"/>
      <c r="BBT31" s="384"/>
      <c r="BBU31" s="384"/>
      <c r="BBV31" s="384"/>
      <c r="BBW31" s="384"/>
      <c r="BBX31" s="384"/>
      <c r="BBY31" s="384"/>
      <c r="BBZ31" s="384"/>
      <c r="BCA31" s="384"/>
      <c r="BCB31" s="384"/>
      <c r="BCC31" s="384"/>
      <c r="BCD31" s="384"/>
      <c r="BCE31" s="384"/>
      <c r="BCF31" s="384"/>
      <c r="BCG31" s="384"/>
      <c r="BCH31" s="384"/>
      <c r="BCI31" s="384"/>
      <c r="BCJ31" s="384"/>
      <c r="BCK31" s="384"/>
      <c r="BCL31" s="384"/>
      <c r="BCM31" s="384"/>
      <c r="BCN31" s="384"/>
      <c r="BCO31" s="384"/>
      <c r="BCP31" s="384"/>
      <c r="BCQ31" s="384"/>
      <c r="BCR31" s="384"/>
      <c r="BCS31" s="384"/>
      <c r="BCT31" s="384"/>
      <c r="BCU31" s="384"/>
      <c r="BCV31" s="384"/>
      <c r="BCW31" s="384"/>
      <c r="BCX31" s="384"/>
      <c r="BCY31" s="384"/>
      <c r="BCZ31" s="384"/>
      <c r="BDA31" s="384"/>
      <c r="BDB31" s="384"/>
      <c r="BDC31" s="384"/>
      <c r="BDD31" s="384"/>
      <c r="BDE31" s="384"/>
      <c r="BDF31" s="384"/>
      <c r="BDG31" s="384"/>
      <c r="BDH31" s="384"/>
      <c r="BDI31" s="384"/>
      <c r="BDJ31" s="384"/>
      <c r="BDK31" s="384"/>
      <c r="BDL31" s="384"/>
      <c r="BDM31" s="384"/>
      <c r="BDN31" s="384"/>
      <c r="BDO31" s="384"/>
      <c r="BDP31" s="384"/>
      <c r="BDQ31" s="384"/>
      <c r="BDR31" s="384"/>
      <c r="BDS31" s="384"/>
      <c r="BDT31" s="384"/>
      <c r="BDU31" s="384"/>
      <c r="BDV31" s="384"/>
      <c r="BDW31" s="384"/>
      <c r="BDX31" s="384"/>
      <c r="BDY31" s="384"/>
      <c r="BDZ31" s="384"/>
      <c r="BEA31" s="384"/>
      <c r="BEB31" s="384"/>
      <c r="BEC31" s="384"/>
      <c r="BED31" s="384"/>
      <c r="BEE31" s="384"/>
      <c r="BEF31" s="384"/>
      <c r="BEG31" s="384"/>
      <c r="BEH31" s="384"/>
      <c r="BEI31" s="384"/>
      <c r="BEJ31" s="384"/>
      <c r="BEK31" s="384"/>
      <c r="BEL31" s="384"/>
      <c r="BEM31" s="384"/>
      <c r="BEN31" s="384"/>
      <c r="BEO31" s="384"/>
      <c r="BEP31" s="384"/>
      <c r="BEQ31" s="384"/>
      <c r="BER31" s="384"/>
      <c r="BES31" s="384"/>
      <c r="BET31" s="384"/>
      <c r="BEU31" s="384"/>
      <c r="BEV31" s="384"/>
      <c r="BEW31" s="384"/>
      <c r="BEX31" s="384"/>
      <c r="BEY31" s="384"/>
      <c r="BEZ31" s="384"/>
      <c r="BFA31" s="384"/>
      <c r="BFB31" s="384"/>
      <c r="BFC31" s="384"/>
      <c r="BFD31" s="384"/>
      <c r="BFE31" s="384"/>
      <c r="BFF31" s="384"/>
      <c r="BFG31" s="384"/>
      <c r="BFH31" s="384"/>
      <c r="BFI31" s="384"/>
      <c r="BFJ31" s="384"/>
      <c r="BFK31" s="384"/>
      <c r="BFL31" s="384"/>
      <c r="BFM31" s="384"/>
      <c r="BFN31" s="384"/>
      <c r="BFO31" s="384"/>
      <c r="BFP31" s="384"/>
      <c r="BFQ31" s="384"/>
      <c r="BFR31" s="384"/>
      <c r="BFS31" s="384"/>
      <c r="BFT31" s="384"/>
      <c r="BFU31" s="384"/>
      <c r="BFV31" s="384"/>
      <c r="BFW31" s="384"/>
      <c r="BFX31" s="384"/>
      <c r="BFY31" s="384"/>
      <c r="BFZ31" s="384"/>
      <c r="BGA31" s="384"/>
      <c r="BGB31" s="384"/>
      <c r="BGC31" s="384"/>
      <c r="BGD31" s="384"/>
      <c r="BGE31" s="384"/>
      <c r="BGF31" s="384"/>
      <c r="BGG31" s="384"/>
      <c r="BGH31" s="384"/>
      <c r="BGI31" s="384"/>
      <c r="BGJ31" s="384"/>
      <c r="BGK31" s="384"/>
      <c r="BGL31" s="384"/>
      <c r="BGM31" s="384"/>
      <c r="BGN31" s="384"/>
      <c r="BGO31" s="384"/>
      <c r="BGP31" s="384"/>
      <c r="BGQ31" s="384"/>
      <c r="BGR31" s="384"/>
      <c r="BGS31" s="384"/>
      <c r="BGT31" s="384"/>
      <c r="BGU31" s="384"/>
      <c r="BGV31" s="384"/>
      <c r="BGW31" s="384"/>
      <c r="BGX31" s="384"/>
      <c r="BGY31" s="384"/>
      <c r="BGZ31" s="384"/>
      <c r="BHA31" s="384"/>
      <c r="BHB31" s="384"/>
      <c r="BHC31" s="384"/>
      <c r="BHD31" s="384"/>
      <c r="BHE31" s="384"/>
      <c r="BHF31" s="384"/>
      <c r="BHG31" s="384"/>
      <c r="BHH31" s="384"/>
      <c r="BHI31" s="384"/>
      <c r="BHJ31" s="384"/>
      <c r="BHK31" s="384"/>
      <c r="BHL31" s="384"/>
      <c r="BHM31" s="384"/>
      <c r="BHN31" s="384"/>
      <c r="BHO31" s="384"/>
      <c r="BHP31" s="384"/>
      <c r="BHQ31" s="384"/>
      <c r="BHR31" s="384"/>
      <c r="BHS31" s="384"/>
      <c r="BHT31" s="384"/>
      <c r="BHU31" s="384"/>
      <c r="BHV31" s="384"/>
      <c r="BHW31" s="384"/>
      <c r="BHX31" s="384"/>
      <c r="BHY31" s="384"/>
      <c r="BHZ31" s="384"/>
      <c r="BIA31" s="384"/>
      <c r="BIB31" s="384"/>
      <c r="BIC31" s="384"/>
      <c r="BID31" s="384"/>
      <c r="BIE31" s="384"/>
      <c r="BIF31" s="384"/>
      <c r="BIG31" s="384"/>
      <c r="BIH31" s="384"/>
      <c r="BII31" s="384"/>
      <c r="BIJ31" s="384"/>
      <c r="BIK31" s="384"/>
      <c r="BIL31" s="384"/>
      <c r="BIM31" s="384"/>
      <c r="BIN31" s="384"/>
      <c r="BIO31" s="384"/>
      <c r="BIP31" s="384"/>
      <c r="BIQ31" s="384"/>
      <c r="BIR31" s="384"/>
      <c r="BIS31" s="384"/>
      <c r="BIT31" s="384"/>
      <c r="BIU31" s="384"/>
      <c r="BIV31" s="384"/>
      <c r="BIW31" s="384"/>
      <c r="BIX31" s="384"/>
      <c r="BIY31" s="384"/>
      <c r="BIZ31" s="384"/>
      <c r="BJA31" s="384"/>
      <c r="BJB31" s="384"/>
      <c r="BJC31" s="384"/>
      <c r="BJD31" s="384"/>
      <c r="BJE31" s="384"/>
      <c r="BJF31" s="384"/>
      <c r="BJG31" s="384"/>
      <c r="BJH31" s="384"/>
      <c r="BJI31" s="384"/>
      <c r="BJJ31" s="384"/>
      <c r="BJK31" s="384"/>
      <c r="BJL31" s="384"/>
      <c r="BJM31" s="384"/>
      <c r="BJN31" s="384"/>
      <c r="BJO31" s="384"/>
      <c r="BJP31" s="384"/>
      <c r="BJQ31" s="384"/>
      <c r="BJR31" s="384"/>
      <c r="BJS31" s="384"/>
      <c r="BJT31" s="384"/>
      <c r="BJU31" s="384"/>
      <c r="BJV31" s="384"/>
      <c r="BJW31" s="384"/>
      <c r="BJX31" s="384"/>
      <c r="BJY31" s="384"/>
      <c r="BJZ31" s="384"/>
      <c r="BKA31" s="384"/>
      <c r="BKB31" s="384"/>
      <c r="BKC31" s="384"/>
      <c r="BKD31" s="384"/>
      <c r="BKE31" s="384"/>
      <c r="BKF31" s="384"/>
      <c r="BKG31" s="384"/>
      <c r="BKH31" s="384"/>
      <c r="BKI31" s="384"/>
      <c r="BKJ31" s="384"/>
      <c r="BKK31" s="384"/>
      <c r="BKL31" s="384"/>
      <c r="BKM31" s="384"/>
      <c r="BKN31" s="384"/>
      <c r="BKO31" s="384"/>
      <c r="BKP31" s="384"/>
      <c r="BKQ31" s="384"/>
      <c r="BKR31" s="384"/>
      <c r="BKS31" s="384"/>
      <c r="BKT31" s="384"/>
      <c r="BKU31" s="384"/>
      <c r="BKV31" s="384"/>
      <c r="BKW31" s="384"/>
      <c r="BKX31" s="384"/>
      <c r="BKY31" s="384"/>
      <c r="BKZ31" s="384"/>
      <c r="BLA31" s="384"/>
      <c r="BLB31" s="384"/>
      <c r="BLC31" s="384"/>
      <c r="BLD31" s="384"/>
      <c r="BLE31" s="384"/>
      <c r="BLF31" s="384"/>
      <c r="BLG31" s="384"/>
      <c r="BLH31" s="384"/>
      <c r="BLI31" s="384"/>
      <c r="BLJ31" s="384"/>
      <c r="BLK31" s="384"/>
      <c r="BLL31" s="384"/>
      <c r="BLM31" s="384"/>
      <c r="BLN31" s="384"/>
      <c r="BLO31" s="384"/>
      <c r="BLP31" s="384"/>
      <c r="BLQ31" s="384"/>
      <c r="BLR31" s="384"/>
      <c r="BLS31" s="384"/>
      <c r="BLT31" s="384"/>
      <c r="BLU31" s="384"/>
      <c r="BLV31" s="384"/>
      <c r="BLW31" s="384"/>
      <c r="BLX31" s="384"/>
      <c r="BLY31" s="384"/>
      <c r="BLZ31" s="384"/>
      <c r="BMA31" s="384"/>
      <c r="BMB31" s="384"/>
      <c r="BMC31" s="384"/>
      <c r="BMD31" s="384"/>
      <c r="BME31" s="384"/>
      <c r="BMF31" s="384"/>
      <c r="BMG31" s="384"/>
      <c r="BMH31" s="384"/>
      <c r="BMI31" s="384"/>
      <c r="BMJ31" s="384"/>
      <c r="BMK31" s="384"/>
      <c r="BML31" s="384"/>
      <c r="BMM31" s="384"/>
      <c r="BMN31" s="384"/>
      <c r="BMO31" s="384"/>
      <c r="BMP31" s="384"/>
      <c r="BMQ31" s="384"/>
      <c r="BMR31" s="384"/>
      <c r="BMS31" s="384"/>
      <c r="BMT31" s="384"/>
      <c r="BMU31" s="384"/>
      <c r="BMV31" s="384"/>
      <c r="BMW31" s="384"/>
      <c r="BMX31" s="384"/>
      <c r="BMY31" s="384"/>
      <c r="BMZ31" s="384"/>
      <c r="BNA31" s="384"/>
      <c r="BNB31" s="384"/>
      <c r="BNC31" s="384"/>
      <c r="BND31" s="384"/>
      <c r="BNE31" s="384"/>
      <c r="BNF31" s="384"/>
      <c r="BNG31" s="384"/>
      <c r="BNH31" s="384"/>
      <c r="BNI31" s="384"/>
      <c r="BNJ31" s="384"/>
      <c r="BNK31" s="384"/>
      <c r="BNL31" s="384"/>
      <c r="BNM31" s="384"/>
      <c r="BNN31" s="384"/>
      <c r="BNO31" s="384"/>
      <c r="BNP31" s="384"/>
      <c r="BNQ31" s="384"/>
      <c r="BNR31" s="384"/>
      <c r="BNS31" s="384"/>
      <c r="BNT31" s="384"/>
      <c r="BNU31" s="384"/>
      <c r="BNV31" s="384"/>
      <c r="BNW31" s="384"/>
      <c r="BNX31" s="384"/>
      <c r="BNY31" s="384"/>
      <c r="BNZ31" s="384"/>
      <c r="BOA31" s="384"/>
      <c r="BOB31" s="384"/>
      <c r="BOC31" s="384"/>
      <c r="BOD31" s="384"/>
      <c r="BOE31" s="384"/>
      <c r="BOF31" s="384"/>
      <c r="BOG31" s="384"/>
      <c r="BOH31" s="384"/>
      <c r="BOI31" s="384"/>
      <c r="BOJ31" s="384"/>
      <c r="BOK31" s="384"/>
      <c r="BOL31" s="384"/>
      <c r="BOM31" s="384"/>
      <c r="BON31" s="384"/>
      <c r="BOO31" s="384"/>
      <c r="BOP31" s="384"/>
      <c r="BOQ31" s="384"/>
      <c r="BOR31" s="384"/>
      <c r="BOS31" s="384"/>
      <c r="BOT31" s="384"/>
      <c r="BOU31" s="384"/>
      <c r="BOV31" s="384"/>
      <c r="BOW31" s="384"/>
      <c r="BOX31" s="384"/>
      <c r="BOY31" s="384"/>
      <c r="BOZ31" s="384"/>
      <c r="BPA31" s="384"/>
      <c r="BPB31" s="384"/>
      <c r="BPC31" s="384"/>
      <c r="BPD31" s="384"/>
      <c r="BPE31" s="384"/>
      <c r="BPF31" s="384"/>
      <c r="BPG31" s="384"/>
      <c r="BPH31" s="384"/>
      <c r="BPI31" s="384"/>
      <c r="BPJ31" s="384"/>
      <c r="BPK31" s="384"/>
      <c r="BPL31" s="384"/>
      <c r="BPM31" s="384"/>
      <c r="BPN31" s="384"/>
      <c r="BPO31" s="384"/>
      <c r="BPP31" s="384"/>
      <c r="BPQ31" s="384"/>
      <c r="BPR31" s="384"/>
      <c r="BPS31" s="384"/>
      <c r="BPT31" s="384"/>
      <c r="BPU31" s="384"/>
      <c r="BPV31" s="384"/>
      <c r="BPW31" s="384"/>
      <c r="BPX31" s="384"/>
      <c r="BPY31" s="384"/>
      <c r="BPZ31" s="384"/>
      <c r="BQA31" s="384"/>
      <c r="BQB31" s="384"/>
      <c r="BQC31" s="384"/>
      <c r="BQD31" s="384"/>
      <c r="BQE31" s="384"/>
      <c r="BQF31" s="384"/>
      <c r="BQG31" s="384"/>
      <c r="BQH31" s="384"/>
      <c r="BQI31" s="384"/>
      <c r="BQJ31" s="384"/>
      <c r="BQK31" s="384"/>
      <c r="BQL31" s="384"/>
      <c r="BQM31" s="384"/>
      <c r="BQN31" s="384"/>
      <c r="BQO31" s="384"/>
      <c r="BQP31" s="384"/>
      <c r="BQQ31" s="384"/>
      <c r="BQR31" s="384"/>
      <c r="BQS31" s="384"/>
      <c r="BQT31" s="384"/>
      <c r="BQU31" s="384"/>
      <c r="BQV31" s="384"/>
      <c r="BQW31" s="384"/>
      <c r="BQX31" s="384"/>
      <c r="BQY31" s="384"/>
      <c r="BQZ31" s="384"/>
      <c r="BRA31" s="384"/>
      <c r="BRB31" s="384"/>
      <c r="BRC31" s="384"/>
      <c r="BRD31" s="384"/>
      <c r="BRE31" s="384"/>
      <c r="BRF31" s="384"/>
      <c r="BRG31" s="384"/>
      <c r="BRH31" s="384"/>
      <c r="BRI31" s="384"/>
      <c r="BRJ31" s="384"/>
      <c r="BRK31" s="384"/>
      <c r="BRL31" s="384"/>
      <c r="BRM31" s="384"/>
      <c r="BRN31" s="384"/>
      <c r="BRO31" s="384"/>
      <c r="BRP31" s="384"/>
      <c r="BRQ31" s="384"/>
      <c r="BRR31" s="384"/>
      <c r="BRS31" s="384"/>
      <c r="BRT31" s="384"/>
      <c r="BRU31" s="384"/>
      <c r="BRV31" s="384"/>
      <c r="BRW31" s="384"/>
      <c r="BRX31" s="384"/>
      <c r="BRY31" s="384"/>
      <c r="BRZ31" s="384"/>
      <c r="BSA31" s="384"/>
      <c r="BSB31" s="384"/>
      <c r="BSC31" s="384"/>
      <c r="BSD31" s="384"/>
      <c r="BSE31" s="384"/>
      <c r="BSF31" s="384"/>
      <c r="BSG31" s="384"/>
      <c r="BSH31" s="384"/>
      <c r="BSI31" s="384"/>
      <c r="BSJ31" s="384"/>
      <c r="BSK31" s="384"/>
      <c r="BSL31" s="384"/>
      <c r="BSM31" s="384"/>
      <c r="BSN31" s="384"/>
      <c r="BSO31" s="384"/>
      <c r="BSP31" s="384"/>
      <c r="BSQ31" s="384"/>
      <c r="BSR31" s="384"/>
      <c r="BSS31" s="384"/>
      <c r="BST31" s="384"/>
      <c r="BSU31" s="384"/>
      <c r="BSV31" s="384"/>
      <c r="BSW31" s="384"/>
      <c r="BSX31" s="384"/>
      <c r="BSY31" s="384"/>
      <c r="BSZ31" s="384"/>
      <c r="BTA31" s="384"/>
      <c r="BTB31" s="384"/>
      <c r="BTC31" s="384"/>
      <c r="BTD31" s="384"/>
      <c r="BTE31" s="384"/>
      <c r="BTF31" s="384"/>
      <c r="BTG31" s="384"/>
      <c r="BTH31" s="384"/>
      <c r="BTI31" s="384"/>
      <c r="BTJ31" s="384"/>
      <c r="BTK31" s="384"/>
      <c r="BTL31" s="384"/>
      <c r="BTM31" s="384"/>
      <c r="BTN31" s="384"/>
      <c r="BTO31" s="384"/>
      <c r="BTP31" s="384"/>
      <c r="BTQ31" s="384"/>
      <c r="BTR31" s="384"/>
      <c r="BTS31" s="384"/>
      <c r="BTT31" s="384"/>
      <c r="BTU31" s="384"/>
      <c r="BTV31" s="384"/>
      <c r="BTW31" s="384"/>
      <c r="BTX31" s="384"/>
      <c r="BTY31" s="384"/>
      <c r="BTZ31" s="384"/>
      <c r="BUA31" s="384"/>
      <c r="BUB31" s="384"/>
      <c r="BUC31" s="384"/>
      <c r="BUD31" s="384"/>
      <c r="BUE31" s="384"/>
      <c r="BUF31" s="384"/>
      <c r="BUG31" s="384"/>
      <c r="BUH31" s="384"/>
      <c r="BUI31" s="384"/>
      <c r="BUJ31" s="384"/>
      <c r="BUK31" s="384"/>
      <c r="BUL31" s="384"/>
      <c r="BUM31" s="384"/>
      <c r="BUN31" s="384"/>
      <c r="BUO31" s="384"/>
      <c r="BUP31" s="384"/>
      <c r="BUQ31" s="384"/>
      <c r="BUR31" s="384"/>
      <c r="BUS31" s="384"/>
      <c r="BUT31" s="384"/>
      <c r="BUU31" s="384"/>
      <c r="BUV31" s="384"/>
      <c r="BUW31" s="384"/>
      <c r="BUX31" s="384"/>
      <c r="BUY31" s="384"/>
      <c r="BUZ31" s="384"/>
      <c r="BVA31" s="384"/>
      <c r="BVB31" s="384"/>
      <c r="BVC31" s="384"/>
      <c r="BVD31" s="384"/>
      <c r="BVE31" s="384"/>
      <c r="BVF31" s="384"/>
      <c r="BVG31" s="384"/>
      <c r="BVH31" s="384"/>
      <c r="BVI31" s="384"/>
      <c r="BVJ31" s="384"/>
      <c r="BVK31" s="384"/>
      <c r="BVL31" s="384"/>
      <c r="BVM31" s="384"/>
      <c r="BVN31" s="384"/>
      <c r="BVO31" s="384"/>
      <c r="BVP31" s="384"/>
      <c r="BVQ31" s="384"/>
      <c r="BVR31" s="384"/>
      <c r="BVS31" s="384"/>
      <c r="BVT31" s="384"/>
      <c r="BVU31" s="384"/>
      <c r="BVV31" s="384"/>
      <c r="BVW31" s="384"/>
      <c r="BVX31" s="384"/>
      <c r="BVY31" s="384"/>
      <c r="BVZ31" s="384"/>
      <c r="BWA31" s="384"/>
      <c r="BWB31" s="384"/>
      <c r="BWC31" s="384"/>
      <c r="BWD31" s="384"/>
      <c r="BWE31" s="384"/>
      <c r="BWF31" s="384"/>
      <c r="BWG31" s="384"/>
      <c r="BWH31" s="384"/>
      <c r="BWI31" s="384"/>
      <c r="BWJ31" s="384"/>
      <c r="BWK31" s="384"/>
      <c r="BWL31" s="384"/>
      <c r="BWM31" s="384"/>
      <c r="BWN31" s="384"/>
      <c r="BWO31" s="384"/>
      <c r="BWP31" s="384"/>
      <c r="BWQ31" s="384"/>
      <c r="BWR31" s="384"/>
      <c r="BWS31" s="384"/>
      <c r="BWT31" s="384"/>
      <c r="BWU31" s="384"/>
      <c r="BWV31" s="384"/>
      <c r="BWW31" s="384"/>
      <c r="BWX31" s="384"/>
      <c r="BWY31" s="384"/>
      <c r="BWZ31" s="384"/>
      <c r="BXA31" s="384"/>
      <c r="BXB31" s="384"/>
      <c r="BXC31" s="384"/>
      <c r="BXD31" s="384"/>
      <c r="BXE31" s="384"/>
      <c r="BXF31" s="384"/>
      <c r="BXG31" s="384"/>
      <c r="BXH31" s="384"/>
      <c r="BXI31" s="384"/>
      <c r="BXJ31" s="384"/>
      <c r="BXK31" s="384"/>
      <c r="BXL31" s="384"/>
      <c r="BXM31" s="384"/>
      <c r="BXN31" s="384"/>
      <c r="BXO31" s="384"/>
      <c r="BXP31" s="384"/>
      <c r="BXQ31" s="384"/>
      <c r="BXR31" s="384"/>
      <c r="BXS31" s="384"/>
      <c r="BXT31" s="384"/>
      <c r="BXU31" s="384"/>
      <c r="BXV31" s="384"/>
      <c r="BXW31" s="384"/>
      <c r="BXX31" s="384"/>
      <c r="BXY31" s="384"/>
      <c r="BXZ31" s="384"/>
      <c r="BYA31" s="384"/>
      <c r="BYB31" s="384"/>
      <c r="BYC31" s="384"/>
      <c r="BYD31" s="384"/>
      <c r="BYE31" s="384"/>
      <c r="BYF31" s="384"/>
      <c r="BYG31" s="384"/>
      <c r="BYH31" s="384"/>
      <c r="BYI31" s="384"/>
      <c r="BYJ31" s="384"/>
      <c r="BYK31" s="384"/>
      <c r="BYL31" s="384"/>
      <c r="BYM31" s="384"/>
      <c r="BYN31" s="384"/>
      <c r="BYO31" s="384"/>
      <c r="BYP31" s="384"/>
      <c r="BYQ31" s="384"/>
      <c r="BYR31" s="384"/>
      <c r="BYS31" s="384"/>
      <c r="BYT31" s="384"/>
      <c r="BYU31" s="384"/>
      <c r="BYV31" s="384"/>
      <c r="BYW31" s="384"/>
      <c r="BYX31" s="384"/>
      <c r="BYY31" s="384"/>
      <c r="BYZ31" s="384"/>
      <c r="BZA31" s="384"/>
      <c r="BZB31" s="384"/>
      <c r="BZC31" s="384"/>
      <c r="BZD31" s="384"/>
      <c r="BZE31" s="384"/>
      <c r="BZF31" s="384"/>
      <c r="BZG31" s="384"/>
      <c r="BZH31" s="384"/>
      <c r="BZI31" s="384"/>
      <c r="BZJ31" s="384"/>
      <c r="BZK31" s="384"/>
      <c r="BZL31" s="384"/>
      <c r="BZM31" s="384"/>
      <c r="BZN31" s="384"/>
      <c r="BZO31" s="384"/>
      <c r="BZP31" s="384"/>
      <c r="BZQ31" s="384"/>
      <c r="BZR31" s="384"/>
      <c r="BZS31" s="384"/>
      <c r="BZT31" s="384"/>
      <c r="BZU31" s="384"/>
      <c r="BZV31" s="384"/>
      <c r="BZW31" s="384"/>
      <c r="BZX31" s="384"/>
      <c r="BZY31" s="384"/>
      <c r="BZZ31" s="384"/>
      <c r="CAA31" s="384"/>
      <c r="CAB31" s="384"/>
      <c r="CAC31" s="384"/>
      <c r="CAD31" s="384"/>
      <c r="CAE31" s="384"/>
      <c r="CAF31" s="384"/>
      <c r="CAG31" s="384"/>
      <c r="CAH31" s="384"/>
      <c r="CAI31" s="384"/>
      <c r="CAJ31" s="384"/>
      <c r="CAK31" s="384"/>
      <c r="CAL31" s="384"/>
      <c r="CAM31" s="384"/>
      <c r="CAN31" s="384"/>
      <c r="CAO31" s="384"/>
      <c r="CAP31" s="384"/>
      <c r="CAQ31" s="384"/>
      <c r="CAR31" s="384"/>
      <c r="CAS31" s="384"/>
      <c r="CAT31" s="384"/>
      <c r="CAU31" s="384"/>
      <c r="CAV31" s="384"/>
      <c r="CAW31" s="384"/>
      <c r="CAX31" s="384"/>
      <c r="CAY31" s="384"/>
      <c r="CAZ31" s="384"/>
      <c r="CBA31" s="384"/>
      <c r="CBB31" s="384"/>
      <c r="CBC31" s="384"/>
      <c r="CBD31" s="384"/>
      <c r="CBE31" s="384"/>
      <c r="CBF31" s="384"/>
      <c r="CBG31" s="384"/>
      <c r="CBH31" s="384"/>
      <c r="CBI31" s="384"/>
      <c r="CBJ31" s="384"/>
      <c r="CBK31" s="384"/>
      <c r="CBL31" s="384"/>
      <c r="CBM31" s="384"/>
      <c r="CBN31" s="384"/>
      <c r="CBO31" s="384"/>
      <c r="CBP31" s="384"/>
      <c r="CBQ31" s="384"/>
      <c r="CBR31" s="384"/>
      <c r="CBS31" s="384"/>
      <c r="CBT31" s="384"/>
      <c r="CBU31" s="384"/>
      <c r="CBV31" s="384"/>
      <c r="CBW31" s="384"/>
      <c r="CBX31" s="384"/>
      <c r="CBY31" s="384"/>
      <c r="CBZ31" s="384"/>
      <c r="CCA31" s="384"/>
      <c r="CCB31" s="384"/>
      <c r="CCC31" s="384"/>
      <c r="CCD31" s="384"/>
      <c r="CCE31" s="384"/>
      <c r="CCF31" s="384"/>
      <c r="CCG31" s="384"/>
      <c r="CCH31" s="384"/>
      <c r="CCI31" s="384"/>
      <c r="CCJ31" s="384"/>
      <c r="CCK31" s="384"/>
      <c r="CCL31" s="384"/>
      <c r="CCM31" s="384"/>
      <c r="CCN31" s="384"/>
      <c r="CCO31" s="384"/>
      <c r="CCP31" s="384"/>
      <c r="CCQ31" s="384"/>
      <c r="CCR31" s="384"/>
      <c r="CCS31" s="384"/>
      <c r="CCT31" s="384"/>
      <c r="CCU31" s="384"/>
      <c r="CCV31" s="384"/>
      <c r="CCW31" s="384"/>
      <c r="CCX31" s="384"/>
      <c r="CCY31" s="384"/>
      <c r="CCZ31" s="384"/>
      <c r="CDA31" s="384"/>
      <c r="CDB31" s="384"/>
      <c r="CDC31" s="384"/>
      <c r="CDD31" s="384"/>
      <c r="CDE31" s="384"/>
      <c r="CDF31" s="384"/>
      <c r="CDG31" s="384"/>
      <c r="CDH31" s="384"/>
      <c r="CDI31" s="384"/>
      <c r="CDJ31" s="384"/>
      <c r="CDK31" s="384"/>
      <c r="CDL31" s="384"/>
      <c r="CDM31" s="384"/>
      <c r="CDN31" s="384"/>
      <c r="CDO31" s="384"/>
      <c r="CDP31" s="384"/>
      <c r="CDQ31" s="384"/>
      <c r="CDR31" s="384"/>
      <c r="CDS31" s="384"/>
      <c r="CDT31" s="384"/>
      <c r="CDU31" s="384"/>
      <c r="CDV31" s="384"/>
      <c r="CDW31" s="384"/>
      <c r="CDX31" s="384"/>
      <c r="CDY31" s="384"/>
      <c r="CDZ31" s="384"/>
      <c r="CEA31" s="384"/>
      <c r="CEB31" s="384"/>
      <c r="CEC31" s="384"/>
      <c r="CED31" s="384"/>
      <c r="CEE31" s="384"/>
      <c r="CEF31" s="384"/>
      <c r="CEG31" s="384"/>
      <c r="CEH31" s="384"/>
      <c r="CEI31" s="384"/>
      <c r="CEJ31" s="384"/>
      <c r="CEK31" s="384"/>
      <c r="CEL31" s="384"/>
      <c r="CEM31" s="384"/>
      <c r="CEN31" s="384"/>
      <c r="CEO31" s="384"/>
      <c r="CEP31" s="384"/>
      <c r="CEQ31" s="384"/>
      <c r="CER31" s="384"/>
      <c r="CES31" s="384"/>
      <c r="CET31" s="384"/>
      <c r="CEU31" s="384"/>
      <c r="CEV31" s="384"/>
      <c r="CEW31" s="384"/>
      <c r="CEX31" s="384"/>
      <c r="CEY31" s="384"/>
      <c r="CEZ31" s="384"/>
      <c r="CFA31" s="384"/>
      <c r="CFB31" s="384"/>
      <c r="CFC31" s="384"/>
      <c r="CFD31" s="384"/>
      <c r="CFE31" s="384"/>
      <c r="CFF31" s="384"/>
      <c r="CFG31" s="384"/>
      <c r="CFH31" s="384"/>
      <c r="CFI31" s="384"/>
      <c r="CFJ31" s="384"/>
      <c r="CFK31" s="384"/>
      <c r="CFL31" s="384"/>
      <c r="CFM31" s="384"/>
      <c r="CFN31" s="384"/>
      <c r="CFO31" s="384"/>
      <c r="CFP31" s="384"/>
      <c r="CFQ31" s="384"/>
      <c r="CFR31" s="384"/>
      <c r="CFS31" s="384"/>
      <c r="CFT31" s="384"/>
      <c r="CFU31" s="384"/>
      <c r="CFV31" s="384"/>
      <c r="CFW31" s="384"/>
      <c r="CFX31" s="384"/>
      <c r="CFY31" s="384"/>
      <c r="CFZ31" s="384"/>
      <c r="CGA31" s="384"/>
      <c r="CGB31" s="384"/>
      <c r="CGC31" s="384"/>
      <c r="CGD31" s="384"/>
      <c r="CGE31" s="384"/>
      <c r="CGF31" s="384"/>
      <c r="CGG31" s="384"/>
      <c r="CGH31" s="384"/>
      <c r="CGI31" s="384"/>
      <c r="CGJ31" s="384"/>
      <c r="CGK31" s="384"/>
      <c r="CGL31" s="384"/>
      <c r="CGM31" s="384"/>
      <c r="CGN31" s="384"/>
      <c r="CGO31" s="384"/>
      <c r="CGP31" s="384"/>
      <c r="CGQ31" s="384"/>
      <c r="CGR31" s="384"/>
      <c r="CGS31" s="384"/>
      <c r="CGT31" s="384"/>
      <c r="CGU31" s="384"/>
      <c r="CGV31" s="384"/>
      <c r="CGW31" s="384"/>
      <c r="CGX31" s="384"/>
      <c r="CGY31" s="384"/>
      <c r="CGZ31" s="384"/>
      <c r="CHA31" s="384"/>
      <c r="CHB31" s="384"/>
      <c r="CHC31" s="384"/>
      <c r="CHD31" s="384"/>
      <c r="CHE31" s="384"/>
      <c r="CHF31" s="384"/>
      <c r="CHG31" s="384"/>
      <c r="CHH31" s="384"/>
      <c r="CHI31" s="384"/>
      <c r="CHJ31" s="384"/>
      <c r="CHK31" s="384"/>
      <c r="CHL31" s="384"/>
      <c r="CHM31" s="384"/>
      <c r="CHN31" s="384"/>
      <c r="CHO31" s="384"/>
      <c r="CHP31" s="384"/>
      <c r="CHQ31" s="384"/>
      <c r="CHR31" s="384"/>
      <c r="CHS31" s="384"/>
      <c r="CHT31" s="384"/>
      <c r="CHU31" s="384"/>
      <c r="CHV31" s="384"/>
      <c r="CHW31" s="384"/>
      <c r="CHX31" s="384"/>
      <c r="CHY31" s="384"/>
      <c r="CHZ31" s="384"/>
      <c r="CIA31" s="384"/>
      <c r="CIB31" s="384"/>
      <c r="CIC31" s="384"/>
      <c r="CID31" s="384"/>
      <c r="CIE31" s="384"/>
      <c r="CIF31" s="384"/>
      <c r="CIG31" s="384"/>
      <c r="CIH31" s="384"/>
      <c r="CII31" s="384"/>
      <c r="CIJ31" s="384"/>
      <c r="CIK31" s="384"/>
      <c r="CIL31" s="384"/>
      <c r="CIM31" s="384"/>
      <c r="CIN31" s="384"/>
      <c r="CIO31" s="384"/>
      <c r="CIP31" s="384"/>
      <c r="CIQ31" s="384"/>
      <c r="CIR31" s="384"/>
      <c r="CIS31" s="384"/>
      <c r="CIT31" s="384"/>
      <c r="CIU31" s="384"/>
      <c r="CIV31" s="384"/>
      <c r="CIW31" s="384"/>
      <c r="CIX31" s="384"/>
      <c r="CIY31" s="384"/>
      <c r="CIZ31" s="384"/>
      <c r="CJA31" s="384"/>
      <c r="CJB31" s="384"/>
      <c r="CJC31" s="384"/>
      <c r="CJD31" s="384"/>
      <c r="CJE31" s="384"/>
      <c r="CJF31" s="384"/>
      <c r="CJG31" s="384"/>
      <c r="CJH31" s="384"/>
      <c r="CJI31" s="384"/>
      <c r="CJJ31" s="384"/>
      <c r="CJK31" s="384"/>
      <c r="CJL31" s="384"/>
      <c r="CJM31" s="384"/>
      <c r="CJN31" s="384"/>
      <c r="CJO31" s="384"/>
      <c r="CJP31" s="384"/>
      <c r="CJQ31" s="384"/>
      <c r="CJR31" s="384"/>
      <c r="CJS31" s="384"/>
      <c r="CJT31" s="384"/>
      <c r="CJU31" s="384"/>
      <c r="CJV31" s="384"/>
      <c r="CJW31" s="384"/>
      <c r="CJX31" s="384"/>
      <c r="CJY31" s="384"/>
      <c r="CJZ31" s="384"/>
      <c r="CKA31" s="384"/>
      <c r="CKB31" s="384"/>
      <c r="CKC31" s="384"/>
      <c r="CKD31" s="384"/>
      <c r="CKE31" s="384"/>
      <c r="CKF31" s="384"/>
      <c r="CKG31" s="384"/>
      <c r="CKH31" s="384"/>
      <c r="CKI31" s="384"/>
      <c r="CKJ31" s="384"/>
      <c r="CKK31" s="384"/>
      <c r="CKL31" s="384"/>
      <c r="CKM31" s="384"/>
      <c r="CKN31" s="384"/>
      <c r="CKO31" s="384"/>
      <c r="CKP31" s="384"/>
      <c r="CKQ31" s="384"/>
      <c r="CKR31" s="384"/>
      <c r="CKS31" s="384"/>
      <c r="CKT31" s="384"/>
      <c r="CKU31" s="384"/>
      <c r="CKV31" s="384"/>
      <c r="CKW31" s="384"/>
      <c r="CKX31" s="384"/>
      <c r="CKY31" s="384"/>
      <c r="CKZ31" s="384"/>
      <c r="CLA31" s="384"/>
      <c r="CLB31" s="384"/>
      <c r="CLC31" s="384"/>
      <c r="CLD31" s="384"/>
      <c r="CLE31" s="384"/>
      <c r="CLF31" s="384"/>
      <c r="CLG31" s="384"/>
      <c r="CLH31" s="384"/>
      <c r="CLI31" s="384"/>
      <c r="CLJ31" s="384"/>
      <c r="CLK31" s="384"/>
      <c r="CLL31" s="384"/>
      <c r="CLM31" s="384"/>
      <c r="CLN31" s="384"/>
      <c r="CLO31" s="384"/>
      <c r="CLP31" s="384"/>
      <c r="CLQ31" s="384"/>
      <c r="CLR31" s="384"/>
      <c r="CLS31" s="384"/>
      <c r="CLT31" s="384"/>
      <c r="CLU31" s="384"/>
      <c r="CLV31" s="384"/>
      <c r="CLW31" s="384"/>
      <c r="CLX31" s="384"/>
      <c r="CLY31" s="384"/>
      <c r="CLZ31" s="384"/>
      <c r="CMA31" s="384"/>
      <c r="CMB31" s="384"/>
      <c r="CMC31" s="384"/>
      <c r="CMD31" s="384"/>
      <c r="CME31" s="384"/>
      <c r="CMF31" s="384"/>
      <c r="CMG31" s="384"/>
      <c r="CMH31" s="384"/>
      <c r="CMI31" s="384"/>
      <c r="CMJ31" s="384"/>
      <c r="CMK31" s="384"/>
      <c r="CML31" s="384"/>
      <c r="CMM31" s="384"/>
      <c r="CMN31" s="384"/>
      <c r="CMO31" s="384"/>
      <c r="CMP31" s="384"/>
      <c r="CMQ31" s="384"/>
      <c r="CMR31" s="384"/>
      <c r="CMS31" s="384"/>
      <c r="CMT31" s="384"/>
      <c r="CMU31" s="384"/>
      <c r="CMV31" s="384"/>
      <c r="CMW31" s="384"/>
      <c r="CMX31" s="384"/>
      <c r="CMY31" s="384"/>
      <c r="CMZ31" s="384"/>
      <c r="CNA31" s="384"/>
      <c r="CNB31" s="384"/>
      <c r="CNC31" s="384"/>
      <c r="CND31" s="384"/>
      <c r="CNE31" s="384"/>
      <c r="CNF31" s="384"/>
      <c r="CNG31" s="384"/>
      <c r="CNH31" s="384"/>
      <c r="CNI31" s="384"/>
      <c r="CNJ31" s="384"/>
      <c r="CNK31" s="384"/>
      <c r="CNL31" s="384"/>
      <c r="CNM31" s="384"/>
      <c r="CNN31" s="384"/>
      <c r="CNO31" s="384"/>
      <c r="CNP31" s="384"/>
      <c r="CNQ31" s="384"/>
      <c r="CNR31" s="384"/>
      <c r="CNS31" s="384"/>
      <c r="CNT31" s="384"/>
      <c r="CNU31" s="384"/>
      <c r="CNV31" s="384"/>
      <c r="CNW31" s="384"/>
      <c r="CNX31" s="384"/>
      <c r="CNY31" s="384"/>
      <c r="CNZ31" s="384"/>
      <c r="COA31" s="384"/>
      <c r="COB31" s="384"/>
      <c r="COC31" s="384"/>
      <c r="COD31" s="384"/>
      <c r="COE31" s="384"/>
      <c r="COF31" s="384"/>
      <c r="COG31" s="384"/>
      <c r="COH31" s="384"/>
      <c r="COI31" s="384"/>
      <c r="COJ31" s="384"/>
      <c r="COK31" s="384"/>
      <c r="COL31" s="384"/>
      <c r="COM31" s="384"/>
      <c r="CON31" s="384"/>
      <c r="COO31" s="384"/>
      <c r="COP31" s="384"/>
      <c r="COQ31" s="384"/>
      <c r="COR31" s="384"/>
      <c r="COS31" s="384"/>
      <c r="COT31" s="384"/>
      <c r="COU31" s="384"/>
      <c r="COV31" s="384"/>
      <c r="COW31" s="384"/>
      <c r="COX31" s="384"/>
      <c r="COY31" s="384"/>
      <c r="COZ31" s="384"/>
      <c r="CPA31" s="384"/>
      <c r="CPB31" s="384"/>
      <c r="CPC31" s="384"/>
      <c r="CPD31" s="384"/>
      <c r="CPE31" s="384"/>
      <c r="CPF31" s="384"/>
      <c r="CPG31" s="384"/>
      <c r="CPH31" s="384"/>
      <c r="CPI31" s="384"/>
      <c r="CPJ31" s="384"/>
      <c r="CPK31" s="384"/>
      <c r="CPL31" s="384"/>
      <c r="CPM31" s="384"/>
      <c r="CPN31" s="384"/>
      <c r="CPO31" s="384"/>
      <c r="CPP31" s="384"/>
      <c r="CPQ31" s="384"/>
      <c r="CPR31" s="384"/>
      <c r="CPS31" s="384"/>
      <c r="CPT31" s="384"/>
      <c r="CPU31" s="384"/>
      <c r="CPV31" s="384"/>
      <c r="CPW31" s="384"/>
      <c r="CPX31" s="384"/>
      <c r="CPY31" s="384"/>
      <c r="CPZ31" s="384"/>
      <c r="CQA31" s="384"/>
      <c r="CQB31" s="384"/>
      <c r="CQC31" s="384"/>
      <c r="CQD31" s="384"/>
      <c r="CQE31" s="384"/>
      <c r="CQF31" s="384"/>
      <c r="CQG31" s="384"/>
      <c r="CQH31" s="384"/>
      <c r="CQI31" s="384"/>
      <c r="CQJ31" s="384"/>
      <c r="CQK31" s="384"/>
      <c r="CQL31" s="384"/>
      <c r="CQM31" s="384"/>
      <c r="CQN31" s="384"/>
      <c r="CQO31" s="384"/>
      <c r="CQP31" s="384"/>
      <c r="CQQ31" s="384"/>
      <c r="CQR31" s="384"/>
      <c r="CQS31" s="384"/>
      <c r="CQT31" s="384"/>
      <c r="CQU31" s="384"/>
      <c r="CQV31" s="384"/>
      <c r="CQW31" s="384"/>
      <c r="CQX31" s="384"/>
      <c r="CQY31" s="384"/>
      <c r="CQZ31" s="384"/>
      <c r="CRA31" s="384"/>
      <c r="CRB31" s="384"/>
      <c r="CRC31" s="384"/>
      <c r="CRD31" s="384"/>
      <c r="CRE31" s="384"/>
      <c r="CRF31" s="384"/>
      <c r="CRG31" s="384"/>
      <c r="CRH31" s="384"/>
      <c r="CRI31" s="384"/>
      <c r="CRJ31" s="384"/>
      <c r="CRK31" s="384"/>
      <c r="CRL31" s="384"/>
      <c r="CRM31" s="384"/>
      <c r="CRN31" s="384"/>
      <c r="CRO31" s="384"/>
      <c r="CRP31" s="384"/>
      <c r="CRQ31" s="384"/>
      <c r="CRR31" s="384"/>
      <c r="CRS31" s="384"/>
      <c r="CRT31" s="384"/>
      <c r="CRU31" s="384"/>
      <c r="CRV31" s="384"/>
      <c r="CRW31" s="384"/>
      <c r="CRX31" s="384"/>
      <c r="CRY31" s="384"/>
      <c r="CRZ31" s="384"/>
      <c r="CSA31" s="384"/>
      <c r="CSB31" s="384"/>
      <c r="CSC31" s="384"/>
      <c r="CSD31" s="384"/>
      <c r="CSE31" s="384"/>
      <c r="CSF31" s="384"/>
      <c r="CSG31" s="384"/>
      <c r="CSH31" s="384"/>
      <c r="CSI31" s="384"/>
      <c r="CSJ31" s="384"/>
      <c r="CSK31" s="384"/>
      <c r="CSL31" s="384"/>
      <c r="CSM31" s="384"/>
      <c r="CSN31" s="384"/>
      <c r="CSO31" s="384"/>
      <c r="CSP31" s="384"/>
      <c r="CSQ31" s="384"/>
      <c r="CSR31" s="384"/>
      <c r="CSS31" s="384"/>
      <c r="CST31" s="384"/>
      <c r="CSU31" s="384"/>
      <c r="CSV31" s="384"/>
      <c r="CSW31" s="384"/>
      <c r="CSX31" s="384"/>
      <c r="CSY31" s="384"/>
      <c r="CSZ31" s="384"/>
      <c r="CTA31" s="384"/>
      <c r="CTB31" s="384"/>
      <c r="CTC31" s="384"/>
      <c r="CTD31" s="384"/>
      <c r="CTE31" s="384"/>
      <c r="CTF31" s="384"/>
      <c r="CTG31" s="384"/>
      <c r="CTH31" s="384"/>
      <c r="CTI31" s="384"/>
      <c r="CTJ31" s="384"/>
      <c r="CTK31" s="384"/>
      <c r="CTL31" s="384"/>
      <c r="CTM31" s="384"/>
      <c r="CTN31" s="384"/>
      <c r="CTO31" s="384"/>
      <c r="CTP31" s="384"/>
      <c r="CTQ31" s="384"/>
      <c r="CTR31" s="384"/>
      <c r="CTS31" s="384"/>
      <c r="CTT31" s="384"/>
      <c r="CTU31" s="384"/>
      <c r="CTV31" s="384"/>
      <c r="CTW31" s="384"/>
      <c r="CTX31" s="384"/>
      <c r="CTY31" s="384"/>
      <c r="CTZ31" s="384"/>
      <c r="CUA31" s="384"/>
      <c r="CUB31" s="384"/>
      <c r="CUC31" s="384"/>
      <c r="CUD31" s="384"/>
      <c r="CUE31" s="384"/>
      <c r="CUF31" s="384"/>
      <c r="CUG31" s="384"/>
      <c r="CUH31" s="384"/>
      <c r="CUI31" s="384"/>
      <c r="CUJ31" s="384"/>
      <c r="CUK31" s="384"/>
      <c r="CUL31" s="384"/>
      <c r="CUM31" s="384"/>
      <c r="CUN31" s="384"/>
      <c r="CUO31" s="384"/>
      <c r="CUP31" s="384"/>
      <c r="CUQ31" s="384"/>
      <c r="CUR31" s="384"/>
      <c r="CUS31" s="384"/>
      <c r="CUT31" s="384"/>
      <c r="CUU31" s="384"/>
      <c r="CUV31" s="384"/>
      <c r="CUW31" s="384"/>
      <c r="CUX31" s="384"/>
      <c r="CUY31" s="384"/>
      <c r="CUZ31" s="384"/>
      <c r="CVA31" s="384"/>
      <c r="CVB31" s="384"/>
      <c r="CVC31" s="384"/>
      <c r="CVD31" s="384"/>
      <c r="CVE31" s="384"/>
      <c r="CVF31" s="384"/>
      <c r="CVG31" s="384"/>
      <c r="CVH31" s="384"/>
      <c r="CVI31" s="384"/>
      <c r="CVJ31" s="384"/>
      <c r="CVK31" s="384"/>
      <c r="CVL31" s="384"/>
      <c r="CVM31" s="384"/>
      <c r="CVN31" s="384"/>
      <c r="CVO31" s="384"/>
      <c r="CVP31" s="384"/>
      <c r="CVQ31" s="384"/>
      <c r="CVR31" s="384"/>
      <c r="CVS31" s="384"/>
      <c r="CVT31" s="384"/>
      <c r="CVU31" s="384"/>
      <c r="CVV31" s="384"/>
      <c r="CVW31" s="384"/>
      <c r="CVX31" s="384"/>
      <c r="CVY31" s="384"/>
      <c r="CVZ31" s="384"/>
      <c r="CWA31" s="384"/>
      <c r="CWB31" s="384"/>
      <c r="CWC31" s="384"/>
      <c r="CWD31" s="384"/>
      <c r="CWE31" s="384"/>
      <c r="CWF31" s="384"/>
      <c r="CWG31" s="384"/>
      <c r="CWH31" s="384"/>
      <c r="CWI31" s="384"/>
      <c r="CWJ31" s="384"/>
      <c r="CWK31" s="384"/>
      <c r="CWL31" s="384"/>
      <c r="CWM31" s="384"/>
      <c r="CWN31" s="384"/>
      <c r="CWO31" s="384"/>
      <c r="CWP31" s="384"/>
      <c r="CWQ31" s="384"/>
      <c r="CWR31" s="384"/>
      <c r="CWS31" s="384"/>
      <c r="CWT31" s="384"/>
      <c r="CWU31" s="384"/>
      <c r="CWV31" s="384"/>
      <c r="CWW31" s="384"/>
      <c r="CWX31" s="384"/>
      <c r="CWY31" s="384"/>
      <c r="CWZ31" s="384"/>
      <c r="CXA31" s="384"/>
      <c r="CXB31" s="384"/>
      <c r="CXC31" s="384"/>
      <c r="CXD31" s="384"/>
      <c r="CXE31" s="384"/>
      <c r="CXF31" s="384"/>
      <c r="CXG31" s="384"/>
      <c r="CXH31" s="384"/>
      <c r="CXI31" s="384"/>
      <c r="CXJ31" s="384"/>
      <c r="CXK31" s="384"/>
      <c r="CXL31" s="384"/>
      <c r="CXM31" s="384"/>
      <c r="CXN31" s="384"/>
      <c r="CXO31" s="384"/>
      <c r="CXP31" s="384"/>
      <c r="CXQ31" s="384"/>
      <c r="CXR31" s="384"/>
      <c r="CXS31" s="384"/>
      <c r="CXT31" s="384"/>
      <c r="CXU31" s="384"/>
      <c r="CXV31" s="384"/>
      <c r="CXW31" s="384"/>
      <c r="CXX31" s="384"/>
      <c r="CXY31" s="384"/>
      <c r="CXZ31" s="384"/>
      <c r="CYA31" s="384"/>
      <c r="CYB31" s="384"/>
      <c r="CYC31" s="384"/>
      <c r="CYD31" s="384"/>
      <c r="CYE31" s="384"/>
      <c r="CYF31" s="384"/>
      <c r="CYG31" s="384"/>
      <c r="CYH31" s="384"/>
      <c r="CYI31" s="384"/>
      <c r="CYJ31" s="384"/>
      <c r="CYK31" s="384"/>
      <c r="CYL31" s="384"/>
      <c r="CYM31" s="384"/>
      <c r="CYN31" s="384"/>
      <c r="CYO31" s="384"/>
      <c r="CYP31" s="384"/>
      <c r="CYQ31" s="384"/>
      <c r="CYR31" s="384"/>
      <c r="CYS31" s="384"/>
      <c r="CYT31" s="384"/>
      <c r="CYU31" s="384"/>
      <c r="CYV31" s="384"/>
      <c r="CYW31" s="384"/>
      <c r="CYX31" s="384"/>
      <c r="CYY31" s="384"/>
      <c r="CYZ31" s="384"/>
      <c r="CZA31" s="384"/>
      <c r="CZB31" s="384"/>
      <c r="CZC31" s="384"/>
      <c r="CZD31" s="384"/>
      <c r="CZE31" s="384"/>
      <c r="CZF31" s="384"/>
      <c r="CZG31" s="384"/>
      <c r="CZH31" s="384"/>
      <c r="CZI31" s="384"/>
      <c r="CZJ31" s="384"/>
      <c r="CZK31" s="384"/>
      <c r="CZL31" s="384"/>
      <c r="CZM31" s="384"/>
      <c r="CZN31" s="384"/>
      <c r="CZO31" s="384"/>
      <c r="CZP31" s="384"/>
      <c r="CZQ31" s="384"/>
      <c r="CZR31" s="384"/>
      <c r="CZS31" s="384"/>
      <c r="CZT31" s="384"/>
      <c r="CZU31" s="384"/>
      <c r="CZV31" s="384"/>
      <c r="CZW31" s="384"/>
      <c r="CZX31" s="384"/>
      <c r="CZY31" s="384"/>
      <c r="CZZ31" s="384"/>
      <c r="DAA31" s="384"/>
      <c r="DAB31" s="384"/>
      <c r="DAC31" s="384"/>
      <c r="DAD31" s="384"/>
      <c r="DAE31" s="384"/>
      <c r="DAF31" s="384"/>
      <c r="DAG31" s="384"/>
      <c r="DAH31" s="384"/>
      <c r="DAI31" s="384"/>
      <c r="DAJ31" s="384"/>
      <c r="DAK31" s="384"/>
      <c r="DAL31" s="384"/>
      <c r="DAM31" s="384"/>
      <c r="DAN31" s="384"/>
      <c r="DAO31" s="384"/>
      <c r="DAP31" s="384"/>
      <c r="DAQ31" s="384"/>
      <c r="DAR31" s="384"/>
      <c r="DAS31" s="384"/>
      <c r="DAT31" s="384"/>
      <c r="DAU31" s="384"/>
      <c r="DAV31" s="384"/>
      <c r="DAW31" s="384"/>
      <c r="DAX31" s="384"/>
      <c r="DAY31" s="384"/>
      <c r="DAZ31" s="384"/>
      <c r="DBA31" s="384"/>
      <c r="DBB31" s="384"/>
      <c r="DBC31" s="384"/>
      <c r="DBD31" s="384"/>
      <c r="DBE31" s="384"/>
      <c r="DBF31" s="384"/>
      <c r="DBG31" s="384"/>
      <c r="DBH31" s="384"/>
      <c r="DBI31" s="384"/>
      <c r="DBJ31" s="384"/>
      <c r="DBK31" s="384"/>
      <c r="DBL31" s="384"/>
      <c r="DBM31" s="384"/>
      <c r="DBN31" s="384"/>
      <c r="DBO31" s="384"/>
      <c r="DBP31" s="384"/>
      <c r="DBQ31" s="384"/>
      <c r="DBR31" s="384"/>
      <c r="DBS31" s="384"/>
      <c r="DBT31" s="384"/>
      <c r="DBU31" s="384"/>
      <c r="DBV31" s="384"/>
      <c r="DBW31" s="384"/>
      <c r="DBX31" s="384"/>
      <c r="DBY31" s="384"/>
      <c r="DBZ31" s="384"/>
      <c r="DCA31" s="384"/>
      <c r="DCB31" s="384"/>
      <c r="DCC31" s="384"/>
      <c r="DCD31" s="384"/>
      <c r="DCE31" s="384"/>
      <c r="DCF31" s="384"/>
      <c r="DCG31" s="384"/>
      <c r="DCH31" s="384"/>
      <c r="DCI31" s="384"/>
      <c r="DCJ31" s="384"/>
      <c r="DCK31" s="384"/>
      <c r="DCL31" s="384"/>
      <c r="DCM31" s="384"/>
      <c r="DCN31" s="384"/>
      <c r="DCO31" s="384"/>
      <c r="DCP31" s="384"/>
      <c r="DCQ31" s="384"/>
      <c r="DCR31" s="384"/>
      <c r="DCS31" s="384"/>
      <c r="DCT31" s="384"/>
      <c r="DCU31" s="384"/>
      <c r="DCV31" s="384"/>
      <c r="DCW31" s="384"/>
      <c r="DCX31" s="384"/>
      <c r="DCY31" s="384"/>
      <c r="DCZ31" s="384"/>
      <c r="DDA31" s="384"/>
      <c r="DDB31" s="384"/>
      <c r="DDC31" s="384"/>
      <c r="DDD31" s="384"/>
      <c r="DDE31" s="384"/>
      <c r="DDF31" s="384"/>
      <c r="DDG31" s="384"/>
      <c r="DDH31" s="384"/>
      <c r="DDI31" s="384"/>
      <c r="DDJ31" s="384"/>
      <c r="DDK31" s="384"/>
      <c r="DDL31" s="384"/>
      <c r="DDM31" s="384"/>
      <c r="DDN31" s="384"/>
      <c r="DDO31" s="384"/>
      <c r="DDP31" s="384"/>
      <c r="DDQ31" s="384"/>
      <c r="DDR31" s="384"/>
      <c r="DDS31" s="384"/>
      <c r="DDT31" s="384"/>
      <c r="DDU31" s="384"/>
      <c r="DDV31" s="384"/>
      <c r="DDW31" s="384"/>
      <c r="DDX31" s="384"/>
      <c r="DDY31" s="384"/>
      <c r="DDZ31" s="384"/>
      <c r="DEA31" s="384"/>
      <c r="DEB31" s="384"/>
      <c r="DEC31" s="384"/>
      <c r="DED31" s="384"/>
      <c r="DEE31" s="384"/>
      <c r="DEF31" s="384"/>
      <c r="DEG31" s="384"/>
      <c r="DEH31" s="384"/>
      <c r="DEI31" s="384"/>
      <c r="DEJ31" s="384"/>
      <c r="DEK31" s="384"/>
      <c r="DEL31" s="384"/>
      <c r="DEM31" s="384"/>
      <c r="DEN31" s="384"/>
      <c r="DEO31" s="384"/>
      <c r="DEP31" s="384"/>
      <c r="DEQ31" s="384"/>
      <c r="DER31" s="384"/>
      <c r="DES31" s="384"/>
      <c r="DET31" s="384"/>
      <c r="DEU31" s="384"/>
      <c r="DEV31" s="384"/>
      <c r="DEW31" s="384"/>
      <c r="DEX31" s="384"/>
      <c r="DEY31" s="384"/>
      <c r="DEZ31" s="384"/>
      <c r="DFA31" s="384"/>
      <c r="DFB31" s="384"/>
      <c r="DFC31" s="384"/>
      <c r="DFD31" s="384"/>
      <c r="DFE31" s="384"/>
      <c r="DFF31" s="384"/>
      <c r="DFG31" s="384"/>
      <c r="DFH31" s="384"/>
      <c r="DFI31" s="384"/>
      <c r="DFJ31" s="384"/>
      <c r="DFK31" s="384"/>
      <c r="DFL31" s="384"/>
      <c r="DFM31" s="384"/>
      <c r="DFN31" s="384"/>
      <c r="DFO31" s="384"/>
      <c r="DFP31" s="384"/>
      <c r="DFQ31" s="384"/>
      <c r="DFR31" s="384"/>
      <c r="DFS31" s="384"/>
      <c r="DFT31" s="384"/>
      <c r="DFU31" s="384"/>
      <c r="DFV31" s="384"/>
      <c r="DFW31" s="384"/>
      <c r="DFX31" s="384"/>
      <c r="DFY31" s="384"/>
      <c r="DFZ31" s="384"/>
      <c r="DGA31" s="384"/>
      <c r="DGB31" s="384"/>
      <c r="DGC31" s="384"/>
      <c r="DGD31" s="384"/>
      <c r="DGE31" s="384"/>
      <c r="DGF31" s="384"/>
      <c r="DGG31" s="384"/>
      <c r="DGH31" s="384"/>
      <c r="DGI31" s="384"/>
      <c r="DGJ31" s="384"/>
      <c r="DGK31" s="384"/>
      <c r="DGL31" s="384"/>
      <c r="DGM31" s="384"/>
      <c r="DGN31" s="384"/>
      <c r="DGO31" s="384"/>
      <c r="DGP31" s="384"/>
      <c r="DGQ31" s="384"/>
      <c r="DGR31" s="384"/>
      <c r="DGS31" s="384"/>
      <c r="DGT31" s="384"/>
      <c r="DGU31" s="384"/>
      <c r="DGV31" s="384"/>
      <c r="DGW31" s="384"/>
      <c r="DGX31" s="384"/>
      <c r="DGY31" s="384"/>
      <c r="DGZ31" s="384"/>
      <c r="DHA31" s="384"/>
      <c r="DHB31" s="384"/>
      <c r="DHC31" s="384"/>
      <c r="DHD31" s="384"/>
      <c r="DHE31" s="384"/>
      <c r="DHF31" s="384"/>
      <c r="DHG31" s="384"/>
      <c r="DHH31" s="384"/>
      <c r="DHI31" s="384"/>
      <c r="DHJ31" s="384"/>
      <c r="DHK31" s="384"/>
      <c r="DHL31" s="384"/>
      <c r="DHM31" s="384"/>
      <c r="DHN31" s="384"/>
      <c r="DHO31" s="384"/>
      <c r="DHP31" s="384"/>
      <c r="DHQ31" s="384"/>
      <c r="DHR31" s="384"/>
      <c r="DHS31" s="384"/>
      <c r="DHT31" s="384"/>
      <c r="DHU31" s="384"/>
      <c r="DHV31" s="384"/>
      <c r="DHW31" s="384"/>
      <c r="DHX31" s="384"/>
      <c r="DHY31" s="384"/>
      <c r="DHZ31" s="384"/>
      <c r="DIA31" s="384"/>
      <c r="DIB31" s="384"/>
      <c r="DIC31" s="384"/>
      <c r="DID31" s="384"/>
      <c r="DIE31" s="384"/>
      <c r="DIF31" s="384"/>
      <c r="DIG31" s="384"/>
      <c r="DIH31" s="384"/>
      <c r="DII31" s="384"/>
      <c r="DIJ31" s="384"/>
      <c r="DIK31" s="384"/>
      <c r="DIL31" s="384"/>
      <c r="DIM31" s="384"/>
      <c r="DIN31" s="384"/>
      <c r="DIO31" s="384"/>
      <c r="DIP31" s="384"/>
      <c r="DIQ31" s="384"/>
      <c r="DIR31" s="384"/>
      <c r="DIS31" s="384"/>
      <c r="DIT31" s="384"/>
      <c r="DIU31" s="384"/>
      <c r="DIV31" s="384"/>
      <c r="DIW31" s="384"/>
      <c r="DIX31" s="384"/>
      <c r="DIY31" s="384"/>
      <c r="DIZ31" s="384"/>
      <c r="DJA31" s="384"/>
      <c r="DJB31" s="384"/>
      <c r="DJC31" s="384"/>
      <c r="DJD31" s="384"/>
      <c r="DJE31" s="384"/>
      <c r="DJF31" s="384"/>
      <c r="DJG31" s="384"/>
      <c r="DJH31" s="384"/>
      <c r="DJI31" s="384"/>
      <c r="DJJ31" s="384"/>
      <c r="DJK31" s="384"/>
      <c r="DJL31" s="384"/>
      <c r="DJM31" s="384"/>
      <c r="DJN31" s="384"/>
      <c r="DJO31" s="384"/>
      <c r="DJP31" s="384"/>
      <c r="DJQ31" s="384"/>
      <c r="DJR31" s="384"/>
      <c r="DJS31" s="384"/>
      <c r="DJT31" s="384"/>
      <c r="DJU31" s="384"/>
      <c r="DJV31" s="384"/>
      <c r="DJW31" s="384"/>
      <c r="DJX31" s="384"/>
      <c r="DJY31" s="384"/>
      <c r="DJZ31" s="384"/>
      <c r="DKA31" s="384"/>
      <c r="DKB31" s="384"/>
      <c r="DKC31" s="384"/>
      <c r="DKD31" s="384"/>
      <c r="DKE31" s="384"/>
      <c r="DKF31" s="384"/>
      <c r="DKG31" s="384"/>
      <c r="DKH31" s="384"/>
      <c r="DKI31" s="384"/>
      <c r="DKJ31" s="384"/>
      <c r="DKK31" s="384"/>
      <c r="DKL31" s="384"/>
      <c r="DKM31" s="384"/>
      <c r="DKN31" s="384"/>
      <c r="DKO31" s="384"/>
      <c r="DKP31" s="384"/>
      <c r="DKQ31" s="384"/>
      <c r="DKR31" s="384"/>
      <c r="DKS31" s="384"/>
      <c r="DKT31" s="384"/>
      <c r="DKU31" s="384"/>
      <c r="DKV31" s="384"/>
      <c r="DKW31" s="384"/>
      <c r="DKX31" s="384"/>
      <c r="DKY31" s="384"/>
      <c r="DKZ31" s="384"/>
      <c r="DLA31" s="384"/>
      <c r="DLB31" s="384"/>
      <c r="DLC31" s="384"/>
      <c r="DLD31" s="384"/>
      <c r="DLE31" s="384"/>
      <c r="DLF31" s="384"/>
      <c r="DLG31" s="384"/>
      <c r="DLH31" s="384"/>
      <c r="DLI31" s="384"/>
      <c r="DLJ31" s="384"/>
      <c r="DLK31" s="384"/>
      <c r="DLL31" s="384"/>
      <c r="DLM31" s="384"/>
      <c r="DLN31" s="384"/>
      <c r="DLO31" s="384"/>
      <c r="DLP31" s="384"/>
      <c r="DLQ31" s="384"/>
      <c r="DLR31" s="384"/>
      <c r="DLS31" s="384"/>
      <c r="DLT31" s="384"/>
      <c r="DLU31" s="384"/>
      <c r="DLV31" s="384"/>
      <c r="DLW31" s="384"/>
      <c r="DLX31" s="384"/>
      <c r="DLY31" s="384"/>
      <c r="DLZ31" s="384"/>
      <c r="DMA31" s="384"/>
      <c r="DMB31" s="384"/>
      <c r="DMC31" s="384"/>
      <c r="DMD31" s="384"/>
      <c r="DME31" s="384"/>
      <c r="DMF31" s="384"/>
      <c r="DMG31" s="384"/>
      <c r="DMH31" s="384"/>
      <c r="DMI31" s="384"/>
      <c r="DMJ31" s="384"/>
      <c r="DMK31" s="384"/>
      <c r="DML31" s="384"/>
      <c r="DMM31" s="384"/>
      <c r="DMN31" s="384"/>
      <c r="DMO31" s="384"/>
      <c r="DMP31" s="384"/>
      <c r="DMQ31" s="384"/>
      <c r="DMR31" s="384"/>
      <c r="DMS31" s="384"/>
      <c r="DMT31" s="384"/>
      <c r="DMU31" s="384"/>
      <c r="DMV31" s="384"/>
      <c r="DMW31" s="384"/>
      <c r="DMX31" s="384"/>
      <c r="DMY31" s="384"/>
      <c r="DMZ31" s="384"/>
      <c r="DNA31" s="384"/>
      <c r="DNB31" s="384"/>
      <c r="DNC31" s="384"/>
      <c r="DND31" s="384"/>
      <c r="DNE31" s="384"/>
      <c r="DNF31" s="384"/>
      <c r="DNG31" s="384"/>
      <c r="DNH31" s="384"/>
      <c r="DNI31" s="384"/>
      <c r="DNJ31" s="384"/>
      <c r="DNK31" s="384"/>
      <c r="DNL31" s="384"/>
      <c r="DNM31" s="384"/>
      <c r="DNN31" s="384"/>
      <c r="DNO31" s="384"/>
      <c r="DNP31" s="384"/>
      <c r="DNQ31" s="384"/>
      <c r="DNR31" s="384"/>
      <c r="DNS31" s="384"/>
      <c r="DNT31" s="384"/>
      <c r="DNU31" s="384"/>
      <c r="DNV31" s="384"/>
      <c r="DNW31" s="384"/>
      <c r="DNX31" s="384"/>
      <c r="DNY31" s="384"/>
      <c r="DNZ31" s="384"/>
      <c r="DOA31" s="384"/>
      <c r="DOB31" s="384"/>
      <c r="DOC31" s="384"/>
      <c r="DOD31" s="384"/>
      <c r="DOE31" s="384"/>
      <c r="DOF31" s="384"/>
      <c r="DOG31" s="384"/>
      <c r="DOH31" s="384"/>
      <c r="DOI31" s="384"/>
      <c r="DOJ31" s="384"/>
      <c r="DOK31" s="384"/>
      <c r="DOL31" s="384"/>
      <c r="DOM31" s="384"/>
      <c r="DON31" s="384"/>
      <c r="DOO31" s="384"/>
      <c r="DOP31" s="384"/>
      <c r="DOQ31" s="384"/>
      <c r="DOR31" s="384"/>
      <c r="DOS31" s="384"/>
      <c r="DOT31" s="384"/>
      <c r="DOU31" s="384"/>
      <c r="DOV31" s="384"/>
      <c r="DOW31" s="384"/>
      <c r="DOX31" s="384"/>
      <c r="DOY31" s="384"/>
      <c r="DOZ31" s="384"/>
      <c r="DPA31" s="384"/>
      <c r="DPB31" s="384"/>
      <c r="DPC31" s="384"/>
      <c r="DPD31" s="384"/>
      <c r="DPE31" s="384"/>
      <c r="DPF31" s="384"/>
      <c r="DPG31" s="384"/>
      <c r="DPH31" s="384"/>
      <c r="DPI31" s="384"/>
      <c r="DPJ31" s="384"/>
      <c r="DPK31" s="384"/>
      <c r="DPL31" s="384"/>
      <c r="DPM31" s="384"/>
      <c r="DPN31" s="384"/>
      <c r="DPO31" s="384"/>
      <c r="DPP31" s="384"/>
      <c r="DPQ31" s="384"/>
      <c r="DPR31" s="384"/>
      <c r="DPS31" s="384"/>
      <c r="DPT31" s="384"/>
      <c r="DPU31" s="384"/>
      <c r="DPV31" s="384"/>
      <c r="DPW31" s="384"/>
      <c r="DPX31" s="384"/>
      <c r="DPY31" s="384"/>
      <c r="DPZ31" s="384"/>
      <c r="DQA31" s="384"/>
      <c r="DQB31" s="384"/>
      <c r="DQC31" s="384"/>
      <c r="DQD31" s="384"/>
      <c r="DQE31" s="384"/>
      <c r="DQF31" s="384"/>
      <c r="DQG31" s="384"/>
      <c r="DQH31" s="384"/>
      <c r="DQI31" s="384"/>
      <c r="DQJ31" s="384"/>
      <c r="DQK31" s="384"/>
      <c r="DQL31" s="384"/>
      <c r="DQM31" s="384"/>
      <c r="DQN31" s="384"/>
      <c r="DQO31" s="384"/>
      <c r="DQP31" s="384"/>
      <c r="DQQ31" s="384"/>
      <c r="DQR31" s="384"/>
      <c r="DQS31" s="384"/>
      <c r="DQT31" s="384"/>
      <c r="DQU31" s="384"/>
      <c r="DQV31" s="384"/>
      <c r="DQW31" s="384"/>
      <c r="DQX31" s="384"/>
      <c r="DQY31" s="384"/>
      <c r="DQZ31" s="384"/>
      <c r="DRA31" s="384"/>
      <c r="DRB31" s="384"/>
      <c r="DRC31" s="384"/>
      <c r="DRD31" s="384"/>
      <c r="DRE31" s="384"/>
      <c r="DRF31" s="384"/>
      <c r="DRG31" s="384"/>
      <c r="DRH31" s="384"/>
      <c r="DRI31" s="384"/>
      <c r="DRJ31" s="384"/>
      <c r="DRK31" s="384"/>
      <c r="DRL31" s="384"/>
      <c r="DRM31" s="384"/>
      <c r="DRN31" s="384"/>
      <c r="DRO31" s="384"/>
      <c r="DRP31" s="384"/>
      <c r="DRQ31" s="384"/>
      <c r="DRR31" s="384"/>
      <c r="DRS31" s="384"/>
      <c r="DRT31" s="384"/>
      <c r="DRU31" s="384"/>
      <c r="DRV31" s="384"/>
      <c r="DRW31" s="384"/>
      <c r="DRX31" s="384"/>
      <c r="DRY31" s="384"/>
      <c r="DRZ31" s="384"/>
      <c r="DSA31" s="384"/>
      <c r="DSB31" s="384"/>
      <c r="DSC31" s="384"/>
      <c r="DSD31" s="384"/>
      <c r="DSE31" s="384"/>
      <c r="DSF31" s="384"/>
      <c r="DSG31" s="384"/>
      <c r="DSH31" s="384"/>
      <c r="DSI31" s="384"/>
      <c r="DSJ31" s="384"/>
      <c r="DSK31" s="384"/>
      <c r="DSL31" s="384"/>
      <c r="DSM31" s="384"/>
      <c r="DSN31" s="384"/>
      <c r="DSO31" s="384"/>
      <c r="DSP31" s="384"/>
      <c r="DSQ31" s="384"/>
      <c r="DSR31" s="384"/>
      <c r="DSS31" s="384"/>
      <c r="DST31" s="384"/>
      <c r="DSU31" s="384"/>
      <c r="DSV31" s="384"/>
      <c r="DSW31" s="384"/>
      <c r="DSX31" s="384"/>
      <c r="DSY31" s="384"/>
      <c r="DSZ31" s="384"/>
      <c r="DTA31" s="384"/>
      <c r="DTB31" s="384"/>
      <c r="DTC31" s="384"/>
      <c r="DTD31" s="384"/>
      <c r="DTE31" s="384"/>
      <c r="DTF31" s="384"/>
      <c r="DTG31" s="384"/>
      <c r="DTH31" s="384"/>
      <c r="DTI31" s="384"/>
      <c r="DTJ31" s="384"/>
      <c r="DTK31" s="384"/>
      <c r="DTL31" s="384"/>
      <c r="DTM31" s="384"/>
      <c r="DTN31" s="384"/>
      <c r="DTO31" s="384"/>
      <c r="DTP31" s="384"/>
      <c r="DTQ31" s="384"/>
      <c r="DTR31" s="384"/>
      <c r="DTS31" s="384"/>
      <c r="DTT31" s="384"/>
      <c r="DTU31" s="384"/>
      <c r="DTV31" s="384"/>
      <c r="DTW31" s="384"/>
      <c r="DTX31" s="384"/>
      <c r="DTY31" s="384"/>
      <c r="DTZ31" s="384"/>
      <c r="DUA31" s="384"/>
      <c r="DUB31" s="384"/>
      <c r="DUC31" s="384"/>
      <c r="DUD31" s="384"/>
      <c r="DUE31" s="384"/>
      <c r="DUF31" s="384"/>
      <c r="DUG31" s="384"/>
      <c r="DUH31" s="384"/>
      <c r="DUI31" s="384"/>
      <c r="DUJ31" s="384"/>
      <c r="DUK31" s="384"/>
      <c r="DUL31" s="384"/>
      <c r="DUM31" s="384"/>
      <c r="DUN31" s="384"/>
      <c r="DUO31" s="384"/>
      <c r="DUP31" s="384"/>
      <c r="DUQ31" s="384"/>
      <c r="DUR31" s="384"/>
      <c r="DUS31" s="384"/>
      <c r="DUT31" s="384"/>
      <c r="DUU31" s="384"/>
      <c r="DUV31" s="384"/>
      <c r="DUW31" s="384"/>
      <c r="DUX31" s="384"/>
      <c r="DUY31" s="384"/>
      <c r="DUZ31" s="384"/>
      <c r="DVA31" s="384"/>
      <c r="DVB31" s="384"/>
      <c r="DVC31" s="384"/>
      <c r="DVD31" s="384"/>
      <c r="DVE31" s="384"/>
      <c r="DVF31" s="384"/>
      <c r="DVG31" s="384"/>
      <c r="DVH31" s="384"/>
      <c r="DVI31" s="384"/>
      <c r="DVJ31" s="384"/>
      <c r="DVK31" s="384"/>
      <c r="DVL31" s="384"/>
      <c r="DVM31" s="384"/>
      <c r="DVN31" s="384"/>
      <c r="DVO31" s="384"/>
      <c r="DVP31" s="384"/>
      <c r="DVQ31" s="384"/>
      <c r="DVR31" s="384"/>
      <c r="DVS31" s="384"/>
      <c r="DVT31" s="384"/>
      <c r="DVU31" s="384"/>
      <c r="DVV31" s="384"/>
      <c r="DVW31" s="384"/>
      <c r="DVX31" s="384"/>
      <c r="DVY31" s="384"/>
      <c r="DVZ31" s="384"/>
      <c r="DWA31" s="384"/>
      <c r="DWB31" s="384"/>
      <c r="DWC31" s="384"/>
      <c r="DWD31" s="384"/>
      <c r="DWE31" s="384"/>
      <c r="DWF31" s="384"/>
      <c r="DWG31" s="384"/>
      <c r="DWH31" s="384"/>
      <c r="DWI31" s="384"/>
      <c r="DWJ31" s="384"/>
      <c r="DWK31" s="384"/>
      <c r="DWL31" s="384"/>
      <c r="DWM31" s="384"/>
      <c r="DWN31" s="384"/>
      <c r="DWO31" s="384"/>
      <c r="DWP31" s="384"/>
      <c r="DWQ31" s="384"/>
      <c r="DWR31" s="384"/>
      <c r="DWS31" s="384"/>
      <c r="DWT31" s="384"/>
      <c r="DWU31" s="384"/>
      <c r="DWV31" s="384"/>
      <c r="DWW31" s="384"/>
      <c r="DWX31" s="384"/>
      <c r="DWY31" s="384"/>
      <c r="DWZ31" s="384"/>
      <c r="DXA31" s="384"/>
      <c r="DXB31" s="384"/>
      <c r="DXC31" s="384"/>
      <c r="DXD31" s="384"/>
      <c r="DXE31" s="384"/>
      <c r="DXF31" s="384"/>
      <c r="DXG31" s="384"/>
      <c r="DXH31" s="384"/>
      <c r="DXI31" s="384"/>
      <c r="DXJ31" s="384"/>
      <c r="DXK31" s="384"/>
      <c r="DXL31" s="384"/>
      <c r="DXM31" s="384"/>
      <c r="DXN31" s="384"/>
      <c r="DXO31" s="384"/>
      <c r="DXP31" s="384"/>
      <c r="DXQ31" s="384"/>
      <c r="DXR31" s="384"/>
      <c r="DXS31" s="384"/>
      <c r="DXT31" s="384"/>
      <c r="DXU31" s="384"/>
      <c r="DXV31" s="384"/>
      <c r="DXW31" s="384"/>
      <c r="DXX31" s="384"/>
      <c r="DXY31" s="384"/>
      <c r="DXZ31" s="384"/>
      <c r="DYA31" s="384"/>
      <c r="DYB31" s="384"/>
      <c r="DYC31" s="384"/>
      <c r="DYD31" s="384"/>
      <c r="DYE31" s="384"/>
      <c r="DYF31" s="384"/>
      <c r="DYG31" s="384"/>
      <c r="DYH31" s="384"/>
      <c r="DYI31" s="384"/>
      <c r="DYJ31" s="384"/>
      <c r="DYK31" s="384"/>
      <c r="DYL31" s="384"/>
      <c r="DYM31" s="384"/>
      <c r="DYN31" s="384"/>
      <c r="DYO31" s="384"/>
      <c r="DYP31" s="384"/>
      <c r="DYQ31" s="384"/>
      <c r="DYR31" s="384"/>
      <c r="DYS31" s="384"/>
      <c r="DYT31" s="384"/>
      <c r="DYU31" s="384"/>
      <c r="DYV31" s="384"/>
      <c r="DYW31" s="384"/>
      <c r="DYX31" s="384"/>
      <c r="DYY31" s="384"/>
      <c r="DYZ31" s="384"/>
      <c r="DZA31" s="384"/>
      <c r="DZB31" s="384"/>
      <c r="DZC31" s="384"/>
      <c r="DZD31" s="384"/>
      <c r="DZE31" s="384"/>
      <c r="DZF31" s="384"/>
      <c r="DZG31" s="384"/>
      <c r="DZH31" s="384"/>
      <c r="DZI31" s="384"/>
      <c r="DZJ31" s="384"/>
      <c r="DZK31" s="384"/>
      <c r="DZL31" s="384"/>
      <c r="DZM31" s="384"/>
      <c r="DZN31" s="384"/>
      <c r="DZO31" s="384"/>
      <c r="DZP31" s="384"/>
      <c r="DZQ31" s="384"/>
      <c r="DZR31" s="384"/>
      <c r="DZS31" s="384"/>
      <c r="DZT31" s="384"/>
      <c r="DZU31" s="384"/>
      <c r="DZV31" s="384"/>
      <c r="DZW31" s="384"/>
      <c r="DZX31" s="384"/>
      <c r="DZY31" s="384"/>
      <c r="DZZ31" s="384"/>
      <c r="EAA31" s="384"/>
      <c r="EAB31" s="384"/>
      <c r="EAC31" s="384"/>
      <c r="EAD31" s="384"/>
      <c r="EAE31" s="384"/>
      <c r="EAF31" s="384"/>
      <c r="EAG31" s="384"/>
      <c r="EAH31" s="384"/>
      <c r="EAI31" s="384"/>
      <c r="EAJ31" s="384"/>
      <c r="EAK31" s="384"/>
      <c r="EAL31" s="384"/>
      <c r="EAM31" s="384"/>
      <c r="EAN31" s="384"/>
      <c r="EAO31" s="384"/>
      <c r="EAP31" s="384"/>
      <c r="EAQ31" s="384"/>
      <c r="EAR31" s="384"/>
      <c r="EAS31" s="384"/>
      <c r="EAT31" s="384"/>
      <c r="EAU31" s="384"/>
      <c r="EAV31" s="384"/>
      <c r="EAW31" s="384"/>
      <c r="EAX31" s="384"/>
      <c r="EAY31" s="384"/>
      <c r="EAZ31" s="384"/>
      <c r="EBA31" s="384"/>
      <c r="EBB31" s="384"/>
      <c r="EBC31" s="384"/>
      <c r="EBD31" s="384"/>
      <c r="EBE31" s="384"/>
      <c r="EBF31" s="384"/>
      <c r="EBG31" s="384"/>
      <c r="EBH31" s="384"/>
      <c r="EBI31" s="384"/>
      <c r="EBJ31" s="384"/>
      <c r="EBK31" s="384"/>
      <c r="EBL31" s="384"/>
      <c r="EBM31" s="384"/>
      <c r="EBN31" s="384"/>
      <c r="EBO31" s="384"/>
      <c r="EBP31" s="384"/>
      <c r="EBQ31" s="384"/>
      <c r="EBR31" s="384"/>
      <c r="EBS31" s="384"/>
      <c r="EBT31" s="384"/>
      <c r="EBU31" s="384"/>
      <c r="EBV31" s="384"/>
      <c r="EBW31" s="384"/>
      <c r="EBX31" s="384"/>
      <c r="EBY31" s="384"/>
      <c r="EBZ31" s="384"/>
      <c r="ECA31" s="384"/>
      <c r="ECB31" s="384"/>
      <c r="ECC31" s="384"/>
      <c r="ECD31" s="384"/>
      <c r="ECE31" s="384"/>
      <c r="ECF31" s="384"/>
      <c r="ECG31" s="384"/>
      <c r="ECH31" s="384"/>
      <c r="ECI31" s="384"/>
      <c r="ECJ31" s="384"/>
      <c r="ECK31" s="384"/>
      <c r="ECL31" s="384"/>
      <c r="ECM31" s="384"/>
      <c r="ECN31" s="384"/>
      <c r="ECO31" s="384"/>
      <c r="ECP31" s="384"/>
      <c r="ECQ31" s="384"/>
      <c r="ECR31" s="384"/>
      <c r="ECS31" s="384"/>
      <c r="ECT31" s="384"/>
      <c r="ECU31" s="384"/>
      <c r="ECV31" s="384"/>
      <c r="ECW31" s="384"/>
      <c r="ECX31" s="384"/>
      <c r="ECY31" s="384"/>
      <c r="ECZ31" s="384"/>
      <c r="EDA31" s="384"/>
      <c r="EDB31" s="384"/>
      <c r="EDC31" s="384"/>
      <c r="EDD31" s="384"/>
      <c r="EDE31" s="384"/>
      <c r="EDF31" s="384"/>
      <c r="EDG31" s="384"/>
      <c r="EDH31" s="384"/>
      <c r="EDI31" s="384"/>
      <c r="EDJ31" s="384"/>
      <c r="EDK31" s="384"/>
      <c r="EDL31" s="384"/>
      <c r="EDM31" s="384"/>
      <c r="EDN31" s="384"/>
      <c r="EDO31" s="384"/>
      <c r="EDP31" s="384"/>
      <c r="EDQ31" s="384"/>
      <c r="EDR31" s="384"/>
      <c r="EDS31" s="384"/>
      <c r="EDT31" s="384"/>
      <c r="EDU31" s="384"/>
      <c r="EDV31" s="384"/>
      <c r="EDW31" s="384"/>
      <c r="EDX31" s="384"/>
      <c r="EDY31" s="384"/>
      <c r="EDZ31" s="384"/>
      <c r="EEA31" s="384"/>
      <c r="EEB31" s="384"/>
      <c r="EEC31" s="384"/>
      <c r="EED31" s="384"/>
      <c r="EEE31" s="384"/>
      <c r="EEF31" s="384"/>
      <c r="EEG31" s="384"/>
      <c r="EEH31" s="384"/>
      <c r="EEI31" s="384"/>
      <c r="EEJ31" s="384"/>
      <c r="EEK31" s="384"/>
      <c r="EEL31" s="384"/>
      <c r="EEM31" s="384"/>
      <c r="EEN31" s="384"/>
      <c r="EEO31" s="384"/>
      <c r="EEP31" s="384"/>
      <c r="EEQ31" s="384"/>
      <c r="EER31" s="384"/>
      <c r="EES31" s="384"/>
      <c r="EET31" s="384"/>
      <c r="EEU31" s="384"/>
      <c r="EEV31" s="384"/>
      <c r="EEW31" s="384"/>
      <c r="EEX31" s="384"/>
      <c r="EEY31" s="384"/>
      <c r="EEZ31" s="384"/>
      <c r="EFA31" s="384"/>
      <c r="EFB31" s="384"/>
      <c r="EFC31" s="384"/>
      <c r="EFD31" s="384"/>
      <c r="EFE31" s="384"/>
      <c r="EFF31" s="384"/>
      <c r="EFG31" s="384"/>
      <c r="EFH31" s="384"/>
      <c r="EFI31" s="384"/>
      <c r="EFJ31" s="384"/>
      <c r="EFK31" s="384"/>
      <c r="EFL31" s="384"/>
      <c r="EFM31" s="384"/>
      <c r="EFN31" s="384"/>
      <c r="EFO31" s="384"/>
      <c r="EFP31" s="384"/>
      <c r="EFQ31" s="384"/>
      <c r="EFR31" s="384"/>
      <c r="EFS31" s="384"/>
      <c r="EFT31" s="384"/>
      <c r="EFU31" s="384"/>
      <c r="EFV31" s="384"/>
      <c r="EFW31" s="384"/>
      <c r="EFX31" s="384"/>
      <c r="EFY31" s="384"/>
      <c r="EFZ31" s="384"/>
      <c r="EGA31" s="384"/>
      <c r="EGB31" s="384"/>
      <c r="EGC31" s="384"/>
      <c r="EGD31" s="384"/>
      <c r="EGE31" s="384"/>
      <c r="EGF31" s="384"/>
      <c r="EGG31" s="384"/>
      <c r="EGH31" s="384"/>
      <c r="EGI31" s="384"/>
      <c r="EGJ31" s="384"/>
      <c r="EGK31" s="384"/>
      <c r="EGL31" s="384"/>
      <c r="EGM31" s="384"/>
      <c r="EGN31" s="384"/>
      <c r="EGO31" s="384"/>
      <c r="EGP31" s="384"/>
      <c r="EGQ31" s="384"/>
      <c r="EGR31" s="384"/>
      <c r="EGS31" s="384"/>
      <c r="EGT31" s="384"/>
      <c r="EGU31" s="384"/>
      <c r="EGV31" s="384"/>
      <c r="EGW31" s="384"/>
      <c r="EGX31" s="384"/>
      <c r="EGY31" s="384"/>
      <c r="EGZ31" s="384"/>
      <c r="EHA31" s="384"/>
      <c r="EHB31" s="384"/>
      <c r="EHC31" s="384"/>
      <c r="EHD31" s="384"/>
      <c r="EHE31" s="384"/>
      <c r="EHF31" s="384"/>
      <c r="EHG31" s="384"/>
      <c r="EHH31" s="384"/>
      <c r="EHI31" s="384"/>
      <c r="EHJ31" s="384"/>
      <c r="EHK31" s="384"/>
      <c r="EHL31" s="384"/>
      <c r="EHM31" s="384"/>
      <c r="EHN31" s="384"/>
      <c r="EHO31" s="384"/>
      <c r="EHP31" s="384"/>
      <c r="EHQ31" s="384"/>
      <c r="EHR31" s="384"/>
      <c r="EHS31" s="384"/>
      <c r="EHT31" s="384"/>
      <c r="EHU31" s="384"/>
      <c r="EHV31" s="384"/>
      <c r="EHW31" s="384"/>
      <c r="EHX31" s="384"/>
      <c r="EHY31" s="384"/>
      <c r="EHZ31" s="384"/>
      <c r="EIA31" s="384"/>
      <c r="EIB31" s="384"/>
      <c r="EIC31" s="384"/>
      <c r="EID31" s="384"/>
      <c r="EIE31" s="384"/>
      <c r="EIF31" s="384"/>
      <c r="EIG31" s="384"/>
      <c r="EIH31" s="384"/>
      <c r="EII31" s="384"/>
      <c r="EIJ31" s="384"/>
      <c r="EIK31" s="384"/>
      <c r="EIL31" s="384"/>
      <c r="EIM31" s="384"/>
      <c r="EIN31" s="384"/>
      <c r="EIO31" s="384"/>
      <c r="EIP31" s="384"/>
      <c r="EIQ31" s="384"/>
      <c r="EIR31" s="384"/>
      <c r="EIS31" s="384"/>
      <c r="EIT31" s="384"/>
      <c r="EIU31" s="384"/>
      <c r="EIV31" s="384"/>
      <c r="EIW31" s="384"/>
      <c r="EIX31" s="384"/>
      <c r="EIY31" s="384"/>
      <c r="EIZ31" s="384"/>
      <c r="EJA31" s="384"/>
      <c r="EJB31" s="384"/>
      <c r="EJC31" s="384"/>
      <c r="EJD31" s="384"/>
      <c r="EJE31" s="384"/>
      <c r="EJF31" s="384"/>
      <c r="EJG31" s="384"/>
      <c r="EJH31" s="384"/>
      <c r="EJI31" s="384"/>
      <c r="EJJ31" s="384"/>
      <c r="EJK31" s="384"/>
      <c r="EJL31" s="384"/>
      <c r="EJM31" s="384"/>
      <c r="EJN31" s="384"/>
      <c r="EJO31" s="384"/>
      <c r="EJP31" s="384"/>
      <c r="EJQ31" s="384"/>
      <c r="EJR31" s="384"/>
      <c r="EJS31" s="384"/>
      <c r="EJT31" s="384"/>
      <c r="EJU31" s="384"/>
      <c r="EJV31" s="384"/>
      <c r="EJW31" s="384"/>
      <c r="EJX31" s="384"/>
      <c r="EJY31" s="384"/>
      <c r="EJZ31" s="384"/>
      <c r="EKA31" s="384"/>
      <c r="EKB31" s="384"/>
      <c r="EKC31" s="384"/>
      <c r="EKD31" s="384"/>
      <c r="EKE31" s="384"/>
      <c r="EKF31" s="384"/>
      <c r="EKG31" s="384"/>
      <c r="EKH31" s="384"/>
      <c r="EKI31" s="384"/>
      <c r="EKJ31" s="384"/>
      <c r="EKK31" s="384"/>
      <c r="EKL31" s="384"/>
      <c r="EKM31" s="384"/>
      <c r="EKN31" s="384"/>
      <c r="EKO31" s="384"/>
      <c r="EKP31" s="384"/>
      <c r="EKQ31" s="384"/>
      <c r="EKR31" s="384"/>
      <c r="EKS31" s="384"/>
      <c r="EKT31" s="384"/>
      <c r="EKU31" s="384"/>
      <c r="EKV31" s="384"/>
      <c r="EKW31" s="384"/>
      <c r="EKX31" s="384"/>
      <c r="EKY31" s="384"/>
      <c r="EKZ31" s="384"/>
      <c r="ELA31" s="384"/>
      <c r="ELB31" s="384"/>
      <c r="ELC31" s="384"/>
      <c r="ELD31" s="384"/>
      <c r="ELE31" s="384"/>
      <c r="ELF31" s="384"/>
      <c r="ELG31" s="384"/>
      <c r="ELH31" s="384"/>
      <c r="ELI31" s="384"/>
      <c r="ELJ31" s="384"/>
      <c r="ELK31" s="384"/>
      <c r="ELL31" s="384"/>
      <c r="ELM31" s="384"/>
      <c r="ELN31" s="384"/>
      <c r="ELO31" s="384"/>
      <c r="ELP31" s="384"/>
      <c r="ELQ31" s="384"/>
      <c r="ELR31" s="384"/>
      <c r="ELS31" s="384"/>
      <c r="ELT31" s="384"/>
      <c r="ELU31" s="384"/>
      <c r="ELV31" s="384"/>
      <c r="ELW31" s="384"/>
      <c r="ELX31" s="384"/>
      <c r="ELY31" s="384"/>
      <c r="ELZ31" s="384"/>
      <c r="EMA31" s="384"/>
      <c r="EMB31" s="384"/>
      <c r="EMC31" s="384"/>
      <c r="EMD31" s="384"/>
      <c r="EME31" s="384"/>
      <c r="EMF31" s="384"/>
      <c r="EMG31" s="384"/>
      <c r="EMH31" s="384"/>
      <c r="EMI31" s="384"/>
      <c r="EMJ31" s="384"/>
      <c r="EMK31" s="384"/>
      <c r="EML31" s="384"/>
      <c r="EMM31" s="384"/>
      <c r="EMN31" s="384"/>
      <c r="EMO31" s="384"/>
      <c r="EMP31" s="384"/>
      <c r="EMQ31" s="384"/>
      <c r="EMR31" s="384"/>
      <c r="EMS31" s="384"/>
      <c r="EMT31" s="384"/>
      <c r="EMU31" s="384"/>
      <c r="EMV31" s="384"/>
      <c r="EMW31" s="384"/>
      <c r="EMX31" s="384"/>
      <c r="EMY31" s="384"/>
      <c r="EMZ31" s="384"/>
      <c r="ENA31" s="384"/>
      <c r="ENB31" s="384"/>
      <c r="ENC31" s="384"/>
      <c r="END31" s="384"/>
      <c r="ENE31" s="384"/>
      <c r="ENF31" s="384"/>
      <c r="ENG31" s="384"/>
      <c r="ENH31" s="384"/>
      <c r="ENI31" s="384"/>
      <c r="ENJ31" s="384"/>
      <c r="ENK31" s="384"/>
      <c r="ENL31" s="384"/>
      <c r="ENM31" s="384"/>
      <c r="ENN31" s="384"/>
      <c r="ENO31" s="384"/>
      <c r="ENP31" s="384"/>
      <c r="ENQ31" s="384"/>
      <c r="ENR31" s="384"/>
      <c r="ENS31" s="384"/>
      <c r="ENT31" s="384"/>
      <c r="ENU31" s="384"/>
      <c r="ENV31" s="384"/>
      <c r="ENW31" s="384"/>
      <c r="ENX31" s="384"/>
      <c r="ENY31" s="384"/>
      <c r="ENZ31" s="384"/>
      <c r="EOA31" s="384"/>
      <c r="EOB31" s="384"/>
      <c r="EOC31" s="384"/>
      <c r="EOD31" s="384"/>
      <c r="EOE31" s="384"/>
      <c r="EOF31" s="384"/>
      <c r="EOG31" s="384"/>
      <c r="EOH31" s="384"/>
      <c r="EOI31" s="384"/>
      <c r="EOJ31" s="384"/>
      <c r="EOK31" s="384"/>
      <c r="EOL31" s="384"/>
      <c r="EOM31" s="384"/>
      <c r="EON31" s="384"/>
      <c r="EOO31" s="384"/>
      <c r="EOP31" s="384"/>
      <c r="EOQ31" s="384"/>
      <c r="EOR31" s="384"/>
      <c r="EOS31" s="384"/>
      <c r="EOT31" s="384"/>
      <c r="EOU31" s="384"/>
      <c r="EOV31" s="384"/>
      <c r="EOW31" s="384"/>
      <c r="EOX31" s="384"/>
      <c r="EOY31" s="384"/>
      <c r="EOZ31" s="384"/>
      <c r="EPA31" s="384"/>
      <c r="EPB31" s="384"/>
      <c r="EPC31" s="384"/>
      <c r="EPD31" s="384"/>
      <c r="EPE31" s="384"/>
      <c r="EPF31" s="384"/>
      <c r="EPG31" s="384"/>
      <c r="EPH31" s="384"/>
      <c r="EPI31" s="384"/>
      <c r="EPJ31" s="384"/>
      <c r="EPK31" s="384"/>
      <c r="EPL31" s="384"/>
      <c r="EPM31" s="384"/>
      <c r="EPN31" s="384"/>
      <c r="EPO31" s="384"/>
      <c r="EPP31" s="384"/>
      <c r="EPQ31" s="384"/>
      <c r="EPR31" s="384"/>
      <c r="EPS31" s="384"/>
      <c r="EPT31" s="384"/>
      <c r="EPU31" s="384"/>
      <c r="EPV31" s="384"/>
      <c r="EPW31" s="384"/>
      <c r="EPX31" s="384"/>
      <c r="EPY31" s="384"/>
      <c r="EPZ31" s="384"/>
      <c r="EQA31" s="384"/>
      <c r="EQB31" s="384"/>
      <c r="EQC31" s="384"/>
      <c r="EQD31" s="384"/>
      <c r="EQE31" s="384"/>
      <c r="EQF31" s="384"/>
      <c r="EQG31" s="384"/>
      <c r="EQH31" s="384"/>
      <c r="EQI31" s="384"/>
      <c r="EQJ31" s="384"/>
      <c r="EQK31" s="384"/>
      <c r="EQL31" s="384"/>
      <c r="EQM31" s="384"/>
      <c r="EQN31" s="384"/>
      <c r="EQO31" s="384"/>
      <c r="EQP31" s="384"/>
      <c r="EQQ31" s="384"/>
      <c r="EQR31" s="384"/>
      <c r="EQS31" s="384"/>
      <c r="EQT31" s="384"/>
      <c r="EQU31" s="384"/>
      <c r="EQV31" s="384"/>
      <c r="EQW31" s="384"/>
      <c r="EQX31" s="384"/>
      <c r="EQY31" s="384"/>
      <c r="EQZ31" s="384"/>
      <c r="ERA31" s="384"/>
      <c r="ERB31" s="384"/>
      <c r="ERC31" s="384"/>
      <c r="ERD31" s="384"/>
      <c r="ERE31" s="384"/>
      <c r="ERF31" s="384"/>
      <c r="ERG31" s="384"/>
      <c r="ERH31" s="384"/>
      <c r="ERI31" s="384"/>
      <c r="ERJ31" s="384"/>
      <c r="ERK31" s="384"/>
      <c r="ERL31" s="384"/>
      <c r="ERM31" s="384"/>
      <c r="ERN31" s="384"/>
      <c r="ERO31" s="384"/>
      <c r="ERP31" s="384"/>
      <c r="ERQ31" s="384"/>
      <c r="ERR31" s="384"/>
      <c r="ERS31" s="384"/>
      <c r="ERT31" s="384"/>
      <c r="ERU31" s="384"/>
      <c r="ERV31" s="384"/>
      <c r="ERW31" s="384"/>
      <c r="ERX31" s="384"/>
      <c r="ERY31" s="384"/>
      <c r="ERZ31" s="384"/>
      <c r="ESA31" s="384"/>
      <c r="ESB31" s="384"/>
      <c r="ESC31" s="384"/>
      <c r="ESD31" s="384"/>
      <c r="ESE31" s="384"/>
      <c r="ESF31" s="384"/>
      <c r="ESG31" s="384"/>
      <c r="ESH31" s="384"/>
      <c r="ESI31" s="384"/>
      <c r="ESJ31" s="384"/>
      <c r="ESK31" s="384"/>
      <c r="ESL31" s="384"/>
      <c r="ESM31" s="384"/>
      <c r="ESN31" s="384"/>
      <c r="ESO31" s="384"/>
      <c r="ESP31" s="384"/>
      <c r="ESQ31" s="384"/>
      <c r="ESR31" s="384"/>
      <c r="ESS31" s="384"/>
      <c r="EST31" s="384"/>
      <c r="ESU31" s="384"/>
      <c r="ESV31" s="384"/>
      <c r="ESW31" s="384"/>
      <c r="ESX31" s="384"/>
      <c r="ESY31" s="384"/>
      <c r="ESZ31" s="384"/>
      <c r="ETA31" s="384"/>
      <c r="ETB31" s="384"/>
      <c r="ETC31" s="384"/>
      <c r="ETD31" s="384"/>
      <c r="ETE31" s="384"/>
      <c r="ETF31" s="384"/>
      <c r="ETG31" s="384"/>
      <c r="ETH31" s="384"/>
      <c r="ETI31" s="384"/>
      <c r="ETJ31" s="384"/>
      <c r="ETK31" s="384"/>
      <c r="ETL31" s="384"/>
      <c r="ETM31" s="384"/>
      <c r="ETN31" s="384"/>
      <c r="ETO31" s="384"/>
      <c r="ETP31" s="384"/>
      <c r="ETQ31" s="384"/>
      <c r="ETR31" s="384"/>
      <c r="ETS31" s="384"/>
      <c r="ETT31" s="384"/>
      <c r="ETU31" s="384"/>
      <c r="ETV31" s="384"/>
      <c r="ETW31" s="384"/>
      <c r="ETX31" s="384"/>
      <c r="ETY31" s="384"/>
      <c r="ETZ31" s="384"/>
      <c r="EUA31" s="384"/>
      <c r="EUB31" s="384"/>
      <c r="EUC31" s="384"/>
      <c r="EUD31" s="384"/>
      <c r="EUE31" s="384"/>
      <c r="EUF31" s="384"/>
      <c r="EUG31" s="384"/>
      <c r="EUH31" s="384"/>
      <c r="EUI31" s="384"/>
      <c r="EUJ31" s="384"/>
      <c r="EUK31" s="384"/>
      <c r="EUL31" s="384"/>
      <c r="EUM31" s="384"/>
      <c r="EUN31" s="384"/>
      <c r="EUO31" s="384"/>
      <c r="EUP31" s="384"/>
      <c r="EUQ31" s="384"/>
      <c r="EUR31" s="384"/>
      <c r="EUS31" s="384"/>
      <c r="EUT31" s="384"/>
      <c r="EUU31" s="384"/>
      <c r="EUV31" s="384"/>
      <c r="EUW31" s="384"/>
      <c r="EUX31" s="384"/>
      <c r="EUY31" s="384"/>
      <c r="EUZ31" s="384"/>
      <c r="EVA31" s="384"/>
      <c r="EVB31" s="384"/>
      <c r="EVC31" s="384"/>
      <c r="EVD31" s="384"/>
      <c r="EVE31" s="384"/>
      <c r="EVF31" s="384"/>
      <c r="EVG31" s="384"/>
      <c r="EVH31" s="384"/>
      <c r="EVI31" s="384"/>
      <c r="EVJ31" s="384"/>
      <c r="EVK31" s="384"/>
      <c r="EVL31" s="384"/>
      <c r="EVM31" s="384"/>
      <c r="EVN31" s="384"/>
      <c r="EVO31" s="384"/>
      <c r="EVP31" s="384"/>
      <c r="EVQ31" s="384"/>
      <c r="EVR31" s="384"/>
      <c r="EVS31" s="384"/>
      <c r="EVT31" s="384"/>
      <c r="EVU31" s="384"/>
      <c r="EVV31" s="384"/>
      <c r="EVW31" s="384"/>
      <c r="EVX31" s="384"/>
      <c r="EVY31" s="384"/>
      <c r="EVZ31" s="384"/>
      <c r="EWA31" s="384"/>
      <c r="EWB31" s="384"/>
      <c r="EWC31" s="384"/>
      <c r="EWD31" s="384"/>
      <c r="EWE31" s="384"/>
      <c r="EWF31" s="384"/>
      <c r="EWG31" s="384"/>
      <c r="EWH31" s="384"/>
      <c r="EWI31" s="384"/>
      <c r="EWJ31" s="384"/>
      <c r="EWK31" s="384"/>
      <c r="EWL31" s="384"/>
      <c r="EWM31" s="384"/>
      <c r="EWN31" s="384"/>
      <c r="EWO31" s="384"/>
      <c r="EWP31" s="384"/>
      <c r="EWQ31" s="384"/>
      <c r="EWR31" s="384"/>
      <c r="EWS31" s="384"/>
      <c r="EWT31" s="384"/>
      <c r="EWU31" s="384"/>
      <c r="EWV31" s="384"/>
      <c r="EWW31" s="384"/>
      <c r="EWX31" s="384"/>
      <c r="EWY31" s="384"/>
      <c r="EWZ31" s="384"/>
      <c r="EXA31" s="384"/>
      <c r="EXB31" s="384"/>
      <c r="EXC31" s="384"/>
      <c r="EXD31" s="384"/>
      <c r="EXE31" s="384"/>
      <c r="EXF31" s="384"/>
      <c r="EXG31" s="384"/>
      <c r="EXH31" s="384"/>
      <c r="EXI31" s="384"/>
      <c r="EXJ31" s="384"/>
      <c r="EXK31" s="384"/>
      <c r="EXL31" s="384"/>
      <c r="EXM31" s="384"/>
      <c r="EXN31" s="384"/>
      <c r="EXO31" s="384"/>
      <c r="EXP31" s="384"/>
      <c r="EXQ31" s="384"/>
      <c r="EXR31" s="384"/>
      <c r="EXS31" s="384"/>
      <c r="EXT31" s="384"/>
      <c r="EXU31" s="384"/>
      <c r="EXV31" s="384"/>
      <c r="EXW31" s="384"/>
      <c r="EXX31" s="384"/>
      <c r="EXY31" s="384"/>
      <c r="EXZ31" s="384"/>
      <c r="EYA31" s="384"/>
      <c r="EYB31" s="384"/>
      <c r="EYC31" s="384"/>
      <c r="EYD31" s="384"/>
      <c r="EYE31" s="384"/>
      <c r="EYF31" s="384"/>
      <c r="EYG31" s="384"/>
      <c r="EYH31" s="384"/>
      <c r="EYI31" s="384"/>
      <c r="EYJ31" s="384"/>
      <c r="EYK31" s="384"/>
      <c r="EYL31" s="384"/>
      <c r="EYM31" s="384"/>
      <c r="EYN31" s="384"/>
      <c r="EYO31" s="384"/>
      <c r="EYP31" s="384"/>
      <c r="EYQ31" s="384"/>
      <c r="EYR31" s="384"/>
      <c r="EYS31" s="384"/>
      <c r="EYT31" s="384"/>
      <c r="EYU31" s="384"/>
      <c r="EYV31" s="384"/>
      <c r="EYW31" s="384"/>
      <c r="EYX31" s="384"/>
      <c r="EYY31" s="384"/>
      <c r="EYZ31" s="384"/>
      <c r="EZA31" s="384"/>
      <c r="EZB31" s="384"/>
      <c r="EZC31" s="384"/>
      <c r="EZD31" s="384"/>
      <c r="EZE31" s="384"/>
      <c r="EZF31" s="384"/>
      <c r="EZG31" s="384"/>
      <c r="EZH31" s="384"/>
      <c r="EZI31" s="384"/>
      <c r="EZJ31" s="384"/>
      <c r="EZK31" s="384"/>
      <c r="EZL31" s="384"/>
      <c r="EZM31" s="384"/>
      <c r="EZN31" s="384"/>
      <c r="EZO31" s="384"/>
      <c r="EZP31" s="384"/>
      <c r="EZQ31" s="384"/>
      <c r="EZR31" s="384"/>
      <c r="EZS31" s="384"/>
      <c r="EZT31" s="384"/>
      <c r="EZU31" s="384"/>
      <c r="EZV31" s="384"/>
      <c r="EZW31" s="384"/>
      <c r="EZX31" s="384"/>
      <c r="EZY31" s="384"/>
      <c r="EZZ31" s="384"/>
      <c r="FAA31" s="384"/>
      <c r="FAB31" s="384"/>
      <c r="FAC31" s="384"/>
      <c r="FAD31" s="384"/>
      <c r="FAE31" s="384"/>
      <c r="FAF31" s="384"/>
      <c r="FAG31" s="384"/>
      <c r="FAH31" s="384"/>
      <c r="FAI31" s="384"/>
      <c r="FAJ31" s="384"/>
      <c r="FAK31" s="384"/>
      <c r="FAL31" s="384"/>
      <c r="FAM31" s="384"/>
      <c r="FAN31" s="384"/>
      <c r="FAO31" s="384"/>
      <c r="FAP31" s="384"/>
      <c r="FAQ31" s="384"/>
      <c r="FAR31" s="384"/>
      <c r="FAS31" s="384"/>
      <c r="FAT31" s="384"/>
      <c r="FAU31" s="384"/>
      <c r="FAV31" s="384"/>
      <c r="FAW31" s="384"/>
      <c r="FAX31" s="384"/>
      <c r="FAY31" s="384"/>
      <c r="FAZ31" s="384"/>
      <c r="FBA31" s="384"/>
      <c r="FBB31" s="384"/>
      <c r="FBC31" s="384"/>
      <c r="FBD31" s="384"/>
      <c r="FBE31" s="384"/>
      <c r="FBF31" s="384"/>
      <c r="FBG31" s="384"/>
      <c r="FBH31" s="384"/>
      <c r="FBI31" s="384"/>
      <c r="FBJ31" s="384"/>
      <c r="FBK31" s="384"/>
      <c r="FBL31" s="384"/>
      <c r="FBM31" s="384"/>
      <c r="FBN31" s="384"/>
      <c r="FBO31" s="384"/>
      <c r="FBP31" s="384"/>
      <c r="FBQ31" s="384"/>
      <c r="FBR31" s="384"/>
      <c r="FBS31" s="384"/>
      <c r="FBT31" s="384"/>
      <c r="FBU31" s="384"/>
      <c r="FBV31" s="384"/>
      <c r="FBW31" s="384"/>
      <c r="FBX31" s="384"/>
      <c r="FBY31" s="384"/>
      <c r="FBZ31" s="384"/>
      <c r="FCA31" s="384"/>
      <c r="FCB31" s="384"/>
      <c r="FCC31" s="384"/>
      <c r="FCD31" s="384"/>
      <c r="FCE31" s="384"/>
      <c r="FCF31" s="384"/>
      <c r="FCG31" s="384"/>
      <c r="FCH31" s="384"/>
      <c r="FCI31" s="384"/>
      <c r="FCJ31" s="384"/>
      <c r="FCK31" s="384"/>
      <c r="FCL31" s="384"/>
      <c r="FCM31" s="384"/>
      <c r="FCN31" s="384"/>
      <c r="FCO31" s="384"/>
      <c r="FCP31" s="384"/>
      <c r="FCQ31" s="384"/>
      <c r="FCR31" s="384"/>
      <c r="FCS31" s="384"/>
      <c r="FCT31" s="384"/>
      <c r="FCU31" s="384"/>
      <c r="FCV31" s="384"/>
      <c r="FCW31" s="384"/>
      <c r="FCX31" s="384"/>
      <c r="FCY31" s="384"/>
      <c r="FCZ31" s="384"/>
      <c r="FDA31" s="384"/>
      <c r="FDB31" s="384"/>
      <c r="FDC31" s="384"/>
      <c r="FDD31" s="384"/>
      <c r="FDE31" s="384"/>
      <c r="FDF31" s="384"/>
      <c r="FDG31" s="384"/>
      <c r="FDH31" s="384"/>
      <c r="FDI31" s="384"/>
      <c r="FDJ31" s="384"/>
      <c r="FDK31" s="384"/>
      <c r="FDL31" s="384"/>
      <c r="FDM31" s="384"/>
      <c r="FDN31" s="384"/>
      <c r="FDO31" s="384"/>
      <c r="FDP31" s="384"/>
      <c r="FDQ31" s="384"/>
      <c r="FDR31" s="384"/>
      <c r="FDS31" s="384"/>
      <c r="FDT31" s="384"/>
      <c r="FDU31" s="384"/>
      <c r="FDV31" s="384"/>
      <c r="FDW31" s="384"/>
      <c r="FDX31" s="384"/>
      <c r="FDY31" s="384"/>
      <c r="FDZ31" s="384"/>
      <c r="FEA31" s="384"/>
      <c r="FEB31" s="384"/>
      <c r="FEC31" s="384"/>
      <c r="FED31" s="384"/>
      <c r="FEE31" s="384"/>
      <c r="FEF31" s="384"/>
      <c r="FEG31" s="384"/>
      <c r="FEH31" s="384"/>
      <c r="FEI31" s="384"/>
      <c r="FEJ31" s="384"/>
      <c r="FEK31" s="384"/>
      <c r="FEL31" s="384"/>
      <c r="FEM31" s="384"/>
      <c r="FEN31" s="384"/>
      <c r="FEO31" s="384"/>
      <c r="FEP31" s="384"/>
      <c r="FEQ31" s="384"/>
      <c r="FER31" s="384"/>
      <c r="FES31" s="384"/>
      <c r="FET31" s="384"/>
      <c r="FEU31" s="384"/>
      <c r="FEV31" s="384"/>
      <c r="FEW31" s="384"/>
      <c r="FEX31" s="384"/>
      <c r="FEY31" s="384"/>
      <c r="FEZ31" s="384"/>
      <c r="FFA31" s="384"/>
      <c r="FFB31" s="384"/>
      <c r="FFC31" s="384"/>
      <c r="FFD31" s="384"/>
      <c r="FFE31" s="384"/>
      <c r="FFF31" s="384"/>
      <c r="FFG31" s="384"/>
      <c r="FFH31" s="384"/>
      <c r="FFI31" s="384"/>
      <c r="FFJ31" s="384"/>
      <c r="FFK31" s="384"/>
      <c r="FFL31" s="384"/>
      <c r="FFM31" s="384"/>
      <c r="FFN31" s="384"/>
      <c r="FFO31" s="384"/>
      <c r="FFP31" s="384"/>
      <c r="FFQ31" s="384"/>
      <c r="FFR31" s="384"/>
      <c r="FFS31" s="384"/>
      <c r="FFT31" s="384"/>
      <c r="FFU31" s="384"/>
      <c r="FFV31" s="384"/>
      <c r="FFW31" s="384"/>
      <c r="FFX31" s="384"/>
      <c r="FFY31" s="384"/>
      <c r="FFZ31" s="384"/>
      <c r="FGA31" s="384"/>
      <c r="FGB31" s="384"/>
      <c r="FGC31" s="384"/>
      <c r="FGD31" s="384"/>
      <c r="FGE31" s="384"/>
      <c r="FGF31" s="384"/>
      <c r="FGG31" s="384"/>
      <c r="FGH31" s="384"/>
      <c r="FGI31" s="384"/>
      <c r="FGJ31" s="384"/>
      <c r="FGK31" s="384"/>
      <c r="FGL31" s="384"/>
      <c r="FGM31" s="384"/>
      <c r="FGN31" s="384"/>
      <c r="FGO31" s="384"/>
      <c r="FGP31" s="384"/>
      <c r="FGQ31" s="384"/>
      <c r="FGR31" s="384"/>
      <c r="FGS31" s="384"/>
      <c r="FGT31" s="384"/>
      <c r="FGU31" s="384"/>
      <c r="FGV31" s="384"/>
      <c r="FGW31" s="384"/>
      <c r="FGX31" s="384"/>
      <c r="FGY31" s="384"/>
      <c r="FGZ31" s="384"/>
      <c r="FHA31" s="384"/>
      <c r="FHB31" s="384"/>
      <c r="FHC31" s="384"/>
      <c r="FHD31" s="384"/>
      <c r="FHE31" s="384"/>
      <c r="FHF31" s="384"/>
      <c r="FHG31" s="384"/>
      <c r="FHH31" s="384"/>
      <c r="FHI31" s="384"/>
      <c r="FHJ31" s="384"/>
      <c r="FHK31" s="384"/>
      <c r="FHL31" s="384"/>
      <c r="FHM31" s="384"/>
      <c r="FHN31" s="384"/>
      <c r="FHO31" s="384"/>
      <c r="FHP31" s="384"/>
      <c r="FHQ31" s="384"/>
      <c r="FHR31" s="384"/>
      <c r="FHS31" s="384"/>
      <c r="FHT31" s="384"/>
      <c r="FHU31" s="384"/>
      <c r="FHV31" s="384"/>
      <c r="FHW31" s="384"/>
      <c r="FHX31" s="384"/>
      <c r="FHY31" s="384"/>
      <c r="FHZ31" s="384"/>
      <c r="FIA31" s="384"/>
      <c r="FIB31" s="384"/>
      <c r="FIC31" s="384"/>
      <c r="FID31" s="384"/>
      <c r="FIE31" s="384"/>
      <c r="FIF31" s="384"/>
      <c r="FIG31" s="384"/>
      <c r="FIH31" s="384"/>
      <c r="FII31" s="384"/>
      <c r="FIJ31" s="384"/>
      <c r="FIK31" s="384"/>
      <c r="FIL31" s="384"/>
      <c r="FIM31" s="384"/>
      <c r="FIN31" s="384"/>
      <c r="FIO31" s="384"/>
      <c r="FIP31" s="384"/>
      <c r="FIQ31" s="384"/>
      <c r="FIR31" s="384"/>
      <c r="FIS31" s="384"/>
      <c r="FIT31" s="384"/>
      <c r="FIU31" s="384"/>
      <c r="FIV31" s="384"/>
      <c r="FIW31" s="384"/>
      <c r="FIX31" s="384"/>
      <c r="FIY31" s="384"/>
      <c r="FIZ31" s="384"/>
      <c r="FJA31" s="384"/>
      <c r="FJB31" s="384"/>
      <c r="FJC31" s="384"/>
      <c r="FJD31" s="384"/>
      <c r="FJE31" s="384"/>
      <c r="FJF31" s="384"/>
      <c r="FJG31" s="384"/>
      <c r="FJH31" s="384"/>
      <c r="FJI31" s="384"/>
      <c r="FJJ31" s="384"/>
      <c r="FJK31" s="384"/>
      <c r="FJL31" s="384"/>
      <c r="FJM31" s="384"/>
      <c r="FJN31" s="384"/>
      <c r="FJO31" s="384"/>
      <c r="FJP31" s="384"/>
      <c r="FJQ31" s="384"/>
      <c r="FJR31" s="384"/>
      <c r="FJS31" s="384"/>
      <c r="FJT31" s="384"/>
      <c r="FJU31" s="384"/>
      <c r="FJV31" s="384"/>
      <c r="FJW31" s="384"/>
      <c r="FJX31" s="384"/>
      <c r="FJY31" s="384"/>
      <c r="FJZ31" s="384"/>
      <c r="FKA31" s="384"/>
      <c r="FKB31" s="384"/>
      <c r="FKC31" s="384"/>
      <c r="FKD31" s="384"/>
      <c r="FKE31" s="384"/>
      <c r="FKF31" s="384"/>
      <c r="FKG31" s="384"/>
      <c r="FKH31" s="384"/>
      <c r="FKI31" s="384"/>
      <c r="FKJ31" s="384"/>
      <c r="FKK31" s="384"/>
      <c r="FKL31" s="384"/>
      <c r="FKM31" s="384"/>
      <c r="FKN31" s="384"/>
      <c r="FKO31" s="384"/>
      <c r="FKP31" s="384"/>
      <c r="FKQ31" s="384"/>
      <c r="FKR31" s="384"/>
      <c r="FKS31" s="384"/>
      <c r="FKT31" s="384"/>
      <c r="FKU31" s="384"/>
      <c r="FKV31" s="384"/>
      <c r="FKW31" s="384"/>
      <c r="FKX31" s="384"/>
      <c r="FKY31" s="384"/>
      <c r="FKZ31" s="384"/>
      <c r="FLA31" s="384"/>
      <c r="FLB31" s="384"/>
      <c r="FLC31" s="384"/>
      <c r="FLD31" s="384"/>
      <c r="FLE31" s="384"/>
      <c r="FLF31" s="384"/>
      <c r="FLG31" s="384"/>
      <c r="FLH31" s="384"/>
      <c r="FLI31" s="384"/>
      <c r="FLJ31" s="384"/>
      <c r="FLK31" s="384"/>
      <c r="FLL31" s="384"/>
      <c r="FLM31" s="384"/>
      <c r="FLN31" s="384"/>
      <c r="FLO31" s="384"/>
      <c r="FLP31" s="384"/>
      <c r="FLQ31" s="384"/>
      <c r="FLR31" s="384"/>
      <c r="FLS31" s="384"/>
      <c r="FLT31" s="384"/>
      <c r="FLU31" s="384"/>
      <c r="FLV31" s="384"/>
      <c r="FLW31" s="384"/>
      <c r="FLX31" s="384"/>
      <c r="FLY31" s="384"/>
      <c r="FLZ31" s="384"/>
      <c r="FMA31" s="384"/>
      <c r="FMB31" s="384"/>
      <c r="FMC31" s="384"/>
      <c r="FMD31" s="384"/>
      <c r="FME31" s="384"/>
      <c r="FMF31" s="384"/>
      <c r="FMG31" s="384"/>
      <c r="FMH31" s="384"/>
      <c r="FMI31" s="384"/>
      <c r="FMJ31" s="384"/>
      <c r="FMK31" s="384"/>
      <c r="FML31" s="384"/>
      <c r="FMM31" s="384"/>
      <c r="FMN31" s="384"/>
      <c r="FMO31" s="384"/>
      <c r="FMP31" s="384"/>
      <c r="FMQ31" s="384"/>
      <c r="FMR31" s="384"/>
      <c r="FMS31" s="384"/>
      <c r="FMT31" s="384"/>
      <c r="FMU31" s="384"/>
      <c r="FMV31" s="384"/>
      <c r="FMW31" s="384"/>
      <c r="FMX31" s="384"/>
      <c r="FMY31" s="384"/>
      <c r="FMZ31" s="384"/>
      <c r="FNA31" s="384"/>
      <c r="FNB31" s="384"/>
      <c r="FNC31" s="384"/>
      <c r="FND31" s="384"/>
      <c r="FNE31" s="384"/>
      <c r="FNF31" s="384"/>
      <c r="FNG31" s="384"/>
      <c r="FNH31" s="384"/>
      <c r="FNI31" s="384"/>
      <c r="FNJ31" s="384"/>
      <c r="FNK31" s="384"/>
      <c r="FNL31" s="384"/>
      <c r="FNM31" s="384"/>
      <c r="FNN31" s="384"/>
      <c r="FNO31" s="384"/>
      <c r="FNP31" s="384"/>
      <c r="FNQ31" s="384"/>
      <c r="FNR31" s="384"/>
      <c r="FNS31" s="384"/>
      <c r="FNT31" s="384"/>
      <c r="FNU31" s="384"/>
      <c r="FNV31" s="384"/>
      <c r="FNW31" s="384"/>
      <c r="FNX31" s="384"/>
      <c r="FNY31" s="384"/>
      <c r="FNZ31" s="384"/>
      <c r="FOA31" s="384"/>
      <c r="FOB31" s="384"/>
      <c r="FOC31" s="384"/>
      <c r="FOD31" s="384"/>
      <c r="FOE31" s="384"/>
      <c r="FOF31" s="384"/>
      <c r="FOG31" s="384"/>
      <c r="FOH31" s="384"/>
      <c r="FOI31" s="384"/>
      <c r="FOJ31" s="384"/>
      <c r="FOK31" s="384"/>
      <c r="FOL31" s="384"/>
      <c r="FOM31" s="384"/>
      <c r="FON31" s="384"/>
      <c r="FOO31" s="384"/>
      <c r="FOP31" s="384"/>
      <c r="FOQ31" s="384"/>
      <c r="FOR31" s="384"/>
      <c r="FOS31" s="384"/>
      <c r="FOT31" s="384"/>
      <c r="FOU31" s="384"/>
      <c r="FOV31" s="384"/>
      <c r="FOW31" s="384"/>
      <c r="FOX31" s="384"/>
      <c r="FOY31" s="384"/>
      <c r="FOZ31" s="384"/>
      <c r="FPA31" s="384"/>
      <c r="FPB31" s="384"/>
      <c r="FPC31" s="384"/>
      <c r="FPD31" s="384"/>
      <c r="FPE31" s="384"/>
      <c r="FPF31" s="384"/>
      <c r="FPG31" s="384"/>
      <c r="FPH31" s="384"/>
      <c r="FPI31" s="384"/>
      <c r="FPJ31" s="384"/>
      <c r="FPK31" s="384"/>
      <c r="FPL31" s="384"/>
      <c r="FPM31" s="384"/>
      <c r="FPN31" s="384"/>
      <c r="FPO31" s="384"/>
      <c r="FPP31" s="384"/>
      <c r="FPQ31" s="384"/>
      <c r="FPR31" s="384"/>
      <c r="FPS31" s="384"/>
      <c r="FPT31" s="384"/>
      <c r="FPU31" s="384"/>
      <c r="FPV31" s="384"/>
      <c r="FPW31" s="384"/>
      <c r="FPX31" s="384"/>
      <c r="FPY31" s="384"/>
      <c r="FPZ31" s="384"/>
      <c r="FQA31" s="384"/>
      <c r="FQB31" s="384"/>
      <c r="FQC31" s="384"/>
      <c r="FQD31" s="384"/>
      <c r="FQE31" s="384"/>
      <c r="FQF31" s="384"/>
      <c r="FQG31" s="384"/>
      <c r="FQH31" s="384"/>
      <c r="FQI31" s="384"/>
      <c r="FQJ31" s="384"/>
      <c r="FQK31" s="384"/>
      <c r="FQL31" s="384"/>
      <c r="FQM31" s="384"/>
      <c r="FQN31" s="384"/>
      <c r="FQO31" s="384"/>
      <c r="FQP31" s="384"/>
      <c r="FQQ31" s="384"/>
      <c r="FQR31" s="384"/>
      <c r="FQS31" s="384"/>
      <c r="FQT31" s="384"/>
      <c r="FQU31" s="384"/>
      <c r="FQV31" s="384"/>
      <c r="FQW31" s="384"/>
      <c r="FQX31" s="384"/>
      <c r="FQY31" s="384"/>
      <c r="FQZ31" s="384"/>
      <c r="FRA31" s="384"/>
      <c r="FRB31" s="384"/>
      <c r="FRC31" s="384"/>
      <c r="FRD31" s="384"/>
      <c r="FRE31" s="384"/>
      <c r="FRF31" s="384"/>
      <c r="FRG31" s="384"/>
      <c r="FRH31" s="384"/>
      <c r="FRI31" s="384"/>
      <c r="FRJ31" s="384"/>
      <c r="FRK31" s="384"/>
      <c r="FRL31" s="384"/>
      <c r="FRM31" s="384"/>
      <c r="FRN31" s="384"/>
      <c r="FRO31" s="384"/>
      <c r="FRP31" s="384"/>
      <c r="FRQ31" s="384"/>
      <c r="FRR31" s="384"/>
      <c r="FRS31" s="384"/>
      <c r="FRT31" s="384"/>
      <c r="FRU31" s="384"/>
      <c r="FRV31" s="384"/>
      <c r="FRW31" s="384"/>
      <c r="FRX31" s="384"/>
      <c r="FRY31" s="384"/>
      <c r="FRZ31" s="384"/>
      <c r="FSA31" s="384"/>
      <c r="FSB31" s="384"/>
      <c r="FSC31" s="384"/>
      <c r="FSD31" s="384"/>
      <c r="FSE31" s="384"/>
      <c r="FSF31" s="384"/>
      <c r="FSG31" s="384"/>
      <c r="FSH31" s="384"/>
      <c r="FSI31" s="384"/>
      <c r="FSJ31" s="384"/>
      <c r="FSK31" s="384"/>
      <c r="FSL31" s="384"/>
      <c r="FSM31" s="384"/>
      <c r="FSN31" s="384"/>
      <c r="FSO31" s="384"/>
      <c r="FSP31" s="384"/>
      <c r="FSQ31" s="384"/>
      <c r="FSR31" s="384"/>
      <c r="FSS31" s="384"/>
      <c r="FST31" s="384"/>
      <c r="FSU31" s="384"/>
      <c r="FSV31" s="384"/>
      <c r="FSW31" s="384"/>
      <c r="FSX31" s="384"/>
      <c r="FSY31" s="384"/>
      <c r="FSZ31" s="384"/>
      <c r="FTA31" s="384"/>
      <c r="FTB31" s="384"/>
      <c r="FTC31" s="384"/>
      <c r="FTD31" s="384"/>
      <c r="FTE31" s="384"/>
      <c r="FTF31" s="384"/>
      <c r="FTG31" s="384"/>
      <c r="FTH31" s="384"/>
      <c r="FTI31" s="384"/>
      <c r="FTJ31" s="384"/>
      <c r="FTK31" s="384"/>
      <c r="FTL31" s="384"/>
      <c r="FTM31" s="384"/>
      <c r="FTN31" s="384"/>
      <c r="FTO31" s="384"/>
      <c r="FTP31" s="384"/>
      <c r="FTQ31" s="384"/>
      <c r="FTR31" s="384"/>
      <c r="FTS31" s="384"/>
      <c r="FTT31" s="384"/>
      <c r="FTU31" s="384"/>
      <c r="FTV31" s="384"/>
      <c r="FTW31" s="384"/>
      <c r="FTX31" s="384"/>
      <c r="FTY31" s="384"/>
      <c r="FTZ31" s="384"/>
      <c r="FUA31" s="384"/>
      <c r="FUB31" s="384"/>
      <c r="FUC31" s="384"/>
      <c r="FUD31" s="384"/>
      <c r="FUE31" s="384"/>
      <c r="FUF31" s="384"/>
      <c r="FUG31" s="384"/>
      <c r="FUH31" s="384"/>
      <c r="FUI31" s="384"/>
      <c r="FUJ31" s="384"/>
      <c r="FUK31" s="384"/>
      <c r="FUL31" s="384"/>
      <c r="FUM31" s="384"/>
      <c r="FUN31" s="384"/>
      <c r="FUO31" s="384"/>
      <c r="FUP31" s="384"/>
      <c r="FUQ31" s="384"/>
      <c r="FUR31" s="384"/>
      <c r="FUS31" s="384"/>
      <c r="FUT31" s="384"/>
      <c r="FUU31" s="384"/>
      <c r="FUV31" s="384"/>
      <c r="FUW31" s="384"/>
      <c r="FUX31" s="384"/>
      <c r="FUY31" s="384"/>
      <c r="FUZ31" s="384"/>
      <c r="FVA31" s="384"/>
      <c r="FVB31" s="384"/>
      <c r="FVC31" s="384"/>
      <c r="FVD31" s="384"/>
      <c r="FVE31" s="384"/>
      <c r="FVF31" s="384"/>
      <c r="FVG31" s="384"/>
      <c r="FVH31" s="384"/>
      <c r="FVI31" s="384"/>
      <c r="FVJ31" s="384"/>
      <c r="FVK31" s="384"/>
      <c r="FVL31" s="384"/>
      <c r="FVM31" s="384"/>
      <c r="FVN31" s="384"/>
      <c r="FVO31" s="384"/>
      <c r="FVP31" s="384"/>
      <c r="FVQ31" s="384"/>
      <c r="FVR31" s="384"/>
      <c r="FVS31" s="384"/>
      <c r="FVT31" s="384"/>
      <c r="FVU31" s="384"/>
      <c r="FVV31" s="384"/>
      <c r="FVW31" s="384"/>
      <c r="FVX31" s="384"/>
      <c r="FVY31" s="384"/>
      <c r="FVZ31" s="384"/>
      <c r="FWA31" s="384"/>
      <c r="FWB31" s="384"/>
      <c r="FWC31" s="384"/>
      <c r="FWD31" s="384"/>
      <c r="FWE31" s="384"/>
      <c r="FWF31" s="384"/>
      <c r="FWG31" s="384"/>
      <c r="FWH31" s="384"/>
      <c r="FWI31" s="384"/>
      <c r="FWJ31" s="384"/>
      <c r="FWK31" s="384"/>
      <c r="FWL31" s="384"/>
      <c r="FWM31" s="384"/>
      <c r="FWN31" s="384"/>
      <c r="FWO31" s="384"/>
      <c r="FWP31" s="384"/>
      <c r="FWQ31" s="384"/>
      <c r="FWR31" s="384"/>
      <c r="FWS31" s="384"/>
      <c r="FWT31" s="384"/>
      <c r="FWU31" s="384"/>
      <c r="FWV31" s="384"/>
      <c r="FWW31" s="384"/>
      <c r="FWX31" s="384"/>
      <c r="FWY31" s="384"/>
      <c r="FWZ31" s="384"/>
      <c r="FXA31" s="384"/>
      <c r="FXB31" s="384"/>
      <c r="FXC31" s="384"/>
      <c r="FXD31" s="384"/>
      <c r="FXE31" s="384"/>
      <c r="FXF31" s="384"/>
      <c r="FXG31" s="384"/>
      <c r="FXH31" s="384"/>
      <c r="FXI31" s="384"/>
      <c r="FXJ31" s="384"/>
      <c r="FXK31" s="384"/>
      <c r="FXL31" s="384"/>
      <c r="FXM31" s="384"/>
      <c r="FXN31" s="384"/>
      <c r="FXO31" s="384"/>
      <c r="FXP31" s="384"/>
      <c r="FXQ31" s="384"/>
      <c r="FXR31" s="384"/>
      <c r="FXS31" s="384"/>
      <c r="FXT31" s="384"/>
      <c r="FXU31" s="384"/>
      <c r="FXV31" s="384"/>
      <c r="FXW31" s="384"/>
      <c r="FXX31" s="384"/>
      <c r="FXY31" s="384"/>
      <c r="FXZ31" s="384"/>
      <c r="FYA31" s="384"/>
      <c r="FYB31" s="384"/>
      <c r="FYC31" s="384"/>
      <c r="FYD31" s="384"/>
      <c r="FYE31" s="384"/>
      <c r="FYF31" s="384"/>
      <c r="FYG31" s="384"/>
      <c r="FYH31" s="384"/>
      <c r="FYI31" s="384"/>
      <c r="FYJ31" s="384"/>
      <c r="FYK31" s="384"/>
      <c r="FYL31" s="384"/>
      <c r="FYM31" s="384"/>
      <c r="FYN31" s="384"/>
      <c r="FYO31" s="384"/>
      <c r="FYP31" s="384"/>
      <c r="FYQ31" s="384"/>
      <c r="FYR31" s="384"/>
      <c r="FYS31" s="384"/>
      <c r="FYT31" s="384"/>
      <c r="FYU31" s="384"/>
      <c r="FYV31" s="384"/>
      <c r="FYW31" s="384"/>
      <c r="FYX31" s="384"/>
      <c r="FYY31" s="384"/>
      <c r="FYZ31" s="384"/>
      <c r="FZA31" s="384"/>
      <c r="FZB31" s="384"/>
      <c r="FZC31" s="384"/>
      <c r="FZD31" s="384"/>
      <c r="FZE31" s="384"/>
      <c r="FZF31" s="384"/>
      <c r="FZG31" s="384"/>
      <c r="FZH31" s="384"/>
      <c r="FZI31" s="384"/>
      <c r="FZJ31" s="384"/>
      <c r="FZK31" s="384"/>
      <c r="FZL31" s="384"/>
      <c r="FZM31" s="384"/>
      <c r="FZN31" s="384"/>
      <c r="FZO31" s="384"/>
      <c r="FZP31" s="384"/>
      <c r="FZQ31" s="384"/>
      <c r="FZR31" s="384"/>
      <c r="FZS31" s="384"/>
      <c r="FZT31" s="384"/>
      <c r="FZU31" s="384"/>
      <c r="FZV31" s="384"/>
      <c r="FZW31" s="384"/>
      <c r="FZX31" s="384"/>
      <c r="FZY31" s="384"/>
      <c r="FZZ31" s="384"/>
      <c r="GAA31" s="384"/>
      <c r="GAB31" s="384"/>
      <c r="GAC31" s="384"/>
      <c r="GAD31" s="384"/>
      <c r="GAE31" s="384"/>
      <c r="GAF31" s="384"/>
      <c r="GAG31" s="384"/>
      <c r="GAH31" s="384"/>
      <c r="GAI31" s="384"/>
      <c r="GAJ31" s="384"/>
      <c r="GAK31" s="384"/>
      <c r="GAL31" s="384"/>
      <c r="GAM31" s="384"/>
      <c r="GAN31" s="384"/>
      <c r="GAO31" s="384"/>
      <c r="GAP31" s="384"/>
      <c r="GAQ31" s="384"/>
      <c r="GAR31" s="384"/>
      <c r="GAS31" s="384"/>
      <c r="GAT31" s="384"/>
      <c r="GAU31" s="384"/>
      <c r="GAV31" s="384"/>
      <c r="GAW31" s="384"/>
      <c r="GAX31" s="384"/>
      <c r="GAY31" s="384"/>
      <c r="GAZ31" s="384"/>
      <c r="GBA31" s="384"/>
      <c r="GBB31" s="384"/>
      <c r="GBC31" s="384"/>
      <c r="GBD31" s="384"/>
      <c r="GBE31" s="384"/>
      <c r="GBF31" s="384"/>
      <c r="GBG31" s="384"/>
      <c r="GBH31" s="384"/>
      <c r="GBI31" s="384"/>
      <c r="GBJ31" s="384"/>
      <c r="GBK31" s="384"/>
      <c r="GBL31" s="384"/>
      <c r="GBM31" s="384"/>
      <c r="GBN31" s="384"/>
      <c r="GBO31" s="384"/>
      <c r="GBP31" s="384"/>
      <c r="GBQ31" s="384"/>
      <c r="GBR31" s="384"/>
      <c r="GBS31" s="384"/>
      <c r="GBT31" s="384"/>
      <c r="GBU31" s="384"/>
      <c r="GBV31" s="384"/>
      <c r="GBW31" s="384"/>
      <c r="GBX31" s="384"/>
      <c r="GBY31" s="384"/>
      <c r="GBZ31" s="384"/>
      <c r="GCA31" s="384"/>
      <c r="GCB31" s="384"/>
      <c r="GCC31" s="384"/>
      <c r="GCD31" s="384"/>
      <c r="GCE31" s="384"/>
      <c r="GCF31" s="384"/>
      <c r="GCG31" s="384"/>
      <c r="GCH31" s="384"/>
      <c r="GCI31" s="384"/>
      <c r="GCJ31" s="384"/>
      <c r="GCK31" s="384"/>
      <c r="GCL31" s="384"/>
      <c r="GCM31" s="384"/>
      <c r="GCN31" s="384"/>
      <c r="GCO31" s="384"/>
      <c r="GCP31" s="384"/>
      <c r="GCQ31" s="384"/>
      <c r="GCR31" s="384"/>
      <c r="GCS31" s="384"/>
      <c r="GCT31" s="384"/>
      <c r="GCU31" s="384"/>
      <c r="GCV31" s="384"/>
      <c r="GCW31" s="384"/>
      <c r="GCX31" s="384"/>
      <c r="GCY31" s="384"/>
      <c r="GCZ31" s="384"/>
      <c r="GDA31" s="384"/>
      <c r="GDB31" s="384"/>
      <c r="GDC31" s="384"/>
      <c r="GDD31" s="384"/>
      <c r="GDE31" s="384"/>
      <c r="GDF31" s="384"/>
      <c r="GDG31" s="384"/>
      <c r="GDH31" s="384"/>
      <c r="GDI31" s="384"/>
      <c r="GDJ31" s="384"/>
      <c r="GDK31" s="384"/>
      <c r="GDL31" s="384"/>
      <c r="GDM31" s="384"/>
      <c r="GDN31" s="384"/>
      <c r="GDO31" s="384"/>
      <c r="GDP31" s="384"/>
      <c r="GDQ31" s="384"/>
      <c r="GDR31" s="384"/>
      <c r="GDS31" s="384"/>
      <c r="GDT31" s="384"/>
      <c r="GDU31" s="384"/>
      <c r="GDV31" s="384"/>
      <c r="GDW31" s="384"/>
      <c r="GDX31" s="384"/>
      <c r="GDY31" s="384"/>
      <c r="GDZ31" s="384"/>
      <c r="GEA31" s="384"/>
      <c r="GEB31" s="384"/>
      <c r="GEC31" s="384"/>
      <c r="GED31" s="384"/>
      <c r="GEE31" s="384"/>
      <c r="GEF31" s="384"/>
      <c r="GEG31" s="384"/>
      <c r="GEH31" s="384"/>
      <c r="GEI31" s="384"/>
      <c r="GEJ31" s="384"/>
      <c r="GEK31" s="384"/>
      <c r="GEL31" s="384"/>
      <c r="GEM31" s="384"/>
      <c r="GEN31" s="384"/>
      <c r="GEO31" s="384"/>
      <c r="GEP31" s="384"/>
      <c r="GEQ31" s="384"/>
      <c r="GER31" s="384"/>
      <c r="GES31" s="384"/>
      <c r="GET31" s="384"/>
      <c r="GEU31" s="384"/>
      <c r="GEV31" s="384"/>
      <c r="GEW31" s="384"/>
      <c r="GEX31" s="384"/>
      <c r="GEY31" s="384"/>
      <c r="GEZ31" s="384"/>
      <c r="GFA31" s="384"/>
      <c r="GFB31" s="384"/>
      <c r="GFC31" s="384"/>
      <c r="GFD31" s="384"/>
      <c r="GFE31" s="384"/>
      <c r="GFF31" s="384"/>
      <c r="GFG31" s="384"/>
      <c r="GFH31" s="384"/>
      <c r="GFI31" s="384"/>
      <c r="GFJ31" s="384"/>
      <c r="GFK31" s="384"/>
      <c r="GFL31" s="384"/>
      <c r="GFM31" s="384"/>
      <c r="GFN31" s="384"/>
      <c r="GFO31" s="384"/>
      <c r="GFP31" s="384"/>
      <c r="GFQ31" s="384"/>
      <c r="GFR31" s="384"/>
      <c r="GFS31" s="384"/>
      <c r="GFT31" s="384"/>
      <c r="GFU31" s="384"/>
      <c r="GFV31" s="384"/>
      <c r="GFW31" s="384"/>
      <c r="GFX31" s="384"/>
      <c r="GFY31" s="384"/>
      <c r="GFZ31" s="384"/>
      <c r="GGA31" s="384"/>
      <c r="GGB31" s="384"/>
      <c r="GGC31" s="384"/>
      <c r="GGD31" s="384"/>
      <c r="GGE31" s="384"/>
      <c r="GGF31" s="384"/>
      <c r="GGG31" s="384"/>
      <c r="GGH31" s="384"/>
      <c r="GGI31" s="384"/>
      <c r="GGJ31" s="384"/>
      <c r="GGK31" s="384"/>
      <c r="GGL31" s="384"/>
      <c r="GGM31" s="384"/>
      <c r="GGN31" s="384"/>
      <c r="GGO31" s="384"/>
      <c r="GGP31" s="384"/>
      <c r="GGQ31" s="384"/>
      <c r="GGR31" s="384"/>
      <c r="GGS31" s="384"/>
      <c r="GGT31" s="384"/>
      <c r="GGU31" s="384"/>
      <c r="GGV31" s="384"/>
      <c r="GGW31" s="384"/>
      <c r="GGX31" s="384"/>
      <c r="GGY31" s="384"/>
      <c r="GGZ31" s="384"/>
      <c r="GHA31" s="384"/>
      <c r="GHB31" s="384"/>
      <c r="GHC31" s="384"/>
      <c r="GHD31" s="384"/>
      <c r="GHE31" s="384"/>
      <c r="GHF31" s="384"/>
      <c r="GHG31" s="384"/>
      <c r="GHH31" s="384"/>
      <c r="GHI31" s="384"/>
      <c r="GHJ31" s="384"/>
      <c r="GHK31" s="384"/>
      <c r="GHL31" s="384"/>
      <c r="GHM31" s="384"/>
      <c r="GHN31" s="384"/>
      <c r="GHO31" s="384"/>
      <c r="GHP31" s="384"/>
      <c r="GHQ31" s="384"/>
      <c r="GHR31" s="384"/>
      <c r="GHS31" s="384"/>
      <c r="GHT31" s="384"/>
      <c r="GHU31" s="384"/>
      <c r="GHV31" s="384"/>
      <c r="GHW31" s="384"/>
      <c r="GHX31" s="384"/>
      <c r="GHY31" s="384"/>
      <c r="GHZ31" s="384"/>
      <c r="GIA31" s="384"/>
      <c r="GIB31" s="384"/>
      <c r="GIC31" s="384"/>
      <c r="GID31" s="384"/>
      <c r="GIE31" s="384"/>
      <c r="GIF31" s="384"/>
      <c r="GIG31" s="384"/>
      <c r="GIH31" s="384"/>
      <c r="GII31" s="384"/>
      <c r="GIJ31" s="384"/>
      <c r="GIK31" s="384"/>
      <c r="GIL31" s="384"/>
      <c r="GIM31" s="384"/>
      <c r="GIN31" s="384"/>
      <c r="GIO31" s="384"/>
      <c r="GIP31" s="384"/>
      <c r="GIQ31" s="384"/>
      <c r="GIR31" s="384"/>
      <c r="GIS31" s="384"/>
      <c r="GIT31" s="384"/>
      <c r="GIU31" s="384"/>
      <c r="GIV31" s="384"/>
      <c r="GIW31" s="384"/>
      <c r="GIX31" s="384"/>
      <c r="GIY31" s="384"/>
      <c r="GIZ31" s="384"/>
      <c r="GJA31" s="384"/>
      <c r="GJB31" s="384"/>
      <c r="GJC31" s="384"/>
      <c r="GJD31" s="384"/>
      <c r="GJE31" s="384"/>
      <c r="GJF31" s="384"/>
      <c r="GJG31" s="384"/>
      <c r="GJH31" s="384"/>
      <c r="GJI31" s="384"/>
      <c r="GJJ31" s="384"/>
      <c r="GJK31" s="384"/>
      <c r="GJL31" s="384"/>
      <c r="GJM31" s="384"/>
      <c r="GJN31" s="384"/>
      <c r="GJO31" s="384"/>
      <c r="GJP31" s="384"/>
      <c r="GJQ31" s="384"/>
      <c r="GJR31" s="384"/>
      <c r="GJS31" s="384"/>
      <c r="GJT31" s="384"/>
      <c r="GJU31" s="384"/>
      <c r="GJV31" s="384"/>
      <c r="GJW31" s="384"/>
      <c r="GJX31" s="384"/>
      <c r="GJY31" s="384"/>
      <c r="GJZ31" s="384"/>
      <c r="GKA31" s="384"/>
      <c r="GKB31" s="384"/>
      <c r="GKC31" s="384"/>
      <c r="GKD31" s="384"/>
      <c r="GKE31" s="384"/>
      <c r="GKF31" s="384"/>
      <c r="GKG31" s="384"/>
      <c r="GKH31" s="384"/>
      <c r="GKI31" s="384"/>
      <c r="GKJ31" s="384"/>
      <c r="GKK31" s="384"/>
      <c r="GKL31" s="384"/>
      <c r="GKM31" s="384"/>
      <c r="GKN31" s="384"/>
      <c r="GKO31" s="384"/>
      <c r="GKP31" s="384"/>
      <c r="GKQ31" s="384"/>
      <c r="GKR31" s="384"/>
      <c r="GKS31" s="384"/>
      <c r="GKT31" s="384"/>
      <c r="GKU31" s="384"/>
      <c r="GKV31" s="384"/>
      <c r="GKW31" s="384"/>
      <c r="GKX31" s="384"/>
      <c r="GKY31" s="384"/>
      <c r="GKZ31" s="384"/>
      <c r="GLA31" s="384"/>
      <c r="GLB31" s="384"/>
      <c r="GLC31" s="384"/>
      <c r="GLD31" s="384"/>
      <c r="GLE31" s="384"/>
      <c r="GLF31" s="384"/>
      <c r="GLG31" s="384"/>
      <c r="GLH31" s="384"/>
      <c r="GLI31" s="384"/>
      <c r="GLJ31" s="384"/>
      <c r="GLK31" s="384"/>
      <c r="GLL31" s="384"/>
      <c r="GLM31" s="384"/>
      <c r="GLN31" s="384"/>
      <c r="GLO31" s="384"/>
      <c r="GLP31" s="384"/>
      <c r="GLQ31" s="384"/>
      <c r="GLR31" s="384"/>
      <c r="GLS31" s="384"/>
      <c r="GLT31" s="384"/>
      <c r="GLU31" s="384"/>
      <c r="GLV31" s="384"/>
      <c r="GLW31" s="384"/>
      <c r="GLX31" s="384"/>
      <c r="GLY31" s="384"/>
      <c r="GLZ31" s="384"/>
      <c r="GMA31" s="384"/>
      <c r="GMB31" s="384"/>
      <c r="GMC31" s="384"/>
      <c r="GMD31" s="384"/>
      <c r="GME31" s="384"/>
      <c r="GMF31" s="384"/>
      <c r="GMG31" s="384"/>
      <c r="GMH31" s="384"/>
      <c r="GMI31" s="384"/>
      <c r="GMJ31" s="384"/>
      <c r="GMK31" s="384"/>
      <c r="GML31" s="384"/>
      <c r="GMM31" s="384"/>
      <c r="GMN31" s="384"/>
      <c r="GMO31" s="384"/>
      <c r="GMP31" s="384"/>
      <c r="GMQ31" s="384"/>
      <c r="GMR31" s="384"/>
      <c r="GMS31" s="384"/>
      <c r="GMT31" s="384"/>
      <c r="GMU31" s="384"/>
      <c r="GMV31" s="384"/>
      <c r="GMW31" s="384"/>
      <c r="GMX31" s="384"/>
      <c r="GMY31" s="384"/>
      <c r="GMZ31" s="384"/>
      <c r="GNA31" s="384"/>
      <c r="GNB31" s="384"/>
      <c r="GNC31" s="384"/>
      <c r="GND31" s="384"/>
      <c r="GNE31" s="384"/>
      <c r="GNF31" s="384"/>
      <c r="GNG31" s="384"/>
      <c r="GNH31" s="384"/>
      <c r="GNI31" s="384"/>
      <c r="GNJ31" s="384"/>
      <c r="GNK31" s="384"/>
      <c r="GNL31" s="384"/>
      <c r="GNM31" s="384"/>
      <c r="GNN31" s="384"/>
      <c r="GNO31" s="384"/>
      <c r="GNP31" s="384"/>
      <c r="GNQ31" s="384"/>
      <c r="GNR31" s="384"/>
      <c r="GNS31" s="384"/>
      <c r="GNT31" s="384"/>
      <c r="GNU31" s="384"/>
      <c r="GNV31" s="384"/>
      <c r="GNW31" s="384"/>
      <c r="GNX31" s="384"/>
      <c r="GNY31" s="384"/>
      <c r="GNZ31" s="384"/>
      <c r="GOA31" s="384"/>
      <c r="GOB31" s="384"/>
      <c r="GOC31" s="384"/>
      <c r="GOD31" s="384"/>
      <c r="GOE31" s="384"/>
      <c r="GOF31" s="384"/>
      <c r="GOG31" s="384"/>
      <c r="GOH31" s="384"/>
      <c r="GOI31" s="384"/>
      <c r="GOJ31" s="384"/>
      <c r="GOK31" s="384"/>
      <c r="GOL31" s="384"/>
      <c r="GOM31" s="384"/>
      <c r="GON31" s="384"/>
      <c r="GOO31" s="384"/>
      <c r="GOP31" s="384"/>
      <c r="GOQ31" s="384"/>
      <c r="GOR31" s="384"/>
      <c r="GOS31" s="384"/>
      <c r="GOT31" s="384"/>
      <c r="GOU31" s="384"/>
      <c r="GOV31" s="384"/>
      <c r="GOW31" s="384"/>
      <c r="GOX31" s="384"/>
      <c r="GOY31" s="384"/>
      <c r="GOZ31" s="384"/>
      <c r="GPA31" s="384"/>
      <c r="GPB31" s="384"/>
      <c r="GPC31" s="384"/>
      <c r="GPD31" s="384"/>
      <c r="GPE31" s="384"/>
      <c r="GPF31" s="384"/>
      <c r="GPG31" s="384"/>
      <c r="GPH31" s="384"/>
      <c r="GPI31" s="384"/>
      <c r="GPJ31" s="384"/>
      <c r="GPK31" s="384"/>
      <c r="GPL31" s="384"/>
      <c r="GPM31" s="384"/>
      <c r="GPN31" s="384"/>
      <c r="GPO31" s="384"/>
      <c r="GPP31" s="384"/>
      <c r="GPQ31" s="384"/>
      <c r="GPR31" s="384"/>
      <c r="GPS31" s="384"/>
      <c r="GPT31" s="384"/>
      <c r="GPU31" s="384"/>
      <c r="GPV31" s="384"/>
      <c r="GPW31" s="384"/>
      <c r="GPX31" s="384"/>
      <c r="GPY31" s="384"/>
      <c r="GPZ31" s="384"/>
      <c r="GQA31" s="384"/>
      <c r="GQB31" s="384"/>
      <c r="GQC31" s="384"/>
      <c r="GQD31" s="384"/>
      <c r="GQE31" s="384"/>
      <c r="GQF31" s="384"/>
      <c r="GQG31" s="384"/>
      <c r="GQH31" s="384"/>
      <c r="GQI31" s="384"/>
      <c r="GQJ31" s="384"/>
      <c r="GQK31" s="384"/>
      <c r="GQL31" s="384"/>
      <c r="GQM31" s="384"/>
      <c r="GQN31" s="384"/>
      <c r="GQO31" s="384"/>
      <c r="GQP31" s="384"/>
      <c r="GQQ31" s="384"/>
      <c r="GQR31" s="384"/>
      <c r="GQS31" s="384"/>
      <c r="GQT31" s="384"/>
      <c r="GQU31" s="384"/>
      <c r="GQV31" s="384"/>
      <c r="GQW31" s="384"/>
      <c r="GQX31" s="384"/>
      <c r="GQY31" s="384"/>
      <c r="GQZ31" s="384"/>
      <c r="GRA31" s="384"/>
      <c r="GRB31" s="384"/>
      <c r="GRC31" s="384"/>
      <c r="GRD31" s="384"/>
      <c r="GRE31" s="384"/>
      <c r="GRF31" s="384"/>
      <c r="GRG31" s="384"/>
      <c r="GRH31" s="384"/>
      <c r="GRI31" s="384"/>
      <c r="GRJ31" s="384"/>
      <c r="GRK31" s="384"/>
      <c r="GRL31" s="384"/>
      <c r="GRM31" s="384"/>
      <c r="GRN31" s="384"/>
      <c r="GRO31" s="384"/>
      <c r="GRP31" s="384"/>
      <c r="GRQ31" s="384"/>
      <c r="GRR31" s="384"/>
      <c r="GRS31" s="384"/>
      <c r="GRT31" s="384"/>
      <c r="GRU31" s="384"/>
      <c r="GRV31" s="384"/>
      <c r="GRW31" s="384"/>
      <c r="GRX31" s="384"/>
      <c r="GRY31" s="384"/>
      <c r="GRZ31" s="384"/>
      <c r="GSA31" s="384"/>
      <c r="GSB31" s="384"/>
      <c r="GSC31" s="384"/>
      <c r="GSD31" s="384"/>
      <c r="GSE31" s="384"/>
      <c r="GSF31" s="384"/>
      <c r="GSG31" s="384"/>
      <c r="GSH31" s="384"/>
      <c r="GSI31" s="384"/>
      <c r="GSJ31" s="384"/>
      <c r="GSK31" s="384"/>
      <c r="GSL31" s="384"/>
      <c r="GSM31" s="384"/>
      <c r="GSN31" s="384"/>
      <c r="GSO31" s="384"/>
      <c r="GSP31" s="384"/>
      <c r="GSQ31" s="384"/>
      <c r="GSR31" s="384"/>
      <c r="GSS31" s="384"/>
      <c r="GST31" s="384"/>
      <c r="GSU31" s="384"/>
      <c r="GSV31" s="384"/>
      <c r="GSW31" s="384"/>
      <c r="GSX31" s="384"/>
      <c r="GSY31" s="384"/>
      <c r="GSZ31" s="384"/>
      <c r="GTA31" s="384"/>
      <c r="GTB31" s="384"/>
      <c r="GTC31" s="384"/>
      <c r="GTD31" s="384"/>
      <c r="GTE31" s="384"/>
      <c r="GTF31" s="384"/>
      <c r="GTG31" s="384"/>
      <c r="GTH31" s="384"/>
      <c r="GTI31" s="384"/>
      <c r="GTJ31" s="384"/>
      <c r="GTK31" s="384"/>
      <c r="GTL31" s="384"/>
      <c r="GTM31" s="384"/>
      <c r="GTN31" s="384"/>
      <c r="GTO31" s="384"/>
      <c r="GTP31" s="384"/>
      <c r="GTQ31" s="384"/>
      <c r="GTR31" s="384"/>
      <c r="GTS31" s="384"/>
      <c r="GTT31" s="384"/>
      <c r="GTU31" s="384"/>
      <c r="GTV31" s="384"/>
      <c r="GTW31" s="384"/>
      <c r="GTX31" s="384"/>
      <c r="GTY31" s="384"/>
      <c r="GTZ31" s="384"/>
      <c r="GUA31" s="384"/>
      <c r="GUB31" s="384"/>
      <c r="GUC31" s="384"/>
      <c r="GUD31" s="384"/>
      <c r="GUE31" s="384"/>
      <c r="GUF31" s="384"/>
      <c r="GUG31" s="384"/>
      <c r="GUH31" s="384"/>
      <c r="GUI31" s="384"/>
      <c r="GUJ31" s="384"/>
      <c r="GUK31" s="384"/>
      <c r="GUL31" s="384"/>
      <c r="GUM31" s="384"/>
      <c r="GUN31" s="384"/>
      <c r="GUO31" s="384"/>
      <c r="GUP31" s="384"/>
      <c r="GUQ31" s="384"/>
      <c r="GUR31" s="384"/>
      <c r="GUS31" s="384"/>
      <c r="GUT31" s="384"/>
      <c r="GUU31" s="384"/>
      <c r="GUV31" s="384"/>
      <c r="GUW31" s="384"/>
      <c r="GUX31" s="384"/>
      <c r="GUY31" s="384"/>
      <c r="GUZ31" s="384"/>
      <c r="GVA31" s="384"/>
      <c r="GVB31" s="384"/>
      <c r="GVC31" s="384"/>
      <c r="GVD31" s="384"/>
      <c r="GVE31" s="384"/>
      <c r="GVF31" s="384"/>
      <c r="GVG31" s="384"/>
      <c r="GVH31" s="384"/>
      <c r="GVI31" s="384"/>
      <c r="GVJ31" s="384"/>
      <c r="GVK31" s="384"/>
      <c r="GVL31" s="384"/>
      <c r="GVM31" s="384"/>
      <c r="GVN31" s="384"/>
      <c r="GVO31" s="384"/>
      <c r="GVP31" s="384"/>
      <c r="GVQ31" s="384"/>
      <c r="GVR31" s="384"/>
      <c r="GVS31" s="384"/>
      <c r="GVT31" s="384"/>
      <c r="GVU31" s="384"/>
      <c r="GVV31" s="384"/>
      <c r="GVW31" s="384"/>
      <c r="GVX31" s="384"/>
      <c r="GVY31" s="384"/>
      <c r="GVZ31" s="384"/>
      <c r="GWA31" s="384"/>
      <c r="GWB31" s="384"/>
      <c r="GWC31" s="384"/>
      <c r="GWD31" s="384"/>
      <c r="GWE31" s="384"/>
      <c r="GWF31" s="384"/>
      <c r="GWG31" s="384"/>
      <c r="GWH31" s="384"/>
      <c r="GWI31" s="384"/>
      <c r="GWJ31" s="384"/>
      <c r="GWK31" s="384"/>
      <c r="GWL31" s="384"/>
      <c r="GWM31" s="384"/>
      <c r="GWN31" s="384"/>
      <c r="GWO31" s="384"/>
      <c r="GWP31" s="384"/>
      <c r="GWQ31" s="384"/>
      <c r="GWR31" s="384"/>
      <c r="GWS31" s="384"/>
      <c r="GWT31" s="384"/>
      <c r="GWU31" s="384"/>
      <c r="GWV31" s="384"/>
      <c r="GWW31" s="384"/>
      <c r="GWX31" s="384"/>
      <c r="GWY31" s="384"/>
      <c r="GWZ31" s="384"/>
      <c r="GXA31" s="384"/>
      <c r="GXB31" s="384"/>
      <c r="GXC31" s="384"/>
      <c r="GXD31" s="384"/>
      <c r="GXE31" s="384"/>
      <c r="GXF31" s="384"/>
      <c r="GXG31" s="384"/>
      <c r="GXH31" s="384"/>
      <c r="GXI31" s="384"/>
      <c r="GXJ31" s="384"/>
      <c r="GXK31" s="384"/>
      <c r="GXL31" s="384"/>
      <c r="GXM31" s="384"/>
      <c r="GXN31" s="384"/>
      <c r="GXO31" s="384"/>
      <c r="GXP31" s="384"/>
      <c r="GXQ31" s="384"/>
      <c r="GXR31" s="384"/>
      <c r="GXS31" s="384"/>
      <c r="GXT31" s="384"/>
      <c r="GXU31" s="384"/>
      <c r="GXV31" s="384"/>
      <c r="GXW31" s="384"/>
      <c r="GXX31" s="384"/>
      <c r="GXY31" s="384"/>
      <c r="GXZ31" s="384"/>
      <c r="GYA31" s="384"/>
      <c r="GYB31" s="384"/>
      <c r="GYC31" s="384"/>
      <c r="GYD31" s="384"/>
      <c r="GYE31" s="384"/>
      <c r="GYF31" s="384"/>
      <c r="GYG31" s="384"/>
      <c r="GYH31" s="384"/>
      <c r="GYI31" s="384"/>
      <c r="GYJ31" s="384"/>
      <c r="GYK31" s="384"/>
      <c r="GYL31" s="384"/>
      <c r="GYM31" s="384"/>
      <c r="GYN31" s="384"/>
      <c r="GYO31" s="384"/>
      <c r="GYP31" s="384"/>
      <c r="GYQ31" s="384"/>
      <c r="GYR31" s="384"/>
      <c r="GYS31" s="384"/>
      <c r="GYT31" s="384"/>
      <c r="GYU31" s="384"/>
      <c r="GYV31" s="384"/>
      <c r="GYW31" s="384"/>
      <c r="GYX31" s="384"/>
      <c r="GYY31" s="384"/>
      <c r="GYZ31" s="384"/>
      <c r="GZA31" s="384"/>
      <c r="GZB31" s="384"/>
      <c r="GZC31" s="384"/>
      <c r="GZD31" s="384"/>
      <c r="GZE31" s="384"/>
      <c r="GZF31" s="384"/>
      <c r="GZG31" s="384"/>
      <c r="GZH31" s="384"/>
      <c r="GZI31" s="384"/>
      <c r="GZJ31" s="384"/>
      <c r="GZK31" s="384"/>
      <c r="GZL31" s="384"/>
      <c r="GZM31" s="384"/>
      <c r="GZN31" s="384"/>
      <c r="GZO31" s="384"/>
      <c r="GZP31" s="384"/>
      <c r="GZQ31" s="384"/>
      <c r="GZR31" s="384"/>
      <c r="GZS31" s="384"/>
      <c r="GZT31" s="384"/>
      <c r="GZU31" s="384"/>
      <c r="GZV31" s="384"/>
      <c r="GZW31" s="384"/>
      <c r="GZX31" s="384"/>
      <c r="GZY31" s="384"/>
      <c r="GZZ31" s="384"/>
      <c r="HAA31" s="384"/>
      <c r="HAB31" s="384"/>
      <c r="HAC31" s="384"/>
      <c r="HAD31" s="384"/>
      <c r="HAE31" s="384"/>
      <c r="HAF31" s="384"/>
      <c r="HAG31" s="384"/>
      <c r="HAH31" s="384"/>
      <c r="HAI31" s="384"/>
      <c r="HAJ31" s="384"/>
      <c r="HAK31" s="384"/>
      <c r="HAL31" s="384"/>
      <c r="HAM31" s="384"/>
      <c r="HAN31" s="384"/>
      <c r="HAO31" s="384"/>
      <c r="HAP31" s="384"/>
      <c r="HAQ31" s="384"/>
      <c r="HAR31" s="384"/>
      <c r="HAS31" s="384"/>
      <c r="HAT31" s="384"/>
      <c r="HAU31" s="384"/>
      <c r="HAV31" s="384"/>
      <c r="HAW31" s="384"/>
      <c r="HAX31" s="384"/>
      <c r="HAY31" s="384"/>
      <c r="HAZ31" s="384"/>
      <c r="HBA31" s="384"/>
      <c r="HBB31" s="384"/>
      <c r="HBC31" s="384"/>
      <c r="HBD31" s="384"/>
      <c r="HBE31" s="384"/>
      <c r="HBF31" s="384"/>
      <c r="HBG31" s="384"/>
      <c r="HBH31" s="384"/>
      <c r="HBI31" s="384"/>
      <c r="HBJ31" s="384"/>
      <c r="HBK31" s="384"/>
      <c r="HBL31" s="384"/>
      <c r="HBM31" s="384"/>
      <c r="HBN31" s="384"/>
      <c r="HBO31" s="384"/>
      <c r="HBP31" s="384"/>
      <c r="HBQ31" s="384"/>
      <c r="HBR31" s="384"/>
      <c r="HBS31" s="384"/>
      <c r="HBT31" s="384"/>
      <c r="HBU31" s="384"/>
      <c r="HBV31" s="384"/>
      <c r="HBW31" s="384"/>
      <c r="HBX31" s="384"/>
      <c r="HBY31" s="384"/>
      <c r="HBZ31" s="384"/>
      <c r="HCA31" s="384"/>
      <c r="HCB31" s="384"/>
      <c r="HCC31" s="384"/>
      <c r="HCD31" s="384"/>
      <c r="HCE31" s="384"/>
      <c r="HCF31" s="384"/>
      <c r="HCG31" s="384"/>
      <c r="HCH31" s="384"/>
      <c r="HCI31" s="384"/>
      <c r="HCJ31" s="384"/>
      <c r="HCK31" s="384"/>
      <c r="HCL31" s="384"/>
      <c r="HCM31" s="384"/>
      <c r="HCN31" s="384"/>
      <c r="HCO31" s="384"/>
      <c r="HCP31" s="384"/>
      <c r="HCQ31" s="384"/>
      <c r="HCR31" s="384"/>
      <c r="HCS31" s="384"/>
      <c r="HCT31" s="384"/>
      <c r="HCU31" s="384"/>
      <c r="HCV31" s="384"/>
      <c r="HCW31" s="384"/>
      <c r="HCX31" s="384"/>
      <c r="HCY31" s="384"/>
      <c r="HCZ31" s="384"/>
      <c r="HDA31" s="384"/>
      <c r="HDB31" s="384"/>
      <c r="HDC31" s="384"/>
      <c r="HDD31" s="384"/>
      <c r="HDE31" s="384"/>
      <c r="HDF31" s="384"/>
      <c r="HDG31" s="384"/>
      <c r="HDH31" s="384"/>
      <c r="HDI31" s="384"/>
      <c r="HDJ31" s="384"/>
      <c r="HDK31" s="384"/>
      <c r="HDL31" s="384"/>
      <c r="HDM31" s="384"/>
      <c r="HDN31" s="384"/>
      <c r="HDO31" s="384"/>
      <c r="HDP31" s="384"/>
      <c r="HDQ31" s="384"/>
      <c r="HDR31" s="384"/>
      <c r="HDS31" s="384"/>
      <c r="HDT31" s="384"/>
      <c r="HDU31" s="384"/>
      <c r="HDV31" s="384"/>
      <c r="HDW31" s="384"/>
      <c r="HDX31" s="384"/>
      <c r="HDY31" s="384"/>
      <c r="HDZ31" s="384"/>
      <c r="HEA31" s="384"/>
      <c r="HEB31" s="384"/>
      <c r="HEC31" s="384"/>
      <c r="HED31" s="384"/>
      <c r="HEE31" s="384"/>
      <c r="HEF31" s="384"/>
      <c r="HEG31" s="384"/>
      <c r="HEH31" s="384"/>
      <c r="HEI31" s="384"/>
      <c r="HEJ31" s="384"/>
      <c r="HEK31" s="384"/>
      <c r="HEL31" s="384"/>
      <c r="HEM31" s="384"/>
      <c r="HEN31" s="384"/>
      <c r="HEO31" s="384"/>
      <c r="HEP31" s="384"/>
      <c r="HEQ31" s="384"/>
      <c r="HER31" s="384"/>
      <c r="HES31" s="384"/>
      <c r="HET31" s="384"/>
      <c r="HEU31" s="384"/>
      <c r="HEV31" s="384"/>
      <c r="HEW31" s="384"/>
      <c r="HEX31" s="384"/>
      <c r="HEY31" s="384"/>
      <c r="HEZ31" s="384"/>
      <c r="HFA31" s="384"/>
      <c r="HFB31" s="384"/>
      <c r="HFC31" s="384"/>
      <c r="HFD31" s="384"/>
      <c r="HFE31" s="384"/>
      <c r="HFF31" s="384"/>
      <c r="HFG31" s="384"/>
      <c r="HFH31" s="384"/>
      <c r="HFI31" s="384"/>
      <c r="HFJ31" s="384"/>
      <c r="HFK31" s="384"/>
      <c r="HFL31" s="384"/>
      <c r="HFM31" s="384"/>
      <c r="HFN31" s="384"/>
      <c r="HFO31" s="384"/>
      <c r="HFP31" s="384"/>
      <c r="HFQ31" s="384"/>
      <c r="HFR31" s="384"/>
      <c r="HFS31" s="384"/>
      <c r="HFT31" s="384"/>
      <c r="HFU31" s="384"/>
      <c r="HFV31" s="384"/>
      <c r="HFW31" s="384"/>
      <c r="HFX31" s="384"/>
      <c r="HFY31" s="384"/>
      <c r="HFZ31" s="384"/>
      <c r="HGA31" s="384"/>
      <c r="HGB31" s="384"/>
      <c r="HGC31" s="384"/>
      <c r="HGD31" s="384"/>
      <c r="HGE31" s="384"/>
      <c r="HGF31" s="384"/>
      <c r="HGG31" s="384"/>
      <c r="HGH31" s="384"/>
      <c r="HGI31" s="384"/>
      <c r="HGJ31" s="384"/>
      <c r="HGK31" s="384"/>
      <c r="HGL31" s="384"/>
      <c r="HGM31" s="384"/>
      <c r="HGN31" s="384"/>
      <c r="HGO31" s="384"/>
      <c r="HGP31" s="384"/>
      <c r="HGQ31" s="384"/>
      <c r="HGR31" s="384"/>
      <c r="HGS31" s="384"/>
      <c r="HGT31" s="384"/>
      <c r="HGU31" s="384"/>
      <c r="HGV31" s="384"/>
      <c r="HGW31" s="384"/>
      <c r="HGX31" s="384"/>
      <c r="HGY31" s="384"/>
      <c r="HGZ31" s="384"/>
      <c r="HHA31" s="384"/>
      <c r="HHB31" s="384"/>
      <c r="HHC31" s="384"/>
      <c r="HHD31" s="384"/>
      <c r="HHE31" s="384"/>
      <c r="HHF31" s="384"/>
      <c r="HHG31" s="384"/>
      <c r="HHH31" s="384"/>
      <c r="HHI31" s="384"/>
      <c r="HHJ31" s="384"/>
      <c r="HHK31" s="384"/>
      <c r="HHL31" s="384"/>
      <c r="HHM31" s="384"/>
      <c r="HHN31" s="384"/>
      <c r="HHO31" s="384"/>
      <c r="HHP31" s="384"/>
      <c r="HHQ31" s="384"/>
      <c r="HHR31" s="384"/>
      <c r="HHS31" s="384"/>
      <c r="HHT31" s="384"/>
      <c r="HHU31" s="384"/>
      <c r="HHV31" s="384"/>
      <c r="HHW31" s="384"/>
      <c r="HHX31" s="384"/>
      <c r="HHY31" s="384"/>
      <c r="HHZ31" s="384"/>
      <c r="HIA31" s="384"/>
      <c r="HIB31" s="384"/>
      <c r="HIC31" s="384"/>
      <c r="HID31" s="384"/>
      <c r="HIE31" s="384"/>
      <c r="HIF31" s="384"/>
      <c r="HIG31" s="384"/>
      <c r="HIH31" s="384"/>
      <c r="HII31" s="384"/>
      <c r="HIJ31" s="384"/>
      <c r="HIK31" s="384"/>
      <c r="HIL31" s="384"/>
      <c r="HIM31" s="384"/>
      <c r="HIN31" s="384"/>
      <c r="HIO31" s="384"/>
      <c r="HIP31" s="384"/>
      <c r="HIQ31" s="384"/>
      <c r="HIR31" s="384"/>
      <c r="HIS31" s="384"/>
      <c r="HIT31" s="384"/>
      <c r="HIU31" s="384"/>
      <c r="HIV31" s="384"/>
      <c r="HIW31" s="384"/>
      <c r="HIX31" s="384"/>
      <c r="HIY31" s="384"/>
      <c r="HIZ31" s="384"/>
      <c r="HJA31" s="384"/>
      <c r="HJB31" s="384"/>
      <c r="HJC31" s="384"/>
      <c r="HJD31" s="384"/>
      <c r="HJE31" s="384"/>
      <c r="HJF31" s="384"/>
      <c r="HJG31" s="384"/>
      <c r="HJH31" s="384"/>
      <c r="HJI31" s="384"/>
      <c r="HJJ31" s="384"/>
      <c r="HJK31" s="384"/>
      <c r="HJL31" s="384"/>
      <c r="HJM31" s="384"/>
      <c r="HJN31" s="384"/>
      <c r="HJO31" s="384"/>
      <c r="HJP31" s="384"/>
      <c r="HJQ31" s="384"/>
      <c r="HJR31" s="384"/>
      <c r="HJS31" s="384"/>
      <c r="HJT31" s="384"/>
      <c r="HJU31" s="384"/>
      <c r="HJV31" s="384"/>
      <c r="HJW31" s="384"/>
      <c r="HJX31" s="384"/>
      <c r="HJY31" s="384"/>
      <c r="HJZ31" s="384"/>
      <c r="HKA31" s="384"/>
      <c r="HKB31" s="384"/>
      <c r="HKC31" s="384"/>
      <c r="HKD31" s="384"/>
      <c r="HKE31" s="384"/>
      <c r="HKF31" s="384"/>
      <c r="HKG31" s="384"/>
      <c r="HKH31" s="384"/>
      <c r="HKI31" s="384"/>
      <c r="HKJ31" s="384"/>
      <c r="HKK31" s="384"/>
      <c r="HKL31" s="384"/>
      <c r="HKM31" s="384"/>
      <c r="HKN31" s="384"/>
      <c r="HKO31" s="384"/>
      <c r="HKP31" s="384"/>
      <c r="HKQ31" s="384"/>
      <c r="HKR31" s="384"/>
      <c r="HKS31" s="384"/>
      <c r="HKT31" s="384"/>
      <c r="HKU31" s="384"/>
      <c r="HKV31" s="384"/>
      <c r="HKW31" s="384"/>
      <c r="HKX31" s="384"/>
      <c r="HKY31" s="384"/>
      <c r="HKZ31" s="384"/>
      <c r="HLA31" s="384"/>
      <c r="HLB31" s="384"/>
      <c r="HLC31" s="384"/>
      <c r="HLD31" s="384"/>
      <c r="HLE31" s="384"/>
      <c r="HLF31" s="384"/>
      <c r="HLG31" s="384"/>
      <c r="HLH31" s="384"/>
      <c r="HLI31" s="384"/>
      <c r="HLJ31" s="384"/>
      <c r="HLK31" s="384"/>
      <c r="HLL31" s="384"/>
      <c r="HLM31" s="384"/>
      <c r="HLN31" s="384"/>
      <c r="HLO31" s="384"/>
      <c r="HLP31" s="384"/>
      <c r="HLQ31" s="384"/>
      <c r="HLR31" s="384"/>
      <c r="HLS31" s="384"/>
      <c r="HLT31" s="384"/>
      <c r="HLU31" s="384"/>
      <c r="HLV31" s="384"/>
      <c r="HLW31" s="384"/>
      <c r="HLX31" s="384"/>
      <c r="HLY31" s="384"/>
      <c r="HLZ31" s="384"/>
      <c r="HMA31" s="384"/>
      <c r="HMB31" s="384"/>
      <c r="HMC31" s="384"/>
      <c r="HMD31" s="384"/>
      <c r="HME31" s="384"/>
      <c r="HMF31" s="384"/>
      <c r="HMG31" s="384"/>
      <c r="HMH31" s="384"/>
      <c r="HMI31" s="384"/>
      <c r="HMJ31" s="384"/>
      <c r="HMK31" s="384"/>
      <c r="HML31" s="384"/>
      <c r="HMM31" s="384"/>
      <c r="HMN31" s="384"/>
      <c r="HMO31" s="384"/>
      <c r="HMP31" s="384"/>
      <c r="HMQ31" s="384"/>
      <c r="HMR31" s="384"/>
      <c r="HMS31" s="384"/>
      <c r="HMT31" s="384"/>
      <c r="HMU31" s="384"/>
      <c r="HMV31" s="384"/>
      <c r="HMW31" s="384"/>
      <c r="HMX31" s="384"/>
      <c r="HMY31" s="384"/>
      <c r="HMZ31" s="384"/>
      <c r="HNA31" s="384"/>
      <c r="HNB31" s="384"/>
      <c r="HNC31" s="384"/>
      <c r="HND31" s="384"/>
      <c r="HNE31" s="384"/>
      <c r="HNF31" s="384"/>
      <c r="HNG31" s="384"/>
      <c r="HNH31" s="384"/>
      <c r="HNI31" s="384"/>
      <c r="HNJ31" s="384"/>
      <c r="HNK31" s="384"/>
      <c r="HNL31" s="384"/>
      <c r="HNM31" s="384"/>
      <c r="HNN31" s="384"/>
      <c r="HNO31" s="384"/>
      <c r="HNP31" s="384"/>
      <c r="HNQ31" s="384"/>
      <c r="HNR31" s="384"/>
      <c r="HNS31" s="384"/>
      <c r="HNT31" s="384"/>
      <c r="HNU31" s="384"/>
      <c r="HNV31" s="384"/>
      <c r="HNW31" s="384"/>
      <c r="HNX31" s="384"/>
      <c r="HNY31" s="384"/>
      <c r="HNZ31" s="384"/>
      <c r="HOA31" s="384"/>
      <c r="HOB31" s="384"/>
      <c r="HOC31" s="384"/>
      <c r="HOD31" s="384"/>
      <c r="HOE31" s="384"/>
      <c r="HOF31" s="384"/>
      <c r="HOG31" s="384"/>
      <c r="HOH31" s="384"/>
      <c r="HOI31" s="384"/>
      <c r="HOJ31" s="384"/>
      <c r="HOK31" s="384"/>
      <c r="HOL31" s="384"/>
      <c r="HOM31" s="384"/>
      <c r="HON31" s="384"/>
      <c r="HOO31" s="384"/>
      <c r="HOP31" s="384"/>
      <c r="HOQ31" s="384"/>
      <c r="HOR31" s="384"/>
      <c r="HOS31" s="384"/>
      <c r="HOT31" s="384"/>
      <c r="HOU31" s="384"/>
      <c r="HOV31" s="384"/>
      <c r="HOW31" s="384"/>
      <c r="HOX31" s="384"/>
      <c r="HOY31" s="384"/>
      <c r="HOZ31" s="384"/>
      <c r="HPA31" s="384"/>
      <c r="HPB31" s="384"/>
      <c r="HPC31" s="384"/>
      <c r="HPD31" s="384"/>
      <c r="HPE31" s="384"/>
      <c r="HPF31" s="384"/>
      <c r="HPG31" s="384"/>
      <c r="HPH31" s="384"/>
      <c r="HPI31" s="384"/>
      <c r="HPJ31" s="384"/>
      <c r="HPK31" s="384"/>
      <c r="HPL31" s="384"/>
      <c r="HPM31" s="384"/>
      <c r="HPN31" s="384"/>
      <c r="HPO31" s="384"/>
      <c r="HPP31" s="384"/>
      <c r="HPQ31" s="384"/>
      <c r="HPR31" s="384"/>
      <c r="HPS31" s="384"/>
      <c r="HPT31" s="384"/>
      <c r="HPU31" s="384"/>
      <c r="HPV31" s="384"/>
      <c r="HPW31" s="384"/>
      <c r="HPX31" s="384"/>
      <c r="HPY31" s="384"/>
      <c r="HPZ31" s="384"/>
      <c r="HQA31" s="384"/>
      <c r="HQB31" s="384"/>
      <c r="HQC31" s="384"/>
      <c r="HQD31" s="384"/>
      <c r="HQE31" s="384"/>
      <c r="HQF31" s="384"/>
      <c r="HQG31" s="384"/>
      <c r="HQH31" s="384"/>
      <c r="HQI31" s="384"/>
      <c r="HQJ31" s="384"/>
      <c r="HQK31" s="384"/>
      <c r="HQL31" s="384"/>
      <c r="HQM31" s="384"/>
      <c r="HQN31" s="384"/>
      <c r="HQO31" s="384"/>
      <c r="HQP31" s="384"/>
      <c r="HQQ31" s="384"/>
      <c r="HQR31" s="384"/>
      <c r="HQS31" s="384"/>
      <c r="HQT31" s="384"/>
      <c r="HQU31" s="384"/>
      <c r="HQV31" s="384"/>
      <c r="HQW31" s="384"/>
      <c r="HQX31" s="384"/>
      <c r="HQY31" s="384"/>
      <c r="HQZ31" s="384"/>
      <c r="HRA31" s="384"/>
      <c r="HRB31" s="384"/>
      <c r="HRC31" s="384"/>
      <c r="HRD31" s="384"/>
      <c r="HRE31" s="384"/>
      <c r="HRF31" s="384"/>
      <c r="HRG31" s="384"/>
      <c r="HRH31" s="384"/>
      <c r="HRI31" s="384"/>
      <c r="HRJ31" s="384"/>
      <c r="HRK31" s="384"/>
      <c r="HRL31" s="384"/>
      <c r="HRM31" s="384"/>
      <c r="HRN31" s="384"/>
      <c r="HRO31" s="384"/>
      <c r="HRP31" s="384"/>
      <c r="HRQ31" s="384"/>
      <c r="HRR31" s="384"/>
      <c r="HRS31" s="384"/>
      <c r="HRT31" s="384"/>
      <c r="HRU31" s="384"/>
      <c r="HRV31" s="384"/>
      <c r="HRW31" s="384"/>
      <c r="HRX31" s="384"/>
      <c r="HRY31" s="384"/>
      <c r="HRZ31" s="384"/>
      <c r="HSA31" s="384"/>
      <c r="HSB31" s="384"/>
      <c r="HSC31" s="384"/>
      <c r="HSD31" s="384"/>
      <c r="HSE31" s="384"/>
      <c r="HSF31" s="384"/>
      <c r="HSG31" s="384"/>
      <c r="HSH31" s="384"/>
      <c r="HSI31" s="384"/>
      <c r="HSJ31" s="384"/>
      <c r="HSK31" s="384"/>
      <c r="HSL31" s="384"/>
      <c r="HSM31" s="384"/>
      <c r="HSN31" s="384"/>
      <c r="HSO31" s="384"/>
      <c r="HSP31" s="384"/>
      <c r="HSQ31" s="384"/>
      <c r="HSR31" s="384"/>
      <c r="HSS31" s="384"/>
      <c r="HST31" s="384"/>
      <c r="HSU31" s="384"/>
      <c r="HSV31" s="384"/>
      <c r="HSW31" s="384"/>
      <c r="HSX31" s="384"/>
      <c r="HSY31" s="384"/>
      <c r="HSZ31" s="384"/>
      <c r="HTA31" s="384"/>
      <c r="HTB31" s="384"/>
      <c r="HTC31" s="384"/>
      <c r="HTD31" s="384"/>
      <c r="HTE31" s="384"/>
      <c r="HTF31" s="384"/>
      <c r="HTG31" s="384"/>
      <c r="HTH31" s="384"/>
      <c r="HTI31" s="384"/>
      <c r="HTJ31" s="384"/>
      <c r="HTK31" s="384"/>
      <c r="HTL31" s="384"/>
      <c r="HTM31" s="384"/>
      <c r="HTN31" s="384"/>
      <c r="HTO31" s="384"/>
      <c r="HTP31" s="384"/>
      <c r="HTQ31" s="384"/>
      <c r="HTR31" s="384"/>
      <c r="HTS31" s="384"/>
      <c r="HTT31" s="384"/>
      <c r="HTU31" s="384"/>
      <c r="HTV31" s="384"/>
      <c r="HTW31" s="384"/>
      <c r="HTX31" s="384"/>
      <c r="HTY31" s="384"/>
      <c r="HTZ31" s="384"/>
      <c r="HUA31" s="384"/>
      <c r="HUB31" s="384"/>
      <c r="HUC31" s="384"/>
      <c r="HUD31" s="384"/>
      <c r="HUE31" s="384"/>
      <c r="HUF31" s="384"/>
      <c r="HUG31" s="384"/>
      <c r="HUH31" s="384"/>
      <c r="HUI31" s="384"/>
      <c r="HUJ31" s="384"/>
      <c r="HUK31" s="384"/>
      <c r="HUL31" s="384"/>
      <c r="HUM31" s="384"/>
      <c r="HUN31" s="384"/>
      <c r="HUO31" s="384"/>
      <c r="HUP31" s="384"/>
      <c r="HUQ31" s="384"/>
      <c r="HUR31" s="384"/>
      <c r="HUS31" s="384"/>
      <c r="HUT31" s="384"/>
      <c r="HUU31" s="384"/>
      <c r="HUV31" s="384"/>
      <c r="HUW31" s="384"/>
      <c r="HUX31" s="384"/>
      <c r="HUY31" s="384"/>
      <c r="HUZ31" s="384"/>
      <c r="HVA31" s="384"/>
      <c r="HVB31" s="384"/>
      <c r="HVC31" s="384"/>
      <c r="HVD31" s="384"/>
      <c r="HVE31" s="384"/>
      <c r="HVF31" s="384"/>
      <c r="HVG31" s="384"/>
      <c r="HVH31" s="384"/>
      <c r="HVI31" s="384"/>
      <c r="HVJ31" s="384"/>
      <c r="HVK31" s="384"/>
      <c r="HVL31" s="384"/>
      <c r="HVM31" s="384"/>
      <c r="HVN31" s="384"/>
      <c r="HVO31" s="384"/>
      <c r="HVP31" s="384"/>
      <c r="HVQ31" s="384"/>
      <c r="HVR31" s="384"/>
      <c r="HVS31" s="384"/>
      <c r="HVT31" s="384"/>
      <c r="HVU31" s="384"/>
      <c r="HVV31" s="384"/>
      <c r="HVW31" s="384"/>
      <c r="HVX31" s="384"/>
      <c r="HVY31" s="384"/>
      <c r="HVZ31" s="384"/>
      <c r="HWA31" s="384"/>
      <c r="HWB31" s="384"/>
      <c r="HWC31" s="384"/>
      <c r="HWD31" s="384"/>
      <c r="HWE31" s="384"/>
      <c r="HWF31" s="384"/>
      <c r="HWG31" s="384"/>
      <c r="HWH31" s="384"/>
      <c r="HWI31" s="384"/>
      <c r="HWJ31" s="384"/>
      <c r="HWK31" s="384"/>
      <c r="HWL31" s="384"/>
      <c r="HWM31" s="384"/>
      <c r="HWN31" s="384"/>
      <c r="HWO31" s="384"/>
      <c r="HWP31" s="384"/>
      <c r="HWQ31" s="384"/>
      <c r="HWR31" s="384"/>
      <c r="HWS31" s="384"/>
      <c r="HWT31" s="384"/>
      <c r="HWU31" s="384"/>
      <c r="HWV31" s="384"/>
      <c r="HWW31" s="384"/>
      <c r="HWX31" s="384"/>
      <c r="HWY31" s="384"/>
      <c r="HWZ31" s="384"/>
      <c r="HXA31" s="384"/>
      <c r="HXB31" s="384"/>
      <c r="HXC31" s="384"/>
      <c r="HXD31" s="384"/>
      <c r="HXE31" s="384"/>
      <c r="HXF31" s="384"/>
      <c r="HXG31" s="384"/>
      <c r="HXH31" s="384"/>
      <c r="HXI31" s="384"/>
      <c r="HXJ31" s="384"/>
      <c r="HXK31" s="384"/>
      <c r="HXL31" s="384"/>
      <c r="HXM31" s="384"/>
      <c r="HXN31" s="384"/>
      <c r="HXO31" s="384"/>
      <c r="HXP31" s="384"/>
      <c r="HXQ31" s="384"/>
      <c r="HXR31" s="384"/>
      <c r="HXS31" s="384"/>
      <c r="HXT31" s="384"/>
      <c r="HXU31" s="384"/>
      <c r="HXV31" s="384"/>
      <c r="HXW31" s="384"/>
      <c r="HXX31" s="384"/>
      <c r="HXY31" s="384"/>
      <c r="HXZ31" s="384"/>
      <c r="HYA31" s="384"/>
      <c r="HYB31" s="384"/>
      <c r="HYC31" s="384"/>
      <c r="HYD31" s="384"/>
      <c r="HYE31" s="384"/>
      <c r="HYF31" s="384"/>
      <c r="HYG31" s="384"/>
      <c r="HYH31" s="384"/>
      <c r="HYI31" s="384"/>
      <c r="HYJ31" s="384"/>
      <c r="HYK31" s="384"/>
      <c r="HYL31" s="384"/>
      <c r="HYM31" s="384"/>
      <c r="HYN31" s="384"/>
      <c r="HYO31" s="384"/>
      <c r="HYP31" s="384"/>
      <c r="HYQ31" s="384"/>
      <c r="HYR31" s="384"/>
      <c r="HYS31" s="384"/>
      <c r="HYT31" s="384"/>
      <c r="HYU31" s="384"/>
      <c r="HYV31" s="384"/>
      <c r="HYW31" s="384"/>
      <c r="HYX31" s="384"/>
      <c r="HYY31" s="384"/>
      <c r="HYZ31" s="384"/>
      <c r="HZA31" s="384"/>
      <c r="HZB31" s="384"/>
      <c r="HZC31" s="384"/>
      <c r="HZD31" s="384"/>
      <c r="HZE31" s="384"/>
      <c r="HZF31" s="384"/>
      <c r="HZG31" s="384"/>
      <c r="HZH31" s="384"/>
      <c r="HZI31" s="384"/>
      <c r="HZJ31" s="384"/>
      <c r="HZK31" s="384"/>
      <c r="HZL31" s="384"/>
      <c r="HZM31" s="384"/>
      <c r="HZN31" s="384"/>
      <c r="HZO31" s="384"/>
      <c r="HZP31" s="384"/>
      <c r="HZQ31" s="384"/>
      <c r="HZR31" s="384"/>
      <c r="HZS31" s="384"/>
      <c r="HZT31" s="384"/>
      <c r="HZU31" s="384"/>
      <c r="HZV31" s="384"/>
      <c r="HZW31" s="384"/>
      <c r="HZX31" s="384"/>
      <c r="HZY31" s="384"/>
      <c r="HZZ31" s="384"/>
      <c r="IAA31" s="384"/>
      <c r="IAB31" s="384"/>
      <c r="IAC31" s="384"/>
      <c r="IAD31" s="384"/>
      <c r="IAE31" s="384"/>
      <c r="IAF31" s="384"/>
      <c r="IAG31" s="384"/>
      <c r="IAH31" s="384"/>
      <c r="IAI31" s="384"/>
      <c r="IAJ31" s="384"/>
      <c r="IAK31" s="384"/>
      <c r="IAL31" s="384"/>
      <c r="IAM31" s="384"/>
      <c r="IAN31" s="384"/>
      <c r="IAO31" s="384"/>
      <c r="IAP31" s="384"/>
      <c r="IAQ31" s="384"/>
      <c r="IAR31" s="384"/>
      <c r="IAS31" s="384"/>
      <c r="IAT31" s="384"/>
      <c r="IAU31" s="384"/>
      <c r="IAV31" s="384"/>
      <c r="IAW31" s="384"/>
      <c r="IAX31" s="384"/>
      <c r="IAY31" s="384"/>
      <c r="IAZ31" s="384"/>
      <c r="IBA31" s="384"/>
      <c r="IBB31" s="384"/>
      <c r="IBC31" s="384"/>
      <c r="IBD31" s="384"/>
      <c r="IBE31" s="384"/>
      <c r="IBF31" s="384"/>
      <c r="IBG31" s="384"/>
      <c r="IBH31" s="384"/>
      <c r="IBI31" s="384"/>
      <c r="IBJ31" s="384"/>
      <c r="IBK31" s="384"/>
      <c r="IBL31" s="384"/>
      <c r="IBM31" s="384"/>
      <c r="IBN31" s="384"/>
      <c r="IBO31" s="384"/>
      <c r="IBP31" s="384"/>
      <c r="IBQ31" s="384"/>
      <c r="IBR31" s="384"/>
      <c r="IBS31" s="384"/>
      <c r="IBT31" s="384"/>
      <c r="IBU31" s="384"/>
      <c r="IBV31" s="384"/>
      <c r="IBW31" s="384"/>
      <c r="IBX31" s="384"/>
      <c r="IBY31" s="384"/>
      <c r="IBZ31" s="384"/>
      <c r="ICA31" s="384"/>
      <c r="ICB31" s="384"/>
      <c r="ICC31" s="384"/>
      <c r="ICD31" s="384"/>
      <c r="ICE31" s="384"/>
      <c r="ICF31" s="384"/>
      <c r="ICG31" s="384"/>
      <c r="ICH31" s="384"/>
      <c r="ICI31" s="384"/>
      <c r="ICJ31" s="384"/>
      <c r="ICK31" s="384"/>
      <c r="ICL31" s="384"/>
      <c r="ICM31" s="384"/>
      <c r="ICN31" s="384"/>
      <c r="ICO31" s="384"/>
      <c r="ICP31" s="384"/>
      <c r="ICQ31" s="384"/>
      <c r="ICR31" s="384"/>
      <c r="ICS31" s="384"/>
      <c r="ICT31" s="384"/>
      <c r="ICU31" s="384"/>
      <c r="ICV31" s="384"/>
      <c r="ICW31" s="384"/>
      <c r="ICX31" s="384"/>
      <c r="ICY31" s="384"/>
      <c r="ICZ31" s="384"/>
      <c r="IDA31" s="384"/>
      <c r="IDB31" s="384"/>
      <c r="IDC31" s="384"/>
      <c r="IDD31" s="384"/>
      <c r="IDE31" s="384"/>
      <c r="IDF31" s="384"/>
      <c r="IDG31" s="384"/>
      <c r="IDH31" s="384"/>
      <c r="IDI31" s="384"/>
      <c r="IDJ31" s="384"/>
      <c r="IDK31" s="384"/>
      <c r="IDL31" s="384"/>
      <c r="IDM31" s="384"/>
      <c r="IDN31" s="384"/>
      <c r="IDO31" s="384"/>
      <c r="IDP31" s="384"/>
      <c r="IDQ31" s="384"/>
      <c r="IDR31" s="384"/>
      <c r="IDS31" s="384"/>
      <c r="IDT31" s="384"/>
      <c r="IDU31" s="384"/>
      <c r="IDV31" s="384"/>
      <c r="IDW31" s="384"/>
      <c r="IDX31" s="384"/>
      <c r="IDY31" s="384"/>
      <c r="IDZ31" s="384"/>
      <c r="IEA31" s="384"/>
      <c r="IEB31" s="384"/>
      <c r="IEC31" s="384"/>
      <c r="IED31" s="384"/>
      <c r="IEE31" s="384"/>
      <c r="IEF31" s="384"/>
      <c r="IEG31" s="384"/>
      <c r="IEH31" s="384"/>
      <c r="IEI31" s="384"/>
      <c r="IEJ31" s="384"/>
      <c r="IEK31" s="384"/>
      <c r="IEL31" s="384"/>
      <c r="IEM31" s="384"/>
      <c r="IEN31" s="384"/>
      <c r="IEO31" s="384"/>
      <c r="IEP31" s="384"/>
      <c r="IEQ31" s="384"/>
      <c r="IER31" s="384"/>
      <c r="IES31" s="384"/>
      <c r="IET31" s="384"/>
      <c r="IEU31" s="384"/>
      <c r="IEV31" s="384"/>
      <c r="IEW31" s="384"/>
      <c r="IEX31" s="384"/>
      <c r="IEY31" s="384"/>
      <c r="IEZ31" s="384"/>
      <c r="IFA31" s="384"/>
      <c r="IFB31" s="384"/>
      <c r="IFC31" s="384"/>
      <c r="IFD31" s="384"/>
      <c r="IFE31" s="384"/>
      <c r="IFF31" s="384"/>
      <c r="IFG31" s="384"/>
      <c r="IFH31" s="384"/>
      <c r="IFI31" s="384"/>
      <c r="IFJ31" s="384"/>
      <c r="IFK31" s="384"/>
      <c r="IFL31" s="384"/>
      <c r="IFM31" s="384"/>
      <c r="IFN31" s="384"/>
      <c r="IFO31" s="384"/>
      <c r="IFP31" s="384"/>
      <c r="IFQ31" s="384"/>
      <c r="IFR31" s="384"/>
      <c r="IFS31" s="384"/>
      <c r="IFT31" s="384"/>
      <c r="IFU31" s="384"/>
      <c r="IFV31" s="384"/>
      <c r="IFW31" s="384"/>
      <c r="IFX31" s="384"/>
      <c r="IFY31" s="384"/>
      <c r="IFZ31" s="384"/>
      <c r="IGA31" s="384"/>
      <c r="IGB31" s="384"/>
      <c r="IGC31" s="384"/>
      <c r="IGD31" s="384"/>
      <c r="IGE31" s="384"/>
      <c r="IGF31" s="384"/>
      <c r="IGG31" s="384"/>
      <c r="IGH31" s="384"/>
      <c r="IGI31" s="384"/>
      <c r="IGJ31" s="384"/>
      <c r="IGK31" s="384"/>
      <c r="IGL31" s="384"/>
      <c r="IGM31" s="384"/>
      <c r="IGN31" s="384"/>
      <c r="IGO31" s="384"/>
      <c r="IGP31" s="384"/>
      <c r="IGQ31" s="384"/>
      <c r="IGR31" s="384"/>
      <c r="IGS31" s="384"/>
      <c r="IGT31" s="384"/>
      <c r="IGU31" s="384"/>
      <c r="IGV31" s="384"/>
      <c r="IGW31" s="384"/>
      <c r="IGX31" s="384"/>
      <c r="IGY31" s="384"/>
      <c r="IGZ31" s="384"/>
      <c r="IHA31" s="384"/>
      <c r="IHB31" s="384"/>
      <c r="IHC31" s="384"/>
      <c r="IHD31" s="384"/>
      <c r="IHE31" s="384"/>
      <c r="IHF31" s="384"/>
      <c r="IHG31" s="384"/>
      <c r="IHH31" s="384"/>
      <c r="IHI31" s="384"/>
      <c r="IHJ31" s="384"/>
      <c r="IHK31" s="384"/>
      <c r="IHL31" s="384"/>
      <c r="IHM31" s="384"/>
      <c r="IHN31" s="384"/>
      <c r="IHO31" s="384"/>
      <c r="IHP31" s="384"/>
      <c r="IHQ31" s="384"/>
      <c r="IHR31" s="384"/>
      <c r="IHS31" s="384"/>
      <c r="IHT31" s="384"/>
      <c r="IHU31" s="384"/>
      <c r="IHV31" s="384"/>
      <c r="IHW31" s="384"/>
      <c r="IHX31" s="384"/>
      <c r="IHY31" s="384"/>
      <c r="IHZ31" s="384"/>
      <c r="IIA31" s="384"/>
      <c r="IIB31" s="384"/>
      <c r="IIC31" s="384"/>
      <c r="IID31" s="384"/>
      <c r="IIE31" s="384"/>
      <c r="IIF31" s="384"/>
      <c r="IIG31" s="384"/>
      <c r="IIH31" s="384"/>
      <c r="III31" s="384"/>
      <c r="IIJ31" s="384"/>
      <c r="IIK31" s="384"/>
      <c r="IIL31" s="384"/>
      <c r="IIM31" s="384"/>
      <c r="IIN31" s="384"/>
      <c r="IIO31" s="384"/>
      <c r="IIP31" s="384"/>
      <c r="IIQ31" s="384"/>
      <c r="IIR31" s="384"/>
      <c r="IIS31" s="384"/>
      <c r="IIT31" s="384"/>
      <c r="IIU31" s="384"/>
      <c r="IIV31" s="384"/>
      <c r="IIW31" s="384"/>
      <c r="IIX31" s="384"/>
      <c r="IIY31" s="384"/>
      <c r="IIZ31" s="384"/>
      <c r="IJA31" s="384"/>
      <c r="IJB31" s="384"/>
      <c r="IJC31" s="384"/>
      <c r="IJD31" s="384"/>
      <c r="IJE31" s="384"/>
      <c r="IJF31" s="384"/>
      <c r="IJG31" s="384"/>
      <c r="IJH31" s="384"/>
      <c r="IJI31" s="384"/>
      <c r="IJJ31" s="384"/>
      <c r="IJK31" s="384"/>
      <c r="IJL31" s="384"/>
      <c r="IJM31" s="384"/>
      <c r="IJN31" s="384"/>
      <c r="IJO31" s="384"/>
      <c r="IJP31" s="384"/>
      <c r="IJQ31" s="384"/>
      <c r="IJR31" s="384"/>
      <c r="IJS31" s="384"/>
      <c r="IJT31" s="384"/>
      <c r="IJU31" s="384"/>
      <c r="IJV31" s="384"/>
      <c r="IJW31" s="384"/>
      <c r="IJX31" s="384"/>
      <c r="IJY31" s="384"/>
      <c r="IJZ31" s="384"/>
      <c r="IKA31" s="384"/>
      <c r="IKB31" s="384"/>
      <c r="IKC31" s="384"/>
      <c r="IKD31" s="384"/>
      <c r="IKE31" s="384"/>
      <c r="IKF31" s="384"/>
      <c r="IKG31" s="384"/>
      <c r="IKH31" s="384"/>
      <c r="IKI31" s="384"/>
      <c r="IKJ31" s="384"/>
      <c r="IKK31" s="384"/>
      <c r="IKL31" s="384"/>
      <c r="IKM31" s="384"/>
      <c r="IKN31" s="384"/>
      <c r="IKO31" s="384"/>
      <c r="IKP31" s="384"/>
      <c r="IKQ31" s="384"/>
      <c r="IKR31" s="384"/>
      <c r="IKS31" s="384"/>
      <c r="IKT31" s="384"/>
      <c r="IKU31" s="384"/>
      <c r="IKV31" s="384"/>
      <c r="IKW31" s="384"/>
      <c r="IKX31" s="384"/>
      <c r="IKY31" s="384"/>
      <c r="IKZ31" s="384"/>
      <c r="ILA31" s="384"/>
      <c r="ILB31" s="384"/>
      <c r="ILC31" s="384"/>
      <c r="ILD31" s="384"/>
      <c r="ILE31" s="384"/>
      <c r="ILF31" s="384"/>
      <c r="ILG31" s="384"/>
      <c r="ILH31" s="384"/>
      <c r="ILI31" s="384"/>
      <c r="ILJ31" s="384"/>
      <c r="ILK31" s="384"/>
      <c r="ILL31" s="384"/>
      <c r="ILM31" s="384"/>
      <c r="ILN31" s="384"/>
      <c r="ILO31" s="384"/>
      <c r="ILP31" s="384"/>
      <c r="ILQ31" s="384"/>
      <c r="ILR31" s="384"/>
      <c r="ILS31" s="384"/>
      <c r="ILT31" s="384"/>
      <c r="ILU31" s="384"/>
      <c r="ILV31" s="384"/>
      <c r="ILW31" s="384"/>
      <c r="ILX31" s="384"/>
      <c r="ILY31" s="384"/>
      <c r="ILZ31" s="384"/>
      <c r="IMA31" s="384"/>
      <c r="IMB31" s="384"/>
      <c r="IMC31" s="384"/>
      <c r="IMD31" s="384"/>
      <c r="IME31" s="384"/>
      <c r="IMF31" s="384"/>
      <c r="IMG31" s="384"/>
      <c r="IMH31" s="384"/>
      <c r="IMI31" s="384"/>
      <c r="IMJ31" s="384"/>
      <c r="IMK31" s="384"/>
      <c r="IML31" s="384"/>
      <c r="IMM31" s="384"/>
      <c r="IMN31" s="384"/>
      <c r="IMO31" s="384"/>
      <c r="IMP31" s="384"/>
      <c r="IMQ31" s="384"/>
      <c r="IMR31" s="384"/>
      <c r="IMS31" s="384"/>
      <c r="IMT31" s="384"/>
      <c r="IMU31" s="384"/>
      <c r="IMV31" s="384"/>
      <c r="IMW31" s="384"/>
      <c r="IMX31" s="384"/>
      <c r="IMY31" s="384"/>
      <c r="IMZ31" s="384"/>
      <c r="INA31" s="384"/>
      <c r="INB31" s="384"/>
      <c r="INC31" s="384"/>
      <c r="IND31" s="384"/>
      <c r="INE31" s="384"/>
      <c r="INF31" s="384"/>
      <c r="ING31" s="384"/>
      <c r="INH31" s="384"/>
      <c r="INI31" s="384"/>
      <c r="INJ31" s="384"/>
      <c r="INK31" s="384"/>
      <c r="INL31" s="384"/>
      <c r="INM31" s="384"/>
      <c r="INN31" s="384"/>
      <c r="INO31" s="384"/>
      <c r="INP31" s="384"/>
      <c r="INQ31" s="384"/>
      <c r="INR31" s="384"/>
      <c r="INS31" s="384"/>
      <c r="INT31" s="384"/>
      <c r="INU31" s="384"/>
      <c r="INV31" s="384"/>
      <c r="INW31" s="384"/>
      <c r="INX31" s="384"/>
      <c r="INY31" s="384"/>
      <c r="INZ31" s="384"/>
      <c r="IOA31" s="384"/>
      <c r="IOB31" s="384"/>
      <c r="IOC31" s="384"/>
      <c r="IOD31" s="384"/>
      <c r="IOE31" s="384"/>
      <c r="IOF31" s="384"/>
      <c r="IOG31" s="384"/>
      <c r="IOH31" s="384"/>
      <c r="IOI31" s="384"/>
      <c r="IOJ31" s="384"/>
      <c r="IOK31" s="384"/>
      <c r="IOL31" s="384"/>
      <c r="IOM31" s="384"/>
      <c r="ION31" s="384"/>
      <c r="IOO31" s="384"/>
      <c r="IOP31" s="384"/>
      <c r="IOQ31" s="384"/>
      <c r="IOR31" s="384"/>
      <c r="IOS31" s="384"/>
      <c r="IOT31" s="384"/>
      <c r="IOU31" s="384"/>
      <c r="IOV31" s="384"/>
      <c r="IOW31" s="384"/>
      <c r="IOX31" s="384"/>
      <c r="IOY31" s="384"/>
      <c r="IOZ31" s="384"/>
      <c r="IPA31" s="384"/>
      <c r="IPB31" s="384"/>
      <c r="IPC31" s="384"/>
      <c r="IPD31" s="384"/>
      <c r="IPE31" s="384"/>
      <c r="IPF31" s="384"/>
      <c r="IPG31" s="384"/>
      <c r="IPH31" s="384"/>
      <c r="IPI31" s="384"/>
      <c r="IPJ31" s="384"/>
      <c r="IPK31" s="384"/>
      <c r="IPL31" s="384"/>
      <c r="IPM31" s="384"/>
      <c r="IPN31" s="384"/>
      <c r="IPO31" s="384"/>
      <c r="IPP31" s="384"/>
      <c r="IPQ31" s="384"/>
      <c r="IPR31" s="384"/>
      <c r="IPS31" s="384"/>
      <c r="IPT31" s="384"/>
      <c r="IPU31" s="384"/>
      <c r="IPV31" s="384"/>
      <c r="IPW31" s="384"/>
      <c r="IPX31" s="384"/>
      <c r="IPY31" s="384"/>
      <c r="IPZ31" s="384"/>
      <c r="IQA31" s="384"/>
      <c r="IQB31" s="384"/>
      <c r="IQC31" s="384"/>
      <c r="IQD31" s="384"/>
      <c r="IQE31" s="384"/>
      <c r="IQF31" s="384"/>
      <c r="IQG31" s="384"/>
      <c r="IQH31" s="384"/>
      <c r="IQI31" s="384"/>
      <c r="IQJ31" s="384"/>
      <c r="IQK31" s="384"/>
      <c r="IQL31" s="384"/>
      <c r="IQM31" s="384"/>
      <c r="IQN31" s="384"/>
      <c r="IQO31" s="384"/>
      <c r="IQP31" s="384"/>
      <c r="IQQ31" s="384"/>
      <c r="IQR31" s="384"/>
      <c r="IQS31" s="384"/>
      <c r="IQT31" s="384"/>
      <c r="IQU31" s="384"/>
      <c r="IQV31" s="384"/>
      <c r="IQW31" s="384"/>
      <c r="IQX31" s="384"/>
      <c r="IQY31" s="384"/>
      <c r="IQZ31" s="384"/>
      <c r="IRA31" s="384"/>
      <c r="IRB31" s="384"/>
      <c r="IRC31" s="384"/>
      <c r="IRD31" s="384"/>
      <c r="IRE31" s="384"/>
      <c r="IRF31" s="384"/>
      <c r="IRG31" s="384"/>
      <c r="IRH31" s="384"/>
      <c r="IRI31" s="384"/>
      <c r="IRJ31" s="384"/>
      <c r="IRK31" s="384"/>
      <c r="IRL31" s="384"/>
      <c r="IRM31" s="384"/>
      <c r="IRN31" s="384"/>
      <c r="IRO31" s="384"/>
      <c r="IRP31" s="384"/>
      <c r="IRQ31" s="384"/>
      <c r="IRR31" s="384"/>
      <c r="IRS31" s="384"/>
      <c r="IRT31" s="384"/>
      <c r="IRU31" s="384"/>
      <c r="IRV31" s="384"/>
      <c r="IRW31" s="384"/>
      <c r="IRX31" s="384"/>
      <c r="IRY31" s="384"/>
      <c r="IRZ31" s="384"/>
      <c r="ISA31" s="384"/>
      <c r="ISB31" s="384"/>
      <c r="ISC31" s="384"/>
      <c r="ISD31" s="384"/>
      <c r="ISE31" s="384"/>
      <c r="ISF31" s="384"/>
      <c r="ISG31" s="384"/>
      <c r="ISH31" s="384"/>
      <c r="ISI31" s="384"/>
      <c r="ISJ31" s="384"/>
      <c r="ISK31" s="384"/>
      <c r="ISL31" s="384"/>
      <c r="ISM31" s="384"/>
      <c r="ISN31" s="384"/>
      <c r="ISO31" s="384"/>
      <c r="ISP31" s="384"/>
      <c r="ISQ31" s="384"/>
      <c r="ISR31" s="384"/>
      <c r="ISS31" s="384"/>
      <c r="IST31" s="384"/>
      <c r="ISU31" s="384"/>
      <c r="ISV31" s="384"/>
      <c r="ISW31" s="384"/>
      <c r="ISX31" s="384"/>
      <c r="ISY31" s="384"/>
      <c r="ISZ31" s="384"/>
      <c r="ITA31" s="384"/>
      <c r="ITB31" s="384"/>
      <c r="ITC31" s="384"/>
      <c r="ITD31" s="384"/>
      <c r="ITE31" s="384"/>
      <c r="ITF31" s="384"/>
      <c r="ITG31" s="384"/>
      <c r="ITH31" s="384"/>
      <c r="ITI31" s="384"/>
      <c r="ITJ31" s="384"/>
      <c r="ITK31" s="384"/>
      <c r="ITL31" s="384"/>
      <c r="ITM31" s="384"/>
      <c r="ITN31" s="384"/>
      <c r="ITO31" s="384"/>
      <c r="ITP31" s="384"/>
      <c r="ITQ31" s="384"/>
      <c r="ITR31" s="384"/>
      <c r="ITS31" s="384"/>
      <c r="ITT31" s="384"/>
      <c r="ITU31" s="384"/>
      <c r="ITV31" s="384"/>
      <c r="ITW31" s="384"/>
      <c r="ITX31" s="384"/>
      <c r="ITY31" s="384"/>
      <c r="ITZ31" s="384"/>
      <c r="IUA31" s="384"/>
      <c r="IUB31" s="384"/>
      <c r="IUC31" s="384"/>
      <c r="IUD31" s="384"/>
      <c r="IUE31" s="384"/>
      <c r="IUF31" s="384"/>
      <c r="IUG31" s="384"/>
      <c r="IUH31" s="384"/>
      <c r="IUI31" s="384"/>
      <c r="IUJ31" s="384"/>
      <c r="IUK31" s="384"/>
      <c r="IUL31" s="384"/>
      <c r="IUM31" s="384"/>
      <c r="IUN31" s="384"/>
      <c r="IUO31" s="384"/>
      <c r="IUP31" s="384"/>
      <c r="IUQ31" s="384"/>
      <c r="IUR31" s="384"/>
      <c r="IUS31" s="384"/>
      <c r="IUT31" s="384"/>
      <c r="IUU31" s="384"/>
      <c r="IUV31" s="384"/>
      <c r="IUW31" s="384"/>
      <c r="IUX31" s="384"/>
      <c r="IUY31" s="384"/>
      <c r="IUZ31" s="384"/>
      <c r="IVA31" s="384"/>
      <c r="IVB31" s="384"/>
      <c r="IVC31" s="384"/>
      <c r="IVD31" s="384"/>
      <c r="IVE31" s="384"/>
      <c r="IVF31" s="384"/>
      <c r="IVG31" s="384"/>
      <c r="IVH31" s="384"/>
      <c r="IVI31" s="384"/>
      <c r="IVJ31" s="384"/>
      <c r="IVK31" s="384"/>
      <c r="IVL31" s="384"/>
      <c r="IVM31" s="384"/>
      <c r="IVN31" s="384"/>
      <c r="IVO31" s="384"/>
      <c r="IVP31" s="384"/>
      <c r="IVQ31" s="384"/>
      <c r="IVR31" s="384"/>
      <c r="IVS31" s="384"/>
      <c r="IVT31" s="384"/>
      <c r="IVU31" s="384"/>
      <c r="IVV31" s="384"/>
      <c r="IVW31" s="384"/>
      <c r="IVX31" s="384"/>
      <c r="IVY31" s="384"/>
      <c r="IVZ31" s="384"/>
      <c r="IWA31" s="384"/>
      <c r="IWB31" s="384"/>
      <c r="IWC31" s="384"/>
      <c r="IWD31" s="384"/>
      <c r="IWE31" s="384"/>
      <c r="IWF31" s="384"/>
      <c r="IWG31" s="384"/>
      <c r="IWH31" s="384"/>
      <c r="IWI31" s="384"/>
      <c r="IWJ31" s="384"/>
      <c r="IWK31" s="384"/>
      <c r="IWL31" s="384"/>
      <c r="IWM31" s="384"/>
      <c r="IWN31" s="384"/>
      <c r="IWO31" s="384"/>
      <c r="IWP31" s="384"/>
      <c r="IWQ31" s="384"/>
      <c r="IWR31" s="384"/>
      <c r="IWS31" s="384"/>
      <c r="IWT31" s="384"/>
      <c r="IWU31" s="384"/>
      <c r="IWV31" s="384"/>
      <c r="IWW31" s="384"/>
      <c r="IWX31" s="384"/>
      <c r="IWY31" s="384"/>
      <c r="IWZ31" s="384"/>
      <c r="IXA31" s="384"/>
      <c r="IXB31" s="384"/>
      <c r="IXC31" s="384"/>
      <c r="IXD31" s="384"/>
      <c r="IXE31" s="384"/>
      <c r="IXF31" s="384"/>
      <c r="IXG31" s="384"/>
      <c r="IXH31" s="384"/>
      <c r="IXI31" s="384"/>
      <c r="IXJ31" s="384"/>
      <c r="IXK31" s="384"/>
      <c r="IXL31" s="384"/>
      <c r="IXM31" s="384"/>
      <c r="IXN31" s="384"/>
      <c r="IXO31" s="384"/>
      <c r="IXP31" s="384"/>
      <c r="IXQ31" s="384"/>
      <c r="IXR31" s="384"/>
      <c r="IXS31" s="384"/>
      <c r="IXT31" s="384"/>
      <c r="IXU31" s="384"/>
      <c r="IXV31" s="384"/>
      <c r="IXW31" s="384"/>
      <c r="IXX31" s="384"/>
      <c r="IXY31" s="384"/>
      <c r="IXZ31" s="384"/>
      <c r="IYA31" s="384"/>
      <c r="IYB31" s="384"/>
      <c r="IYC31" s="384"/>
      <c r="IYD31" s="384"/>
      <c r="IYE31" s="384"/>
      <c r="IYF31" s="384"/>
      <c r="IYG31" s="384"/>
      <c r="IYH31" s="384"/>
      <c r="IYI31" s="384"/>
      <c r="IYJ31" s="384"/>
      <c r="IYK31" s="384"/>
      <c r="IYL31" s="384"/>
      <c r="IYM31" s="384"/>
      <c r="IYN31" s="384"/>
      <c r="IYO31" s="384"/>
      <c r="IYP31" s="384"/>
      <c r="IYQ31" s="384"/>
      <c r="IYR31" s="384"/>
      <c r="IYS31" s="384"/>
      <c r="IYT31" s="384"/>
      <c r="IYU31" s="384"/>
      <c r="IYV31" s="384"/>
      <c r="IYW31" s="384"/>
      <c r="IYX31" s="384"/>
      <c r="IYY31" s="384"/>
      <c r="IYZ31" s="384"/>
      <c r="IZA31" s="384"/>
      <c r="IZB31" s="384"/>
      <c r="IZC31" s="384"/>
      <c r="IZD31" s="384"/>
      <c r="IZE31" s="384"/>
      <c r="IZF31" s="384"/>
      <c r="IZG31" s="384"/>
      <c r="IZH31" s="384"/>
      <c r="IZI31" s="384"/>
      <c r="IZJ31" s="384"/>
      <c r="IZK31" s="384"/>
      <c r="IZL31" s="384"/>
      <c r="IZM31" s="384"/>
      <c r="IZN31" s="384"/>
      <c r="IZO31" s="384"/>
      <c r="IZP31" s="384"/>
      <c r="IZQ31" s="384"/>
      <c r="IZR31" s="384"/>
      <c r="IZS31" s="384"/>
      <c r="IZT31" s="384"/>
      <c r="IZU31" s="384"/>
      <c r="IZV31" s="384"/>
      <c r="IZW31" s="384"/>
      <c r="IZX31" s="384"/>
      <c r="IZY31" s="384"/>
      <c r="IZZ31" s="384"/>
      <c r="JAA31" s="384"/>
      <c r="JAB31" s="384"/>
      <c r="JAC31" s="384"/>
      <c r="JAD31" s="384"/>
      <c r="JAE31" s="384"/>
      <c r="JAF31" s="384"/>
      <c r="JAG31" s="384"/>
      <c r="JAH31" s="384"/>
      <c r="JAI31" s="384"/>
      <c r="JAJ31" s="384"/>
      <c r="JAK31" s="384"/>
      <c r="JAL31" s="384"/>
      <c r="JAM31" s="384"/>
      <c r="JAN31" s="384"/>
      <c r="JAO31" s="384"/>
      <c r="JAP31" s="384"/>
      <c r="JAQ31" s="384"/>
      <c r="JAR31" s="384"/>
      <c r="JAS31" s="384"/>
      <c r="JAT31" s="384"/>
      <c r="JAU31" s="384"/>
      <c r="JAV31" s="384"/>
      <c r="JAW31" s="384"/>
      <c r="JAX31" s="384"/>
      <c r="JAY31" s="384"/>
      <c r="JAZ31" s="384"/>
      <c r="JBA31" s="384"/>
      <c r="JBB31" s="384"/>
      <c r="JBC31" s="384"/>
      <c r="JBD31" s="384"/>
      <c r="JBE31" s="384"/>
      <c r="JBF31" s="384"/>
      <c r="JBG31" s="384"/>
      <c r="JBH31" s="384"/>
      <c r="JBI31" s="384"/>
      <c r="JBJ31" s="384"/>
      <c r="JBK31" s="384"/>
      <c r="JBL31" s="384"/>
      <c r="JBM31" s="384"/>
      <c r="JBN31" s="384"/>
      <c r="JBO31" s="384"/>
      <c r="JBP31" s="384"/>
      <c r="JBQ31" s="384"/>
      <c r="JBR31" s="384"/>
      <c r="JBS31" s="384"/>
      <c r="JBT31" s="384"/>
      <c r="JBU31" s="384"/>
      <c r="JBV31" s="384"/>
      <c r="JBW31" s="384"/>
      <c r="JBX31" s="384"/>
      <c r="JBY31" s="384"/>
      <c r="JBZ31" s="384"/>
      <c r="JCA31" s="384"/>
      <c r="JCB31" s="384"/>
      <c r="JCC31" s="384"/>
      <c r="JCD31" s="384"/>
      <c r="JCE31" s="384"/>
      <c r="JCF31" s="384"/>
      <c r="JCG31" s="384"/>
      <c r="JCH31" s="384"/>
      <c r="JCI31" s="384"/>
      <c r="JCJ31" s="384"/>
      <c r="JCK31" s="384"/>
      <c r="JCL31" s="384"/>
      <c r="JCM31" s="384"/>
      <c r="JCN31" s="384"/>
      <c r="JCO31" s="384"/>
      <c r="JCP31" s="384"/>
      <c r="JCQ31" s="384"/>
      <c r="JCR31" s="384"/>
      <c r="JCS31" s="384"/>
      <c r="JCT31" s="384"/>
      <c r="JCU31" s="384"/>
      <c r="JCV31" s="384"/>
      <c r="JCW31" s="384"/>
      <c r="JCX31" s="384"/>
      <c r="JCY31" s="384"/>
      <c r="JCZ31" s="384"/>
      <c r="JDA31" s="384"/>
      <c r="JDB31" s="384"/>
      <c r="JDC31" s="384"/>
      <c r="JDD31" s="384"/>
      <c r="JDE31" s="384"/>
      <c r="JDF31" s="384"/>
      <c r="JDG31" s="384"/>
      <c r="JDH31" s="384"/>
      <c r="JDI31" s="384"/>
      <c r="JDJ31" s="384"/>
      <c r="JDK31" s="384"/>
      <c r="JDL31" s="384"/>
      <c r="JDM31" s="384"/>
      <c r="JDN31" s="384"/>
      <c r="JDO31" s="384"/>
      <c r="JDP31" s="384"/>
      <c r="JDQ31" s="384"/>
      <c r="JDR31" s="384"/>
      <c r="JDS31" s="384"/>
      <c r="JDT31" s="384"/>
      <c r="JDU31" s="384"/>
      <c r="JDV31" s="384"/>
      <c r="JDW31" s="384"/>
      <c r="JDX31" s="384"/>
      <c r="JDY31" s="384"/>
      <c r="JDZ31" s="384"/>
      <c r="JEA31" s="384"/>
      <c r="JEB31" s="384"/>
      <c r="JEC31" s="384"/>
      <c r="JED31" s="384"/>
      <c r="JEE31" s="384"/>
      <c r="JEF31" s="384"/>
      <c r="JEG31" s="384"/>
      <c r="JEH31" s="384"/>
      <c r="JEI31" s="384"/>
      <c r="JEJ31" s="384"/>
      <c r="JEK31" s="384"/>
      <c r="JEL31" s="384"/>
      <c r="JEM31" s="384"/>
      <c r="JEN31" s="384"/>
      <c r="JEO31" s="384"/>
      <c r="JEP31" s="384"/>
      <c r="JEQ31" s="384"/>
      <c r="JER31" s="384"/>
      <c r="JES31" s="384"/>
      <c r="JET31" s="384"/>
      <c r="JEU31" s="384"/>
      <c r="JEV31" s="384"/>
      <c r="JEW31" s="384"/>
      <c r="JEX31" s="384"/>
      <c r="JEY31" s="384"/>
      <c r="JEZ31" s="384"/>
      <c r="JFA31" s="384"/>
      <c r="JFB31" s="384"/>
      <c r="JFC31" s="384"/>
      <c r="JFD31" s="384"/>
      <c r="JFE31" s="384"/>
      <c r="JFF31" s="384"/>
      <c r="JFG31" s="384"/>
      <c r="JFH31" s="384"/>
      <c r="JFI31" s="384"/>
      <c r="JFJ31" s="384"/>
      <c r="JFK31" s="384"/>
      <c r="JFL31" s="384"/>
      <c r="JFM31" s="384"/>
      <c r="JFN31" s="384"/>
      <c r="JFO31" s="384"/>
      <c r="JFP31" s="384"/>
      <c r="JFQ31" s="384"/>
      <c r="JFR31" s="384"/>
      <c r="JFS31" s="384"/>
      <c r="JFT31" s="384"/>
      <c r="JFU31" s="384"/>
      <c r="JFV31" s="384"/>
      <c r="JFW31" s="384"/>
      <c r="JFX31" s="384"/>
      <c r="JFY31" s="384"/>
      <c r="JFZ31" s="384"/>
      <c r="JGA31" s="384"/>
      <c r="JGB31" s="384"/>
      <c r="JGC31" s="384"/>
      <c r="JGD31" s="384"/>
      <c r="JGE31" s="384"/>
      <c r="JGF31" s="384"/>
      <c r="JGG31" s="384"/>
      <c r="JGH31" s="384"/>
      <c r="JGI31" s="384"/>
      <c r="JGJ31" s="384"/>
      <c r="JGK31" s="384"/>
      <c r="JGL31" s="384"/>
      <c r="JGM31" s="384"/>
      <c r="JGN31" s="384"/>
      <c r="JGO31" s="384"/>
      <c r="JGP31" s="384"/>
      <c r="JGQ31" s="384"/>
      <c r="JGR31" s="384"/>
      <c r="JGS31" s="384"/>
      <c r="JGT31" s="384"/>
      <c r="JGU31" s="384"/>
      <c r="JGV31" s="384"/>
      <c r="JGW31" s="384"/>
      <c r="JGX31" s="384"/>
      <c r="JGY31" s="384"/>
      <c r="JGZ31" s="384"/>
      <c r="JHA31" s="384"/>
      <c r="JHB31" s="384"/>
      <c r="JHC31" s="384"/>
      <c r="JHD31" s="384"/>
      <c r="JHE31" s="384"/>
      <c r="JHF31" s="384"/>
      <c r="JHG31" s="384"/>
      <c r="JHH31" s="384"/>
      <c r="JHI31" s="384"/>
      <c r="JHJ31" s="384"/>
      <c r="JHK31" s="384"/>
      <c r="JHL31" s="384"/>
      <c r="JHM31" s="384"/>
      <c r="JHN31" s="384"/>
      <c r="JHO31" s="384"/>
      <c r="JHP31" s="384"/>
      <c r="JHQ31" s="384"/>
      <c r="JHR31" s="384"/>
      <c r="JHS31" s="384"/>
      <c r="JHT31" s="384"/>
      <c r="JHU31" s="384"/>
      <c r="JHV31" s="384"/>
      <c r="JHW31" s="384"/>
      <c r="JHX31" s="384"/>
      <c r="JHY31" s="384"/>
      <c r="JHZ31" s="384"/>
      <c r="JIA31" s="384"/>
      <c r="JIB31" s="384"/>
      <c r="JIC31" s="384"/>
      <c r="JID31" s="384"/>
      <c r="JIE31" s="384"/>
      <c r="JIF31" s="384"/>
      <c r="JIG31" s="384"/>
      <c r="JIH31" s="384"/>
      <c r="JII31" s="384"/>
      <c r="JIJ31" s="384"/>
      <c r="JIK31" s="384"/>
      <c r="JIL31" s="384"/>
      <c r="JIM31" s="384"/>
      <c r="JIN31" s="384"/>
      <c r="JIO31" s="384"/>
      <c r="JIP31" s="384"/>
      <c r="JIQ31" s="384"/>
      <c r="JIR31" s="384"/>
      <c r="JIS31" s="384"/>
      <c r="JIT31" s="384"/>
      <c r="JIU31" s="384"/>
      <c r="JIV31" s="384"/>
      <c r="JIW31" s="384"/>
      <c r="JIX31" s="384"/>
      <c r="JIY31" s="384"/>
      <c r="JIZ31" s="384"/>
      <c r="JJA31" s="384"/>
      <c r="JJB31" s="384"/>
      <c r="JJC31" s="384"/>
      <c r="JJD31" s="384"/>
      <c r="JJE31" s="384"/>
      <c r="JJF31" s="384"/>
      <c r="JJG31" s="384"/>
      <c r="JJH31" s="384"/>
      <c r="JJI31" s="384"/>
      <c r="JJJ31" s="384"/>
      <c r="JJK31" s="384"/>
      <c r="JJL31" s="384"/>
      <c r="JJM31" s="384"/>
      <c r="JJN31" s="384"/>
      <c r="JJO31" s="384"/>
      <c r="JJP31" s="384"/>
      <c r="JJQ31" s="384"/>
      <c r="JJR31" s="384"/>
      <c r="JJS31" s="384"/>
      <c r="JJT31" s="384"/>
      <c r="JJU31" s="384"/>
      <c r="JJV31" s="384"/>
      <c r="JJW31" s="384"/>
      <c r="JJX31" s="384"/>
      <c r="JJY31" s="384"/>
      <c r="JJZ31" s="384"/>
      <c r="JKA31" s="384"/>
      <c r="JKB31" s="384"/>
      <c r="JKC31" s="384"/>
      <c r="JKD31" s="384"/>
      <c r="JKE31" s="384"/>
      <c r="JKF31" s="384"/>
      <c r="JKG31" s="384"/>
      <c r="JKH31" s="384"/>
      <c r="JKI31" s="384"/>
      <c r="JKJ31" s="384"/>
      <c r="JKK31" s="384"/>
      <c r="JKL31" s="384"/>
      <c r="JKM31" s="384"/>
      <c r="JKN31" s="384"/>
      <c r="JKO31" s="384"/>
      <c r="JKP31" s="384"/>
      <c r="JKQ31" s="384"/>
      <c r="JKR31" s="384"/>
      <c r="JKS31" s="384"/>
      <c r="JKT31" s="384"/>
      <c r="JKU31" s="384"/>
      <c r="JKV31" s="384"/>
      <c r="JKW31" s="384"/>
      <c r="JKX31" s="384"/>
      <c r="JKY31" s="384"/>
      <c r="JKZ31" s="384"/>
      <c r="JLA31" s="384"/>
      <c r="JLB31" s="384"/>
      <c r="JLC31" s="384"/>
      <c r="JLD31" s="384"/>
      <c r="JLE31" s="384"/>
      <c r="JLF31" s="384"/>
      <c r="JLG31" s="384"/>
      <c r="JLH31" s="384"/>
      <c r="JLI31" s="384"/>
      <c r="JLJ31" s="384"/>
      <c r="JLK31" s="384"/>
      <c r="JLL31" s="384"/>
      <c r="JLM31" s="384"/>
      <c r="JLN31" s="384"/>
      <c r="JLO31" s="384"/>
      <c r="JLP31" s="384"/>
      <c r="JLQ31" s="384"/>
      <c r="JLR31" s="384"/>
      <c r="JLS31" s="384"/>
      <c r="JLT31" s="384"/>
      <c r="JLU31" s="384"/>
      <c r="JLV31" s="384"/>
      <c r="JLW31" s="384"/>
      <c r="JLX31" s="384"/>
      <c r="JLY31" s="384"/>
      <c r="JLZ31" s="384"/>
      <c r="JMA31" s="384"/>
      <c r="JMB31" s="384"/>
      <c r="JMC31" s="384"/>
      <c r="JMD31" s="384"/>
      <c r="JME31" s="384"/>
      <c r="JMF31" s="384"/>
      <c r="JMG31" s="384"/>
      <c r="JMH31" s="384"/>
      <c r="JMI31" s="384"/>
      <c r="JMJ31" s="384"/>
      <c r="JMK31" s="384"/>
      <c r="JML31" s="384"/>
      <c r="JMM31" s="384"/>
      <c r="JMN31" s="384"/>
      <c r="JMO31" s="384"/>
      <c r="JMP31" s="384"/>
      <c r="JMQ31" s="384"/>
      <c r="JMR31" s="384"/>
      <c r="JMS31" s="384"/>
      <c r="JMT31" s="384"/>
      <c r="JMU31" s="384"/>
      <c r="JMV31" s="384"/>
      <c r="JMW31" s="384"/>
      <c r="JMX31" s="384"/>
      <c r="JMY31" s="384"/>
      <c r="JMZ31" s="384"/>
      <c r="JNA31" s="384"/>
      <c r="JNB31" s="384"/>
      <c r="JNC31" s="384"/>
      <c r="JND31" s="384"/>
      <c r="JNE31" s="384"/>
      <c r="JNF31" s="384"/>
      <c r="JNG31" s="384"/>
      <c r="JNH31" s="384"/>
      <c r="JNI31" s="384"/>
      <c r="JNJ31" s="384"/>
      <c r="JNK31" s="384"/>
      <c r="JNL31" s="384"/>
      <c r="JNM31" s="384"/>
      <c r="JNN31" s="384"/>
      <c r="JNO31" s="384"/>
      <c r="JNP31" s="384"/>
      <c r="JNQ31" s="384"/>
      <c r="JNR31" s="384"/>
      <c r="JNS31" s="384"/>
      <c r="JNT31" s="384"/>
      <c r="JNU31" s="384"/>
      <c r="JNV31" s="384"/>
      <c r="JNW31" s="384"/>
      <c r="JNX31" s="384"/>
      <c r="JNY31" s="384"/>
      <c r="JNZ31" s="384"/>
      <c r="JOA31" s="384"/>
      <c r="JOB31" s="384"/>
      <c r="JOC31" s="384"/>
      <c r="JOD31" s="384"/>
      <c r="JOE31" s="384"/>
      <c r="JOF31" s="384"/>
      <c r="JOG31" s="384"/>
      <c r="JOH31" s="384"/>
      <c r="JOI31" s="384"/>
      <c r="JOJ31" s="384"/>
      <c r="JOK31" s="384"/>
      <c r="JOL31" s="384"/>
      <c r="JOM31" s="384"/>
      <c r="JON31" s="384"/>
      <c r="JOO31" s="384"/>
      <c r="JOP31" s="384"/>
      <c r="JOQ31" s="384"/>
      <c r="JOR31" s="384"/>
      <c r="JOS31" s="384"/>
      <c r="JOT31" s="384"/>
      <c r="JOU31" s="384"/>
      <c r="JOV31" s="384"/>
      <c r="JOW31" s="384"/>
      <c r="JOX31" s="384"/>
      <c r="JOY31" s="384"/>
      <c r="JOZ31" s="384"/>
      <c r="JPA31" s="384"/>
      <c r="JPB31" s="384"/>
      <c r="JPC31" s="384"/>
      <c r="JPD31" s="384"/>
      <c r="JPE31" s="384"/>
      <c r="JPF31" s="384"/>
      <c r="JPG31" s="384"/>
      <c r="JPH31" s="384"/>
      <c r="JPI31" s="384"/>
      <c r="JPJ31" s="384"/>
      <c r="JPK31" s="384"/>
      <c r="JPL31" s="384"/>
      <c r="JPM31" s="384"/>
      <c r="JPN31" s="384"/>
      <c r="JPO31" s="384"/>
      <c r="JPP31" s="384"/>
      <c r="JPQ31" s="384"/>
      <c r="JPR31" s="384"/>
      <c r="JPS31" s="384"/>
      <c r="JPT31" s="384"/>
      <c r="JPU31" s="384"/>
      <c r="JPV31" s="384"/>
      <c r="JPW31" s="384"/>
      <c r="JPX31" s="384"/>
      <c r="JPY31" s="384"/>
      <c r="JPZ31" s="384"/>
      <c r="JQA31" s="384"/>
      <c r="JQB31" s="384"/>
      <c r="JQC31" s="384"/>
      <c r="JQD31" s="384"/>
      <c r="JQE31" s="384"/>
      <c r="JQF31" s="384"/>
      <c r="JQG31" s="384"/>
      <c r="JQH31" s="384"/>
      <c r="JQI31" s="384"/>
      <c r="JQJ31" s="384"/>
      <c r="JQK31" s="384"/>
      <c r="JQL31" s="384"/>
      <c r="JQM31" s="384"/>
      <c r="JQN31" s="384"/>
      <c r="JQO31" s="384"/>
      <c r="JQP31" s="384"/>
      <c r="JQQ31" s="384"/>
      <c r="JQR31" s="384"/>
      <c r="JQS31" s="384"/>
      <c r="JQT31" s="384"/>
      <c r="JQU31" s="384"/>
      <c r="JQV31" s="384"/>
      <c r="JQW31" s="384"/>
      <c r="JQX31" s="384"/>
      <c r="JQY31" s="384"/>
      <c r="JQZ31" s="384"/>
      <c r="JRA31" s="384"/>
      <c r="JRB31" s="384"/>
      <c r="JRC31" s="384"/>
      <c r="JRD31" s="384"/>
      <c r="JRE31" s="384"/>
      <c r="JRF31" s="384"/>
      <c r="JRG31" s="384"/>
      <c r="JRH31" s="384"/>
      <c r="JRI31" s="384"/>
      <c r="JRJ31" s="384"/>
      <c r="JRK31" s="384"/>
      <c r="JRL31" s="384"/>
      <c r="JRM31" s="384"/>
      <c r="JRN31" s="384"/>
      <c r="JRO31" s="384"/>
      <c r="JRP31" s="384"/>
      <c r="JRQ31" s="384"/>
      <c r="JRR31" s="384"/>
      <c r="JRS31" s="384"/>
      <c r="JRT31" s="384"/>
      <c r="JRU31" s="384"/>
      <c r="JRV31" s="384"/>
      <c r="JRW31" s="384"/>
      <c r="JRX31" s="384"/>
      <c r="JRY31" s="384"/>
      <c r="JRZ31" s="384"/>
      <c r="JSA31" s="384"/>
      <c r="JSB31" s="384"/>
      <c r="JSC31" s="384"/>
      <c r="JSD31" s="384"/>
      <c r="JSE31" s="384"/>
      <c r="JSF31" s="384"/>
      <c r="JSG31" s="384"/>
      <c r="JSH31" s="384"/>
      <c r="JSI31" s="384"/>
      <c r="JSJ31" s="384"/>
      <c r="JSK31" s="384"/>
      <c r="JSL31" s="384"/>
      <c r="JSM31" s="384"/>
      <c r="JSN31" s="384"/>
      <c r="JSO31" s="384"/>
      <c r="JSP31" s="384"/>
      <c r="JSQ31" s="384"/>
      <c r="JSR31" s="384"/>
      <c r="JSS31" s="384"/>
      <c r="JST31" s="384"/>
      <c r="JSU31" s="384"/>
      <c r="JSV31" s="384"/>
      <c r="JSW31" s="384"/>
      <c r="JSX31" s="384"/>
      <c r="JSY31" s="384"/>
      <c r="JSZ31" s="384"/>
      <c r="JTA31" s="384"/>
      <c r="JTB31" s="384"/>
      <c r="JTC31" s="384"/>
      <c r="JTD31" s="384"/>
      <c r="JTE31" s="384"/>
      <c r="JTF31" s="384"/>
      <c r="JTG31" s="384"/>
      <c r="JTH31" s="384"/>
      <c r="JTI31" s="384"/>
      <c r="JTJ31" s="384"/>
      <c r="JTK31" s="384"/>
      <c r="JTL31" s="384"/>
      <c r="JTM31" s="384"/>
      <c r="JTN31" s="384"/>
      <c r="JTO31" s="384"/>
      <c r="JTP31" s="384"/>
      <c r="JTQ31" s="384"/>
      <c r="JTR31" s="384"/>
      <c r="JTS31" s="384"/>
      <c r="JTT31" s="384"/>
      <c r="JTU31" s="384"/>
      <c r="JTV31" s="384"/>
      <c r="JTW31" s="384"/>
      <c r="JTX31" s="384"/>
      <c r="JTY31" s="384"/>
      <c r="JTZ31" s="384"/>
      <c r="JUA31" s="384"/>
      <c r="JUB31" s="384"/>
      <c r="JUC31" s="384"/>
      <c r="JUD31" s="384"/>
      <c r="JUE31" s="384"/>
      <c r="JUF31" s="384"/>
      <c r="JUG31" s="384"/>
      <c r="JUH31" s="384"/>
      <c r="JUI31" s="384"/>
      <c r="JUJ31" s="384"/>
      <c r="JUK31" s="384"/>
      <c r="JUL31" s="384"/>
      <c r="JUM31" s="384"/>
      <c r="JUN31" s="384"/>
      <c r="JUO31" s="384"/>
      <c r="JUP31" s="384"/>
      <c r="JUQ31" s="384"/>
      <c r="JUR31" s="384"/>
      <c r="JUS31" s="384"/>
      <c r="JUT31" s="384"/>
      <c r="JUU31" s="384"/>
      <c r="JUV31" s="384"/>
      <c r="JUW31" s="384"/>
      <c r="JUX31" s="384"/>
      <c r="JUY31" s="384"/>
      <c r="JUZ31" s="384"/>
      <c r="JVA31" s="384"/>
      <c r="JVB31" s="384"/>
      <c r="JVC31" s="384"/>
      <c r="JVD31" s="384"/>
      <c r="JVE31" s="384"/>
      <c r="JVF31" s="384"/>
      <c r="JVG31" s="384"/>
      <c r="JVH31" s="384"/>
      <c r="JVI31" s="384"/>
      <c r="JVJ31" s="384"/>
      <c r="JVK31" s="384"/>
      <c r="JVL31" s="384"/>
      <c r="JVM31" s="384"/>
      <c r="JVN31" s="384"/>
      <c r="JVO31" s="384"/>
      <c r="JVP31" s="384"/>
      <c r="JVQ31" s="384"/>
      <c r="JVR31" s="384"/>
      <c r="JVS31" s="384"/>
      <c r="JVT31" s="384"/>
      <c r="JVU31" s="384"/>
      <c r="JVV31" s="384"/>
      <c r="JVW31" s="384"/>
      <c r="JVX31" s="384"/>
      <c r="JVY31" s="384"/>
      <c r="JVZ31" s="384"/>
      <c r="JWA31" s="384"/>
      <c r="JWB31" s="384"/>
      <c r="JWC31" s="384"/>
      <c r="JWD31" s="384"/>
      <c r="JWE31" s="384"/>
      <c r="JWF31" s="384"/>
      <c r="JWG31" s="384"/>
      <c r="JWH31" s="384"/>
      <c r="JWI31" s="384"/>
      <c r="JWJ31" s="384"/>
      <c r="JWK31" s="384"/>
      <c r="JWL31" s="384"/>
      <c r="JWM31" s="384"/>
      <c r="JWN31" s="384"/>
      <c r="JWO31" s="384"/>
      <c r="JWP31" s="384"/>
      <c r="JWQ31" s="384"/>
      <c r="JWR31" s="384"/>
      <c r="JWS31" s="384"/>
      <c r="JWT31" s="384"/>
      <c r="JWU31" s="384"/>
      <c r="JWV31" s="384"/>
      <c r="JWW31" s="384"/>
      <c r="JWX31" s="384"/>
      <c r="JWY31" s="384"/>
      <c r="JWZ31" s="384"/>
      <c r="JXA31" s="384"/>
      <c r="JXB31" s="384"/>
      <c r="JXC31" s="384"/>
      <c r="JXD31" s="384"/>
      <c r="JXE31" s="384"/>
      <c r="JXF31" s="384"/>
      <c r="JXG31" s="384"/>
      <c r="JXH31" s="384"/>
      <c r="JXI31" s="384"/>
      <c r="JXJ31" s="384"/>
      <c r="JXK31" s="384"/>
      <c r="JXL31" s="384"/>
      <c r="JXM31" s="384"/>
      <c r="JXN31" s="384"/>
      <c r="JXO31" s="384"/>
      <c r="JXP31" s="384"/>
      <c r="JXQ31" s="384"/>
      <c r="JXR31" s="384"/>
      <c r="JXS31" s="384"/>
      <c r="JXT31" s="384"/>
      <c r="JXU31" s="384"/>
      <c r="JXV31" s="384"/>
      <c r="JXW31" s="384"/>
      <c r="JXX31" s="384"/>
      <c r="JXY31" s="384"/>
      <c r="JXZ31" s="384"/>
      <c r="JYA31" s="384"/>
      <c r="JYB31" s="384"/>
      <c r="JYC31" s="384"/>
      <c r="JYD31" s="384"/>
      <c r="JYE31" s="384"/>
      <c r="JYF31" s="384"/>
      <c r="JYG31" s="384"/>
      <c r="JYH31" s="384"/>
      <c r="JYI31" s="384"/>
      <c r="JYJ31" s="384"/>
      <c r="JYK31" s="384"/>
      <c r="JYL31" s="384"/>
      <c r="JYM31" s="384"/>
      <c r="JYN31" s="384"/>
      <c r="JYO31" s="384"/>
      <c r="JYP31" s="384"/>
      <c r="JYQ31" s="384"/>
      <c r="JYR31" s="384"/>
      <c r="JYS31" s="384"/>
      <c r="JYT31" s="384"/>
      <c r="JYU31" s="384"/>
      <c r="JYV31" s="384"/>
      <c r="JYW31" s="384"/>
      <c r="JYX31" s="384"/>
      <c r="JYY31" s="384"/>
      <c r="JYZ31" s="384"/>
      <c r="JZA31" s="384"/>
      <c r="JZB31" s="384"/>
      <c r="JZC31" s="384"/>
      <c r="JZD31" s="384"/>
      <c r="JZE31" s="384"/>
      <c r="JZF31" s="384"/>
      <c r="JZG31" s="384"/>
      <c r="JZH31" s="384"/>
      <c r="JZI31" s="384"/>
      <c r="JZJ31" s="384"/>
      <c r="JZK31" s="384"/>
      <c r="JZL31" s="384"/>
      <c r="JZM31" s="384"/>
      <c r="JZN31" s="384"/>
      <c r="JZO31" s="384"/>
      <c r="JZP31" s="384"/>
      <c r="JZQ31" s="384"/>
      <c r="JZR31" s="384"/>
      <c r="JZS31" s="384"/>
      <c r="JZT31" s="384"/>
      <c r="JZU31" s="384"/>
      <c r="JZV31" s="384"/>
      <c r="JZW31" s="384"/>
      <c r="JZX31" s="384"/>
      <c r="JZY31" s="384"/>
      <c r="JZZ31" s="384"/>
      <c r="KAA31" s="384"/>
      <c r="KAB31" s="384"/>
      <c r="KAC31" s="384"/>
      <c r="KAD31" s="384"/>
      <c r="KAE31" s="384"/>
      <c r="KAF31" s="384"/>
      <c r="KAG31" s="384"/>
      <c r="KAH31" s="384"/>
      <c r="KAI31" s="384"/>
      <c r="KAJ31" s="384"/>
      <c r="KAK31" s="384"/>
      <c r="KAL31" s="384"/>
      <c r="KAM31" s="384"/>
      <c r="KAN31" s="384"/>
      <c r="KAO31" s="384"/>
      <c r="KAP31" s="384"/>
      <c r="KAQ31" s="384"/>
      <c r="KAR31" s="384"/>
      <c r="KAS31" s="384"/>
      <c r="KAT31" s="384"/>
      <c r="KAU31" s="384"/>
      <c r="KAV31" s="384"/>
      <c r="KAW31" s="384"/>
      <c r="KAX31" s="384"/>
      <c r="KAY31" s="384"/>
      <c r="KAZ31" s="384"/>
      <c r="KBA31" s="384"/>
      <c r="KBB31" s="384"/>
      <c r="KBC31" s="384"/>
      <c r="KBD31" s="384"/>
      <c r="KBE31" s="384"/>
      <c r="KBF31" s="384"/>
      <c r="KBG31" s="384"/>
      <c r="KBH31" s="384"/>
      <c r="KBI31" s="384"/>
      <c r="KBJ31" s="384"/>
      <c r="KBK31" s="384"/>
      <c r="KBL31" s="384"/>
      <c r="KBM31" s="384"/>
      <c r="KBN31" s="384"/>
      <c r="KBO31" s="384"/>
      <c r="KBP31" s="384"/>
      <c r="KBQ31" s="384"/>
      <c r="KBR31" s="384"/>
      <c r="KBS31" s="384"/>
      <c r="KBT31" s="384"/>
      <c r="KBU31" s="384"/>
      <c r="KBV31" s="384"/>
      <c r="KBW31" s="384"/>
      <c r="KBX31" s="384"/>
      <c r="KBY31" s="384"/>
      <c r="KBZ31" s="384"/>
      <c r="KCA31" s="384"/>
      <c r="KCB31" s="384"/>
      <c r="KCC31" s="384"/>
      <c r="KCD31" s="384"/>
      <c r="KCE31" s="384"/>
      <c r="KCF31" s="384"/>
      <c r="KCG31" s="384"/>
      <c r="KCH31" s="384"/>
      <c r="KCI31" s="384"/>
      <c r="KCJ31" s="384"/>
      <c r="KCK31" s="384"/>
      <c r="KCL31" s="384"/>
      <c r="KCM31" s="384"/>
      <c r="KCN31" s="384"/>
      <c r="KCO31" s="384"/>
      <c r="KCP31" s="384"/>
      <c r="KCQ31" s="384"/>
      <c r="KCR31" s="384"/>
      <c r="KCS31" s="384"/>
      <c r="KCT31" s="384"/>
      <c r="KCU31" s="384"/>
      <c r="KCV31" s="384"/>
      <c r="KCW31" s="384"/>
      <c r="KCX31" s="384"/>
      <c r="KCY31" s="384"/>
      <c r="KCZ31" s="384"/>
      <c r="KDA31" s="384"/>
      <c r="KDB31" s="384"/>
      <c r="KDC31" s="384"/>
      <c r="KDD31" s="384"/>
      <c r="KDE31" s="384"/>
      <c r="KDF31" s="384"/>
      <c r="KDG31" s="384"/>
      <c r="KDH31" s="384"/>
      <c r="KDI31" s="384"/>
      <c r="KDJ31" s="384"/>
      <c r="KDK31" s="384"/>
      <c r="KDL31" s="384"/>
      <c r="KDM31" s="384"/>
      <c r="KDN31" s="384"/>
      <c r="KDO31" s="384"/>
      <c r="KDP31" s="384"/>
      <c r="KDQ31" s="384"/>
      <c r="KDR31" s="384"/>
      <c r="KDS31" s="384"/>
      <c r="KDT31" s="384"/>
      <c r="KDU31" s="384"/>
      <c r="KDV31" s="384"/>
      <c r="KDW31" s="384"/>
      <c r="KDX31" s="384"/>
      <c r="KDY31" s="384"/>
      <c r="KDZ31" s="384"/>
      <c r="KEA31" s="384"/>
      <c r="KEB31" s="384"/>
      <c r="KEC31" s="384"/>
      <c r="KED31" s="384"/>
      <c r="KEE31" s="384"/>
      <c r="KEF31" s="384"/>
      <c r="KEG31" s="384"/>
      <c r="KEH31" s="384"/>
      <c r="KEI31" s="384"/>
      <c r="KEJ31" s="384"/>
      <c r="KEK31" s="384"/>
      <c r="KEL31" s="384"/>
      <c r="KEM31" s="384"/>
      <c r="KEN31" s="384"/>
      <c r="KEO31" s="384"/>
      <c r="KEP31" s="384"/>
      <c r="KEQ31" s="384"/>
      <c r="KER31" s="384"/>
      <c r="KES31" s="384"/>
      <c r="KET31" s="384"/>
      <c r="KEU31" s="384"/>
      <c r="KEV31" s="384"/>
      <c r="KEW31" s="384"/>
      <c r="KEX31" s="384"/>
      <c r="KEY31" s="384"/>
      <c r="KEZ31" s="384"/>
      <c r="KFA31" s="384"/>
      <c r="KFB31" s="384"/>
      <c r="KFC31" s="384"/>
      <c r="KFD31" s="384"/>
      <c r="KFE31" s="384"/>
      <c r="KFF31" s="384"/>
      <c r="KFG31" s="384"/>
      <c r="KFH31" s="384"/>
      <c r="KFI31" s="384"/>
      <c r="KFJ31" s="384"/>
      <c r="KFK31" s="384"/>
      <c r="KFL31" s="384"/>
      <c r="KFM31" s="384"/>
      <c r="KFN31" s="384"/>
      <c r="KFO31" s="384"/>
      <c r="KFP31" s="384"/>
      <c r="KFQ31" s="384"/>
      <c r="KFR31" s="384"/>
      <c r="KFS31" s="384"/>
      <c r="KFT31" s="384"/>
      <c r="KFU31" s="384"/>
      <c r="KFV31" s="384"/>
      <c r="KFW31" s="384"/>
      <c r="KFX31" s="384"/>
      <c r="KFY31" s="384"/>
      <c r="KFZ31" s="384"/>
      <c r="KGA31" s="384"/>
      <c r="KGB31" s="384"/>
      <c r="KGC31" s="384"/>
      <c r="KGD31" s="384"/>
      <c r="KGE31" s="384"/>
      <c r="KGF31" s="384"/>
      <c r="KGG31" s="384"/>
      <c r="KGH31" s="384"/>
      <c r="KGI31" s="384"/>
      <c r="KGJ31" s="384"/>
      <c r="KGK31" s="384"/>
      <c r="KGL31" s="384"/>
      <c r="KGM31" s="384"/>
      <c r="KGN31" s="384"/>
      <c r="KGO31" s="384"/>
      <c r="KGP31" s="384"/>
      <c r="KGQ31" s="384"/>
      <c r="KGR31" s="384"/>
      <c r="KGS31" s="384"/>
      <c r="KGT31" s="384"/>
      <c r="KGU31" s="384"/>
      <c r="KGV31" s="384"/>
      <c r="KGW31" s="384"/>
      <c r="KGX31" s="384"/>
      <c r="KGY31" s="384"/>
      <c r="KGZ31" s="384"/>
      <c r="KHA31" s="384"/>
      <c r="KHB31" s="384"/>
      <c r="KHC31" s="384"/>
      <c r="KHD31" s="384"/>
      <c r="KHE31" s="384"/>
      <c r="KHF31" s="384"/>
      <c r="KHG31" s="384"/>
      <c r="KHH31" s="384"/>
      <c r="KHI31" s="384"/>
      <c r="KHJ31" s="384"/>
      <c r="KHK31" s="384"/>
      <c r="KHL31" s="384"/>
      <c r="KHM31" s="384"/>
      <c r="KHN31" s="384"/>
      <c r="KHO31" s="384"/>
      <c r="KHP31" s="384"/>
      <c r="KHQ31" s="384"/>
      <c r="KHR31" s="384"/>
      <c r="KHS31" s="384"/>
      <c r="KHT31" s="384"/>
      <c r="KHU31" s="384"/>
      <c r="KHV31" s="384"/>
      <c r="KHW31" s="384"/>
      <c r="KHX31" s="384"/>
      <c r="KHY31" s="384"/>
      <c r="KHZ31" s="384"/>
      <c r="KIA31" s="384"/>
      <c r="KIB31" s="384"/>
      <c r="KIC31" s="384"/>
      <c r="KID31" s="384"/>
      <c r="KIE31" s="384"/>
      <c r="KIF31" s="384"/>
      <c r="KIG31" s="384"/>
      <c r="KIH31" s="384"/>
      <c r="KII31" s="384"/>
      <c r="KIJ31" s="384"/>
      <c r="KIK31" s="384"/>
      <c r="KIL31" s="384"/>
      <c r="KIM31" s="384"/>
      <c r="KIN31" s="384"/>
      <c r="KIO31" s="384"/>
      <c r="KIP31" s="384"/>
      <c r="KIQ31" s="384"/>
      <c r="KIR31" s="384"/>
      <c r="KIS31" s="384"/>
      <c r="KIT31" s="384"/>
      <c r="KIU31" s="384"/>
      <c r="KIV31" s="384"/>
      <c r="KIW31" s="384"/>
      <c r="KIX31" s="384"/>
      <c r="KIY31" s="384"/>
      <c r="KIZ31" s="384"/>
      <c r="KJA31" s="384"/>
      <c r="KJB31" s="384"/>
      <c r="KJC31" s="384"/>
      <c r="KJD31" s="384"/>
      <c r="KJE31" s="384"/>
      <c r="KJF31" s="384"/>
      <c r="KJG31" s="384"/>
      <c r="KJH31" s="384"/>
      <c r="KJI31" s="384"/>
      <c r="KJJ31" s="384"/>
      <c r="KJK31" s="384"/>
      <c r="KJL31" s="384"/>
      <c r="KJM31" s="384"/>
      <c r="KJN31" s="384"/>
      <c r="KJO31" s="384"/>
      <c r="KJP31" s="384"/>
      <c r="KJQ31" s="384"/>
      <c r="KJR31" s="384"/>
      <c r="KJS31" s="384"/>
      <c r="KJT31" s="384"/>
      <c r="KJU31" s="384"/>
      <c r="KJV31" s="384"/>
      <c r="KJW31" s="384"/>
      <c r="KJX31" s="384"/>
      <c r="KJY31" s="384"/>
      <c r="KJZ31" s="384"/>
      <c r="KKA31" s="384"/>
      <c r="KKB31" s="384"/>
      <c r="KKC31" s="384"/>
      <c r="KKD31" s="384"/>
      <c r="KKE31" s="384"/>
      <c r="KKF31" s="384"/>
      <c r="KKG31" s="384"/>
      <c r="KKH31" s="384"/>
      <c r="KKI31" s="384"/>
      <c r="KKJ31" s="384"/>
      <c r="KKK31" s="384"/>
      <c r="KKL31" s="384"/>
      <c r="KKM31" s="384"/>
      <c r="KKN31" s="384"/>
      <c r="KKO31" s="384"/>
      <c r="KKP31" s="384"/>
      <c r="KKQ31" s="384"/>
      <c r="KKR31" s="384"/>
      <c r="KKS31" s="384"/>
      <c r="KKT31" s="384"/>
      <c r="KKU31" s="384"/>
      <c r="KKV31" s="384"/>
      <c r="KKW31" s="384"/>
      <c r="KKX31" s="384"/>
      <c r="KKY31" s="384"/>
      <c r="KKZ31" s="384"/>
      <c r="KLA31" s="384"/>
      <c r="KLB31" s="384"/>
      <c r="KLC31" s="384"/>
      <c r="KLD31" s="384"/>
      <c r="KLE31" s="384"/>
      <c r="KLF31" s="384"/>
      <c r="KLG31" s="384"/>
      <c r="KLH31" s="384"/>
      <c r="KLI31" s="384"/>
      <c r="KLJ31" s="384"/>
      <c r="KLK31" s="384"/>
      <c r="KLL31" s="384"/>
      <c r="KLM31" s="384"/>
      <c r="KLN31" s="384"/>
      <c r="KLO31" s="384"/>
      <c r="KLP31" s="384"/>
      <c r="KLQ31" s="384"/>
      <c r="KLR31" s="384"/>
      <c r="KLS31" s="384"/>
      <c r="KLT31" s="384"/>
      <c r="KLU31" s="384"/>
      <c r="KLV31" s="384"/>
      <c r="KLW31" s="384"/>
      <c r="KLX31" s="384"/>
      <c r="KLY31" s="384"/>
      <c r="KLZ31" s="384"/>
      <c r="KMA31" s="384"/>
      <c r="KMB31" s="384"/>
      <c r="KMC31" s="384"/>
      <c r="KMD31" s="384"/>
      <c r="KME31" s="384"/>
      <c r="KMF31" s="384"/>
      <c r="KMG31" s="384"/>
      <c r="KMH31" s="384"/>
      <c r="KMI31" s="384"/>
      <c r="KMJ31" s="384"/>
      <c r="KMK31" s="384"/>
      <c r="KML31" s="384"/>
      <c r="KMM31" s="384"/>
      <c r="KMN31" s="384"/>
      <c r="KMO31" s="384"/>
      <c r="KMP31" s="384"/>
      <c r="KMQ31" s="384"/>
      <c r="KMR31" s="384"/>
      <c r="KMS31" s="384"/>
      <c r="KMT31" s="384"/>
      <c r="KMU31" s="384"/>
      <c r="KMV31" s="384"/>
      <c r="KMW31" s="384"/>
      <c r="KMX31" s="384"/>
      <c r="KMY31" s="384"/>
      <c r="KMZ31" s="384"/>
      <c r="KNA31" s="384"/>
      <c r="KNB31" s="384"/>
      <c r="KNC31" s="384"/>
      <c r="KND31" s="384"/>
      <c r="KNE31" s="384"/>
      <c r="KNF31" s="384"/>
      <c r="KNG31" s="384"/>
      <c r="KNH31" s="384"/>
      <c r="KNI31" s="384"/>
      <c r="KNJ31" s="384"/>
      <c r="KNK31" s="384"/>
      <c r="KNL31" s="384"/>
      <c r="KNM31" s="384"/>
      <c r="KNN31" s="384"/>
      <c r="KNO31" s="384"/>
      <c r="KNP31" s="384"/>
      <c r="KNQ31" s="384"/>
      <c r="KNR31" s="384"/>
      <c r="KNS31" s="384"/>
      <c r="KNT31" s="384"/>
      <c r="KNU31" s="384"/>
      <c r="KNV31" s="384"/>
      <c r="KNW31" s="384"/>
      <c r="KNX31" s="384"/>
      <c r="KNY31" s="384"/>
      <c r="KNZ31" s="384"/>
      <c r="KOA31" s="384"/>
      <c r="KOB31" s="384"/>
      <c r="KOC31" s="384"/>
      <c r="KOD31" s="384"/>
      <c r="KOE31" s="384"/>
      <c r="KOF31" s="384"/>
      <c r="KOG31" s="384"/>
      <c r="KOH31" s="384"/>
      <c r="KOI31" s="384"/>
      <c r="KOJ31" s="384"/>
      <c r="KOK31" s="384"/>
      <c r="KOL31" s="384"/>
      <c r="KOM31" s="384"/>
      <c r="KON31" s="384"/>
      <c r="KOO31" s="384"/>
      <c r="KOP31" s="384"/>
      <c r="KOQ31" s="384"/>
      <c r="KOR31" s="384"/>
      <c r="KOS31" s="384"/>
      <c r="KOT31" s="384"/>
      <c r="KOU31" s="384"/>
      <c r="KOV31" s="384"/>
      <c r="KOW31" s="384"/>
      <c r="KOX31" s="384"/>
      <c r="KOY31" s="384"/>
      <c r="KOZ31" s="384"/>
      <c r="KPA31" s="384"/>
      <c r="KPB31" s="384"/>
      <c r="KPC31" s="384"/>
      <c r="KPD31" s="384"/>
      <c r="KPE31" s="384"/>
      <c r="KPF31" s="384"/>
      <c r="KPG31" s="384"/>
      <c r="KPH31" s="384"/>
      <c r="KPI31" s="384"/>
      <c r="KPJ31" s="384"/>
      <c r="KPK31" s="384"/>
      <c r="KPL31" s="384"/>
      <c r="KPM31" s="384"/>
      <c r="KPN31" s="384"/>
      <c r="KPO31" s="384"/>
      <c r="KPP31" s="384"/>
      <c r="KPQ31" s="384"/>
      <c r="KPR31" s="384"/>
      <c r="KPS31" s="384"/>
      <c r="KPT31" s="384"/>
      <c r="KPU31" s="384"/>
      <c r="KPV31" s="384"/>
      <c r="KPW31" s="384"/>
      <c r="KPX31" s="384"/>
      <c r="KPY31" s="384"/>
      <c r="KPZ31" s="384"/>
      <c r="KQA31" s="384"/>
      <c r="KQB31" s="384"/>
      <c r="KQC31" s="384"/>
      <c r="KQD31" s="384"/>
      <c r="KQE31" s="384"/>
      <c r="KQF31" s="384"/>
      <c r="KQG31" s="384"/>
      <c r="KQH31" s="384"/>
      <c r="KQI31" s="384"/>
      <c r="KQJ31" s="384"/>
      <c r="KQK31" s="384"/>
      <c r="KQL31" s="384"/>
      <c r="KQM31" s="384"/>
      <c r="KQN31" s="384"/>
      <c r="KQO31" s="384"/>
      <c r="KQP31" s="384"/>
      <c r="KQQ31" s="384"/>
      <c r="KQR31" s="384"/>
      <c r="KQS31" s="384"/>
      <c r="KQT31" s="384"/>
      <c r="KQU31" s="384"/>
      <c r="KQV31" s="384"/>
      <c r="KQW31" s="384"/>
      <c r="KQX31" s="384"/>
      <c r="KQY31" s="384"/>
      <c r="KQZ31" s="384"/>
      <c r="KRA31" s="384"/>
      <c r="KRB31" s="384"/>
      <c r="KRC31" s="384"/>
      <c r="KRD31" s="384"/>
      <c r="KRE31" s="384"/>
      <c r="KRF31" s="384"/>
      <c r="KRG31" s="384"/>
      <c r="KRH31" s="384"/>
      <c r="KRI31" s="384"/>
      <c r="KRJ31" s="384"/>
      <c r="KRK31" s="384"/>
      <c r="KRL31" s="384"/>
      <c r="KRM31" s="384"/>
      <c r="KRN31" s="384"/>
      <c r="KRO31" s="384"/>
      <c r="KRP31" s="384"/>
      <c r="KRQ31" s="384"/>
      <c r="KRR31" s="384"/>
      <c r="KRS31" s="384"/>
      <c r="KRT31" s="384"/>
      <c r="KRU31" s="384"/>
      <c r="KRV31" s="384"/>
      <c r="KRW31" s="384"/>
      <c r="KRX31" s="384"/>
      <c r="KRY31" s="384"/>
      <c r="KRZ31" s="384"/>
      <c r="KSA31" s="384"/>
      <c r="KSB31" s="384"/>
      <c r="KSC31" s="384"/>
      <c r="KSD31" s="384"/>
      <c r="KSE31" s="384"/>
      <c r="KSF31" s="384"/>
      <c r="KSG31" s="384"/>
      <c r="KSH31" s="384"/>
      <c r="KSI31" s="384"/>
      <c r="KSJ31" s="384"/>
      <c r="KSK31" s="384"/>
      <c r="KSL31" s="384"/>
      <c r="KSM31" s="384"/>
      <c r="KSN31" s="384"/>
      <c r="KSO31" s="384"/>
      <c r="KSP31" s="384"/>
      <c r="KSQ31" s="384"/>
      <c r="KSR31" s="384"/>
      <c r="KSS31" s="384"/>
      <c r="KST31" s="384"/>
      <c r="KSU31" s="384"/>
      <c r="KSV31" s="384"/>
      <c r="KSW31" s="384"/>
      <c r="KSX31" s="384"/>
      <c r="KSY31" s="384"/>
      <c r="KSZ31" s="384"/>
      <c r="KTA31" s="384"/>
      <c r="KTB31" s="384"/>
      <c r="KTC31" s="384"/>
      <c r="KTD31" s="384"/>
      <c r="KTE31" s="384"/>
      <c r="KTF31" s="384"/>
      <c r="KTG31" s="384"/>
      <c r="KTH31" s="384"/>
      <c r="KTI31" s="384"/>
      <c r="KTJ31" s="384"/>
      <c r="KTK31" s="384"/>
      <c r="KTL31" s="384"/>
      <c r="KTM31" s="384"/>
      <c r="KTN31" s="384"/>
      <c r="KTO31" s="384"/>
      <c r="KTP31" s="384"/>
      <c r="KTQ31" s="384"/>
      <c r="KTR31" s="384"/>
      <c r="KTS31" s="384"/>
      <c r="KTT31" s="384"/>
      <c r="KTU31" s="384"/>
      <c r="KTV31" s="384"/>
      <c r="KTW31" s="384"/>
      <c r="KTX31" s="384"/>
      <c r="KTY31" s="384"/>
      <c r="KTZ31" s="384"/>
      <c r="KUA31" s="384"/>
      <c r="KUB31" s="384"/>
      <c r="KUC31" s="384"/>
      <c r="KUD31" s="384"/>
      <c r="KUE31" s="384"/>
      <c r="KUF31" s="384"/>
      <c r="KUG31" s="384"/>
      <c r="KUH31" s="384"/>
      <c r="KUI31" s="384"/>
      <c r="KUJ31" s="384"/>
      <c r="KUK31" s="384"/>
      <c r="KUL31" s="384"/>
      <c r="KUM31" s="384"/>
      <c r="KUN31" s="384"/>
      <c r="KUO31" s="384"/>
      <c r="KUP31" s="384"/>
      <c r="KUQ31" s="384"/>
      <c r="KUR31" s="384"/>
      <c r="KUS31" s="384"/>
      <c r="KUT31" s="384"/>
      <c r="KUU31" s="384"/>
      <c r="KUV31" s="384"/>
      <c r="KUW31" s="384"/>
      <c r="KUX31" s="384"/>
      <c r="KUY31" s="384"/>
      <c r="KUZ31" s="384"/>
      <c r="KVA31" s="384"/>
      <c r="KVB31" s="384"/>
      <c r="KVC31" s="384"/>
      <c r="KVD31" s="384"/>
      <c r="KVE31" s="384"/>
      <c r="KVF31" s="384"/>
      <c r="KVG31" s="384"/>
      <c r="KVH31" s="384"/>
      <c r="KVI31" s="384"/>
      <c r="KVJ31" s="384"/>
      <c r="KVK31" s="384"/>
      <c r="KVL31" s="384"/>
      <c r="KVM31" s="384"/>
      <c r="KVN31" s="384"/>
      <c r="KVO31" s="384"/>
      <c r="KVP31" s="384"/>
      <c r="KVQ31" s="384"/>
      <c r="KVR31" s="384"/>
      <c r="KVS31" s="384"/>
      <c r="KVT31" s="384"/>
      <c r="KVU31" s="384"/>
      <c r="KVV31" s="384"/>
      <c r="KVW31" s="384"/>
      <c r="KVX31" s="384"/>
      <c r="KVY31" s="384"/>
      <c r="KVZ31" s="384"/>
      <c r="KWA31" s="384"/>
      <c r="KWB31" s="384"/>
      <c r="KWC31" s="384"/>
      <c r="KWD31" s="384"/>
      <c r="KWE31" s="384"/>
      <c r="KWF31" s="384"/>
      <c r="KWG31" s="384"/>
      <c r="KWH31" s="384"/>
      <c r="KWI31" s="384"/>
      <c r="KWJ31" s="384"/>
      <c r="KWK31" s="384"/>
      <c r="KWL31" s="384"/>
      <c r="KWM31" s="384"/>
      <c r="KWN31" s="384"/>
      <c r="KWO31" s="384"/>
      <c r="KWP31" s="384"/>
      <c r="KWQ31" s="384"/>
      <c r="KWR31" s="384"/>
      <c r="KWS31" s="384"/>
      <c r="KWT31" s="384"/>
      <c r="KWU31" s="384"/>
      <c r="KWV31" s="384"/>
      <c r="KWW31" s="384"/>
      <c r="KWX31" s="384"/>
      <c r="KWY31" s="384"/>
      <c r="KWZ31" s="384"/>
      <c r="KXA31" s="384"/>
      <c r="KXB31" s="384"/>
      <c r="KXC31" s="384"/>
      <c r="KXD31" s="384"/>
      <c r="KXE31" s="384"/>
      <c r="KXF31" s="384"/>
      <c r="KXG31" s="384"/>
      <c r="KXH31" s="384"/>
      <c r="KXI31" s="384"/>
      <c r="KXJ31" s="384"/>
      <c r="KXK31" s="384"/>
      <c r="KXL31" s="384"/>
      <c r="KXM31" s="384"/>
      <c r="KXN31" s="384"/>
      <c r="KXO31" s="384"/>
      <c r="KXP31" s="384"/>
      <c r="KXQ31" s="384"/>
      <c r="KXR31" s="384"/>
      <c r="KXS31" s="384"/>
      <c r="KXT31" s="384"/>
      <c r="KXU31" s="384"/>
      <c r="KXV31" s="384"/>
      <c r="KXW31" s="384"/>
      <c r="KXX31" s="384"/>
      <c r="KXY31" s="384"/>
      <c r="KXZ31" s="384"/>
      <c r="KYA31" s="384"/>
      <c r="KYB31" s="384"/>
      <c r="KYC31" s="384"/>
      <c r="KYD31" s="384"/>
      <c r="KYE31" s="384"/>
      <c r="KYF31" s="384"/>
      <c r="KYG31" s="384"/>
      <c r="KYH31" s="384"/>
      <c r="KYI31" s="384"/>
      <c r="KYJ31" s="384"/>
      <c r="KYK31" s="384"/>
      <c r="KYL31" s="384"/>
      <c r="KYM31" s="384"/>
      <c r="KYN31" s="384"/>
      <c r="KYO31" s="384"/>
      <c r="KYP31" s="384"/>
      <c r="KYQ31" s="384"/>
      <c r="KYR31" s="384"/>
      <c r="KYS31" s="384"/>
      <c r="KYT31" s="384"/>
      <c r="KYU31" s="384"/>
      <c r="KYV31" s="384"/>
      <c r="KYW31" s="384"/>
      <c r="KYX31" s="384"/>
      <c r="KYY31" s="384"/>
      <c r="KYZ31" s="384"/>
      <c r="KZA31" s="384"/>
      <c r="KZB31" s="384"/>
      <c r="KZC31" s="384"/>
      <c r="KZD31" s="384"/>
      <c r="KZE31" s="384"/>
      <c r="KZF31" s="384"/>
      <c r="KZG31" s="384"/>
      <c r="KZH31" s="384"/>
      <c r="KZI31" s="384"/>
      <c r="KZJ31" s="384"/>
      <c r="KZK31" s="384"/>
      <c r="KZL31" s="384"/>
      <c r="KZM31" s="384"/>
      <c r="KZN31" s="384"/>
      <c r="KZO31" s="384"/>
      <c r="KZP31" s="384"/>
      <c r="KZQ31" s="384"/>
      <c r="KZR31" s="384"/>
      <c r="KZS31" s="384"/>
      <c r="KZT31" s="384"/>
      <c r="KZU31" s="384"/>
      <c r="KZV31" s="384"/>
      <c r="KZW31" s="384"/>
      <c r="KZX31" s="384"/>
      <c r="KZY31" s="384"/>
      <c r="KZZ31" s="384"/>
      <c r="LAA31" s="384"/>
      <c r="LAB31" s="384"/>
      <c r="LAC31" s="384"/>
      <c r="LAD31" s="384"/>
      <c r="LAE31" s="384"/>
      <c r="LAF31" s="384"/>
      <c r="LAG31" s="384"/>
      <c r="LAH31" s="384"/>
      <c r="LAI31" s="384"/>
      <c r="LAJ31" s="384"/>
      <c r="LAK31" s="384"/>
      <c r="LAL31" s="384"/>
      <c r="LAM31" s="384"/>
      <c r="LAN31" s="384"/>
      <c r="LAO31" s="384"/>
      <c r="LAP31" s="384"/>
      <c r="LAQ31" s="384"/>
      <c r="LAR31" s="384"/>
      <c r="LAS31" s="384"/>
      <c r="LAT31" s="384"/>
      <c r="LAU31" s="384"/>
      <c r="LAV31" s="384"/>
      <c r="LAW31" s="384"/>
      <c r="LAX31" s="384"/>
      <c r="LAY31" s="384"/>
      <c r="LAZ31" s="384"/>
      <c r="LBA31" s="384"/>
      <c r="LBB31" s="384"/>
      <c r="LBC31" s="384"/>
      <c r="LBD31" s="384"/>
      <c r="LBE31" s="384"/>
      <c r="LBF31" s="384"/>
      <c r="LBG31" s="384"/>
      <c r="LBH31" s="384"/>
      <c r="LBI31" s="384"/>
      <c r="LBJ31" s="384"/>
      <c r="LBK31" s="384"/>
      <c r="LBL31" s="384"/>
      <c r="LBM31" s="384"/>
      <c r="LBN31" s="384"/>
      <c r="LBO31" s="384"/>
      <c r="LBP31" s="384"/>
      <c r="LBQ31" s="384"/>
      <c r="LBR31" s="384"/>
      <c r="LBS31" s="384"/>
      <c r="LBT31" s="384"/>
      <c r="LBU31" s="384"/>
      <c r="LBV31" s="384"/>
      <c r="LBW31" s="384"/>
      <c r="LBX31" s="384"/>
      <c r="LBY31" s="384"/>
      <c r="LBZ31" s="384"/>
      <c r="LCA31" s="384"/>
      <c r="LCB31" s="384"/>
      <c r="LCC31" s="384"/>
      <c r="LCD31" s="384"/>
      <c r="LCE31" s="384"/>
      <c r="LCF31" s="384"/>
      <c r="LCG31" s="384"/>
      <c r="LCH31" s="384"/>
      <c r="LCI31" s="384"/>
      <c r="LCJ31" s="384"/>
      <c r="LCK31" s="384"/>
      <c r="LCL31" s="384"/>
      <c r="LCM31" s="384"/>
      <c r="LCN31" s="384"/>
      <c r="LCO31" s="384"/>
      <c r="LCP31" s="384"/>
      <c r="LCQ31" s="384"/>
      <c r="LCR31" s="384"/>
      <c r="LCS31" s="384"/>
      <c r="LCT31" s="384"/>
      <c r="LCU31" s="384"/>
      <c r="LCV31" s="384"/>
      <c r="LCW31" s="384"/>
      <c r="LCX31" s="384"/>
      <c r="LCY31" s="384"/>
      <c r="LCZ31" s="384"/>
      <c r="LDA31" s="384"/>
      <c r="LDB31" s="384"/>
      <c r="LDC31" s="384"/>
      <c r="LDD31" s="384"/>
      <c r="LDE31" s="384"/>
      <c r="LDF31" s="384"/>
      <c r="LDG31" s="384"/>
      <c r="LDH31" s="384"/>
      <c r="LDI31" s="384"/>
      <c r="LDJ31" s="384"/>
      <c r="LDK31" s="384"/>
      <c r="LDL31" s="384"/>
      <c r="LDM31" s="384"/>
      <c r="LDN31" s="384"/>
      <c r="LDO31" s="384"/>
      <c r="LDP31" s="384"/>
      <c r="LDQ31" s="384"/>
      <c r="LDR31" s="384"/>
      <c r="LDS31" s="384"/>
      <c r="LDT31" s="384"/>
      <c r="LDU31" s="384"/>
      <c r="LDV31" s="384"/>
      <c r="LDW31" s="384"/>
      <c r="LDX31" s="384"/>
      <c r="LDY31" s="384"/>
      <c r="LDZ31" s="384"/>
      <c r="LEA31" s="384"/>
      <c r="LEB31" s="384"/>
      <c r="LEC31" s="384"/>
      <c r="LED31" s="384"/>
      <c r="LEE31" s="384"/>
      <c r="LEF31" s="384"/>
      <c r="LEG31" s="384"/>
      <c r="LEH31" s="384"/>
      <c r="LEI31" s="384"/>
      <c r="LEJ31" s="384"/>
      <c r="LEK31" s="384"/>
      <c r="LEL31" s="384"/>
      <c r="LEM31" s="384"/>
      <c r="LEN31" s="384"/>
      <c r="LEO31" s="384"/>
      <c r="LEP31" s="384"/>
      <c r="LEQ31" s="384"/>
      <c r="LER31" s="384"/>
      <c r="LES31" s="384"/>
      <c r="LET31" s="384"/>
      <c r="LEU31" s="384"/>
      <c r="LEV31" s="384"/>
      <c r="LEW31" s="384"/>
      <c r="LEX31" s="384"/>
      <c r="LEY31" s="384"/>
      <c r="LEZ31" s="384"/>
      <c r="LFA31" s="384"/>
      <c r="LFB31" s="384"/>
      <c r="LFC31" s="384"/>
      <c r="LFD31" s="384"/>
      <c r="LFE31" s="384"/>
      <c r="LFF31" s="384"/>
      <c r="LFG31" s="384"/>
      <c r="LFH31" s="384"/>
      <c r="LFI31" s="384"/>
      <c r="LFJ31" s="384"/>
      <c r="LFK31" s="384"/>
      <c r="LFL31" s="384"/>
      <c r="LFM31" s="384"/>
      <c r="LFN31" s="384"/>
      <c r="LFO31" s="384"/>
      <c r="LFP31" s="384"/>
      <c r="LFQ31" s="384"/>
      <c r="LFR31" s="384"/>
      <c r="LFS31" s="384"/>
      <c r="LFT31" s="384"/>
      <c r="LFU31" s="384"/>
      <c r="LFV31" s="384"/>
      <c r="LFW31" s="384"/>
      <c r="LFX31" s="384"/>
      <c r="LFY31" s="384"/>
      <c r="LFZ31" s="384"/>
      <c r="LGA31" s="384"/>
      <c r="LGB31" s="384"/>
      <c r="LGC31" s="384"/>
      <c r="LGD31" s="384"/>
      <c r="LGE31" s="384"/>
      <c r="LGF31" s="384"/>
      <c r="LGG31" s="384"/>
      <c r="LGH31" s="384"/>
      <c r="LGI31" s="384"/>
      <c r="LGJ31" s="384"/>
      <c r="LGK31" s="384"/>
      <c r="LGL31" s="384"/>
      <c r="LGM31" s="384"/>
      <c r="LGN31" s="384"/>
      <c r="LGO31" s="384"/>
      <c r="LGP31" s="384"/>
      <c r="LGQ31" s="384"/>
      <c r="LGR31" s="384"/>
      <c r="LGS31" s="384"/>
      <c r="LGT31" s="384"/>
      <c r="LGU31" s="384"/>
      <c r="LGV31" s="384"/>
      <c r="LGW31" s="384"/>
      <c r="LGX31" s="384"/>
      <c r="LGY31" s="384"/>
      <c r="LGZ31" s="384"/>
      <c r="LHA31" s="384"/>
      <c r="LHB31" s="384"/>
      <c r="LHC31" s="384"/>
      <c r="LHD31" s="384"/>
      <c r="LHE31" s="384"/>
      <c r="LHF31" s="384"/>
      <c r="LHG31" s="384"/>
      <c r="LHH31" s="384"/>
      <c r="LHI31" s="384"/>
      <c r="LHJ31" s="384"/>
      <c r="LHK31" s="384"/>
      <c r="LHL31" s="384"/>
      <c r="LHM31" s="384"/>
      <c r="LHN31" s="384"/>
      <c r="LHO31" s="384"/>
      <c r="LHP31" s="384"/>
      <c r="LHQ31" s="384"/>
      <c r="LHR31" s="384"/>
      <c r="LHS31" s="384"/>
      <c r="LHT31" s="384"/>
      <c r="LHU31" s="384"/>
      <c r="LHV31" s="384"/>
      <c r="LHW31" s="384"/>
      <c r="LHX31" s="384"/>
      <c r="LHY31" s="384"/>
      <c r="LHZ31" s="384"/>
      <c r="LIA31" s="384"/>
      <c r="LIB31" s="384"/>
      <c r="LIC31" s="384"/>
      <c r="LID31" s="384"/>
      <c r="LIE31" s="384"/>
      <c r="LIF31" s="384"/>
      <c r="LIG31" s="384"/>
      <c r="LIH31" s="384"/>
      <c r="LII31" s="384"/>
      <c r="LIJ31" s="384"/>
      <c r="LIK31" s="384"/>
      <c r="LIL31" s="384"/>
      <c r="LIM31" s="384"/>
      <c r="LIN31" s="384"/>
      <c r="LIO31" s="384"/>
      <c r="LIP31" s="384"/>
      <c r="LIQ31" s="384"/>
      <c r="LIR31" s="384"/>
      <c r="LIS31" s="384"/>
      <c r="LIT31" s="384"/>
      <c r="LIU31" s="384"/>
      <c r="LIV31" s="384"/>
      <c r="LIW31" s="384"/>
      <c r="LIX31" s="384"/>
      <c r="LIY31" s="384"/>
      <c r="LIZ31" s="384"/>
      <c r="LJA31" s="384"/>
      <c r="LJB31" s="384"/>
      <c r="LJC31" s="384"/>
      <c r="LJD31" s="384"/>
      <c r="LJE31" s="384"/>
      <c r="LJF31" s="384"/>
      <c r="LJG31" s="384"/>
      <c r="LJH31" s="384"/>
      <c r="LJI31" s="384"/>
      <c r="LJJ31" s="384"/>
      <c r="LJK31" s="384"/>
      <c r="LJL31" s="384"/>
      <c r="LJM31" s="384"/>
      <c r="LJN31" s="384"/>
      <c r="LJO31" s="384"/>
      <c r="LJP31" s="384"/>
      <c r="LJQ31" s="384"/>
      <c r="LJR31" s="384"/>
      <c r="LJS31" s="384"/>
      <c r="LJT31" s="384"/>
      <c r="LJU31" s="384"/>
      <c r="LJV31" s="384"/>
      <c r="LJW31" s="384"/>
      <c r="LJX31" s="384"/>
      <c r="LJY31" s="384"/>
      <c r="LJZ31" s="384"/>
      <c r="LKA31" s="384"/>
      <c r="LKB31" s="384"/>
      <c r="LKC31" s="384"/>
      <c r="LKD31" s="384"/>
      <c r="LKE31" s="384"/>
      <c r="LKF31" s="384"/>
      <c r="LKG31" s="384"/>
      <c r="LKH31" s="384"/>
      <c r="LKI31" s="384"/>
      <c r="LKJ31" s="384"/>
      <c r="LKK31" s="384"/>
      <c r="LKL31" s="384"/>
      <c r="LKM31" s="384"/>
      <c r="LKN31" s="384"/>
      <c r="LKO31" s="384"/>
      <c r="LKP31" s="384"/>
      <c r="LKQ31" s="384"/>
      <c r="LKR31" s="384"/>
      <c r="LKS31" s="384"/>
      <c r="LKT31" s="384"/>
      <c r="LKU31" s="384"/>
      <c r="LKV31" s="384"/>
      <c r="LKW31" s="384"/>
      <c r="LKX31" s="384"/>
      <c r="LKY31" s="384"/>
      <c r="LKZ31" s="384"/>
      <c r="LLA31" s="384"/>
      <c r="LLB31" s="384"/>
      <c r="LLC31" s="384"/>
      <c r="LLD31" s="384"/>
      <c r="LLE31" s="384"/>
      <c r="LLF31" s="384"/>
      <c r="LLG31" s="384"/>
      <c r="LLH31" s="384"/>
      <c r="LLI31" s="384"/>
      <c r="LLJ31" s="384"/>
      <c r="LLK31" s="384"/>
      <c r="LLL31" s="384"/>
      <c r="LLM31" s="384"/>
      <c r="LLN31" s="384"/>
      <c r="LLO31" s="384"/>
      <c r="LLP31" s="384"/>
      <c r="LLQ31" s="384"/>
      <c r="LLR31" s="384"/>
      <c r="LLS31" s="384"/>
      <c r="LLT31" s="384"/>
      <c r="LLU31" s="384"/>
      <c r="LLV31" s="384"/>
      <c r="LLW31" s="384"/>
      <c r="LLX31" s="384"/>
      <c r="LLY31" s="384"/>
      <c r="LLZ31" s="384"/>
      <c r="LMA31" s="384"/>
      <c r="LMB31" s="384"/>
      <c r="LMC31" s="384"/>
      <c r="LMD31" s="384"/>
      <c r="LME31" s="384"/>
      <c r="LMF31" s="384"/>
      <c r="LMG31" s="384"/>
      <c r="LMH31" s="384"/>
      <c r="LMI31" s="384"/>
      <c r="LMJ31" s="384"/>
      <c r="LMK31" s="384"/>
      <c r="LML31" s="384"/>
      <c r="LMM31" s="384"/>
      <c r="LMN31" s="384"/>
      <c r="LMO31" s="384"/>
      <c r="LMP31" s="384"/>
      <c r="LMQ31" s="384"/>
      <c r="LMR31" s="384"/>
      <c r="LMS31" s="384"/>
      <c r="LMT31" s="384"/>
      <c r="LMU31" s="384"/>
      <c r="LMV31" s="384"/>
      <c r="LMW31" s="384"/>
      <c r="LMX31" s="384"/>
      <c r="LMY31" s="384"/>
      <c r="LMZ31" s="384"/>
      <c r="LNA31" s="384"/>
      <c r="LNB31" s="384"/>
      <c r="LNC31" s="384"/>
      <c r="LND31" s="384"/>
      <c r="LNE31" s="384"/>
      <c r="LNF31" s="384"/>
      <c r="LNG31" s="384"/>
      <c r="LNH31" s="384"/>
      <c r="LNI31" s="384"/>
      <c r="LNJ31" s="384"/>
      <c r="LNK31" s="384"/>
      <c r="LNL31" s="384"/>
      <c r="LNM31" s="384"/>
      <c r="LNN31" s="384"/>
      <c r="LNO31" s="384"/>
      <c r="LNP31" s="384"/>
      <c r="LNQ31" s="384"/>
      <c r="LNR31" s="384"/>
      <c r="LNS31" s="384"/>
      <c r="LNT31" s="384"/>
      <c r="LNU31" s="384"/>
      <c r="LNV31" s="384"/>
      <c r="LNW31" s="384"/>
      <c r="LNX31" s="384"/>
      <c r="LNY31" s="384"/>
      <c r="LNZ31" s="384"/>
      <c r="LOA31" s="384"/>
      <c r="LOB31" s="384"/>
      <c r="LOC31" s="384"/>
      <c r="LOD31" s="384"/>
      <c r="LOE31" s="384"/>
      <c r="LOF31" s="384"/>
      <c r="LOG31" s="384"/>
      <c r="LOH31" s="384"/>
      <c r="LOI31" s="384"/>
      <c r="LOJ31" s="384"/>
      <c r="LOK31" s="384"/>
      <c r="LOL31" s="384"/>
      <c r="LOM31" s="384"/>
      <c r="LON31" s="384"/>
      <c r="LOO31" s="384"/>
      <c r="LOP31" s="384"/>
      <c r="LOQ31" s="384"/>
      <c r="LOR31" s="384"/>
      <c r="LOS31" s="384"/>
      <c r="LOT31" s="384"/>
      <c r="LOU31" s="384"/>
      <c r="LOV31" s="384"/>
      <c r="LOW31" s="384"/>
      <c r="LOX31" s="384"/>
      <c r="LOY31" s="384"/>
      <c r="LOZ31" s="384"/>
      <c r="LPA31" s="384"/>
      <c r="LPB31" s="384"/>
      <c r="LPC31" s="384"/>
      <c r="LPD31" s="384"/>
      <c r="LPE31" s="384"/>
      <c r="LPF31" s="384"/>
      <c r="LPG31" s="384"/>
      <c r="LPH31" s="384"/>
      <c r="LPI31" s="384"/>
      <c r="LPJ31" s="384"/>
      <c r="LPK31" s="384"/>
      <c r="LPL31" s="384"/>
      <c r="LPM31" s="384"/>
      <c r="LPN31" s="384"/>
      <c r="LPO31" s="384"/>
      <c r="LPP31" s="384"/>
      <c r="LPQ31" s="384"/>
      <c r="LPR31" s="384"/>
      <c r="LPS31" s="384"/>
      <c r="LPT31" s="384"/>
      <c r="LPU31" s="384"/>
      <c r="LPV31" s="384"/>
      <c r="LPW31" s="384"/>
      <c r="LPX31" s="384"/>
      <c r="LPY31" s="384"/>
      <c r="LPZ31" s="384"/>
      <c r="LQA31" s="384"/>
      <c r="LQB31" s="384"/>
      <c r="LQC31" s="384"/>
      <c r="LQD31" s="384"/>
      <c r="LQE31" s="384"/>
      <c r="LQF31" s="384"/>
      <c r="LQG31" s="384"/>
      <c r="LQH31" s="384"/>
      <c r="LQI31" s="384"/>
      <c r="LQJ31" s="384"/>
      <c r="LQK31" s="384"/>
      <c r="LQL31" s="384"/>
      <c r="LQM31" s="384"/>
      <c r="LQN31" s="384"/>
      <c r="LQO31" s="384"/>
      <c r="LQP31" s="384"/>
      <c r="LQQ31" s="384"/>
      <c r="LQR31" s="384"/>
      <c r="LQS31" s="384"/>
      <c r="LQT31" s="384"/>
      <c r="LQU31" s="384"/>
      <c r="LQV31" s="384"/>
      <c r="LQW31" s="384"/>
      <c r="LQX31" s="384"/>
      <c r="LQY31" s="384"/>
      <c r="LQZ31" s="384"/>
      <c r="LRA31" s="384"/>
      <c r="LRB31" s="384"/>
      <c r="LRC31" s="384"/>
      <c r="LRD31" s="384"/>
      <c r="LRE31" s="384"/>
      <c r="LRF31" s="384"/>
      <c r="LRG31" s="384"/>
      <c r="LRH31" s="384"/>
      <c r="LRI31" s="384"/>
      <c r="LRJ31" s="384"/>
      <c r="LRK31" s="384"/>
      <c r="LRL31" s="384"/>
      <c r="LRM31" s="384"/>
      <c r="LRN31" s="384"/>
      <c r="LRO31" s="384"/>
      <c r="LRP31" s="384"/>
      <c r="LRQ31" s="384"/>
      <c r="LRR31" s="384"/>
      <c r="LRS31" s="384"/>
      <c r="LRT31" s="384"/>
      <c r="LRU31" s="384"/>
      <c r="LRV31" s="384"/>
      <c r="LRW31" s="384"/>
      <c r="LRX31" s="384"/>
      <c r="LRY31" s="384"/>
      <c r="LRZ31" s="384"/>
      <c r="LSA31" s="384"/>
      <c r="LSB31" s="384"/>
      <c r="LSC31" s="384"/>
      <c r="LSD31" s="384"/>
      <c r="LSE31" s="384"/>
      <c r="LSF31" s="384"/>
      <c r="LSG31" s="384"/>
      <c r="LSH31" s="384"/>
      <c r="LSI31" s="384"/>
      <c r="LSJ31" s="384"/>
      <c r="LSK31" s="384"/>
      <c r="LSL31" s="384"/>
      <c r="LSM31" s="384"/>
      <c r="LSN31" s="384"/>
      <c r="LSO31" s="384"/>
      <c r="LSP31" s="384"/>
      <c r="LSQ31" s="384"/>
      <c r="LSR31" s="384"/>
      <c r="LSS31" s="384"/>
      <c r="LST31" s="384"/>
      <c r="LSU31" s="384"/>
      <c r="LSV31" s="384"/>
      <c r="LSW31" s="384"/>
      <c r="LSX31" s="384"/>
      <c r="LSY31" s="384"/>
      <c r="LSZ31" s="384"/>
      <c r="LTA31" s="384"/>
      <c r="LTB31" s="384"/>
      <c r="LTC31" s="384"/>
      <c r="LTD31" s="384"/>
      <c r="LTE31" s="384"/>
      <c r="LTF31" s="384"/>
      <c r="LTG31" s="384"/>
      <c r="LTH31" s="384"/>
      <c r="LTI31" s="384"/>
      <c r="LTJ31" s="384"/>
      <c r="LTK31" s="384"/>
      <c r="LTL31" s="384"/>
      <c r="LTM31" s="384"/>
      <c r="LTN31" s="384"/>
      <c r="LTO31" s="384"/>
      <c r="LTP31" s="384"/>
      <c r="LTQ31" s="384"/>
      <c r="LTR31" s="384"/>
      <c r="LTS31" s="384"/>
      <c r="LTT31" s="384"/>
      <c r="LTU31" s="384"/>
      <c r="LTV31" s="384"/>
      <c r="LTW31" s="384"/>
      <c r="LTX31" s="384"/>
      <c r="LTY31" s="384"/>
      <c r="LTZ31" s="384"/>
      <c r="LUA31" s="384"/>
      <c r="LUB31" s="384"/>
      <c r="LUC31" s="384"/>
      <c r="LUD31" s="384"/>
      <c r="LUE31" s="384"/>
      <c r="LUF31" s="384"/>
      <c r="LUG31" s="384"/>
      <c r="LUH31" s="384"/>
      <c r="LUI31" s="384"/>
      <c r="LUJ31" s="384"/>
      <c r="LUK31" s="384"/>
      <c r="LUL31" s="384"/>
      <c r="LUM31" s="384"/>
      <c r="LUN31" s="384"/>
      <c r="LUO31" s="384"/>
      <c r="LUP31" s="384"/>
      <c r="LUQ31" s="384"/>
      <c r="LUR31" s="384"/>
      <c r="LUS31" s="384"/>
      <c r="LUT31" s="384"/>
      <c r="LUU31" s="384"/>
      <c r="LUV31" s="384"/>
      <c r="LUW31" s="384"/>
      <c r="LUX31" s="384"/>
      <c r="LUY31" s="384"/>
      <c r="LUZ31" s="384"/>
      <c r="LVA31" s="384"/>
      <c r="LVB31" s="384"/>
      <c r="LVC31" s="384"/>
      <c r="LVD31" s="384"/>
      <c r="LVE31" s="384"/>
      <c r="LVF31" s="384"/>
      <c r="LVG31" s="384"/>
      <c r="LVH31" s="384"/>
      <c r="LVI31" s="384"/>
      <c r="LVJ31" s="384"/>
      <c r="LVK31" s="384"/>
      <c r="LVL31" s="384"/>
      <c r="LVM31" s="384"/>
      <c r="LVN31" s="384"/>
      <c r="LVO31" s="384"/>
      <c r="LVP31" s="384"/>
      <c r="LVQ31" s="384"/>
      <c r="LVR31" s="384"/>
      <c r="LVS31" s="384"/>
      <c r="LVT31" s="384"/>
      <c r="LVU31" s="384"/>
      <c r="LVV31" s="384"/>
      <c r="LVW31" s="384"/>
      <c r="LVX31" s="384"/>
      <c r="LVY31" s="384"/>
      <c r="LVZ31" s="384"/>
      <c r="LWA31" s="384"/>
      <c r="LWB31" s="384"/>
      <c r="LWC31" s="384"/>
      <c r="LWD31" s="384"/>
      <c r="LWE31" s="384"/>
      <c r="LWF31" s="384"/>
      <c r="LWG31" s="384"/>
      <c r="LWH31" s="384"/>
      <c r="LWI31" s="384"/>
      <c r="LWJ31" s="384"/>
      <c r="LWK31" s="384"/>
      <c r="LWL31" s="384"/>
      <c r="LWM31" s="384"/>
      <c r="LWN31" s="384"/>
      <c r="LWO31" s="384"/>
      <c r="LWP31" s="384"/>
      <c r="LWQ31" s="384"/>
      <c r="LWR31" s="384"/>
      <c r="LWS31" s="384"/>
      <c r="LWT31" s="384"/>
      <c r="LWU31" s="384"/>
      <c r="LWV31" s="384"/>
      <c r="LWW31" s="384"/>
      <c r="LWX31" s="384"/>
      <c r="LWY31" s="384"/>
      <c r="LWZ31" s="384"/>
      <c r="LXA31" s="384"/>
      <c r="LXB31" s="384"/>
      <c r="LXC31" s="384"/>
      <c r="LXD31" s="384"/>
      <c r="LXE31" s="384"/>
      <c r="LXF31" s="384"/>
      <c r="LXG31" s="384"/>
      <c r="LXH31" s="384"/>
      <c r="LXI31" s="384"/>
      <c r="LXJ31" s="384"/>
      <c r="LXK31" s="384"/>
      <c r="LXL31" s="384"/>
      <c r="LXM31" s="384"/>
      <c r="LXN31" s="384"/>
      <c r="LXO31" s="384"/>
      <c r="LXP31" s="384"/>
      <c r="LXQ31" s="384"/>
      <c r="LXR31" s="384"/>
      <c r="LXS31" s="384"/>
      <c r="LXT31" s="384"/>
      <c r="LXU31" s="384"/>
      <c r="LXV31" s="384"/>
      <c r="LXW31" s="384"/>
      <c r="LXX31" s="384"/>
      <c r="LXY31" s="384"/>
      <c r="LXZ31" s="384"/>
      <c r="LYA31" s="384"/>
      <c r="LYB31" s="384"/>
      <c r="LYC31" s="384"/>
      <c r="LYD31" s="384"/>
      <c r="LYE31" s="384"/>
      <c r="LYF31" s="384"/>
      <c r="LYG31" s="384"/>
      <c r="LYH31" s="384"/>
      <c r="LYI31" s="384"/>
      <c r="LYJ31" s="384"/>
      <c r="LYK31" s="384"/>
      <c r="LYL31" s="384"/>
      <c r="LYM31" s="384"/>
      <c r="LYN31" s="384"/>
      <c r="LYO31" s="384"/>
      <c r="LYP31" s="384"/>
      <c r="LYQ31" s="384"/>
      <c r="LYR31" s="384"/>
      <c r="LYS31" s="384"/>
      <c r="LYT31" s="384"/>
      <c r="LYU31" s="384"/>
      <c r="LYV31" s="384"/>
      <c r="LYW31" s="384"/>
      <c r="LYX31" s="384"/>
      <c r="LYY31" s="384"/>
      <c r="LYZ31" s="384"/>
      <c r="LZA31" s="384"/>
      <c r="LZB31" s="384"/>
      <c r="LZC31" s="384"/>
      <c r="LZD31" s="384"/>
      <c r="LZE31" s="384"/>
      <c r="LZF31" s="384"/>
      <c r="LZG31" s="384"/>
      <c r="LZH31" s="384"/>
      <c r="LZI31" s="384"/>
      <c r="LZJ31" s="384"/>
      <c r="LZK31" s="384"/>
      <c r="LZL31" s="384"/>
      <c r="LZM31" s="384"/>
      <c r="LZN31" s="384"/>
      <c r="LZO31" s="384"/>
      <c r="LZP31" s="384"/>
      <c r="LZQ31" s="384"/>
      <c r="LZR31" s="384"/>
      <c r="LZS31" s="384"/>
      <c r="LZT31" s="384"/>
      <c r="LZU31" s="384"/>
      <c r="LZV31" s="384"/>
      <c r="LZW31" s="384"/>
      <c r="LZX31" s="384"/>
      <c r="LZY31" s="384"/>
      <c r="LZZ31" s="384"/>
      <c r="MAA31" s="384"/>
      <c r="MAB31" s="384"/>
      <c r="MAC31" s="384"/>
      <c r="MAD31" s="384"/>
      <c r="MAE31" s="384"/>
      <c r="MAF31" s="384"/>
      <c r="MAG31" s="384"/>
      <c r="MAH31" s="384"/>
      <c r="MAI31" s="384"/>
      <c r="MAJ31" s="384"/>
      <c r="MAK31" s="384"/>
      <c r="MAL31" s="384"/>
      <c r="MAM31" s="384"/>
      <c r="MAN31" s="384"/>
      <c r="MAO31" s="384"/>
      <c r="MAP31" s="384"/>
      <c r="MAQ31" s="384"/>
      <c r="MAR31" s="384"/>
      <c r="MAS31" s="384"/>
      <c r="MAT31" s="384"/>
      <c r="MAU31" s="384"/>
      <c r="MAV31" s="384"/>
      <c r="MAW31" s="384"/>
      <c r="MAX31" s="384"/>
      <c r="MAY31" s="384"/>
      <c r="MAZ31" s="384"/>
      <c r="MBA31" s="384"/>
      <c r="MBB31" s="384"/>
      <c r="MBC31" s="384"/>
      <c r="MBD31" s="384"/>
      <c r="MBE31" s="384"/>
      <c r="MBF31" s="384"/>
      <c r="MBG31" s="384"/>
      <c r="MBH31" s="384"/>
      <c r="MBI31" s="384"/>
      <c r="MBJ31" s="384"/>
      <c r="MBK31" s="384"/>
      <c r="MBL31" s="384"/>
      <c r="MBM31" s="384"/>
      <c r="MBN31" s="384"/>
      <c r="MBO31" s="384"/>
      <c r="MBP31" s="384"/>
      <c r="MBQ31" s="384"/>
      <c r="MBR31" s="384"/>
      <c r="MBS31" s="384"/>
      <c r="MBT31" s="384"/>
      <c r="MBU31" s="384"/>
      <c r="MBV31" s="384"/>
      <c r="MBW31" s="384"/>
      <c r="MBX31" s="384"/>
      <c r="MBY31" s="384"/>
      <c r="MBZ31" s="384"/>
      <c r="MCA31" s="384"/>
      <c r="MCB31" s="384"/>
      <c r="MCC31" s="384"/>
      <c r="MCD31" s="384"/>
      <c r="MCE31" s="384"/>
      <c r="MCF31" s="384"/>
      <c r="MCG31" s="384"/>
      <c r="MCH31" s="384"/>
      <c r="MCI31" s="384"/>
      <c r="MCJ31" s="384"/>
      <c r="MCK31" s="384"/>
      <c r="MCL31" s="384"/>
      <c r="MCM31" s="384"/>
      <c r="MCN31" s="384"/>
      <c r="MCO31" s="384"/>
      <c r="MCP31" s="384"/>
      <c r="MCQ31" s="384"/>
      <c r="MCR31" s="384"/>
      <c r="MCS31" s="384"/>
      <c r="MCT31" s="384"/>
      <c r="MCU31" s="384"/>
      <c r="MCV31" s="384"/>
      <c r="MCW31" s="384"/>
      <c r="MCX31" s="384"/>
      <c r="MCY31" s="384"/>
      <c r="MCZ31" s="384"/>
      <c r="MDA31" s="384"/>
      <c r="MDB31" s="384"/>
      <c r="MDC31" s="384"/>
      <c r="MDD31" s="384"/>
      <c r="MDE31" s="384"/>
      <c r="MDF31" s="384"/>
      <c r="MDG31" s="384"/>
      <c r="MDH31" s="384"/>
      <c r="MDI31" s="384"/>
      <c r="MDJ31" s="384"/>
      <c r="MDK31" s="384"/>
      <c r="MDL31" s="384"/>
      <c r="MDM31" s="384"/>
      <c r="MDN31" s="384"/>
      <c r="MDO31" s="384"/>
      <c r="MDP31" s="384"/>
      <c r="MDQ31" s="384"/>
      <c r="MDR31" s="384"/>
      <c r="MDS31" s="384"/>
      <c r="MDT31" s="384"/>
      <c r="MDU31" s="384"/>
      <c r="MDV31" s="384"/>
      <c r="MDW31" s="384"/>
      <c r="MDX31" s="384"/>
      <c r="MDY31" s="384"/>
      <c r="MDZ31" s="384"/>
      <c r="MEA31" s="384"/>
      <c r="MEB31" s="384"/>
      <c r="MEC31" s="384"/>
      <c r="MED31" s="384"/>
      <c r="MEE31" s="384"/>
      <c r="MEF31" s="384"/>
      <c r="MEG31" s="384"/>
      <c r="MEH31" s="384"/>
      <c r="MEI31" s="384"/>
      <c r="MEJ31" s="384"/>
      <c r="MEK31" s="384"/>
      <c r="MEL31" s="384"/>
      <c r="MEM31" s="384"/>
      <c r="MEN31" s="384"/>
      <c r="MEO31" s="384"/>
      <c r="MEP31" s="384"/>
      <c r="MEQ31" s="384"/>
      <c r="MER31" s="384"/>
      <c r="MES31" s="384"/>
      <c r="MET31" s="384"/>
      <c r="MEU31" s="384"/>
      <c r="MEV31" s="384"/>
      <c r="MEW31" s="384"/>
      <c r="MEX31" s="384"/>
      <c r="MEY31" s="384"/>
      <c r="MEZ31" s="384"/>
      <c r="MFA31" s="384"/>
      <c r="MFB31" s="384"/>
      <c r="MFC31" s="384"/>
      <c r="MFD31" s="384"/>
      <c r="MFE31" s="384"/>
      <c r="MFF31" s="384"/>
      <c r="MFG31" s="384"/>
      <c r="MFH31" s="384"/>
      <c r="MFI31" s="384"/>
      <c r="MFJ31" s="384"/>
      <c r="MFK31" s="384"/>
      <c r="MFL31" s="384"/>
      <c r="MFM31" s="384"/>
      <c r="MFN31" s="384"/>
      <c r="MFO31" s="384"/>
      <c r="MFP31" s="384"/>
      <c r="MFQ31" s="384"/>
      <c r="MFR31" s="384"/>
      <c r="MFS31" s="384"/>
      <c r="MFT31" s="384"/>
      <c r="MFU31" s="384"/>
      <c r="MFV31" s="384"/>
      <c r="MFW31" s="384"/>
      <c r="MFX31" s="384"/>
      <c r="MFY31" s="384"/>
      <c r="MFZ31" s="384"/>
      <c r="MGA31" s="384"/>
      <c r="MGB31" s="384"/>
      <c r="MGC31" s="384"/>
      <c r="MGD31" s="384"/>
      <c r="MGE31" s="384"/>
      <c r="MGF31" s="384"/>
      <c r="MGG31" s="384"/>
      <c r="MGH31" s="384"/>
      <c r="MGI31" s="384"/>
      <c r="MGJ31" s="384"/>
      <c r="MGK31" s="384"/>
      <c r="MGL31" s="384"/>
      <c r="MGM31" s="384"/>
      <c r="MGN31" s="384"/>
      <c r="MGO31" s="384"/>
      <c r="MGP31" s="384"/>
      <c r="MGQ31" s="384"/>
      <c r="MGR31" s="384"/>
      <c r="MGS31" s="384"/>
      <c r="MGT31" s="384"/>
      <c r="MGU31" s="384"/>
      <c r="MGV31" s="384"/>
      <c r="MGW31" s="384"/>
      <c r="MGX31" s="384"/>
      <c r="MGY31" s="384"/>
      <c r="MGZ31" s="384"/>
      <c r="MHA31" s="384"/>
      <c r="MHB31" s="384"/>
      <c r="MHC31" s="384"/>
      <c r="MHD31" s="384"/>
      <c r="MHE31" s="384"/>
      <c r="MHF31" s="384"/>
      <c r="MHG31" s="384"/>
      <c r="MHH31" s="384"/>
      <c r="MHI31" s="384"/>
      <c r="MHJ31" s="384"/>
      <c r="MHK31" s="384"/>
      <c r="MHL31" s="384"/>
      <c r="MHM31" s="384"/>
      <c r="MHN31" s="384"/>
      <c r="MHO31" s="384"/>
      <c r="MHP31" s="384"/>
      <c r="MHQ31" s="384"/>
      <c r="MHR31" s="384"/>
      <c r="MHS31" s="384"/>
      <c r="MHT31" s="384"/>
      <c r="MHU31" s="384"/>
      <c r="MHV31" s="384"/>
      <c r="MHW31" s="384"/>
      <c r="MHX31" s="384"/>
      <c r="MHY31" s="384"/>
      <c r="MHZ31" s="384"/>
      <c r="MIA31" s="384"/>
      <c r="MIB31" s="384"/>
      <c r="MIC31" s="384"/>
      <c r="MID31" s="384"/>
      <c r="MIE31" s="384"/>
      <c r="MIF31" s="384"/>
      <c r="MIG31" s="384"/>
      <c r="MIH31" s="384"/>
      <c r="MII31" s="384"/>
      <c r="MIJ31" s="384"/>
      <c r="MIK31" s="384"/>
      <c r="MIL31" s="384"/>
      <c r="MIM31" s="384"/>
      <c r="MIN31" s="384"/>
      <c r="MIO31" s="384"/>
      <c r="MIP31" s="384"/>
      <c r="MIQ31" s="384"/>
      <c r="MIR31" s="384"/>
      <c r="MIS31" s="384"/>
      <c r="MIT31" s="384"/>
      <c r="MIU31" s="384"/>
      <c r="MIV31" s="384"/>
      <c r="MIW31" s="384"/>
      <c r="MIX31" s="384"/>
      <c r="MIY31" s="384"/>
      <c r="MIZ31" s="384"/>
      <c r="MJA31" s="384"/>
      <c r="MJB31" s="384"/>
      <c r="MJC31" s="384"/>
      <c r="MJD31" s="384"/>
      <c r="MJE31" s="384"/>
      <c r="MJF31" s="384"/>
      <c r="MJG31" s="384"/>
      <c r="MJH31" s="384"/>
      <c r="MJI31" s="384"/>
      <c r="MJJ31" s="384"/>
      <c r="MJK31" s="384"/>
      <c r="MJL31" s="384"/>
      <c r="MJM31" s="384"/>
      <c r="MJN31" s="384"/>
      <c r="MJO31" s="384"/>
      <c r="MJP31" s="384"/>
      <c r="MJQ31" s="384"/>
      <c r="MJR31" s="384"/>
      <c r="MJS31" s="384"/>
      <c r="MJT31" s="384"/>
      <c r="MJU31" s="384"/>
      <c r="MJV31" s="384"/>
      <c r="MJW31" s="384"/>
      <c r="MJX31" s="384"/>
      <c r="MJY31" s="384"/>
      <c r="MJZ31" s="384"/>
      <c r="MKA31" s="384"/>
      <c r="MKB31" s="384"/>
      <c r="MKC31" s="384"/>
      <c r="MKD31" s="384"/>
      <c r="MKE31" s="384"/>
      <c r="MKF31" s="384"/>
      <c r="MKG31" s="384"/>
      <c r="MKH31" s="384"/>
      <c r="MKI31" s="384"/>
      <c r="MKJ31" s="384"/>
      <c r="MKK31" s="384"/>
      <c r="MKL31" s="384"/>
      <c r="MKM31" s="384"/>
      <c r="MKN31" s="384"/>
      <c r="MKO31" s="384"/>
      <c r="MKP31" s="384"/>
      <c r="MKQ31" s="384"/>
      <c r="MKR31" s="384"/>
      <c r="MKS31" s="384"/>
      <c r="MKT31" s="384"/>
      <c r="MKU31" s="384"/>
      <c r="MKV31" s="384"/>
      <c r="MKW31" s="384"/>
      <c r="MKX31" s="384"/>
      <c r="MKY31" s="384"/>
      <c r="MKZ31" s="384"/>
      <c r="MLA31" s="384"/>
      <c r="MLB31" s="384"/>
      <c r="MLC31" s="384"/>
      <c r="MLD31" s="384"/>
      <c r="MLE31" s="384"/>
      <c r="MLF31" s="384"/>
      <c r="MLG31" s="384"/>
      <c r="MLH31" s="384"/>
      <c r="MLI31" s="384"/>
      <c r="MLJ31" s="384"/>
      <c r="MLK31" s="384"/>
      <c r="MLL31" s="384"/>
      <c r="MLM31" s="384"/>
      <c r="MLN31" s="384"/>
      <c r="MLO31" s="384"/>
      <c r="MLP31" s="384"/>
      <c r="MLQ31" s="384"/>
      <c r="MLR31" s="384"/>
      <c r="MLS31" s="384"/>
      <c r="MLT31" s="384"/>
      <c r="MLU31" s="384"/>
      <c r="MLV31" s="384"/>
      <c r="MLW31" s="384"/>
      <c r="MLX31" s="384"/>
      <c r="MLY31" s="384"/>
      <c r="MLZ31" s="384"/>
      <c r="MMA31" s="384"/>
      <c r="MMB31" s="384"/>
      <c r="MMC31" s="384"/>
      <c r="MMD31" s="384"/>
      <c r="MME31" s="384"/>
      <c r="MMF31" s="384"/>
      <c r="MMG31" s="384"/>
      <c r="MMH31" s="384"/>
      <c r="MMI31" s="384"/>
      <c r="MMJ31" s="384"/>
      <c r="MMK31" s="384"/>
      <c r="MML31" s="384"/>
      <c r="MMM31" s="384"/>
      <c r="MMN31" s="384"/>
      <c r="MMO31" s="384"/>
      <c r="MMP31" s="384"/>
      <c r="MMQ31" s="384"/>
      <c r="MMR31" s="384"/>
      <c r="MMS31" s="384"/>
      <c r="MMT31" s="384"/>
      <c r="MMU31" s="384"/>
      <c r="MMV31" s="384"/>
      <c r="MMW31" s="384"/>
      <c r="MMX31" s="384"/>
      <c r="MMY31" s="384"/>
      <c r="MMZ31" s="384"/>
      <c r="MNA31" s="384"/>
      <c r="MNB31" s="384"/>
      <c r="MNC31" s="384"/>
      <c r="MND31" s="384"/>
      <c r="MNE31" s="384"/>
      <c r="MNF31" s="384"/>
      <c r="MNG31" s="384"/>
      <c r="MNH31" s="384"/>
      <c r="MNI31" s="384"/>
      <c r="MNJ31" s="384"/>
      <c r="MNK31" s="384"/>
      <c r="MNL31" s="384"/>
      <c r="MNM31" s="384"/>
      <c r="MNN31" s="384"/>
      <c r="MNO31" s="384"/>
      <c r="MNP31" s="384"/>
      <c r="MNQ31" s="384"/>
      <c r="MNR31" s="384"/>
      <c r="MNS31" s="384"/>
      <c r="MNT31" s="384"/>
      <c r="MNU31" s="384"/>
      <c r="MNV31" s="384"/>
      <c r="MNW31" s="384"/>
      <c r="MNX31" s="384"/>
      <c r="MNY31" s="384"/>
      <c r="MNZ31" s="384"/>
      <c r="MOA31" s="384"/>
      <c r="MOB31" s="384"/>
      <c r="MOC31" s="384"/>
      <c r="MOD31" s="384"/>
      <c r="MOE31" s="384"/>
      <c r="MOF31" s="384"/>
      <c r="MOG31" s="384"/>
      <c r="MOH31" s="384"/>
      <c r="MOI31" s="384"/>
      <c r="MOJ31" s="384"/>
      <c r="MOK31" s="384"/>
      <c r="MOL31" s="384"/>
      <c r="MOM31" s="384"/>
      <c r="MON31" s="384"/>
      <c r="MOO31" s="384"/>
      <c r="MOP31" s="384"/>
      <c r="MOQ31" s="384"/>
      <c r="MOR31" s="384"/>
      <c r="MOS31" s="384"/>
      <c r="MOT31" s="384"/>
      <c r="MOU31" s="384"/>
      <c r="MOV31" s="384"/>
      <c r="MOW31" s="384"/>
      <c r="MOX31" s="384"/>
      <c r="MOY31" s="384"/>
      <c r="MOZ31" s="384"/>
      <c r="MPA31" s="384"/>
      <c r="MPB31" s="384"/>
      <c r="MPC31" s="384"/>
      <c r="MPD31" s="384"/>
      <c r="MPE31" s="384"/>
      <c r="MPF31" s="384"/>
      <c r="MPG31" s="384"/>
      <c r="MPH31" s="384"/>
      <c r="MPI31" s="384"/>
      <c r="MPJ31" s="384"/>
      <c r="MPK31" s="384"/>
      <c r="MPL31" s="384"/>
      <c r="MPM31" s="384"/>
      <c r="MPN31" s="384"/>
      <c r="MPO31" s="384"/>
      <c r="MPP31" s="384"/>
      <c r="MPQ31" s="384"/>
      <c r="MPR31" s="384"/>
      <c r="MPS31" s="384"/>
      <c r="MPT31" s="384"/>
      <c r="MPU31" s="384"/>
      <c r="MPV31" s="384"/>
      <c r="MPW31" s="384"/>
      <c r="MPX31" s="384"/>
      <c r="MPY31" s="384"/>
      <c r="MPZ31" s="384"/>
      <c r="MQA31" s="384"/>
      <c r="MQB31" s="384"/>
      <c r="MQC31" s="384"/>
      <c r="MQD31" s="384"/>
      <c r="MQE31" s="384"/>
      <c r="MQF31" s="384"/>
      <c r="MQG31" s="384"/>
      <c r="MQH31" s="384"/>
      <c r="MQI31" s="384"/>
      <c r="MQJ31" s="384"/>
      <c r="MQK31" s="384"/>
      <c r="MQL31" s="384"/>
      <c r="MQM31" s="384"/>
      <c r="MQN31" s="384"/>
      <c r="MQO31" s="384"/>
      <c r="MQP31" s="384"/>
      <c r="MQQ31" s="384"/>
      <c r="MQR31" s="384"/>
      <c r="MQS31" s="384"/>
      <c r="MQT31" s="384"/>
      <c r="MQU31" s="384"/>
      <c r="MQV31" s="384"/>
      <c r="MQW31" s="384"/>
      <c r="MQX31" s="384"/>
      <c r="MQY31" s="384"/>
      <c r="MQZ31" s="384"/>
      <c r="MRA31" s="384"/>
      <c r="MRB31" s="384"/>
      <c r="MRC31" s="384"/>
      <c r="MRD31" s="384"/>
      <c r="MRE31" s="384"/>
      <c r="MRF31" s="384"/>
      <c r="MRG31" s="384"/>
      <c r="MRH31" s="384"/>
      <c r="MRI31" s="384"/>
      <c r="MRJ31" s="384"/>
      <c r="MRK31" s="384"/>
      <c r="MRL31" s="384"/>
      <c r="MRM31" s="384"/>
      <c r="MRN31" s="384"/>
      <c r="MRO31" s="384"/>
      <c r="MRP31" s="384"/>
      <c r="MRQ31" s="384"/>
      <c r="MRR31" s="384"/>
      <c r="MRS31" s="384"/>
      <c r="MRT31" s="384"/>
      <c r="MRU31" s="384"/>
      <c r="MRV31" s="384"/>
      <c r="MRW31" s="384"/>
      <c r="MRX31" s="384"/>
      <c r="MRY31" s="384"/>
      <c r="MRZ31" s="384"/>
      <c r="MSA31" s="384"/>
      <c r="MSB31" s="384"/>
      <c r="MSC31" s="384"/>
      <c r="MSD31" s="384"/>
      <c r="MSE31" s="384"/>
      <c r="MSF31" s="384"/>
      <c r="MSG31" s="384"/>
      <c r="MSH31" s="384"/>
      <c r="MSI31" s="384"/>
      <c r="MSJ31" s="384"/>
      <c r="MSK31" s="384"/>
      <c r="MSL31" s="384"/>
      <c r="MSM31" s="384"/>
      <c r="MSN31" s="384"/>
      <c r="MSO31" s="384"/>
      <c r="MSP31" s="384"/>
      <c r="MSQ31" s="384"/>
      <c r="MSR31" s="384"/>
      <c r="MSS31" s="384"/>
      <c r="MST31" s="384"/>
      <c r="MSU31" s="384"/>
      <c r="MSV31" s="384"/>
      <c r="MSW31" s="384"/>
      <c r="MSX31" s="384"/>
      <c r="MSY31" s="384"/>
      <c r="MSZ31" s="384"/>
      <c r="MTA31" s="384"/>
      <c r="MTB31" s="384"/>
      <c r="MTC31" s="384"/>
      <c r="MTD31" s="384"/>
      <c r="MTE31" s="384"/>
      <c r="MTF31" s="384"/>
      <c r="MTG31" s="384"/>
      <c r="MTH31" s="384"/>
      <c r="MTI31" s="384"/>
      <c r="MTJ31" s="384"/>
      <c r="MTK31" s="384"/>
      <c r="MTL31" s="384"/>
      <c r="MTM31" s="384"/>
      <c r="MTN31" s="384"/>
      <c r="MTO31" s="384"/>
      <c r="MTP31" s="384"/>
      <c r="MTQ31" s="384"/>
      <c r="MTR31" s="384"/>
      <c r="MTS31" s="384"/>
      <c r="MTT31" s="384"/>
      <c r="MTU31" s="384"/>
      <c r="MTV31" s="384"/>
      <c r="MTW31" s="384"/>
      <c r="MTX31" s="384"/>
      <c r="MTY31" s="384"/>
      <c r="MTZ31" s="384"/>
      <c r="MUA31" s="384"/>
      <c r="MUB31" s="384"/>
      <c r="MUC31" s="384"/>
      <c r="MUD31" s="384"/>
      <c r="MUE31" s="384"/>
      <c r="MUF31" s="384"/>
      <c r="MUG31" s="384"/>
      <c r="MUH31" s="384"/>
      <c r="MUI31" s="384"/>
      <c r="MUJ31" s="384"/>
      <c r="MUK31" s="384"/>
      <c r="MUL31" s="384"/>
      <c r="MUM31" s="384"/>
      <c r="MUN31" s="384"/>
      <c r="MUO31" s="384"/>
      <c r="MUP31" s="384"/>
      <c r="MUQ31" s="384"/>
      <c r="MUR31" s="384"/>
      <c r="MUS31" s="384"/>
      <c r="MUT31" s="384"/>
      <c r="MUU31" s="384"/>
      <c r="MUV31" s="384"/>
      <c r="MUW31" s="384"/>
      <c r="MUX31" s="384"/>
      <c r="MUY31" s="384"/>
      <c r="MUZ31" s="384"/>
      <c r="MVA31" s="384"/>
      <c r="MVB31" s="384"/>
      <c r="MVC31" s="384"/>
      <c r="MVD31" s="384"/>
      <c r="MVE31" s="384"/>
      <c r="MVF31" s="384"/>
      <c r="MVG31" s="384"/>
      <c r="MVH31" s="384"/>
      <c r="MVI31" s="384"/>
      <c r="MVJ31" s="384"/>
      <c r="MVK31" s="384"/>
      <c r="MVL31" s="384"/>
      <c r="MVM31" s="384"/>
      <c r="MVN31" s="384"/>
      <c r="MVO31" s="384"/>
      <c r="MVP31" s="384"/>
      <c r="MVQ31" s="384"/>
      <c r="MVR31" s="384"/>
      <c r="MVS31" s="384"/>
      <c r="MVT31" s="384"/>
      <c r="MVU31" s="384"/>
      <c r="MVV31" s="384"/>
      <c r="MVW31" s="384"/>
      <c r="MVX31" s="384"/>
      <c r="MVY31" s="384"/>
      <c r="MVZ31" s="384"/>
      <c r="MWA31" s="384"/>
      <c r="MWB31" s="384"/>
      <c r="MWC31" s="384"/>
      <c r="MWD31" s="384"/>
      <c r="MWE31" s="384"/>
      <c r="MWF31" s="384"/>
      <c r="MWG31" s="384"/>
      <c r="MWH31" s="384"/>
      <c r="MWI31" s="384"/>
      <c r="MWJ31" s="384"/>
      <c r="MWK31" s="384"/>
      <c r="MWL31" s="384"/>
      <c r="MWM31" s="384"/>
      <c r="MWN31" s="384"/>
      <c r="MWO31" s="384"/>
      <c r="MWP31" s="384"/>
      <c r="MWQ31" s="384"/>
      <c r="MWR31" s="384"/>
      <c r="MWS31" s="384"/>
      <c r="MWT31" s="384"/>
      <c r="MWU31" s="384"/>
      <c r="MWV31" s="384"/>
      <c r="MWW31" s="384"/>
      <c r="MWX31" s="384"/>
      <c r="MWY31" s="384"/>
      <c r="MWZ31" s="384"/>
      <c r="MXA31" s="384"/>
      <c r="MXB31" s="384"/>
      <c r="MXC31" s="384"/>
      <c r="MXD31" s="384"/>
      <c r="MXE31" s="384"/>
      <c r="MXF31" s="384"/>
      <c r="MXG31" s="384"/>
      <c r="MXH31" s="384"/>
      <c r="MXI31" s="384"/>
      <c r="MXJ31" s="384"/>
      <c r="MXK31" s="384"/>
      <c r="MXL31" s="384"/>
      <c r="MXM31" s="384"/>
      <c r="MXN31" s="384"/>
      <c r="MXO31" s="384"/>
      <c r="MXP31" s="384"/>
      <c r="MXQ31" s="384"/>
      <c r="MXR31" s="384"/>
      <c r="MXS31" s="384"/>
      <c r="MXT31" s="384"/>
      <c r="MXU31" s="384"/>
      <c r="MXV31" s="384"/>
      <c r="MXW31" s="384"/>
      <c r="MXX31" s="384"/>
      <c r="MXY31" s="384"/>
      <c r="MXZ31" s="384"/>
      <c r="MYA31" s="384"/>
      <c r="MYB31" s="384"/>
      <c r="MYC31" s="384"/>
      <c r="MYD31" s="384"/>
      <c r="MYE31" s="384"/>
      <c r="MYF31" s="384"/>
      <c r="MYG31" s="384"/>
      <c r="MYH31" s="384"/>
      <c r="MYI31" s="384"/>
      <c r="MYJ31" s="384"/>
      <c r="MYK31" s="384"/>
      <c r="MYL31" s="384"/>
      <c r="MYM31" s="384"/>
      <c r="MYN31" s="384"/>
      <c r="MYO31" s="384"/>
      <c r="MYP31" s="384"/>
      <c r="MYQ31" s="384"/>
      <c r="MYR31" s="384"/>
      <c r="MYS31" s="384"/>
      <c r="MYT31" s="384"/>
      <c r="MYU31" s="384"/>
      <c r="MYV31" s="384"/>
      <c r="MYW31" s="384"/>
      <c r="MYX31" s="384"/>
      <c r="MYY31" s="384"/>
      <c r="MYZ31" s="384"/>
      <c r="MZA31" s="384"/>
      <c r="MZB31" s="384"/>
      <c r="MZC31" s="384"/>
      <c r="MZD31" s="384"/>
      <c r="MZE31" s="384"/>
      <c r="MZF31" s="384"/>
      <c r="MZG31" s="384"/>
      <c r="MZH31" s="384"/>
      <c r="MZI31" s="384"/>
      <c r="MZJ31" s="384"/>
      <c r="MZK31" s="384"/>
      <c r="MZL31" s="384"/>
      <c r="MZM31" s="384"/>
      <c r="MZN31" s="384"/>
      <c r="MZO31" s="384"/>
      <c r="MZP31" s="384"/>
      <c r="MZQ31" s="384"/>
      <c r="MZR31" s="384"/>
      <c r="MZS31" s="384"/>
      <c r="MZT31" s="384"/>
      <c r="MZU31" s="384"/>
      <c r="MZV31" s="384"/>
      <c r="MZW31" s="384"/>
      <c r="MZX31" s="384"/>
      <c r="MZY31" s="384"/>
      <c r="MZZ31" s="384"/>
      <c r="NAA31" s="384"/>
      <c r="NAB31" s="384"/>
      <c r="NAC31" s="384"/>
      <c r="NAD31" s="384"/>
      <c r="NAE31" s="384"/>
      <c r="NAF31" s="384"/>
      <c r="NAG31" s="384"/>
      <c r="NAH31" s="384"/>
      <c r="NAI31" s="384"/>
      <c r="NAJ31" s="384"/>
      <c r="NAK31" s="384"/>
      <c r="NAL31" s="384"/>
      <c r="NAM31" s="384"/>
      <c r="NAN31" s="384"/>
      <c r="NAO31" s="384"/>
      <c r="NAP31" s="384"/>
      <c r="NAQ31" s="384"/>
      <c r="NAR31" s="384"/>
      <c r="NAS31" s="384"/>
      <c r="NAT31" s="384"/>
      <c r="NAU31" s="384"/>
      <c r="NAV31" s="384"/>
      <c r="NAW31" s="384"/>
      <c r="NAX31" s="384"/>
      <c r="NAY31" s="384"/>
      <c r="NAZ31" s="384"/>
      <c r="NBA31" s="384"/>
      <c r="NBB31" s="384"/>
      <c r="NBC31" s="384"/>
      <c r="NBD31" s="384"/>
      <c r="NBE31" s="384"/>
      <c r="NBF31" s="384"/>
      <c r="NBG31" s="384"/>
      <c r="NBH31" s="384"/>
      <c r="NBI31" s="384"/>
      <c r="NBJ31" s="384"/>
      <c r="NBK31" s="384"/>
      <c r="NBL31" s="384"/>
      <c r="NBM31" s="384"/>
      <c r="NBN31" s="384"/>
      <c r="NBO31" s="384"/>
      <c r="NBP31" s="384"/>
      <c r="NBQ31" s="384"/>
      <c r="NBR31" s="384"/>
      <c r="NBS31" s="384"/>
      <c r="NBT31" s="384"/>
      <c r="NBU31" s="384"/>
      <c r="NBV31" s="384"/>
      <c r="NBW31" s="384"/>
      <c r="NBX31" s="384"/>
      <c r="NBY31" s="384"/>
      <c r="NBZ31" s="384"/>
      <c r="NCA31" s="384"/>
      <c r="NCB31" s="384"/>
      <c r="NCC31" s="384"/>
      <c r="NCD31" s="384"/>
      <c r="NCE31" s="384"/>
      <c r="NCF31" s="384"/>
      <c r="NCG31" s="384"/>
      <c r="NCH31" s="384"/>
      <c r="NCI31" s="384"/>
      <c r="NCJ31" s="384"/>
      <c r="NCK31" s="384"/>
      <c r="NCL31" s="384"/>
      <c r="NCM31" s="384"/>
      <c r="NCN31" s="384"/>
      <c r="NCO31" s="384"/>
      <c r="NCP31" s="384"/>
      <c r="NCQ31" s="384"/>
      <c r="NCR31" s="384"/>
      <c r="NCS31" s="384"/>
      <c r="NCT31" s="384"/>
      <c r="NCU31" s="384"/>
      <c r="NCV31" s="384"/>
      <c r="NCW31" s="384"/>
      <c r="NCX31" s="384"/>
      <c r="NCY31" s="384"/>
      <c r="NCZ31" s="384"/>
      <c r="NDA31" s="384"/>
      <c r="NDB31" s="384"/>
      <c r="NDC31" s="384"/>
      <c r="NDD31" s="384"/>
      <c r="NDE31" s="384"/>
      <c r="NDF31" s="384"/>
      <c r="NDG31" s="384"/>
      <c r="NDH31" s="384"/>
      <c r="NDI31" s="384"/>
      <c r="NDJ31" s="384"/>
      <c r="NDK31" s="384"/>
      <c r="NDL31" s="384"/>
      <c r="NDM31" s="384"/>
      <c r="NDN31" s="384"/>
      <c r="NDO31" s="384"/>
      <c r="NDP31" s="384"/>
      <c r="NDQ31" s="384"/>
      <c r="NDR31" s="384"/>
      <c r="NDS31" s="384"/>
      <c r="NDT31" s="384"/>
      <c r="NDU31" s="384"/>
      <c r="NDV31" s="384"/>
      <c r="NDW31" s="384"/>
      <c r="NDX31" s="384"/>
      <c r="NDY31" s="384"/>
      <c r="NDZ31" s="384"/>
      <c r="NEA31" s="384"/>
      <c r="NEB31" s="384"/>
      <c r="NEC31" s="384"/>
      <c r="NED31" s="384"/>
      <c r="NEE31" s="384"/>
      <c r="NEF31" s="384"/>
      <c r="NEG31" s="384"/>
      <c r="NEH31" s="384"/>
      <c r="NEI31" s="384"/>
      <c r="NEJ31" s="384"/>
      <c r="NEK31" s="384"/>
      <c r="NEL31" s="384"/>
      <c r="NEM31" s="384"/>
      <c r="NEN31" s="384"/>
      <c r="NEO31" s="384"/>
      <c r="NEP31" s="384"/>
      <c r="NEQ31" s="384"/>
      <c r="NER31" s="384"/>
      <c r="NES31" s="384"/>
      <c r="NET31" s="384"/>
      <c r="NEU31" s="384"/>
      <c r="NEV31" s="384"/>
      <c r="NEW31" s="384"/>
      <c r="NEX31" s="384"/>
      <c r="NEY31" s="384"/>
      <c r="NEZ31" s="384"/>
      <c r="NFA31" s="384"/>
      <c r="NFB31" s="384"/>
      <c r="NFC31" s="384"/>
      <c r="NFD31" s="384"/>
      <c r="NFE31" s="384"/>
      <c r="NFF31" s="384"/>
      <c r="NFG31" s="384"/>
      <c r="NFH31" s="384"/>
      <c r="NFI31" s="384"/>
      <c r="NFJ31" s="384"/>
      <c r="NFK31" s="384"/>
      <c r="NFL31" s="384"/>
      <c r="NFM31" s="384"/>
      <c r="NFN31" s="384"/>
      <c r="NFO31" s="384"/>
      <c r="NFP31" s="384"/>
      <c r="NFQ31" s="384"/>
      <c r="NFR31" s="384"/>
      <c r="NFS31" s="384"/>
      <c r="NFT31" s="384"/>
      <c r="NFU31" s="384"/>
      <c r="NFV31" s="384"/>
      <c r="NFW31" s="384"/>
      <c r="NFX31" s="384"/>
      <c r="NFY31" s="384"/>
      <c r="NFZ31" s="384"/>
      <c r="NGA31" s="384"/>
      <c r="NGB31" s="384"/>
      <c r="NGC31" s="384"/>
      <c r="NGD31" s="384"/>
      <c r="NGE31" s="384"/>
      <c r="NGF31" s="384"/>
      <c r="NGG31" s="384"/>
      <c r="NGH31" s="384"/>
      <c r="NGI31" s="384"/>
      <c r="NGJ31" s="384"/>
      <c r="NGK31" s="384"/>
      <c r="NGL31" s="384"/>
      <c r="NGM31" s="384"/>
      <c r="NGN31" s="384"/>
      <c r="NGO31" s="384"/>
      <c r="NGP31" s="384"/>
      <c r="NGQ31" s="384"/>
      <c r="NGR31" s="384"/>
      <c r="NGS31" s="384"/>
      <c r="NGT31" s="384"/>
      <c r="NGU31" s="384"/>
      <c r="NGV31" s="384"/>
      <c r="NGW31" s="384"/>
      <c r="NGX31" s="384"/>
      <c r="NGY31" s="384"/>
      <c r="NGZ31" s="384"/>
      <c r="NHA31" s="384"/>
      <c r="NHB31" s="384"/>
      <c r="NHC31" s="384"/>
      <c r="NHD31" s="384"/>
      <c r="NHE31" s="384"/>
      <c r="NHF31" s="384"/>
      <c r="NHG31" s="384"/>
      <c r="NHH31" s="384"/>
      <c r="NHI31" s="384"/>
      <c r="NHJ31" s="384"/>
      <c r="NHK31" s="384"/>
      <c r="NHL31" s="384"/>
      <c r="NHM31" s="384"/>
      <c r="NHN31" s="384"/>
      <c r="NHO31" s="384"/>
      <c r="NHP31" s="384"/>
      <c r="NHQ31" s="384"/>
      <c r="NHR31" s="384"/>
      <c r="NHS31" s="384"/>
      <c r="NHT31" s="384"/>
      <c r="NHU31" s="384"/>
      <c r="NHV31" s="384"/>
      <c r="NHW31" s="384"/>
      <c r="NHX31" s="384"/>
      <c r="NHY31" s="384"/>
      <c r="NHZ31" s="384"/>
      <c r="NIA31" s="384"/>
      <c r="NIB31" s="384"/>
      <c r="NIC31" s="384"/>
      <c r="NID31" s="384"/>
      <c r="NIE31" s="384"/>
      <c r="NIF31" s="384"/>
      <c r="NIG31" s="384"/>
      <c r="NIH31" s="384"/>
      <c r="NII31" s="384"/>
      <c r="NIJ31" s="384"/>
      <c r="NIK31" s="384"/>
      <c r="NIL31" s="384"/>
      <c r="NIM31" s="384"/>
      <c r="NIN31" s="384"/>
      <c r="NIO31" s="384"/>
      <c r="NIP31" s="384"/>
      <c r="NIQ31" s="384"/>
      <c r="NIR31" s="384"/>
      <c r="NIS31" s="384"/>
      <c r="NIT31" s="384"/>
      <c r="NIU31" s="384"/>
      <c r="NIV31" s="384"/>
      <c r="NIW31" s="384"/>
      <c r="NIX31" s="384"/>
      <c r="NIY31" s="384"/>
      <c r="NIZ31" s="384"/>
      <c r="NJA31" s="384"/>
      <c r="NJB31" s="384"/>
      <c r="NJC31" s="384"/>
      <c r="NJD31" s="384"/>
      <c r="NJE31" s="384"/>
      <c r="NJF31" s="384"/>
      <c r="NJG31" s="384"/>
      <c r="NJH31" s="384"/>
      <c r="NJI31" s="384"/>
      <c r="NJJ31" s="384"/>
      <c r="NJK31" s="384"/>
      <c r="NJL31" s="384"/>
      <c r="NJM31" s="384"/>
      <c r="NJN31" s="384"/>
      <c r="NJO31" s="384"/>
      <c r="NJP31" s="384"/>
      <c r="NJQ31" s="384"/>
      <c r="NJR31" s="384"/>
      <c r="NJS31" s="384"/>
      <c r="NJT31" s="384"/>
      <c r="NJU31" s="384"/>
      <c r="NJV31" s="384"/>
      <c r="NJW31" s="384"/>
      <c r="NJX31" s="384"/>
      <c r="NJY31" s="384"/>
      <c r="NJZ31" s="384"/>
      <c r="NKA31" s="384"/>
      <c r="NKB31" s="384"/>
      <c r="NKC31" s="384"/>
      <c r="NKD31" s="384"/>
      <c r="NKE31" s="384"/>
      <c r="NKF31" s="384"/>
      <c r="NKG31" s="384"/>
      <c r="NKH31" s="384"/>
      <c r="NKI31" s="384"/>
      <c r="NKJ31" s="384"/>
      <c r="NKK31" s="384"/>
      <c r="NKL31" s="384"/>
      <c r="NKM31" s="384"/>
      <c r="NKN31" s="384"/>
      <c r="NKO31" s="384"/>
      <c r="NKP31" s="384"/>
      <c r="NKQ31" s="384"/>
      <c r="NKR31" s="384"/>
      <c r="NKS31" s="384"/>
      <c r="NKT31" s="384"/>
      <c r="NKU31" s="384"/>
      <c r="NKV31" s="384"/>
      <c r="NKW31" s="384"/>
      <c r="NKX31" s="384"/>
      <c r="NKY31" s="384"/>
      <c r="NKZ31" s="384"/>
      <c r="NLA31" s="384"/>
      <c r="NLB31" s="384"/>
      <c r="NLC31" s="384"/>
      <c r="NLD31" s="384"/>
      <c r="NLE31" s="384"/>
      <c r="NLF31" s="384"/>
      <c r="NLG31" s="384"/>
      <c r="NLH31" s="384"/>
      <c r="NLI31" s="384"/>
      <c r="NLJ31" s="384"/>
      <c r="NLK31" s="384"/>
      <c r="NLL31" s="384"/>
      <c r="NLM31" s="384"/>
      <c r="NLN31" s="384"/>
      <c r="NLO31" s="384"/>
      <c r="NLP31" s="384"/>
      <c r="NLQ31" s="384"/>
      <c r="NLR31" s="384"/>
      <c r="NLS31" s="384"/>
      <c r="NLT31" s="384"/>
      <c r="NLU31" s="384"/>
      <c r="NLV31" s="384"/>
      <c r="NLW31" s="384"/>
      <c r="NLX31" s="384"/>
      <c r="NLY31" s="384"/>
      <c r="NLZ31" s="384"/>
      <c r="NMA31" s="384"/>
      <c r="NMB31" s="384"/>
      <c r="NMC31" s="384"/>
      <c r="NMD31" s="384"/>
      <c r="NME31" s="384"/>
      <c r="NMF31" s="384"/>
      <c r="NMG31" s="384"/>
      <c r="NMH31" s="384"/>
      <c r="NMI31" s="384"/>
      <c r="NMJ31" s="384"/>
      <c r="NMK31" s="384"/>
      <c r="NML31" s="384"/>
      <c r="NMM31" s="384"/>
      <c r="NMN31" s="384"/>
      <c r="NMO31" s="384"/>
      <c r="NMP31" s="384"/>
      <c r="NMQ31" s="384"/>
      <c r="NMR31" s="384"/>
      <c r="NMS31" s="384"/>
      <c r="NMT31" s="384"/>
      <c r="NMU31" s="384"/>
      <c r="NMV31" s="384"/>
      <c r="NMW31" s="384"/>
      <c r="NMX31" s="384"/>
      <c r="NMY31" s="384"/>
      <c r="NMZ31" s="384"/>
      <c r="NNA31" s="384"/>
      <c r="NNB31" s="384"/>
      <c r="NNC31" s="384"/>
      <c r="NND31" s="384"/>
      <c r="NNE31" s="384"/>
      <c r="NNF31" s="384"/>
      <c r="NNG31" s="384"/>
      <c r="NNH31" s="384"/>
      <c r="NNI31" s="384"/>
      <c r="NNJ31" s="384"/>
      <c r="NNK31" s="384"/>
      <c r="NNL31" s="384"/>
      <c r="NNM31" s="384"/>
      <c r="NNN31" s="384"/>
      <c r="NNO31" s="384"/>
      <c r="NNP31" s="384"/>
      <c r="NNQ31" s="384"/>
      <c r="NNR31" s="384"/>
      <c r="NNS31" s="384"/>
      <c r="NNT31" s="384"/>
      <c r="NNU31" s="384"/>
      <c r="NNV31" s="384"/>
      <c r="NNW31" s="384"/>
      <c r="NNX31" s="384"/>
      <c r="NNY31" s="384"/>
      <c r="NNZ31" s="384"/>
      <c r="NOA31" s="384"/>
      <c r="NOB31" s="384"/>
      <c r="NOC31" s="384"/>
      <c r="NOD31" s="384"/>
      <c r="NOE31" s="384"/>
      <c r="NOF31" s="384"/>
      <c r="NOG31" s="384"/>
      <c r="NOH31" s="384"/>
      <c r="NOI31" s="384"/>
      <c r="NOJ31" s="384"/>
      <c r="NOK31" s="384"/>
      <c r="NOL31" s="384"/>
      <c r="NOM31" s="384"/>
      <c r="NON31" s="384"/>
      <c r="NOO31" s="384"/>
      <c r="NOP31" s="384"/>
      <c r="NOQ31" s="384"/>
      <c r="NOR31" s="384"/>
      <c r="NOS31" s="384"/>
      <c r="NOT31" s="384"/>
      <c r="NOU31" s="384"/>
      <c r="NOV31" s="384"/>
      <c r="NOW31" s="384"/>
      <c r="NOX31" s="384"/>
      <c r="NOY31" s="384"/>
      <c r="NOZ31" s="384"/>
      <c r="NPA31" s="384"/>
      <c r="NPB31" s="384"/>
      <c r="NPC31" s="384"/>
      <c r="NPD31" s="384"/>
      <c r="NPE31" s="384"/>
      <c r="NPF31" s="384"/>
      <c r="NPG31" s="384"/>
      <c r="NPH31" s="384"/>
      <c r="NPI31" s="384"/>
      <c r="NPJ31" s="384"/>
      <c r="NPK31" s="384"/>
      <c r="NPL31" s="384"/>
      <c r="NPM31" s="384"/>
      <c r="NPN31" s="384"/>
      <c r="NPO31" s="384"/>
      <c r="NPP31" s="384"/>
      <c r="NPQ31" s="384"/>
      <c r="NPR31" s="384"/>
      <c r="NPS31" s="384"/>
      <c r="NPT31" s="384"/>
      <c r="NPU31" s="384"/>
      <c r="NPV31" s="384"/>
      <c r="NPW31" s="384"/>
      <c r="NPX31" s="384"/>
      <c r="NPY31" s="384"/>
      <c r="NPZ31" s="384"/>
      <c r="NQA31" s="384"/>
      <c r="NQB31" s="384"/>
      <c r="NQC31" s="384"/>
      <c r="NQD31" s="384"/>
      <c r="NQE31" s="384"/>
      <c r="NQF31" s="384"/>
      <c r="NQG31" s="384"/>
      <c r="NQH31" s="384"/>
      <c r="NQI31" s="384"/>
      <c r="NQJ31" s="384"/>
      <c r="NQK31" s="384"/>
      <c r="NQL31" s="384"/>
      <c r="NQM31" s="384"/>
      <c r="NQN31" s="384"/>
      <c r="NQO31" s="384"/>
      <c r="NQP31" s="384"/>
      <c r="NQQ31" s="384"/>
      <c r="NQR31" s="384"/>
      <c r="NQS31" s="384"/>
      <c r="NQT31" s="384"/>
      <c r="NQU31" s="384"/>
      <c r="NQV31" s="384"/>
      <c r="NQW31" s="384"/>
      <c r="NQX31" s="384"/>
      <c r="NQY31" s="384"/>
      <c r="NQZ31" s="384"/>
      <c r="NRA31" s="384"/>
      <c r="NRB31" s="384"/>
      <c r="NRC31" s="384"/>
      <c r="NRD31" s="384"/>
      <c r="NRE31" s="384"/>
      <c r="NRF31" s="384"/>
      <c r="NRG31" s="384"/>
      <c r="NRH31" s="384"/>
      <c r="NRI31" s="384"/>
      <c r="NRJ31" s="384"/>
      <c r="NRK31" s="384"/>
      <c r="NRL31" s="384"/>
      <c r="NRM31" s="384"/>
      <c r="NRN31" s="384"/>
      <c r="NRO31" s="384"/>
      <c r="NRP31" s="384"/>
      <c r="NRQ31" s="384"/>
      <c r="NRR31" s="384"/>
      <c r="NRS31" s="384"/>
      <c r="NRT31" s="384"/>
      <c r="NRU31" s="384"/>
      <c r="NRV31" s="384"/>
      <c r="NRW31" s="384"/>
      <c r="NRX31" s="384"/>
      <c r="NRY31" s="384"/>
      <c r="NRZ31" s="384"/>
      <c r="NSA31" s="384"/>
      <c r="NSB31" s="384"/>
      <c r="NSC31" s="384"/>
      <c r="NSD31" s="384"/>
      <c r="NSE31" s="384"/>
      <c r="NSF31" s="384"/>
      <c r="NSG31" s="384"/>
      <c r="NSH31" s="384"/>
      <c r="NSI31" s="384"/>
      <c r="NSJ31" s="384"/>
      <c r="NSK31" s="384"/>
      <c r="NSL31" s="384"/>
      <c r="NSM31" s="384"/>
      <c r="NSN31" s="384"/>
      <c r="NSO31" s="384"/>
      <c r="NSP31" s="384"/>
      <c r="NSQ31" s="384"/>
      <c r="NSR31" s="384"/>
      <c r="NSS31" s="384"/>
      <c r="NST31" s="384"/>
      <c r="NSU31" s="384"/>
      <c r="NSV31" s="384"/>
      <c r="NSW31" s="384"/>
      <c r="NSX31" s="384"/>
      <c r="NSY31" s="384"/>
      <c r="NSZ31" s="384"/>
      <c r="NTA31" s="384"/>
      <c r="NTB31" s="384"/>
      <c r="NTC31" s="384"/>
      <c r="NTD31" s="384"/>
      <c r="NTE31" s="384"/>
      <c r="NTF31" s="384"/>
      <c r="NTG31" s="384"/>
      <c r="NTH31" s="384"/>
      <c r="NTI31" s="384"/>
      <c r="NTJ31" s="384"/>
      <c r="NTK31" s="384"/>
      <c r="NTL31" s="384"/>
      <c r="NTM31" s="384"/>
      <c r="NTN31" s="384"/>
      <c r="NTO31" s="384"/>
      <c r="NTP31" s="384"/>
      <c r="NTQ31" s="384"/>
      <c r="NTR31" s="384"/>
      <c r="NTS31" s="384"/>
      <c r="NTT31" s="384"/>
      <c r="NTU31" s="384"/>
      <c r="NTV31" s="384"/>
      <c r="NTW31" s="384"/>
      <c r="NTX31" s="384"/>
      <c r="NTY31" s="384"/>
      <c r="NTZ31" s="384"/>
      <c r="NUA31" s="384"/>
      <c r="NUB31" s="384"/>
      <c r="NUC31" s="384"/>
      <c r="NUD31" s="384"/>
      <c r="NUE31" s="384"/>
      <c r="NUF31" s="384"/>
      <c r="NUG31" s="384"/>
      <c r="NUH31" s="384"/>
      <c r="NUI31" s="384"/>
      <c r="NUJ31" s="384"/>
      <c r="NUK31" s="384"/>
      <c r="NUL31" s="384"/>
      <c r="NUM31" s="384"/>
      <c r="NUN31" s="384"/>
      <c r="NUO31" s="384"/>
      <c r="NUP31" s="384"/>
      <c r="NUQ31" s="384"/>
      <c r="NUR31" s="384"/>
      <c r="NUS31" s="384"/>
      <c r="NUT31" s="384"/>
      <c r="NUU31" s="384"/>
      <c r="NUV31" s="384"/>
      <c r="NUW31" s="384"/>
      <c r="NUX31" s="384"/>
      <c r="NUY31" s="384"/>
      <c r="NUZ31" s="384"/>
      <c r="NVA31" s="384"/>
      <c r="NVB31" s="384"/>
      <c r="NVC31" s="384"/>
      <c r="NVD31" s="384"/>
      <c r="NVE31" s="384"/>
      <c r="NVF31" s="384"/>
      <c r="NVG31" s="384"/>
      <c r="NVH31" s="384"/>
      <c r="NVI31" s="384"/>
      <c r="NVJ31" s="384"/>
      <c r="NVK31" s="384"/>
      <c r="NVL31" s="384"/>
      <c r="NVM31" s="384"/>
      <c r="NVN31" s="384"/>
      <c r="NVO31" s="384"/>
      <c r="NVP31" s="384"/>
      <c r="NVQ31" s="384"/>
      <c r="NVR31" s="384"/>
      <c r="NVS31" s="384"/>
      <c r="NVT31" s="384"/>
      <c r="NVU31" s="384"/>
      <c r="NVV31" s="384"/>
      <c r="NVW31" s="384"/>
      <c r="NVX31" s="384"/>
      <c r="NVY31" s="384"/>
      <c r="NVZ31" s="384"/>
      <c r="NWA31" s="384"/>
      <c r="NWB31" s="384"/>
      <c r="NWC31" s="384"/>
      <c r="NWD31" s="384"/>
      <c r="NWE31" s="384"/>
      <c r="NWF31" s="384"/>
      <c r="NWG31" s="384"/>
      <c r="NWH31" s="384"/>
      <c r="NWI31" s="384"/>
      <c r="NWJ31" s="384"/>
      <c r="NWK31" s="384"/>
      <c r="NWL31" s="384"/>
      <c r="NWM31" s="384"/>
      <c r="NWN31" s="384"/>
      <c r="NWO31" s="384"/>
      <c r="NWP31" s="384"/>
      <c r="NWQ31" s="384"/>
      <c r="NWR31" s="384"/>
      <c r="NWS31" s="384"/>
      <c r="NWT31" s="384"/>
      <c r="NWU31" s="384"/>
      <c r="NWV31" s="384"/>
      <c r="NWW31" s="384"/>
      <c r="NWX31" s="384"/>
      <c r="NWY31" s="384"/>
      <c r="NWZ31" s="384"/>
      <c r="NXA31" s="384"/>
      <c r="NXB31" s="384"/>
      <c r="NXC31" s="384"/>
      <c r="NXD31" s="384"/>
      <c r="NXE31" s="384"/>
      <c r="NXF31" s="384"/>
      <c r="NXG31" s="384"/>
      <c r="NXH31" s="384"/>
      <c r="NXI31" s="384"/>
      <c r="NXJ31" s="384"/>
      <c r="NXK31" s="384"/>
      <c r="NXL31" s="384"/>
      <c r="NXM31" s="384"/>
      <c r="NXN31" s="384"/>
      <c r="NXO31" s="384"/>
      <c r="NXP31" s="384"/>
      <c r="NXQ31" s="384"/>
      <c r="NXR31" s="384"/>
      <c r="NXS31" s="384"/>
      <c r="NXT31" s="384"/>
      <c r="NXU31" s="384"/>
      <c r="NXV31" s="384"/>
      <c r="NXW31" s="384"/>
      <c r="NXX31" s="384"/>
      <c r="NXY31" s="384"/>
      <c r="NXZ31" s="384"/>
      <c r="NYA31" s="384"/>
      <c r="NYB31" s="384"/>
      <c r="NYC31" s="384"/>
      <c r="NYD31" s="384"/>
      <c r="NYE31" s="384"/>
      <c r="NYF31" s="384"/>
      <c r="NYG31" s="384"/>
      <c r="NYH31" s="384"/>
      <c r="NYI31" s="384"/>
      <c r="NYJ31" s="384"/>
      <c r="NYK31" s="384"/>
      <c r="NYL31" s="384"/>
      <c r="NYM31" s="384"/>
      <c r="NYN31" s="384"/>
      <c r="NYO31" s="384"/>
      <c r="NYP31" s="384"/>
      <c r="NYQ31" s="384"/>
      <c r="NYR31" s="384"/>
      <c r="NYS31" s="384"/>
      <c r="NYT31" s="384"/>
      <c r="NYU31" s="384"/>
      <c r="NYV31" s="384"/>
      <c r="NYW31" s="384"/>
      <c r="NYX31" s="384"/>
      <c r="NYY31" s="384"/>
      <c r="NYZ31" s="384"/>
      <c r="NZA31" s="384"/>
      <c r="NZB31" s="384"/>
      <c r="NZC31" s="384"/>
      <c r="NZD31" s="384"/>
      <c r="NZE31" s="384"/>
      <c r="NZF31" s="384"/>
      <c r="NZG31" s="384"/>
      <c r="NZH31" s="384"/>
      <c r="NZI31" s="384"/>
      <c r="NZJ31" s="384"/>
      <c r="NZK31" s="384"/>
      <c r="NZL31" s="384"/>
      <c r="NZM31" s="384"/>
      <c r="NZN31" s="384"/>
      <c r="NZO31" s="384"/>
      <c r="NZP31" s="384"/>
      <c r="NZQ31" s="384"/>
      <c r="NZR31" s="384"/>
      <c r="NZS31" s="384"/>
      <c r="NZT31" s="384"/>
      <c r="NZU31" s="384"/>
      <c r="NZV31" s="384"/>
      <c r="NZW31" s="384"/>
      <c r="NZX31" s="384"/>
      <c r="NZY31" s="384"/>
      <c r="NZZ31" s="384"/>
      <c r="OAA31" s="384"/>
      <c r="OAB31" s="384"/>
      <c r="OAC31" s="384"/>
      <c r="OAD31" s="384"/>
      <c r="OAE31" s="384"/>
      <c r="OAF31" s="384"/>
      <c r="OAG31" s="384"/>
      <c r="OAH31" s="384"/>
      <c r="OAI31" s="384"/>
      <c r="OAJ31" s="384"/>
      <c r="OAK31" s="384"/>
      <c r="OAL31" s="384"/>
      <c r="OAM31" s="384"/>
      <c r="OAN31" s="384"/>
      <c r="OAO31" s="384"/>
      <c r="OAP31" s="384"/>
      <c r="OAQ31" s="384"/>
      <c r="OAR31" s="384"/>
      <c r="OAS31" s="384"/>
      <c r="OAT31" s="384"/>
      <c r="OAU31" s="384"/>
      <c r="OAV31" s="384"/>
      <c r="OAW31" s="384"/>
      <c r="OAX31" s="384"/>
      <c r="OAY31" s="384"/>
      <c r="OAZ31" s="384"/>
      <c r="OBA31" s="384"/>
      <c r="OBB31" s="384"/>
      <c r="OBC31" s="384"/>
      <c r="OBD31" s="384"/>
      <c r="OBE31" s="384"/>
      <c r="OBF31" s="384"/>
      <c r="OBG31" s="384"/>
      <c r="OBH31" s="384"/>
      <c r="OBI31" s="384"/>
      <c r="OBJ31" s="384"/>
      <c r="OBK31" s="384"/>
      <c r="OBL31" s="384"/>
      <c r="OBM31" s="384"/>
      <c r="OBN31" s="384"/>
      <c r="OBO31" s="384"/>
      <c r="OBP31" s="384"/>
      <c r="OBQ31" s="384"/>
      <c r="OBR31" s="384"/>
      <c r="OBS31" s="384"/>
      <c r="OBT31" s="384"/>
      <c r="OBU31" s="384"/>
      <c r="OBV31" s="384"/>
      <c r="OBW31" s="384"/>
      <c r="OBX31" s="384"/>
      <c r="OBY31" s="384"/>
      <c r="OBZ31" s="384"/>
      <c r="OCA31" s="384"/>
      <c r="OCB31" s="384"/>
      <c r="OCC31" s="384"/>
      <c r="OCD31" s="384"/>
      <c r="OCE31" s="384"/>
      <c r="OCF31" s="384"/>
      <c r="OCG31" s="384"/>
      <c r="OCH31" s="384"/>
      <c r="OCI31" s="384"/>
      <c r="OCJ31" s="384"/>
      <c r="OCK31" s="384"/>
      <c r="OCL31" s="384"/>
      <c r="OCM31" s="384"/>
      <c r="OCN31" s="384"/>
      <c r="OCO31" s="384"/>
      <c r="OCP31" s="384"/>
      <c r="OCQ31" s="384"/>
      <c r="OCR31" s="384"/>
      <c r="OCS31" s="384"/>
      <c r="OCT31" s="384"/>
      <c r="OCU31" s="384"/>
      <c r="OCV31" s="384"/>
      <c r="OCW31" s="384"/>
      <c r="OCX31" s="384"/>
      <c r="OCY31" s="384"/>
      <c r="OCZ31" s="384"/>
      <c r="ODA31" s="384"/>
      <c r="ODB31" s="384"/>
      <c r="ODC31" s="384"/>
      <c r="ODD31" s="384"/>
      <c r="ODE31" s="384"/>
      <c r="ODF31" s="384"/>
      <c r="ODG31" s="384"/>
      <c r="ODH31" s="384"/>
      <c r="ODI31" s="384"/>
      <c r="ODJ31" s="384"/>
      <c r="ODK31" s="384"/>
      <c r="ODL31" s="384"/>
      <c r="ODM31" s="384"/>
      <c r="ODN31" s="384"/>
      <c r="ODO31" s="384"/>
      <c r="ODP31" s="384"/>
      <c r="ODQ31" s="384"/>
      <c r="ODR31" s="384"/>
      <c r="ODS31" s="384"/>
      <c r="ODT31" s="384"/>
      <c r="ODU31" s="384"/>
      <c r="ODV31" s="384"/>
      <c r="ODW31" s="384"/>
      <c r="ODX31" s="384"/>
      <c r="ODY31" s="384"/>
      <c r="ODZ31" s="384"/>
      <c r="OEA31" s="384"/>
      <c r="OEB31" s="384"/>
      <c r="OEC31" s="384"/>
      <c r="OED31" s="384"/>
      <c r="OEE31" s="384"/>
      <c r="OEF31" s="384"/>
      <c r="OEG31" s="384"/>
      <c r="OEH31" s="384"/>
      <c r="OEI31" s="384"/>
      <c r="OEJ31" s="384"/>
      <c r="OEK31" s="384"/>
      <c r="OEL31" s="384"/>
      <c r="OEM31" s="384"/>
      <c r="OEN31" s="384"/>
      <c r="OEO31" s="384"/>
      <c r="OEP31" s="384"/>
      <c r="OEQ31" s="384"/>
      <c r="OER31" s="384"/>
      <c r="OES31" s="384"/>
      <c r="OET31" s="384"/>
      <c r="OEU31" s="384"/>
      <c r="OEV31" s="384"/>
      <c r="OEW31" s="384"/>
      <c r="OEX31" s="384"/>
      <c r="OEY31" s="384"/>
      <c r="OEZ31" s="384"/>
      <c r="OFA31" s="384"/>
      <c r="OFB31" s="384"/>
      <c r="OFC31" s="384"/>
      <c r="OFD31" s="384"/>
      <c r="OFE31" s="384"/>
      <c r="OFF31" s="384"/>
      <c r="OFG31" s="384"/>
      <c r="OFH31" s="384"/>
      <c r="OFI31" s="384"/>
      <c r="OFJ31" s="384"/>
      <c r="OFK31" s="384"/>
      <c r="OFL31" s="384"/>
      <c r="OFM31" s="384"/>
      <c r="OFN31" s="384"/>
      <c r="OFO31" s="384"/>
      <c r="OFP31" s="384"/>
      <c r="OFQ31" s="384"/>
      <c r="OFR31" s="384"/>
      <c r="OFS31" s="384"/>
      <c r="OFT31" s="384"/>
      <c r="OFU31" s="384"/>
      <c r="OFV31" s="384"/>
      <c r="OFW31" s="384"/>
      <c r="OFX31" s="384"/>
      <c r="OFY31" s="384"/>
      <c r="OFZ31" s="384"/>
      <c r="OGA31" s="384"/>
      <c r="OGB31" s="384"/>
      <c r="OGC31" s="384"/>
      <c r="OGD31" s="384"/>
      <c r="OGE31" s="384"/>
      <c r="OGF31" s="384"/>
      <c r="OGG31" s="384"/>
      <c r="OGH31" s="384"/>
      <c r="OGI31" s="384"/>
      <c r="OGJ31" s="384"/>
      <c r="OGK31" s="384"/>
      <c r="OGL31" s="384"/>
      <c r="OGM31" s="384"/>
      <c r="OGN31" s="384"/>
      <c r="OGO31" s="384"/>
      <c r="OGP31" s="384"/>
      <c r="OGQ31" s="384"/>
      <c r="OGR31" s="384"/>
      <c r="OGS31" s="384"/>
      <c r="OGT31" s="384"/>
      <c r="OGU31" s="384"/>
      <c r="OGV31" s="384"/>
      <c r="OGW31" s="384"/>
      <c r="OGX31" s="384"/>
      <c r="OGY31" s="384"/>
      <c r="OGZ31" s="384"/>
      <c r="OHA31" s="384"/>
      <c r="OHB31" s="384"/>
      <c r="OHC31" s="384"/>
      <c r="OHD31" s="384"/>
      <c r="OHE31" s="384"/>
      <c r="OHF31" s="384"/>
      <c r="OHG31" s="384"/>
      <c r="OHH31" s="384"/>
      <c r="OHI31" s="384"/>
      <c r="OHJ31" s="384"/>
      <c r="OHK31" s="384"/>
      <c r="OHL31" s="384"/>
      <c r="OHM31" s="384"/>
      <c r="OHN31" s="384"/>
      <c r="OHO31" s="384"/>
      <c r="OHP31" s="384"/>
      <c r="OHQ31" s="384"/>
      <c r="OHR31" s="384"/>
      <c r="OHS31" s="384"/>
      <c r="OHT31" s="384"/>
      <c r="OHU31" s="384"/>
      <c r="OHV31" s="384"/>
      <c r="OHW31" s="384"/>
      <c r="OHX31" s="384"/>
      <c r="OHY31" s="384"/>
      <c r="OHZ31" s="384"/>
      <c r="OIA31" s="384"/>
      <c r="OIB31" s="384"/>
      <c r="OIC31" s="384"/>
      <c r="OID31" s="384"/>
      <c r="OIE31" s="384"/>
      <c r="OIF31" s="384"/>
      <c r="OIG31" s="384"/>
      <c r="OIH31" s="384"/>
      <c r="OII31" s="384"/>
      <c r="OIJ31" s="384"/>
      <c r="OIK31" s="384"/>
      <c r="OIL31" s="384"/>
      <c r="OIM31" s="384"/>
      <c r="OIN31" s="384"/>
      <c r="OIO31" s="384"/>
      <c r="OIP31" s="384"/>
      <c r="OIQ31" s="384"/>
      <c r="OIR31" s="384"/>
      <c r="OIS31" s="384"/>
      <c r="OIT31" s="384"/>
      <c r="OIU31" s="384"/>
      <c r="OIV31" s="384"/>
      <c r="OIW31" s="384"/>
      <c r="OIX31" s="384"/>
      <c r="OIY31" s="384"/>
      <c r="OIZ31" s="384"/>
      <c r="OJA31" s="384"/>
      <c r="OJB31" s="384"/>
      <c r="OJC31" s="384"/>
      <c r="OJD31" s="384"/>
      <c r="OJE31" s="384"/>
      <c r="OJF31" s="384"/>
      <c r="OJG31" s="384"/>
      <c r="OJH31" s="384"/>
      <c r="OJI31" s="384"/>
      <c r="OJJ31" s="384"/>
      <c r="OJK31" s="384"/>
      <c r="OJL31" s="384"/>
      <c r="OJM31" s="384"/>
      <c r="OJN31" s="384"/>
      <c r="OJO31" s="384"/>
      <c r="OJP31" s="384"/>
      <c r="OJQ31" s="384"/>
      <c r="OJR31" s="384"/>
      <c r="OJS31" s="384"/>
      <c r="OJT31" s="384"/>
      <c r="OJU31" s="384"/>
      <c r="OJV31" s="384"/>
      <c r="OJW31" s="384"/>
      <c r="OJX31" s="384"/>
      <c r="OJY31" s="384"/>
      <c r="OJZ31" s="384"/>
      <c r="OKA31" s="384"/>
      <c r="OKB31" s="384"/>
      <c r="OKC31" s="384"/>
      <c r="OKD31" s="384"/>
      <c r="OKE31" s="384"/>
      <c r="OKF31" s="384"/>
      <c r="OKG31" s="384"/>
      <c r="OKH31" s="384"/>
      <c r="OKI31" s="384"/>
      <c r="OKJ31" s="384"/>
      <c r="OKK31" s="384"/>
      <c r="OKL31" s="384"/>
      <c r="OKM31" s="384"/>
      <c r="OKN31" s="384"/>
      <c r="OKO31" s="384"/>
      <c r="OKP31" s="384"/>
      <c r="OKQ31" s="384"/>
      <c r="OKR31" s="384"/>
      <c r="OKS31" s="384"/>
      <c r="OKT31" s="384"/>
      <c r="OKU31" s="384"/>
      <c r="OKV31" s="384"/>
      <c r="OKW31" s="384"/>
      <c r="OKX31" s="384"/>
      <c r="OKY31" s="384"/>
      <c r="OKZ31" s="384"/>
      <c r="OLA31" s="384"/>
      <c r="OLB31" s="384"/>
      <c r="OLC31" s="384"/>
      <c r="OLD31" s="384"/>
      <c r="OLE31" s="384"/>
      <c r="OLF31" s="384"/>
      <c r="OLG31" s="384"/>
      <c r="OLH31" s="384"/>
      <c r="OLI31" s="384"/>
      <c r="OLJ31" s="384"/>
      <c r="OLK31" s="384"/>
      <c r="OLL31" s="384"/>
      <c r="OLM31" s="384"/>
      <c r="OLN31" s="384"/>
      <c r="OLO31" s="384"/>
      <c r="OLP31" s="384"/>
      <c r="OLQ31" s="384"/>
      <c r="OLR31" s="384"/>
      <c r="OLS31" s="384"/>
      <c r="OLT31" s="384"/>
      <c r="OLU31" s="384"/>
      <c r="OLV31" s="384"/>
      <c r="OLW31" s="384"/>
      <c r="OLX31" s="384"/>
      <c r="OLY31" s="384"/>
      <c r="OLZ31" s="384"/>
      <c r="OMA31" s="384"/>
      <c r="OMB31" s="384"/>
      <c r="OMC31" s="384"/>
      <c r="OMD31" s="384"/>
      <c r="OME31" s="384"/>
      <c r="OMF31" s="384"/>
      <c r="OMG31" s="384"/>
      <c r="OMH31" s="384"/>
      <c r="OMI31" s="384"/>
      <c r="OMJ31" s="384"/>
      <c r="OMK31" s="384"/>
      <c r="OML31" s="384"/>
      <c r="OMM31" s="384"/>
      <c r="OMN31" s="384"/>
      <c r="OMO31" s="384"/>
      <c r="OMP31" s="384"/>
      <c r="OMQ31" s="384"/>
      <c r="OMR31" s="384"/>
      <c r="OMS31" s="384"/>
      <c r="OMT31" s="384"/>
      <c r="OMU31" s="384"/>
      <c r="OMV31" s="384"/>
      <c r="OMW31" s="384"/>
      <c r="OMX31" s="384"/>
      <c r="OMY31" s="384"/>
      <c r="OMZ31" s="384"/>
      <c r="ONA31" s="384"/>
      <c r="ONB31" s="384"/>
      <c r="ONC31" s="384"/>
      <c r="OND31" s="384"/>
      <c r="ONE31" s="384"/>
      <c r="ONF31" s="384"/>
      <c r="ONG31" s="384"/>
      <c r="ONH31" s="384"/>
      <c r="ONI31" s="384"/>
      <c r="ONJ31" s="384"/>
      <c r="ONK31" s="384"/>
      <c r="ONL31" s="384"/>
      <c r="ONM31" s="384"/>
      <c r="ONN31" s="384"/>
      <c r="ONO31" s="384"/>
      <c r="ONP31" s="384"/>
      <c r="ONQ31" s="384"/>
      <c r="ONR31" s="384"/>
      <c r="ONS31" s="384"/>
      <c r="ONT31" s="384"/>
      <c r="ONU31" s="384"/>
      <c r="ONV31" s="384"/>
      <c r="ONW31" s="384"/>
      <c r="ONX31" s="384"/>
      <c r="ONY31" s="384"/>
      <c r="ONZ31" s="384"/>
      <c r="OOA31" s="384"/>
      <c r="OOB31" s="384"/>
      <c r="OOC31" s="384"/>
      <c r="OOD31" s="384"/>
      <c r="OOE31" s="384"/>
      <c r="OOF31" s="384"/>
      <c r="OOG31" s="384"/>
      <c r="OOH31" s="384"/>
      <c r="OOI31" s="384"/>
      <c r="OOJ31" s="384"/>
      <c r="OOK31" s="384"/>
      <c r="OOL31" s="384"/>
      <c r="OOM31" s="384"/>
      <c r="OON31" s="384"/>
      <c r="OOO31" s="384"/>
      <c r="OOP31" s="384"/>
      <c r="OOQ31" s="384"/>
      <c r="OOR31" s="384"/>
      <c r="OOS31" s="384"/>
      <c r="OOT31" s="384"/>
      <c r="OOU31" s="384"/>
      <c r="OOV31" s="384"/>
      <c r="OOW31" s="384"/>
      <c r="OOX31" s="384"/>
      <c r="OOY31" s="384"/>
      <c r="OOZ31" s="384"/>
      <c r="OPA31" s="384"/>
      <c r="OPB31" s="384"/>
      <c r="OPC31" s="384"/>
      <c r="OPD31" s="384"/>
      <c r="OPE31" s="384"/>
      <c r="OPF31" s="384"/>
      <c r="OPG31" s="384"/>
      <c r="OPH31" s="384"/>
      <c r="OPI31" s="384"/>
      <c r="OPJ31" s="384"/>
      <c r="OPK31" s="384"/>
      <c r="OPL31" s="384"/>
      <c r="OPM31" s="384"/>
      <c r="OPN31" s="384"/>
      <c r="OPO31" s="384"/>
      <c r="OPP31" s="384"/>
      <c r="OPQ31" s="384"/>
      <c r="OPR31" s="384"/>
      <c r="OPS31" s="384"/>
      <c r="OPT31" s="384"/>
      <c r="OPU31" s="384"/>
      <c r="OPV31" s="384"/>
      <c r="OPW31" s="384"/>
      <c r="OPX31" s="384"/>
      <c r="OPY31" s="384"/>
      <c r="OPZ31" s="384"/>
      <c r="OQA31" s="384"/>
      <c r="OQB31" s="384"/>
      <c r="OQC31" s="384"/>
      <c r="OQD31" s="384"/>
      <c r="OQE31" s="384"/>
      <c r="OQF31" s="384"/>
      <c r="OQG31" s="384"/>
      <c r="OQH31" s="384"/>
      <c r="OQI31" s="384"/>
      <c r="OQJ31" s="384"/>
      <c r="OQK31" s="384"/>
      <c r="OQL31" s="384"/>
      <c r="OQM31" s="384"/>
      <c r="OQN31" s="384"/>
      <c r="OQO31" s="384"/>
      <c r="OQP31" s="384"/>
      <c r="OQQ31" s="384"/>
      <c r="OQR31" s="384"/>
      <c r="OQS31" s="384"/>
      <c r="OQT31" s="384"/>
      <c r="OQU31" s="384"/>
      <c r="OQV31" s="384"/>
      <c r="OQW31" s="384"/>
      <c r="OQX31" s="384"/>
      <c r="OQY31" s="384"/>
      <c r="OQZ31" s="384"/>
      <c r="ORA31" s="384"/>
      <c r="ORB31" s="384"/>
      <c r="ORC31" s="384"/>
      <c r="ORD31" s="384"/>
      <c r="ORE31" s="384"/>
      <c r="ORF31" s="384"/>
      <c r="ORG31" s="384"/>
      <c r="ORH31" s="384"/>
      <c r="ORI31" s="384"/>
      <c r="ORJ31" s="384"/>
      <c r="ORK31" s="384"/>
      <c r="ORL31" s="384"/>
      <c r="ORM31" s="384"/>
      <c r="ORN31" s="384"/>
      <c r="ORO31" s="384"/>
      <c r="ORP31" s="384"/>
      <c r="ORQ31" s="384"/>
      <c r="ORR31" s="384"/>
      <c r="ORS31" s="384"/>
      <c r="ORT31" s="384"/>
      <c r="ORU31" s="384"/>
      <c r="ORV31" s="384"/>
      <c r="ORW31" s="384"/>
      <c r="ORX31" s="384"/>
      <c r="ORY31" s="384"/>
      <c r="ORZ31" s="384"/>
      <c r="OSA31" s="384"/>
      <c r="OSB31" s="384"/>
      <c r="OSC31" s="384"/>
      <c r="OSD31" s="384"/>
      <c r="OSE31" s="384"/>
      <c r="OSF31" s="384"/>
      <c r="OSG31" s="384"/>
      <c r="OSH31" s="384"/>
      <c r="OSI31" s="384"/>
      <c r="OSJ31" s="384"/>
      <c r="OSK31" s="384"/>
      <c r="OSL31" s="384"/>
      <c r="OSM31" s="384"/>
      <c r="OSN31" s="384"/>
      <c r="OSO31" s="384"/>
      <c r="OSP31" s="384"/>
      <c r="OSQ31" s="384"/>
      <c r="OSR31" s="384"/>
      <c r="OSS31" s="384"/>
      <c r="OST31" s="384"/>
      <c r="OSU31" s="384"/>
      <c r="OSV31" s="384"/>
      <c r="OSW31" s="384"/>
      <c r="OSX31" s="384"/>
      <c r="OSY31" s="384"/>
      <c r="OSZ31" s="384"/>
      <c r="OTA31" s="384"/>
      <c r="OTB31" s="384"/>
      <c r="OTC31" s="384"/>
      <c r="OTD31" s="384"/>
      <c r="OTE31" s="384"/>
      <c r="OTF31" s="384"/>
      <c r="OTG31" s="384"/>
      <c r="OTH31" s="384"/>
      <c r="OTI31" s="384"/>
      <c r="OTJ31" s="384"/>
      <c r="OTK31" s="384"/>
      <c r="OTL31" s="384"/>
      <c r="OTM31" s="384"/>
      <c r="OTN31" s="384"/>
      <c r="OTO31" s="384"/>
      <c r="OTP31" s="384"/>
      <c r="OTQ31" s="384"/>
      <c r="OTR31" s="384"/>
      <c r="OTS31" s="384"/>
      <c r="OTT31" s="384"/>
      <c r="OTU31" s="384"/>
      <c r="OTV31" s="384"/>
      <c r="OTW31" s="384"/>
      <c r="OTX31" s="384"/>
      <c r="OTY31" s="384"/>
      <c r="OTZ31" s="384"/>
      <c r="OUA31" s="384"/>
      <c r="OUB31" s="384"/>
      <c r="OUC31" s="384"/>
      <c r="OUD31" s="384"/>
      <c r="OUE31" s="384"/>
      <c r="OUF31" s="384"/>
      <c r="OUG31" s="384"/>
      <c r="OUH31" s="384"/>
      <c r="OUI31" s="384"/>
      <c r="OUJ31" s="384"/>
      <c r="OUK31" s="384"/>
      <c r="OUL31" s="384"/>
      <c r="OUM31" s="384"/>
      <c r="OUN31" s="384"/>
      <c r="OUO31" s="384"/>
      <c r="OUP31" s="384"/>
      <c r="OUQ31" s="384"/>
      <c r="OUR31" s="384"/>
      <c r="OUS31" s="384"/>
      <c r="OUT31" s="384"/>
      <c r="OUU31" s="384"/>
      <c r="OUV31" s="384"/>
      <c r="OUW31" s="384"/>
      <c r="OUX31" s="384"/>
      <c r="OUY31" s="384"/>
      <c r="OUZ31" s="384"/>
      <c r="OVA31" s="384"/>
      <c r="OVB31" s="384"/>
      <c r="OVC31" s="384"/>
      <c r="OVD31" s="384"/>
      <c r="OVE31" s="384"/>
      <c r="OVF31" s="384"/>
      <c r="OVG31" s="384"/>
      <c r="OVH31" s="384"/>
      <c r="OVI31" s="384"/>
      <c r="OVJ31" s="384"/>
      <c r="OVK31" s="384"/>
      <c r="OVL31" s="384"/>
      <c r="OVM31" s="384"/>
      <c r="OVN31" s="384"/>
      <c r="OVO31" s="384"/>
      <c r="OVP31" s="384"/>
      <c r="OVQ31" s="384"/>
      <c r="OVR31" s="384"/>
      <c r="OVS31" s="384"/>
      <c r="OVT31" s="384"/>
      <c r="OVU31" s="384"/>
      <c r="OVV31" s="384"/>
      <c r="OVW31" s="384"/>
      <c r="OVX31" s="384"/>
      <c r="OVY31" s="384"/>
      <c r="OVZ31" s="384"/>
      <c r="OWA31" s="384"/>
      <c r="OWB31" s="384"/>
      <c r="OWC31" s="384"/>
      <c r="OWD31" s="384"/>
      <c r="OWE31" s="384"/>
      <c r="OWF31" s="384"/>
      <c r="OWG31" s="384"/>
      <c r="OWH31" s="384"/>
      <c r="OWI31" s="384"/>
      <c r="OWJ31" s="384"/>
      <c r="OWK31" s="384"/>
      <c r="OWL31" s="384"/>
      <c r="OWM31" s="384"/>
      <c r="OWN31" s="384"/>
      <c r="OWO31" s="384"/>
      <c r="OWP31" s="384"/>
      <c r="OWQ31" s="384"/>
      <c r="OWR31" s="384"/>
      <c r="OWS31" s="384"/>
      <c r="OWT31" s="384"/>
      <c r="OWU31" s="384"/>
      <c r="OWV31" s="384"/>
      <c r="OWW31" s="384"/>
      <c r="OWX31" s="384"/>
      <c r="OWY31" s="384"/>
      <c r="OWZ31" s="384"/>
      <c r="OXA31" s="384"/>
      <c r="OXB31" s="384"/>
      <c r="OXC31" s="384"/>
      <c r="OXD31" s="384"/>
      <c r="OXE31" s="384"/>
      <c r="OXF31" s="384"/>
      <c r="OXG31" s="384"/>
      <c r="OXH31" s="384"/>
      <c r="OXI31" s="384"/>
      <c r="OXJ31" s="384"/>
      <c r="OXK31" s="384"/>
      <c r="OXL31" s="384"/>
      <c r="OXM31" s="384"/>
      <c r="OXN31" s="384"/>
      <c r="OXO31" s="384"/>
      <c r="OXP31" s="384"/>
      <c r="OXQ31" s="384"/>
      <c r="OXR31" s="384"/>
      <c r="OXS31" s="384"/>
      <c r="OXT31" s="384"/>
      <c r="OXU31" s="384"/>
      <c r="OXV31" s="384"/>
      <c r="OXW31" s="384"/>
      <c r="OXX31" s="384"/>
      <c r="OXY31" s="384"/>
      <c r="OXZ31" s="384"/>
      <c r="OYA31" s="384"/>
      <c r="OYB31" s="384"/>
      <c r="OYC31" s="384"/>
      <c r="OYD31" s="384"/>
      <c r="OYE31" s="384"/>
      <c r="OYF31" s="384"/>
      <c r="OYG31" s="384"/>
      <c r="OYH31" s="384"/>
      <c r="OYI31" s="384"/>
      <c r="OYJ31" s="384"/>
      <c r="OYK31" s="384"/>
      <c r="OYL31" s="384"/>
      <c r="OYM31" s="384"/>
      <c r="OYN31" s="384"/>
      <c r="OYO31" s="384"/>
      <c r="OYP31" s="384"/>
      <c r="OYQ31" s="384"/>
      <c r="OYR31" s="384"/>
      <c r="OYS31" s="384"/>
      <c r="OYT31" s="384"/>
      <c r="OYU31" s="384"/>
      <c r="OYV31" s="384"/>
      <c r="OYW31" s="384"/>
      <c r="OYX31" s="384"/>
      <c r="OYY31" s="384"/>
      <c r="OYZ31" s="384"/>
      <c r="OZA31" s="384"/>
      <c r="OZB31" s="384"/>
      <c r="OZC31" s="384"/>
      <c r="OZD31" s="384"/>
      <c r="OZE31" s="384"/>
      <c r="OZF31" s="384"/>
      <c r="OZG31" s="384"/>
      <c r="OZH31" s="384"/>
      <c r="OZI31" s="384"/>
      <c r="OZJ31" s="384"/>
      <c r="OZK31" s="384"/>
      <c r="OZL31" s="384"/>
      <c r="OZM31" s="384"/>
      <c r="OZN31" s="384"/>
      <c r="OZO31" s="384"/>
      <c r="OZP31" s="384"/>
      <c r="OZQ31" s="384"/>
      <c r="OZR31" s="384"/>
      <c r="OZS31" s="384"/>
      <c r="OZT31" s="384"/>
      <c r="OZU31" s="384"/>
      <c r="OZV31" s="384"/>
      <c r="OZW31" s="384"/>
      <c r="OZX31" s="384"/>
      <c r="OZY31" s="384"/>
      <c r="OZZ31" s="384"/>
      <c r="PAA31" s="384"/>
      <c r="PAB31" s="384"/>
      <c r="PAC31" s="384"/>
      <c r="PAD31" s="384"/>
      <c r="PAE31" s="384"/>
      <c r="PAF31" s="384"/>
      <c r="PAG31" s="384"/>
      <c r="PAH31" s="384"/>
      <c r="PAI31" s="384"/>
      <c r="PAJ31" s="384"/>
      <c r="PAK31" s="384"/>
      <c r="PAL31" s="384"/>
      <c r="PAM31" s="384"/>
      <c r="PAN31" s="384"/>
      <c r="PAO31" s="384"/>
      <c r="PAP31" s="384"/>
      <c r="PAQ31" s="384"/>
      <c r="PAR31" s="384"/>
      <c r="PAS31" s="384"/>
      <c r="PAT31" s="384"/>
      <c r="PAU31" s="384"/>
      <c r="PAV31" s="384"/>
      <c r="PAW31" s="384"/>
      <c r="PAX31" s="384"/>
      <c r="PAY31" s="384"/>
      <c r="PAZ31" s="384"/>
      <c r="PBA31" s="384"/>
      <c r="PBB31" s="384"/>
      <c r="PBC31" s="384"/>
      <c r="PBD31" s="384"/>
      <c r="PBE31" s="384"/>
      <c r="PBF31" s="384"/>
      <c r="PBG31" s="384"/>
      <c r="PBH31" s="384"/>
      <c r="PBI31" s="384"/>
      <c r="PBJ31" s="384"/>
      <c r="PBK31" s="384"/>
      <c r="PBL31" s="384"/>
      <c r="PBM31" s="384"/>
      <c r="PBN31" s="384"/>
      <c r="PBO31" s="384"/>
      <c r="PBP31" s="384"/>
      <c r="PBQ31" s="384"/>
      <c r="PBR31" s="384"/>
      <c r="PBS31" s="384"/>
      <c r="PBT31" s="384"/>
      <c r="PBU31" s="384"/>
      <c r="PBV31" s="384"/>
      <c r="PBW31" s="384"/>
      <c r="PBX31" s="384"/>
      <c r="PBY31" s="384"/>
      <c r="PBZ31" s="384"/>
      <c r="PCA31" s="384"/>
      <c r="PCB31" s="384"/>
      <c r="PCC31" s="384"/>
      <c r="PCD31" s="384"/>
      <c r="PCE31" s="384"/>
      <c r="PCF31" s="384"/>
      <c r="PCG31" s="384"/>
      <c r="PCH31" s="384"/>
      <c r="PCI31" s="384"/>
      <c r="PCJ31" s="384"/>
      <c r="PCK31" s="384"/>
      <c r="PCL31" s="384"/>
      <c r="PCM31" s="384"/>
      <c r="PCN31" s="384"/>
      <c r="PCO31" s="384"/>
      <c r="PCP31" s="384"/>
      <c r="PCQ31" s="384"/>
      <c r="PCR31" s="384"/>
      <c r="PCS31" s="384"/>
      <c r="PCT31" s="384"/>
      <c r="PCU31" s="384"/>
      <c r="PCV31" s="384"/>
      <c r="PCW31" s="384"/>
      <c r="PCX31" s="384"/>
      <c r="PCY31" s="384"/>
      <c r="PCZ31" s="384"/>
      <c r="PDA31" s="384"/>
      <c r="PDB31" s="384"/>
      <c r="PDC31" s="384"/>
      <c r="PDD31" s="384"/>
      <c r="PDE31" s="384"/>
      <c r="PDF31" s="384"/>
      <c r="PDG31" s="384"/>
      <c r="PDH31" s="384"/>
      <c r="PDI31" s="384"/>
      <c r="PDJ31" s="384"/>
      <c r="PDK31" s="384"/>
      <c r="PDL31" s="384"/>
      <c r="PDM31" s="384"/>
      <c r="PDN31" s="384"/>
      <c r="PDO31" s="384"/>
      <c r="PDP31" s="384"/>
      <c r="PDQ31" s="384"/>
      <c r="PDR31" s="384"/>
      <c r="PDS31" s="384"/>
      <c r="PDT31" s="384"/>
      <c r="PDU31" s="384"/>
      <c r="PDV31" s="384"/>
      <c r="PDW31" s="384"/>
      <c r="PDX31" s="384"/>
      <c r="PDY31" s="384"/>
      <c r="PDZ31" s="384"/>
      <c r="PEA31" s="384"/>
      <c r="PEB31" s="384"/>
      <c r="PEC31" s="384"/>
      <c r="PED31" s="384"/>
      <c r="PEE31" s="384"/>
      <c r="PEF31" s="384"/>
      <c r="PEG31" s="384"/>
      <c r="PEH31" s="384"/>
      <c r="PEI31" s="384"/>
      <c r="PEJ31" s="384"/>
      <c r="PEK31" s="384"/>
      <c r="PEL31" s="384"/>
      <c r="PEM31" s="384"/>
      <c r="PEN31" s="384"/>
      <c r="PEO31" s="384"/>
      <c r="PEP31" s="384"/>
      <c r="PEQ31" s="384"/>
      <c r="PER31" s="384"/>
      <c r="PES31" s="384"/>
      <c r="PET31" s="384"/>
      <c r="PEU31" s="384"/>
      <c r="PEV31" s="384"/>
      <c r="PEW31" s="384"/>
      <c r="PEX31" s="384"/>
      <c r="PEY31" s="384"/>
      <c r="PEZ31" s="384"/>
      <c r="PFA31" s="384"/>
      <c r="PFB31" s="384"/>
      <c r="PFC31" s="384"/>
      <c r="PFD31" s="384"/>
      <c r="PFE31" s="384"/>
      <c r="PFF31" s="384"/>
      <c r="PFG31" s="384"/>
      <c r="PFH31" s="384"/>
      <c r="PFI31" s="384"/>
      <c r="PFJ31" s="384"/>
      <c r="PFK31" s="384"/>
      <c r="PFL31" s="384"/>
      <c r="PFM31" s="384"/>
      <c r="PFN31" s="384"/>
      <c r="PFO31" s="384"/>
      <c r="PFP31" s="384"/>
      <c r="PFQ31" s="384"/>
      <c r="PFR31" s="384"/>
      <c r="PFS31" s="384"/>
      <c r="PFT31" s="384"/>
      <c r="PFU31" s="384"/>
      <c r="PFV31" s="384"/>
      <c r="PFW31" s="384"/>
      <c r="PFX31" s="384"/>
      <c r="PFY31" s="384"/>
      <c r="PFZ31" s="384"/>
      <c r="PGA31" s="384"/>
      <c r="PGB31" s="384"/>
      <c r="PGC31" s="384"/>
      <c r="PGD31" s="384"/>
      <c r="PGE31" s="384"/>
      <c r="PGF31" s="384"/>
      <c r="PGG31" s="384"/>
      <c r="PGH31" s="384"/>
      <c r="PGI31" s="384"/>
      <c r="PGJ31" s="384"/>
      <c r="PGK31" s="384"/>
      <c r="PGL31" s="384"/>
      <c r="PGM31" s="384"/>
      <c r="PGN31" s="384"/>
      <c r="PGO31" s="384"/>
      <c r="PGP31" s="384"/>
      <c r="PGQ31" s="384"/>
      <c r="PGR31" s="384"/>
      <c r="PGS31" s="384"/>
      <c r="PGT31" s="384"/>
      <c r="PGU31" s="384"/>
      <c r="PGV31" s="384"/>
      <c r="PGW31" s="384"/>
      <c r="PGX31" s="384"/>
      <c r="PGY31" s="384"/>
      <c r="PGZ31" s="384"/>
      <c r="PHA31" s="384"/>
      <c r="PHB31" s="384"/>
      <c r="PHC31" s="384"/>
      <c r="PHD31" s="384"/>
      <c r="PHE31" s="384"/>
      <c r="PHF31" s="384"/>
      <c r="PHG31" s="384"/>
      <c r="PHH31" s="384"/>
      <c r="PHI31" s="384"/>
      <c r="PHJ31" s="384"/>
      <c r="PHK31" s="384"/>
      <c r="PHL31" s="384"/>
      <c r="PHM31" s="384"/>
      <c r="PHN31" s="384"/>
      <c r="PHO31" s="384"/>
      <c r="PHP31" s="384"/>
      <c r="PHQ31" s="384"/>
      <c r="PHR31" s="384"/>
      <c r="PHS31" s="384"/>
      <c r="PHT31" s="384"/>
      <c r="PHU31" s="384"/>
      <c r="PHV31" s="384"/>
      <c r="PHW31" s="384"/>
      <c r="PHX31" s="384"/>
      <c r="PHY31" s="384"/>
      <c r="PHZ31" s="384"/>
      <c r="PIA31" s="384"/>
      <c r="PIB31" s="384"/>
      <c r="PIC31" s="384"/>
      <c r="PID31" s="384"/>
      <c r="PIE31" s="384"/>
      <c r="PIF31" s="384"/>
      <c r="PIG31" s="384"/>
      <c r="PIH31" s="384"/>
      <c r="PII31" s="384"/>
      <c r="PIJ31" s="384"/>
      <c r="PIK31" s="384"/>
      <c r="PIL31" s="384"/>
      <c r="PIM31" s="384"/>
      <c r="PIN31" s="384"/>
      <c r="PIO31" s="384"/>
      <c r="PIP31" s="384"/>
      <c r="PIQ31" s="384"/>
      <c r="PIR31" s="384"/>
      <c r="PIS31" s="384"/>
      <c r="PIT31" s="384"/>
      <c r="PIU31" s="384"/>
      <c r="PIV31" s="384"/>
      <c r="PIW31" s="384"/>
      <c r="PIX31" s="384"/>
      <c r="PIY31" s="384"/>
      <c r="PIZ31" s="384"/>
      <c r="PJA31" s="384"/>
      <c r="PJB31" s="384"/>
      <c r="PJC31" s="384"/>
      <c r="PJD31" s="384"/>
      <c r="PJE31" s="384"/>
      <c r="PJF31" s="384"/>
      <c r="PJG31" s="384"/>
      <c r="PJH31" s="384"/>
      <c r="PJI31" s="384"/>
      <c r="PJJ31" s="384"/>
      <c r="PJK31" s="384"/>
      <c r="PJL31" s="384"/>
      <c r="PJM31" s="384"/>
      <c r="PJN31" s="384"/>
      <c r="PJO31" s="384"/>
      <c r="PJP31" s="384"/>
      <c r="PJQ31" s="384"/>
      <c r="PJR31" s="384"/>
      <c r="PJS31" s="384"/>
      <c r="PJT31" s="384"/>
      <c r="PJU31" s="384"/>
      <c r="PJV31" s="384"/>
      <c r="PJW31" s="384"/>
      <c r="PJX31" s="384"/>
      <c r="PJY31" s="384"/>
      <c r="PJZ31" s="384"/>
      <c r="PKA31" s="384"/>
      <c r="PKB31" s="384"/>
      <c r="PKC31" s="384"/>
      <c r="PKD31" s="384"/>
      <c r="PKE31" s="384"/>
      <c r="PKF31" s="384"/>
      <c r="PKG31" s="384"/>
      <c r="PKH31" s="384"/>
      <c r="PKI31" s="384"/>
      <c r="PKJ31" s="384"/>
      <c r="PKK31" s="384"/>
      <c r="PKL31" s="384"/>
      <c r="PKM31" s="384"/>
      <c r="PKN31" s="384"/>
      <c r="PKO31" s="384"/>
      <c r="PKP31" s="384"/>
      <c r="PKQ31" s="384"/>
      <c r="PKR31" s="384"/>
      <c r="PKS31" s="384"/>
      <c r="PKT31" s="384"/>
      <c r="PKU31" s="384"/>
      <c r="PKV31" s="384"/>
      <c r="PKW31" s="384"/>
      <c r="PKX31" s="384"/>
      <c r="PKY31" s="384"/>
      <c r="PKZ31" s="384"/>
      <c r="PLA31" s="384"/>
      <c r="PLB31" s="384"/>
      <c r="PLC31" s="384"/>
      <c r="PLD31" s="384"/>
      <c r="PLE31" s="384"/>
      <c r="PLF31" s="384"/>
      <c r="PLG31" s="384"/>
      <c r="PLH31" s="384"/>
      <c r="PLI31" s="384"/>
      <c r="PLJ31" s="384"/>
      <c r="PLK31" s="384"/>
      <c r="PLL31" s="384"/>
      <c r="PLM31" s="384"/>
      <c r="PLN31" s="384"/>
      <c r="PLO31" s="384"/>
      <c r="PLP31" s="384"/>
      <c r="PLQ31" s="384"/>
      <c r="PLR31" s="384"/>
      <c r="PLS31" s="384"/>
      <c r="PLT31" s="384"/>
      <c r="PLU31" s="384"/>
      <c r="PLV31" s="384"/>
      <c r="PLW31" s="384"/>
      <c r="PLX31" s="384"/>
      <c r="PLY31" s="384"/>
      <c r="PLZ31" s="384"/>
      <c r="PMA31" s="384"/>
      <c r="PMB31" s="384"/>
      <c r="PMC31" s="384"/>
      <c r="PMD31" s="384"/>
      <c r="PME31" s="384"/>
      <c r="PMF31" s="384"/>
      <c r="PMG31" s="384"/>
      <c r="PMH31" s="384"/>
      <c r="PMI31" s="384"/>
      <c r="PMJ31" s="384"/>
      <c r="PMK31" s="384"/>
      <c r="PML31" s="384"/>
      <c r="PMM31" s="384"/>
      <c r="PMN31" s="384"/>
      <c r="PMO31" s="384"/>
      <c r="PMP31" s="384"/>
      <c r="PMQ31" s="384"/>
      <c r="PMR31" s="384"/>
      <c r="PMS31" s="384"/>
      <c r="PMT31" s="384"/>
      <c r="PMU31" s="384"/>
      <c r="PMV31" s="384"/>
      <c r="PMW31" s="384"/>
      <c r="PMX31" s="384"/>
      <c r="PMY31" s="384"/>
      <c r="PMZ31" s="384"/>
      <c r="PNA31" s="384"/>
      <c r="PNB31" s="384"/>
      <c r="PNC31" s="384"/>
      <c r="PND31" s="384"/>
      <c r="PNE31" s="384"/>
      <c r="PNF31" s="384"/>
      <c r="PNG31" s="384"/>
      <c r="PNH31" s="384"/>
      <c r="PNI31" s="384"/>
      <c r="PNJ31" s="384"/>
      <c r="PNK31" s="384"/>
      <c r="PNL31" s="384"/>
      <c r="PNM31" s="384"/>
      <c r="PNN31" s="384"/>
      <c r="PNO31" s="384"/>
      <c r="PNP31" s="384"/>
      <c r="PNQ31" s="384"/>
      <c r="PNR31" s="384"/>
      <c r="PNS31" s="384"/>
      <c r="PNT31" s="384"/>
      <c r="PNU31" s="384"/>
      <c r="PNV31" s="384"/>
      <c r="PNW31" s="384"/>
      <c r="PNX31" s="384"/>
      <c r="PNY31" s="384"/>
      <c r="PNZ31" s="384"/>
      <c r="POA31" s="384"/>
      <c r="POB31" s="384"/>
      <c r="POC31" s="384"/>
      <c r="POD31" s="384"/>
      <c r="POE31" s="384"/>
      <c r="POF31" s="384"/>
      <c r="POG31" s="384"/>
      <c r="POH31" s="384"/>
      <c r="POI31" s="384"/>
      <c r="POJ31" s="384"/>
      <c r="POK31" s="384"/>
      <c r="POL31" s="384"/>
      <c r="POM31" s="384"/>
      <c r="PON31" s="384"/>
      <c r="POO31" s="384"/>
      <c r="POP31" s="384"/>
      <c r="POQ31" s="384"/>
      <c r="POR31" s="384"/>
      <c r="POS31" s="384"/>
      <c r="POT31" s="384"/>
      <c r="POU31" s="384"/>
      <c r="POV31" s="384"/>
      <c r="POW31" s="384"/>
      <c r="POX31" s="384"/>
      <c r="POY31" s="384"/>
      <c r="POZ31" s="384"/>
      <c r="PPA31" s="384"/>
      <c r="PPB31" s="384"/>
      <c r="PPC31" s="384"/>
      <c r="PPD31" s="384"/>
      <c r="PPE31" s="384"/>
      <c r="PPF31" s="384"/>
      <c r="PPG31" s="384"/>
      <c r="PPH31" s="384"/>
      <c r="PPI31" s="384"/>
      <c r="PPJ31" s="384"/>
      <c r="PPK31" s="384"/>
      <c r="PPL31" s="384"/>
      <c r="PPM31" s="384"/>
      <c r="PPN31" s="384"/>
      <c r="PPO31" s="384"/>
      <c r="PPP31" s="384"/>
      <c r="PPQ31" s="384"/>
      <c r="PPR31" s="384"/>
      <c r="PPS31" s="384"/>
      <c r="PPT31" s="384"/>
      <c r="PPU31" s="384"/>
      <c r="PPV31" s="384"/>
      <c r="PPW31" s="384"/>
      <c r="PPX31" s="384"/>
      <c r="PPY31" s="384"/>
      <c r="PPZ31" s="384"/>
      <c r="PQA31" s="384"/>
      <c r="PQB31" s="384"/>
      <c r="PQC31" s="384"/>
      <c r="PQD31" s="384"/>
      <c r="PQE31" s="384"/>
      <c r="PQF31" s="384"/>
      <c r="PQG31" s="384"/>
      <c r="PQH31" s="384"/>
      <c r="PQI31" s="384"/>
      <c r="PQJ31" s="384"/>
      <c r="PQK31" s="384"/>
      <c r="PQL31" s="384"/>
      <c r="PQM31" s="384"/>
      <c r="PQN31" s="384"/>
      <c r="PQO31" s="384"/>
      <c r="PQP31" s="384"/>
      <c r="PQQ31" s="384"/>
      <c r="PQR31" s="384"/>
      <c r="PQS31" s="384"/>
      <c r="PQT31" s="384"/>
      <c r="PQU31" s="384"/>
      <c r="PQV31" s="384"/>
      <c r="PQW31" s="384"/>
      <c r="PQX31" s="384"/>
      <c r="PQY31" s="384"/>
      <c r="PQZ31" s="384"/>
      <c r="PRA31" s="384"/>
      <c r="PRB31" s="384"/>
      <c r="PRC31" s="384"/>
      <c r="PRD31" s="384"/>
      <c r="PRE31" s="384"/>
      <c r="PRF31" s="384"/>
      <c r="PRG31" s="384"/>
      <c r="PRH31" s="384"/>
      <c r="PRI31" s="384"/>
      <c r="PRJ31" s="384"/>
      <c r="PRK31" s="384"/>
      <c r="PRL31" s="384"/>
      <c r="PRM31" s="384"/>
      <c r="PRN31" s="384"/>
      <c r="PRO31" s="384"/>
      <c r="PRP31" s="384"/>
      <c r="PRQ31" s="384"/>
      <c r="PRR31" s="384"/>
      <c r="PRS31" s="384"/>
      <c r="PRT31" s="384"/>
      <c r="PRU31" s="384"/>
      <c r="PRV31" s="384"/>
      <c r="PRW31" s="384"/>
      <c r="PRX31" s="384"/>
      <c r="PRY31" s="384"/>
      <c r="PRZ31" s="384"/>
      <c r="PSA31" s="384"/>
      <c r="PSB31" s="384"/>
      <c r="PSC31" s="384"/>
      <c r="PSD31" s="384"/>
      <c r="PSE31" s="384"/>
      <c r="PSF31" s="384"/>
      <c r="PSG31" s="384"/>
      <c r="PSH31" s="384"/>
      <c r="PSI31" s="384"/>
      <c r="PSJ31" s="384"/>
      <c r="PSK31" s="384"/>
      <c r="PSL31" s="384"/>
      <c r="PSM31" s="384"/>
      <c r="PSN31" s="384"/>
      <c r="PSO31" s="384"/>
      <c r="PSP31" s="384"/>
      <c r="PSQ31" s="384"/>
      <c r="PSR31" s="384"/>
      <c r="PSS31" s="384"/>
      <c r="PST31" s="384"/>
      <c r="PSU31" s="384"/>
      <c r="PSV31" s="384"/>
      <c r="PSW31" s="384"/>
      <c r="PSX31" s="384"/>
      <c r="PSY31" s="384"/>
      <c r="PSZ31" s="384"/>
      <c r="PTA31" s="384"/>
      <c r="PTB31" s="384"/>
      <c r="PTC31" s="384"/>
      <c r="PTD31" s="384"/>
      <c r="PTE31" s="384"/>
      <c r="PTF31" s="384"/>
      <c r="PTG31" s="384"/>
      <c r="PTH31" s="384"/>
      <c r="PTI31" s="384"/>
      <c r="PTJ31" s="384"/>
      <c r="PTK31" s="384"/>
      <c r="PTL31" s="384"/>
      <c r="PTM31" s="384"/>
      <c r="PTN31" s="384"/>
      <c r="PTO31" s="384"/>
      <c r="PTP31" s="384"/>
      <c r="PTQ31" s="384"/>
      <c r="PTR31" s="384"/>
      <c r="PTS31" s="384"/>
      <c r="PTT31" s="384"/>
      <c r="PTU31" s="384"/>
      <c r="PTV31" s="384"/>
      <c r="PTW31" s="384"/>
      <c r="PTX31" s="384"/>
      <c r="PTY31" s="384"/>
      <c r="PTZ31" s="384"/>
      <c r="PUA31" s="384"/>
      <c r="PUB31" s="384"/>
      <c r="PUC31" s="384"/>
      <c r="PUD31" s="384"/>
      <c r="PUE31" s="384"/>
      <c r="PUF31" s="384"/>
      <c r="PUG31" s="384"/>
      <c r="PUH31" s="384"/>
      <c r="PUI31" s="384"/>
      <c r="PUJ31" s="384"/>
      <c r="PUK31" s="384"/>
      <c r="PUL31" s="384"/>
      <c r="PUM31" s="384"/>
      <c r="PUN31" s="384"/>
      <c r="PUO31" s="384"/>
      <c r="PUP31" s="384"/>
      <c r="PUQ31" s="384"/>
      <c r="PUR31" s="384"/>
      <c r="PUS31" s="384"/>
      <c r="PUT31" s="384"/>
      <c r="PUU31" s="384"/>
      <c r="PUV31" s="384"/>
      <c r="PUW31" s="384"/>
      <c r="PUX31" s="384"/>
      <c r="PUY31" s="384"/>
      <c r="PUZ31" s="384"/>
      <c r="PVA31" s="384"/>
      <c r="PVB31" s="384"/>
      <c r="PVC31" s="384"/>
      <c r="PVD31" s="384"/>
      <c r="PVE31" s="384"/>
      <c r="PVF31" s="384"/>
      <c r="PVG31" s="384"/>
      <c r="PVH31" s="384"/>
      <c r="PVI31" s="384"/>
      <c r="PVJ31" s="384"/>
      <c r="PVK31" s="384"/>
      <c r="PVL31" s="384"/>
      <c r="PVM31" s="384"/>
      <c r="PVN31" s="384"/>
      <c r="PVO31" s="384"/>
      <c r="PVP31" s="384"/>
      <c r="PVQ31" s="384"/>
      <c r="PVR31" s="384"/>
      <c r="PVS31" s="384"/>
      <c r="PVT31" s="384"/>
      <c r="PVU31" s="384"/>
      <c r="PVV31" s="384"/>
      <c r="PVW31" s="384"/>
      <c r="PVX31" s="384"/>
      <c r="PVY31" s="384"/>
      <c r="PVZ31" s="384"/>
      <c r="PWA31" s="384"/>
      <c r="PWB31" s="384"/>
      <c r="PWC31" s="384"/>
      <c r="PWD31" s="384"/>
      <c r="PWE31" s="384"/>
      <c r="PWF31" s="384"/>
      <c r="PWG31" s="384"/>
      <c r="PWH31" s="384"/>
      <c r="PWI31" s="384"/>
      <c r="PWJ31" s="384"/>
      <c r="PWK31" s="384"/>
      <c r="PWL31" s="384"/>
      <c r="PWM31" s="384"/>
      <c r="PWN31" s="384"/>
      <c r="PWO31" s="384"/>
      <c r="PWP31" s="384"/>
      <c r="PWQ31" s="384"/>
      <c r="PWR31" s="384"/>
      <c r="PWS31" s="384"/>
      <c r="PWT31" s="384"/>
      <c r="PWU31" s="384"/>
      <c r="PWV31" s="384"/>
      <c r="PWW31" s="384"/>
      <c r="PWX31" s="384"/>
      <c r="PWY31" s="384"/>
      <c r="PWZ31" s="384"/>
      <c r="PXA31" s="384"/>
      <c r="PXB31" s="384"/>
      <c r="PXC31" s="384"/>
      <c r="PXD31" s="384"/>
      <c r="PXE31" s="384"/>
      <c r="PXF31" s="384"/>
      <c r="PXG31" s="384"/>
      <c r="PXH31" s="384"/>
      <c r="PXI31" s="384"/>
      <c r="PXJ31" s="384"/>
      <c r="PXK31" s="384"/>
      <c r="PXL31" s="384"/>
      <c r="PXM31" s="384"/>
      <c r="PXN31" s="384"/>
      <c r="PXO31" s="384"/>
      <c r="PXP31" s="384"/>
      <c r="PXQ31" s="384"/>
      <c r="PXR31" s="384"/>
      <c r="PXS31" s="384"/>
      <c r="PXT31" s="384"/>
      <c r="PXU31" s="384"/>
      <c r="PXV31" s="384"/>
      <c r="PXW31" s="384"/>
      <c r="PXX31" s="384"/>
      <c r="PXY31" s="384"/>
      <c r="PXZ31" s="384"/>
      <c r="PYA31" s="384"/>
      <c r="PYB31" s="384"/>
      <c r="PYC31" s="384"/>
      <c r="PYD31" s="384"/>
      <c r="PYE31" s="384"/>
      <c r="PYF31" s="384"/>
      <c r="PYG31" s="384"/>
      <c r="PYH31" s="384"/>
      <c r="PYI31" s="384"/>
      <c r="PYJ31" s="384"/>
      <c r="PYK31" s="384"/>
      <c r="PYL31" s="384"/>
      <c r="PYM31" s="384"/>
      <c r="PYN31" s="384"/>
      <c r="PYO31" s="384"/>
      <c r="PYP31" s="384"/>
      <c r="PYQ31" s="384"/>
      <c r="PYR31" s="384"/>
      <c r="PYS31" s="384"/>
      <c r="PYT31" s="384"/>
      <c r="PYU31" s="384"/>
      <c r="PYV31" s="384"/>
      <c r="PYW31" s="384"/>
      <c r="PYX31" s="384"/>
      <c r="PYY31" s="384"/>
      <c r="PYZ31" s="384"/>
      <c r="PZA31" s="384"/>
      <c r="PZB31" s="384"/>
      <c r="PZC31" s="384"/>
      <c r="PZD31" s="384"/>
      <c r="PZE31" s="384"/>
      <c r="PZF31" s="384"/>
      <c r="PZG31" s="384"/>
      <c r="PZH31" s="384"/>
      <c r="PZI31" s="384"/>
      <c r="PZJ31" s="384"/>
      <c r="PZK31" s="384"/>
      <c r="PZL31" s="384"/>
      <c r="PZM31" s="384"/>
      <c r="PZN31" s="384"/>
      <c r="PZO31" s="384"/>
      <c r="PZP31" s="384"/>
      <c r="PZQ31" s="384"/>
      <c r="PZR31" s="384"/>
      <c r="PZS31" s="384"/>
      <c r="PZT31" s="384"/>
      <c r="PZU31" s="384"/>
      <c r="PZV31" s="384"/>
      <c r="PZW31" s="384"/>
      <c r="PZX31" s="384"/>
      <c r="PZY31" s="384"/>
      <c r="PZZ31" s="384"/>
      <c r="QAA31" s="384"/>
      <c r="QAB31" s="384"/>
      <c r="QAC31" s="384"/>
      <c r="QAD31" s="384"/>
      <c r="QAE31" s="384"/>
      <c r="QAF31" s="384"/>
      <c r="QAG31" s="384"/>
      <c r="QAH31" s="384"/>
      <c r="QAI31" s="384"/>
      <c r="QAJ31" s="384"/>
      <c r="QAK31" s="384"/>
      <c r="QAL31" s="384"/>
      <c r="QAM31" s="384"/>
      <c r="QAN31" s="384"/>
      <c r="QAO31" s="384"/>
      <c r="QAP31" s="384"/>
      <c r="QAQ31" s="384"/>
      <c r="QAR31" s="384"/>
      <c r="QAS31" s="384"/>
      <c r="QAT31" s="384"/>
      <c r="QAU31" s="384"/>
      <c r="QAV31" s="384"/>
      <c r="QAW31" s="384"/>
      <c r="QAX31" s="384"/>
      <c r="QAY31" s="384"/>
      <c r="QAZ31" s="384"/>
      <c r="QBA31" s="384"/>
      <c r="QBB31" s="384"/>
      <c r="QBC31" s="384"/>
      <c r="QBD31" s="384"/>
      <c r="QBE31" s="384"/>
      <c r="QBF31" s="384"/>
      <c r="QBG31" s="384"/>
      <c r="QBH31" s="384"/>
      <c r="QBI31" s="384"/>
      <c r="QBJ31" s="384"/>
      <c r="QBK31" s="384"/>
      <c r="QBL31" s="384"/>
      <c r="QBM31" s="384"/>
      <c r="QBN31" s="384"/>
      <c r="QBO31" s="384"/>
      <c r="QBP31" s="384"/>
      <c r="QBQ31" s="384"/>
      <c r="QBR31" s="384"/>
      <c r="QBS31" s="384"/>
      <c r="QBT31" s="384"/>
      <c r="QBU31" s="384"/>
      <c r="QBV31" s="384"/>
      <c r="QBW31" s="384"/>
      <c r="QBX31" s="384"/>
      <c r="QBY31" s="384"/>
      <c r="QBZ31" s="384"/>
      <c r="QCA31" s="384"/>
      <c r="QCB31" s="384"/>
      <c r="QCC31" s="384"/>
      <c r="QCD31" s="384"/>
      <c r="QCE31" s="384"/>
      <c r="QCF31" s="384"/>
      <c r="QCG31" s="384"/>
      <c r="QCH31" s="384"/>
      <c r="QCI31" s="384"/>
      <c r="QCJ31" s="384"/>
      <c r="QCK31" s="384"/>
      <c r="QCL31" s="384"/>
      <c r="QCM31" s="384"/>
      <c r="QCN31" s="384"/>
      <c r="QCO31" s="384"/>
      <c r="QCP31" s="384"/>
      <c r="QCQ31" s="384"/>
      <c r="QCR31" s="384"/>
      <c r="QCS31" s="384"/>
      <c r="QCT31" s="384"/>
      <c r="QCU31" s="384"/>
      <c r="QCV31" s="384"/>
      <c r="QCW31" s="384"/>
      <c r="QCX31" s="384"/>
      <c r="QCY31" s="384"/>
      <c r="QCZ31" s="384"/>
      <c r="QDA31" s="384"/>
      <c r="QDB31" s="384"/>
      <c r="QDC31" s="384"/>
      <c r="QDD31" s="384"/>
      <c r="QDE31" s="384"/>
      <c r="QDF31" s="384"/>
      <c r="QDG31" s="384"/>
      <c r="QDH31" s="384"/>
      <c r="QDI31" s="384"/>
      <c r="QDJ31" s="384"/>
      <c r="QDK31" s="384"/>
      <c r="QDL31" s="384"/>
      <c r="QDM31" s="384"/>
      <c r="QDN31" s="384"/>
      <c r="QDO31" s="384"/>
      <c r="QDP31" s="384"/>
      <c r="QDQ31" s="384"/>
      <c r="QDR31" s="384"/>
      <c r="QDS31" s="384"/>
      <c r="QDT31" s="384"/>
      <c r="QDU31" s="384"/>
      <c r="QDV31" s="384"/>
      <c r="QDW31" s="384"/>
      <c r="QDX31" s="384"/>
      <c r="QDY31" s="384"/>
      <c r="QDZ31" s="384"/>
      <c r="QEA31" s="384"/>
      <c r="QEB31" s="384"/>
      <c r="QEC31" s="384"/>
      <c r="QED31" s="384"/>
      <c r="QEE31" s="384"/>
      <c r="QEF31" s="384"/>
      <c r="QEG31" s="384"/>
      <c r="QEH31" s="384"/>
      <c r="QEI31" s="384"/>
      <c r="QEJ31" s="384"/>
      <c r="QEK31" s="384"/>
      <c r="QEL31" s="384"/>
      <c r="QEM31" s="384"/>
      <c r="QEN31" s="384"/>
      <c r="QEO31" s="384"/>
      <c r="QEP31" s="384"/>
      <c r="QEQ31" s="384"/>
      <c r="QER31" s="384"/>
      <c r="QES31" s="384"/>
      <c r="QET31" s="384"/>
      <c r="QEU31" s="384"/>
      <c r="QEV31" s="384"/>
      <c r="QEW31" s="384"/>
      <c r="QEX31" s="384"/>
      <c r="QEY31" s="384"/>
      <c r="QEZ31" s="384"/>
      <c r="QFA31" s="384"/>
      <c r="QFB31" s="384"/>
      <c r="QFC31" s="384"/>
      <c r="QFD31" s="384"/>
      <c r="QFE31" s="384"/>
      <c r="QFF31" s="384"/>
      <c r="QFG31" s="384"/>
      <c r="QFH31" s="384"/>
      <c r="QFI31" s="384"/>
      <c r="QFJ31" s="384"/>
      <c r="QFK31" s="384"/>
      <c r="QFL31" s="384"/>
      <c r="QFM31" s="384"/>
      <c r="QFN31" s="384"/>
      <c r="QFO31" s="384"/>
      <c r="QFP31" s="384"/>
      <c r="QFQ31" s="384"/>
      <c r="QFR31" s="384"/>
      <c r="QFS31" s="384"/>
      <c r="QFT31" s="384"/>
      <c r="QFU31" s="384"/>
      <c r="QFV31" s="384"/>
      <c r="QFW31" s="384"/>
      <c r="QFX31" s="384"/>
      <c r="QFY31" s="384"/>
      <c r="QFZ31" s="384"/>
      <c r="QGA31" s="384"/>
      <c r="QGB31" s="384"/>
      <c r="QGC31" s="384"/>
      <c r="QGD31" s="384"/>
      <c r="QGE31" s="384"/>
      <c r="QGF31" s="384"/>
      <c r="QGG31" s="384"/>
      <c r="QGH31" s="384"/>
      <c r="QGI31" s="384"/>
      <c r="QGJ31" s="384"/>
      <c r="QGK31" s="384"/>
      <c r="QGL31" s="384"/>
      <c r="QGM31" s="384"/>
      <c r="QGN31" s="384"/>
      <c r="QGO31" s="384"/>
      <c r="QGP31" s="384"/>
      <c r="QGQ31" s="384"/>
      <c r="QGR31" s="384"/>
      <c r="QGS31" s="384"/>
      <c r="QGT31" s="384"/>
      <c r="QGU31" s="384"/>
      <c r="QGV31" s="384"/>
      <c r="QGW31" s="384"/>
      <c r="QGX31" s="384"/>
      <c r="QGY31" s="384"/>
      <c r="QGZ31" s="384"/>
      <c r="QHA31" s="384"/>
      <c r="QHB31" s="384"/>
      <c r="QHC31" s="384"/>
      <c r="QHD31" s="384"/>
      <c r="QHE31" s="384"/>
      <c r="QHF31" s="384"/>
      <c r="QHG31" s="384"/>
      <c r="QHH31" s="384"/>
      <c r="QHI31" s="384"/>
      <c r="QHJ31" s="384"/>
      <c r="QHK31" s="384"/>
      <c r="QHL31" s="384"/>
      <c r="QHM31" s="384"/>
      <c r="QHN31" s="384"/>
      <c r="QHO31" s="384"/>
      <c r="QHP31" s="384"/>
      <c r="QHQ31" s="384"/>
      <c r="QHR31" s="384"/>
      <c r="QHS31" s="384"/>
      <c r="QHT31" s="384"/>
      <c r="QHU31" s="384"/>
      <c r="QHV31" s="384"/>
      <c r="QHW31" s="384"/>
      <c r="QHX31" s="384"/>
      <c r="QHY31" s="384"/>
      <c r="QHZ31" s="384"/>
      <c r="QIA31" s="384"/>
      <c r="QIB31" s="384"/>
      <c r="QIC31" s="384"/>
      <c r="QID31" s="384"/>
      <c r="QIE31" s="384"/>
      <c r="QIF31" s="384"/>
      <c r="QIG31" s="384"/>
      <c r="QIH31" s="384"/>
      <c r="QII31" s="384"/>
      <c r="QIJ31" s="384"/>
      <c r="QIK31" s="384"/>
      <c r="QIL31" s="384"/>
      <c r="QIM31" s="384"/>
      <c r="QIN31" s="384"/>
      <c r="QIO31" s="384"/>
      <c r="QIP31" s="384"/>
      <c r="QIQ31" s="384"/>
      <c r="QIR31" s="384"/>
      <c r="QIS31" s="384"/>
      <c r="QIT31" s="384"/>
      <c r="QIU31" s="384"/>
      <c r="QIV31" s="384"/>
      <c r="QIW31" s="384"/>
      <c r="QIX31" s="384"/>
      <c r="QIY31" s="384"/>
      <c r="QIZ31" s="384"/>
      <c r="QJA31" s="384"/>
      <c r="QJB31" s="384"/>
      <c r="QJC31" s="384"/>
      <c r="QJD31" s="384"/>
      <c r="QJE31" s="384"/>
      <c r="QJF31" s="384"/>
      <c r="QJG31" s="384"/>
      <c r="QJH31" s="384"/>
      <c r="QJI31" s="384"/>
      <c r="QJJ31" s="384"/>
      <c r="QJK31" s="384"/>
      <c r="QJL31" s="384"/>
      <c r="QJM31" s="384"/>
      <c r="QJN31" s="384"/>
      <c r="QJO31" s="384"/>
      <c r="QJP31" s="384"/>
      <c r="QJQ31" s="384"/>
      <c r="QJR31" s="384"/>
      <c r="QJS31" s="384"/>
      <c r="QJT31" s="384"/>
      <c r="QJU31" s="384"/>
      <c r="QJV31" s="384"/>
      <c r="QJW31" s="384"/>
      <c r="QJX31" s="384"/>
      <c r="QJY31" s="384"/>
      <c r="QJZ31" s="384"/>
      <c r="QKA31" s="384"/>
      <c r="QKB31" s="384"/>
      <c r="QKC31" s="384"/>
      <c r="QKD31" s="384"/>
      <c r="QKE31" s="384"/>
      <c r="QKF31" s="384"/>
      <c r="QKG31" s="384"/>
      <c r="QKH31" s="384"/>
      <c r="QKI31" s="384"/>
      <c r="QKJ31" s="384"/>
      <c r="QKK31" s="384"/>
      <c r="QKL31" s="384"/>
      <c r="QKM31" s="384"/>
      <c r="QKN31" s="384"/>
      <c r="QKO31" s="384"/>
      <c r="QKP31" s="384"/>
      <c r="QKQ31" s="384"/>
      <c r="QKR31" s="384"/>
      <c r="QKS31" s="384"/>
      <c r="QKT31" s="384"/>
      <c r="QKU31" s="384"/>
      <c r="QKV31" s="384"/>
      <c r="QKW31" s="384"/>
      <c r="QKX31" s="384"/>
      <c r="QKY31" s="384"/>
      <c r="QKZ31" s="384"/>
      <c r="QLA31" s="384"/>
      <c r="QLB31" s="384"/>
      <c r="QLC31" s="384"/>
      <c r="QLD31" s="384"/>
      <c r="QLE31" s="384"/>
      <c r="QLF31" s="384"/>
      <c r="QLG31" s="384"/>
      <c r="QLH31" s="384"/>
      <c r="QLI31" s="384"/>
      <c r="QLJ31" s="384"/>
      <c r="QLK31" s="384"/>
      <c r="QLL31" s="384"/>
      <c r="QLM31" s="384"/>
      <c r="QLN31" s="384"/>
      <c r="QLO31" s="384"/>
      <c r="QLP31" s="384"/>
      <c r="QLQ31" s="384"/>
      <c r="QLR31" s="384"/>
      <c r="QLS31" s="384"/>
      <c r="QLT31" s="384"/>
      <c r="QLU31" s="384"/>
      <c r="QLV31" s="384"/>
      <c r="QLW31" s="384"/>
      <c r="QLX31" s="384"/>
      <c r="QLY31" s="384"/>
      <c r="QLZ31" s="384"/>
      <c r="QMA31" s="384"/>
      <c r="QMB31" s="384"/>
      <c r="QMC31" s="384"/>
      <c r="QMD31" s="384"/>
      <c r="QME31" s="384"/>
      <c r="QMF31" s="384"/>
      <c r="QMG31" s="384"/>
      <c r="QMH31" s="384"/>
      <c r="QMI31" s="384"/>
      <c r="QMJ31" s="384"/>
      <c r="QMK31" s="384"/>
      <c r="QML31" s="384"/>
      <c r="QMM31" s="384"/>
      <c r="QMN31" s="384"/>
      <c r="QMO31" s="384"/>
      <c r="QMP31" s="384"/>
      <c r="QMQ31" s="384"/>
      <c r="QMR31" s="384"/>
      <c r="QMS31" s="384"/>
      <c r="QMT31" s="384"/>
      <c r="QMU31" s="384"/>
      <c r="QMV31" s="384"/>
      <c r="QMW31" s="384"/>
      <c r="QMX31" s="384"/>
      <c r="QMY31" s="384"/>
      <c r="QMZ31" s="384"/>
      <c r="QNA31" s="384"/>
      <c r="QNB31" s="384"/>
      <c r="QNC31" s="384"/>
      <c r="QND31" s="384"/>
      <c r="QNE31" s="384"/>
      <c r="QNF31" s="384"/>
      <c r="QNG31" s="384"/>
      <c r="QNH31" s="384"/>
      <c r="QNI31" s="384"/>
      <c r="QNJ31" s="384"/>
      <c r="QNK31" s="384"/>
      <c r="QNL31" s="384"/>
      <c r="QNM31" s="384"/>
      <c r="QNN31" s="384"/>
      <c r="QNO31" s="384"/>
      <c r="QNP31" s="384"/>
      <c r="QNQ31" s="384"/>
      <c r="QNR31" s="384"/>
      <c r="QNS31" s="384"/>
      <c r="QNT31" s="384"/>
      <c r="QNU31" s="384"/>
      <c r="QNV31" s="384"/>
      <c r="QNW31" s="384"/>
      <c r="QNX31" s="384"/>
      <c r="QNY31" s="384"/>
      <c r="QNZ31" s="384"/>
      <c r="QOA31" s="384"/>
      <c r="QOB31" s="384"/>
      <c r="QOC31" s="384"/>
      <c r="QOD31" s="384"/>
      <c r="QOE31" s="384"/>
      <c r="QOF31" s="384"/>
      <c r="QOG31" s="384"/>
      <c r="QOH31" s="384"/>
      <c r="QOI31" s="384"/>
      <c r="QOJ31" s="384"/>
      <c r="QOK31" s="384"/>
      <c r="QOL31" s="384"/>
      <c r="QOM31" s="384"/>
      <c r="QON31" s="384"/>
      <c r="QOO31" s="384"/>
      <c r="QOP31" s="384"/>
      <c r="QOQ31" s="384"/>
      <c r="QOR31" s="384"/>
      <c r="QOS31" s="384"/>
      <c r="QOT31" s="384"/>
      <c r="QOU31" s="384"/>
      <c r="QOV31" s="384"/>
      <c r="QOW31" s="384"/>
      <c r="QOX31" s="384"/>
      <c r="QOY31" s="384"/>
      <c r="QOZ31" s="384"/>
      <c r="QPA31" s="384"/>
      <c r="QPB31" s="384"/>
      <c r="QPC31" s="384"/>
      <c r="QPD31" s="384"/>
      <c r="QPE31" s="384"/>
      <c r="QPF31" s="384"/>
      <c r="QPG31" s="384"/>
      <c r="QPH31" s="384"/>
      <c r="QPI31" s="384"/>
      <c r="QPJ31" s="384"/>
      <c r="QPK31" s="384"/>
      <c r="QPL31" s="384"/>
      <c r="QPM31" s="384"/>
      <c r="QPN31" s="384"/>
      <c r="QPO31" s="384"/>
      <c r="QPP31" s="384"/>
      <c r="QPQ31" s="384"/>
      <c r="QPR31" s="384"/>
      <c r="QPS31" s="384"/>
      <c r="QPT31" s="384"/>
      <c r="QPU31" s="384"/>
      <c r="QPV31" s="384"/>
      <c r="QPW31" s="384"/>
      <c r="QPX31" s="384"/>
      <c r="QPY31" s="384"/>
      <c r="QPZ31" s="384"/>
      <c r="QQA31" s="384"/>
      <c r="QQB31" s="384"/>
      <c r="QQC31" s="384"/>
      <c r="QQD31" s="384"/>
      <c r="QQE31" s="384"/>
      <c r="QQF31" s="384"/>
      <c r="QQG31" s="384"/>
      <c r="QQH31" s="384"/>
      <c r="QQI31" s="384"/>
      <c r="QQJ31" s="384"/>
      <c r="QQK31" s="384"/>
      <c r="QQL31" s="384"/>
      <c r="QQM31" s="384"/>
      <c r="QQN31" s="384"/>
      <c r="QQO31" s="384"/>
      <c r="QQP31" s="384"/>
      <c r="QQQ31" s="384"/>
      <c r="QQR31" s="384"/>
      <c r="QQS31" s="384"/>
      <c r="QQT31" s="384"/>
      <c r="QQU31" s="384"/>
      <c r="QQV31" s="384"/>
      <c r="QQW31" s="384"/>
      <c r="QQX31" s="384"/>
      <c r="QQY31" s="384"/>
      <c r="QQZ31" s="384"/>
      <c r="QRA31" s="384"/>
      <c r="QRB31" s="384"/>
      <c r="QRC31" s="384"/>
      <c r="QRD31" s="384"/>
      <c r="QRE31" s="384"/>
      <c r="QRF31" s="384"/>
      <c r="QRG31" s="384"/>
      <c r="QRH31" s="384"/>
      <c r="QRI31" s="384"/>
      <c r="QRJ31" s="384"/>
      <c r="QRK31" s="384"/>
      <c r="QRL31" s="384"/>
      <c r="QRM31" s="384"/>
      <c r="QRN31" s="384"/>
      <c r="QRO31" s="384"/>
      <c r="QRP31" s="384"/>
      <c r="QRQ31" s="384"/>
      <c r="QRR31" s="384"/>
      <c r="QRS31" s="384"/>
      <c r="QRT31" s="384"/>
      <c r="QRU31" s="384"/>
      <c r="QRV31" s="384"/>
      <c r="QRW31" s="384"/>
      <c r="QRX31" s="384"/>
      <c r="QRY31" s="384"/>
      <c r="QRZ31" s="384"/>
      <c r="QSA31" s="384"/>
      <c r="QSB31" s="384"/>
      <c r="QSC31" s="384"/>
      <c r="QSD31" s="384"/>
      <c r="QSE31" s="384"/>
      <c r="QSF31" s="384"/>
      <c r="QSG31" s="384"/>
      <c r="QSH31" s="384"/>
      <c r="QSI31" s="384"/>
      <c r="QSJ31" s="384"/>
      <c r="QSK31" s="384"/>
      <c r="QSL31" s="384"/>
      <c r="QSM31" s="384"/>
      <c r="QSN31" s="384"/>
      <c r="QSO31" s="384"/>
      <c r="QSP31" s="384"/>
      <c r="QSQ31" s="384"/>
      <c r="QSR31" s="384"/>
      <c r="QSS31" s="384"/>
      <c r="QST31" s="384"/>
      <c r="QSU31" s="384"/>
      <c r="QSV31" s="384"/>
      <c r="QSW31" s="384"/>
      <c r="QSX31" s="384"/>
      <c r="QSY31" s="384"/>
      <c r="QSZ31" s="384"/>
      <c r="QTA31" s="384"/>
      <c r="QTB31" s="384"/>
      <c r="QTC31" s="384"/>
      <c r="QTD31" s="384"/>
      <c r="QTE31" s="384"/>
      <c r="QTF31" s="384"/>
      <c r="QTG31" s="384"/>
      <c r="QTH31" s="384"/>
      <c r="QTI31" s="384"/>
      <c r="QTJ31" s="384"/>
      <c r="QTK31" s="384"/>
      <c r="QTL31" s="384"/>
      <c r="QTM31" s="384"/>
      <c r="QTN31" s="384"/>
      <c r="QTO31" s="384"/>
      <c r="QTP31" s="384"/>
      <c r="QTQ31" s="384"/>
      <c r="QTR31" s="384"/>
      <c r="QTS31" s="384"/>
      <c r="QTT31" s="384"/>
      <c r="QTU31" s="384"/>
      <c r="QTV31" s="384"/>
      <c r="QTW31" s="384"/>
      <c r="QTX31" s="384"/>
      <c r="QTY31" s="384"/>
      <c r="QTZ31" s="384"/>
      <c r="QUA31" s="384"/>
      <c r="QUB31" s="384"/>
      <c r="QUC31" s="384"/>
      <c r="QUD31" s="384"/>
      <c r="QUE31" s="384"/>
      <c r="QUF31" s="384"/>
      <c r="QUG31" s="384"/>
      <c r="QUH31" s="384"/>
      <c r="QUI31" s="384"/>
      <c r="QUJ31" s="384"/>
      <c r="QUK31" s="384"/>
      <c r="QUL31" s="384"/>
      <c r="QUM31" s="384"/>
      <c r="QUN31" s="384"/>
      <c r="QUO31" s="384"/>
      <c r="QUP31" s="384"/>
      <c r="QUQ31" s="384"/>
      <c r="QUR31" s="384"/>
      <c r="QUS31" s="384"/>
      <c r="QUT31" s="384"/>
      <c r="QUU31" s="384"/>
      <c r="QUV31" s="384"/>
      <c r="QUW31" s="384"/>
      <c r="QUX31" s="384"/>
      <c r="QUY31" s="384"/>
      <c r="QUZ31" s="384"/>
      <c r="QVA31" s="384"/>
      <c r="QVB31" s="384"/>
      <c r="QVC31" s="384"/>
      <c r="QVD31" s="384"/>
      <c r="QVE31" s="384"/>
      <c r="QVF31" s="384"/>
      <c r="QVG31" s="384"/>
      <c r="QVH31" s="384"/>
      <c r="QVI31" s="384"/>
      <c r="QVJ31" s="384"/>
      <c r="QVK31" s="384"/>
      <c r="QVL31" s="384"/>
      <c r="QVM31" s="384"/>
      <c r="QVN31" s="384"/>
      <c r="QVO31" s="384"/>
      <c r="QVP31" s="384"/>
      <c r="QVQ31" s="384"/>
      <c r="QVR31" s="384"/>
      <c r="QVS31" s="384"/>
      <c r="QVT31" s="384"/>
      <c r="QVU31" s="384"/>
      <c r="QVV31" s="384"/>
      <c r="QVW31" s="384"/>
      <c r="QVX31" s="384"/>
      <c r="QVY31" s="384"/>
      <c r="QVZ31" s="384"/>
      <c r="QWA31" s="384"/>
      <c r="QWB31" s="384"/>
      <c r="QWC31" s="384"/>
      <c r="QWD31" s="384"/>
      <c r="QWE31" s="384"/>
      <c r="QWF31" s="384"/>
      <c r="QWG31" s="384"/>
      <c r="QWH31" s="384"/>
      <c r="QWI31" s="384"/>
      <c r="QWJ31" s="384"/>
      <c r="QWK31" s="384"/>
      <c r="QWL31" s="384"/>
      <c r="QWM31" s="384"/>
      <c r="QWN31" s="384"/>
      <c r="QWO31" s="384"/>
      <c r="QWP31" s="384"/>
      <c r="QWQ31" s="384"/>
      <c r="QWR31" s="384"/>
      <c r="QWS31" s="384"/>
      <c r="QWT31" s="384"/>
      <c r="QWU31" s="384"/>
      <c r="QWV31" s="384"/>
      <c r="QWW31" s="384"/>
      <c r="QWX31" s="384"/>
      <c r="QWY31" s="384"/>
      <c r="QWZ31" s="384"/>
      <c r="QXA31" s="384"/>
      <c r="QXB31" s="384"/>
      <c r="QXC31" s="384"/>
      <c r="QXD31" s="384"/>
      <c r="QXE31" s="384"/>
      <c r="QXF31" s="384"/>
      <c r="QXG31" s="384"/>
      <c r="QXH31" s="384"/>
      <c r="QXI31" s="384"/>
      <c r="QXJ31" s="384"/>
      <c r="QXK31" s="384"/>
      <c r="QXL31" s="384"/>
      <c r="QXM31" s="384"/>
      <c r="QXN31" s="384"/>
      <c r="QXO31" s="384"/>
      <c r="QXP31" s="384"/>
      <c r="QXQ31" s="384"/>
      <c r="QXR31" s="384"/>
      <c r="QXS31" s="384"/>
      <c r="QXT31" s="384"/>
      <c r="QXU31" s="384"/>
      <c r="QXV31" s="384"/>
      <c r="QXW31" s="384"/>
      <c r="QXX31" s="384"/>
      <c r="QXY31" s="384"/>
      <c r="QXZ31" s="384"/>
      <c r="QYA31" s="384"/>
      <c r="QYB31" s="384"/>
      <c r="QYC31" s="384"/>
      <c r="QYD31" s="384"/>
      <c r="QYE31" s="384"/>
      <c r="QYF31" s="384"/>
      <c r="QYG31" s="384"/>
      <c r="QYH31" s="384"/>
      <c r="QYI31" s="384"/>
      <c r="QYJ31" s="384"/>
      <c r="QYK31" s="384"/>
      <c r="QYL31" s="384"/>
      <c r="QYM31" s="384"/>
      <c r="QYN31" s="384"/>
      <c r="QYO31" s="384"/>
      <c r="QYP31" s="384"/>
      <c r="QYQ31" s="384"/>
      <c r="QYR31" s="384"/>
      <c r="QYS31" s="384"/>
      <c r="QYT31" s="384"/>
      <c r="QYU31" s="384"/>
      <c r="QYV31" s="384"/>
      <c r="QYW31" s="384"/>
      <c r="QYX31" s="384"/>
      <c r="QYY31" s="384"/>
      <c r="QYZ31" s="384"/>
      <c r="QZA31" s="384"/>
      <c r="QZB31" s="384"/>
      <c r="QZC31" s="384"/>
      <c r="QZD31" s="384"/>
      <c r="QZE31" s="384"/>
      <c r="QZF31" s="384"/>
      <c r="QZG31" s="384"/>
      <c r="QZH31" s="384"/>
      <c r="QZI31" s="384"/>
      <c r="QZJ31" s="384"/>
      <c r="QZK31" s="384"/>
      <c r="QZL31" s="384"/>
      <c r="QZM31" s="384"/>
      <c r="QZN31" s="384"/>
      <c r="QZO31" s="384"/>
      <c r="QZP31" s="384"/>
      <c r="QZQ31" s="384"/>
      <c r="QZR31" s="384"/>
      <c r="QZS31" s="384"/>
      <c r="QZT31" s="384"/>
      <c r="QZU31" s="384"/>
      <c r="QZV31" s="384"/>
      <c r="QZW31" s="384"/>
      <c r="QZX31" s="384"/>
      <c r="QZY31" s="384"/>
      <c r="QZZ31" s="384"/>
      <c r="RAA31" s="384"/>
      <c r="RAB31" s="384"/>
      <c r="RAC31" s="384"/>
      <c r="RAD31" s="384"/>
      <c r="RAE31" s="384"/>
      <c r="RAF31" s="384"/>
      <c r="RAG31" s="384"/>
      <c r="RAH31" s="384"/>
      <c r="RAI31" s="384"/>
      <c r="RAJ31" s="384"/>
      <c r="RAK31" s="384"/>
      <c r="RAL31" s="384"/>
      <c r="RAM31" s="384"/>
      <c r="RAN31" s="384"/>
      <c r="RAO31" s="384"/>
      <c r="RAP31" s="384"/>
      <c r="RAQ31" s="384"/>
      <c r="RAR31" s="384"/>
      <c r="RAS31" s="384"/>
      <c r="RAT31" s="384"/>
      <c r="RAU31" s="384"/>
      <c r="RAV31" s="384"/>
      <c r="RAW31" s="384"/>
      <c r="RAX31" s="384"/>
      <c r="RAY31" s="384"/>
      <c r="RAZ31" s="384"/>
      <c r="RBA31" s="384"/>
      <c r="RBB31" s="384"/>
      <c r="RBC31" s="384"/>
      <c r="RBD31" s="384"/>
      <c r="RBE31" s="384"/>
      <c r="RBF31" s="384"/>
      <c r="RBG31" s="384"/>
      <c r="RBH31" s="384"/>
      <c r="RBI31" s="384"/>
      <c r="RBJ31" s="384"/>
      <c r="RBK31" s="384"/>
      <c r="RBL31" s="384"/>
      <c r="RBM31" s="384"/>
      <c r="RBN31" s="384"/>
      <c r="RBO31" s="384"/>
      <c r="RBP31" s="384"/>
      <c r="RBQ31" s="384"/>
      <c r="RBR31" s="384"/>
      <c r="RBS31" s="384"/>
      <c r="RBT31" s="384"/>
      <c r="RBU31" s="384"/>
      <c r="RBV31" s="384"/>
      <c r="RBW31" s="384"/>
      <c r="RBX31" s="384"/>
      <c r="RBY31" s="384"/>
      <c r="RBZ31" s="384"/>
      <c r="RCA31" s="384"/>
      <c r="RCB31" s="384"/>
      <c r="RCC31" s="384"/>
      <c r="RCD31" s="384"/>
      <c r="RCE31" s="384"/>
      <c r="RCF31" s="384"/>
      <c r="RCG31" s="384"/>
      <c r="RCH31" s="384"/>
      <c r="RCI31" s="384"/>
      <c r="RCJ31" s="384"/>
      <c r="RCK31" s="384"/>
      <c r="RCL31" s="384"/>
      <c r="RCM31" s="384"/>
      <c r="RCN31" s="384"/>
      <c r="RCO31" s="384"/>
      <c r="RCP31" s="384"/>
      <c r="RCQ31" s="384"/>
      <c r="RCR31" s="384"/>
      <c r="RCS31" s="384"/>
      <c r="RCT31" s="384"/>
      <c r="RCU31" s="384"/>
      <c r="RCV31" s="384"/>
      <c r="RCW31" s="384"/>
      <c r="RCX31" s="384"/>
      <c r="RCY31" s="384"/>
      <c r="RCZ31" s="384"/>
      <c r="RDA31" s="384"/>
      <c r="RDB31" s="384"/>
      <c r="RDC31" s="384"/>
      <c r="RDD31" s="384"/>
      <c r="RDE31" s="384"/>
      <c r="RDF31" s="384"/>
      <c r="RDG31" s="384"/>
      <c r="RDH31" s="384"/>
      <c r="RDI31" s="384"/>
      <c r="RDJ31" s="384"/>
      <c r="RDK31" s="384"/>
      <c r="RDL31" s="384"/>
      <c r="RDM31" s="384"/>
      <c r="RDN31" s="384"/>
      <c r="RDO31" s="384"/>
      <c r="RDP31" s="384"/>
      <c r="RDQ31" s="384"/>
      <c r="RDR31" s="384"/>
      <c r="RDS31" s="384"/>
      <c r="RDT31" s="384"/>
      <c r="RDU31" s="384"/>
      <c r="RDV31" s="384"/>
      <c r="RDW31" s="384"/>
      <c r="RDX31" s="384"/>
      <c r="RDY31" s="384"/>
      <c r="RDZ31" s="384"/>
      <c r="REA31" s="384"/>
      <c r="REB31" s="384"/>
      <c r="REC31" s="384"/>
      <c r="RED31" s="384"/>
      <c r="REE31" s="384"/>
      <c r="REF31" s="384"/>
      <c r="REG31" s="384"/>
      <c r="REH31" s="384"/>
      <c r="REI31" s="384"/>
      <c r="REJ31" s="384"/>
      <c r="REK31" s="384"/>
      <c r="REL31" s="384"/>
      <c r="REM31" s="384"/>
      <c r="REN31" s="384"/>
      <c r="REO31" s="384"/>
      <c r="REP31" s="384"/>
      <c r="REQ31" s="384"/>
      <c r="RER31" s="384"/>
      <c r="RES31" s="384"/>
      <c r="RET31" s="384"/>
      <c r="REU31" s="384"/>
      <c r="REV31" s="384"/>
      <c r="REW31" s="384"/>
      <c r="REX31" s="384"/>
      <c r="REY31" s="384"/>
      <c r="REZ31" s="384"/>
      <c r="RFA31" s="384"/>
      <c r="RFB31" s="384"/>
      <c r="RFC31" s="384"/>
      <c r="RFD31" s="384"/>
      <c r="RFE31" s="384"/>
      <c r="RFF31" s="384"/>
      <c r="RFG31" s="384"/>
      <c r="RFH31" s="384"/>
      <c r="RFI31" s="384"/>
      <c r="RFJ31" s="384"/>
      <c r="RFK31" s="384"/>
      <c r="RFL31" s="384"/>
      <c r="RFM31" s="384"/>
      <c r="RFN31" s="384"/>
      <c r="RFO31" s="384"/>
      <c r="RFP31" s="384"/>
      <c r="RFQ31" s="384"/>
      <c r="RFR31" s="384"/>
      <c r="RFS31" s="384"/>
      <c r="RFT31" s="384"/>
      <c r="RFU31" s="384"/>
      <c r="RFV31" s="384"/>
      <c r="RFW31" s="384"/>
      <c r="RFX31" s="384"/>
      <c r="RFY31" s="384"/>
      <c r="RFZ31" s="384"/>
      <c r="RGA31" s="384"/>
      <c r="RGB31" s="384"/>
      <c r="RGC31" s="384"/>
      <c r="RGD31" s="384"/>
      <c r="RGE31" s="384"/>
      <c r="RGF31" s="384"/>
      <c r="RGG31" s="384"/>
      <c r="RGH31" s="384"/>
      <c r="RGI31" s="384"/>
      <c r="RGJ31" s="384"/>
      <c r="RGK31" s="384"/>
      <c r="RGL31" s="384"/>
      <c r="RGM31" s="384"/>
      <c r="RGN31" s="384"/>
      <c r="RGO31" s="384"/>
      <c r="RGP31" s="384"/>
      <c r="RGQ31" s="384"/>
      <c r="RGR31" s="384"/>
      <c r="RGS31" s="384"/>
      <c r="RGT31" s="384"/>
      <c r="RGU31" s="384"/>
      <c r="RGV31" s="384"/>
      <c r="RGW31" s="384"/>
      <c r="RGX31" s="384"/>
      <c r="RGY31" s="384"/>
      <c r="RGZ31" s="384"/>
      <c r="RHA31" s="384"/>
      <c r="RHB31" s="384"/>
      <c r="RHC31" s="384"/>
      <c r="RHD31" s="384"/>
      <c r="RHE31" s="384"/>
      <c r="RHF31" s="384"/>
      <c r="RHG31" s="384"/>
      <c r="RHH31" s="384"/>
      <c r="RHI31" s="384"/>
      <c r="RHJ31" s="384"/>
      <c r="RHK31" s="384"/>
      <c r="RHL31" s="384"/>
      <c r="RHM31" s="384"/>
      <c r="RHN31" s="384"/>
      <c r="RHO31" s="384"/>
      <c r="RHP31" s="384"/>
      <c r="RHQ31" s="384"/>
      <c r="RHR31" s="384"/>
      <c r="RHS31" s="384"/>
      <c r="RHT31" s="384"/>
      <c r="RHU31" s="384"/>
      <c r="RHV31" s="384"/>
      <c r="RHW31" s="384"/>
      <c r="RHX31" s="384"/>
      <c r="RHY31" s="384"/>
      <c r="RHZ31" s="384"/>
      <c r="RIA31" s="384"/>
      <c r="RIB31" s="384"/>
      <c r="RIC31" s="384"/>
      <c r="RID31" s="384"/>
      <c r="RIE31" s="384"/>
      <c r="RIF31" s="384"/>
      <c r="RIG31" s="384"/>
      <c r="RIH31" s="384"/>
      <c r="RII31" s="384"/>
      <c r="RIJ31" s="384"/>
      <c r="RIK31" s="384"/>
      <c r="RIL31" s="384"/>
      <c r="RIM31" s="384"/>
      <c r="RIN31" s="384"/>
      <c r="RIO31" s="384"/>
      <c r="RIP31" s="384"/>
      <c r="RIQ31" s="384"/>
      <c r="RIR31" s="384"/>
      <c r="RIS31" s="384"/>
      <c r="RIT31" s="384"/>
      <c r="RIU31" s="384"/>
      <c r="RIV31" s="384"/>
      <c r="RIW31" s="384"/>
      <c r="RIX31" s="384"/>
      <c r="RIY31" s="384"/>
      <c r="RIZ31" s="384"/>
      <c r="RJA31" s="384"/>
      <c r="RJB31" s="384"/>
      <c r="RJC31" s="384"/>
      <c r="RJD31" s="384"/>
      <c r="RJE31" s="384"/>
      <c r="RJF31" s="384"/>
      <c r="RJG31" s="384"/>
      <c r="RJH31" s="384"/>
      <c r="RJI31" s="384"/>
      <c r="RJJ31" s="384"/>
      <c r="RJK31" s="384"/>
      <c r="RJL31" s="384"/>
      <c r="RJM31" s="384"/>
      <c r="RJN31" s="384"/>
      <c r="RJO31" s="384"/>
      <c r="RJP31" s="384"/>
      <c r="RJQ31" s="384"/>
      <c r="RJR31" s="384"/>
      <c r="RJS31" s="384"/>
      <c r="RJT31" s="384"/>
      <c r="RJU31" s="384"/>
      <c r="RJV31" s="384"/>
      <c r="RJW31" s="384"/>
      <c r="RJX31" s="384"/>
      <c r="RJY31" s="384"/>
      <c r="RJZ31" s="384"/>
      <c r="RKA31" s="384"/>
      <c r="RKB31" s="384"/>
      <c r="RKC31" s="384"/>
      <c r="RKD31" s="384"/>
      <c r="RKE31" s="384"/>
      <c r="RKF31" s="384"/>
      <c r="RKG31" s="384"/>
      <c r="RKH31" s="384"/>
      <c r="RKI31" s="384"/>
      <c r="RKJ31" s="384"/>
      <c r="RKK31" s="384"/>
      <c r="RKL31" s="384"/>
      <c r="RKM31" s="384"/>
      <c r="RKN31" s="384"/>
      <c r="RKO31" s="384"/>
      <c r="RKP31" s="384"/>
      <c r="RKQ31" s="384"/>
      <c r="RKR31" s="384"/>
      <c r="RKS31" s="384"/>
      <c r="RKT31" s="384"/>
      <c r="RKU31" s="384"/>
      <c r="RKV31" s="384"/>
      <c r="RKW31" s="384"/>
      <c r="RKX31" s="384"/>
      <c r="RKY31" s="384"/>
      <c r="RKZ31" s="384"/>
      <c r="RLA31" s="384"/>
      <c r="RLB31" s="384"/>
      <c r="RLC31" s="384"/>
      <c r="RLD31" s="384"/>
      <c r="RLE31" s="384"/>
      <c r="RLF31" s="384"/>
      <c r="RLG31" s="384"/>
      <c r="RLH31" s="384"/>
      <c r="RLI31" s="384"/>
      <c r="RLJ31" s="384"/>
      <c r="RLK31" s="384"/>
      <c r="RLL31" s="384"/>
      <c r="RLM31" s="384"/>
      <c r="RLN31" s="384"/>
      <c r="RLO31" s="384"/>
      <c r="RLP31" s="384"/>
      <c r="RLQ31" s="384"/>
      <c r="RLR31" s="384"/>
      <c r="RLS31" s="384"/>
      <c r="RLT31" s="384"/>
      <c r="RLU31" s="384"/>
      <c r="RLV31" s="384"/>
      <c r="RLW31" s="384"/>
      <c r="RLX31" s="384"/>
      <c r="RLY31" s="384"/>
      <c r="RLZ31" s="384"/>
      <c r="RMA31" s="384"/>
      <c r="RMB31" s="384"/>
      <c r="RMC31" s="384"/>
      <c r="RMD31" s="384"/>
      <c r="RME31" s="384"/>
      <c r="RMF31" s="384"/>
      <c r="RMG31" s="384"/>
      <c r="RMH31" s="384"/>
      <c r="RMI31" s="384"/>
      <c r="RMJ31" s="384"/>
      <c r="RMK31" s="384"/>
      <c r="RML31" s="384"/>
      <c r="RMM31" s="384"/>
      <c r="RMN31" s="384"/>
      <c r="RMO31" s="384"/>
      <c r="RMP31" s="384"/>
      <c r="RMQ31" s="384"/>
      <c r="RMR31" s="384"/>
      <c r="RMS31" s="384"/>
      <c r="RMT31" s="384"/>
      <c r="RMU31" s="384"/>
      <c r="RMV31" s="384"/>
      <c r="RMW31" s="384"/>
      <c r="RMX31" s="384"/>
      <c r="RMY31" s="384"/>
      <c r="RMZ31" s="384"/>
      <c r="RNA31" s="384"/>
      <c r="RNB31" s="384"/>
      <c r="RNC31" s="384"/>
      <c r="RND31" s="384"/>
      <c r="RNE31" s="384"/>
      <c r="RNF31" s="384"/>
      <c r="RNG31" s="384"/>
      <c r="RNH31" s="384"/>
      <c r="RNI31" s="384"/>
      <c r="RNJ31" s="384"/>
      <c r="RNK31" s="384"/>
      <c r="RNL31" s="384"/>
      <c r="RNM31" s="384"/>
      <c r="RNN31" s="384"/>
      <c r="RNO31" s="384"/>
      <c r="RNP31" s="384"/>
      <c r="RNQ31" s="384"/>
      <c r="RNR31" s="384"/>
      <c r="RNS31" s="384"/>
      <c r="RNT31" s="384"/>
      <c r="RNU31" s="384"/>
      <c r="RNV31" s="384"/>
      <c r="RNW31" s="384"/>
      <c r="RNX31" s="384"/>
      <c r="RNY31" s="384"/>
      <c r="RNZ31" s="384"/>
      <c r="ROA31" s="384"/>
      <c r="ROB31" s="384"/>
      <c r="ROC31" s="384"/>
      <c r="ROD31" s="384"/>
      <c r="ROE31" s="384"/>
      <c r="ROF31" s="384"/>
      <c r="ROG31" s="384"/>
      <c r="ROH31" s="384"/>
      <c r="ROI31" s="384"/>
      <c r="ROJ31" s="384"/>
      <c r="ROK31" s="384"/>
      <c r="ROL31" s="384"/>
      <c r="ROM31" s="384"/>
      <c r="RON31" s="384"/>
      <c r="ROO31" s="384"/>
      <c r="ROP31" s="384"/>
      <c r="ROQ31" s="384"/>
      <c r="ROR31" s="384"/>
      <c r="ROS31" s="384"/>
      <c r="ROT31" s="384"/>
      <c r="ROU31" s="384"/>
      <c r="ROV31" s="384"/>
      <c r="ROW31" s="384"/>
      <c r="ROX31" s="384"/>
      <c r="ROY31" s="384"/>
      <c r="ROZ31" s="384"/>
      <c r="RPA31" s="384"/>
      <c r="RPB31" s="384"/>
      <c r="RPC31" s="384"/>
      <c r="RPD31" s="384"/>
      <c r="RPE31" s="384"/>
      <c r="RPF31" s="384"/>
      <c r="RPG31" s="384"/>
      <c r="RPH31" s="384"/>
      <c r="RPI31" s="384"/>
      <c r="RPJ31" s="384"/>
      <c r="RPK31" s="384"/>
      <c r="RPL31" s="384"/>
      <c r="RPM31" s="384"/>
      <c r="RPN31" s="384"/>
      <c r="RPO31" s="384"/>
      <c r="RPP31" s="384"/>
      <c r="RPQ31" s="384"/>
      <c r="RPR31" s="384"/>
      <c r="RPS31" s="384"/>
      <c r="RPT31" s="384"/>
      <c r="RPU31" s="384"/>
      <c r="RPV31" s="384"/>
      <c r="RPW31" s="384"/>
      <c r="RPX31" s="384"/>
      <c r="RPY31" s="384"/>
      <c r="RPZ31" s="384"/>
      <c r="RQA31" s="384"/>
      <c r="RQB31" s="384"/>
      <c r="RQC31" s="384"/>
      <c r="RQD31" s="384"/>
      <c r="RQE31" s="384"/>
      <c r="RQF31" s="384"/>
      <c r="RQG31" s="384"/>
      <c r="RQH31" s="384"/>
      <c r="RQI31" s="384"/>
      <c r="RQJ31" s="384"/>
      <c r="RQK31" s="384"/>
      <c r="RQL31" s="384"/>
      <c r="RQM31" s="384"/>
      <c r="RQN31" s="384"/>
      <c r="RQO31" s="384"/>
      <c r="RQP31" s="384"/>
      <c r="RQQ31" s="384"/>
      <c r="RQR31" s="384"/>
      <c r="RQS31" s="384"/>
      <c r="RQT31" s="384"/>
      <c r="RQU31" s="384"/>
      <c r="RQV31" s="384"/>
      <c r="RQW31" s="384"/>
      <c r="RQX31" s="384"/>
      <c r="RQY31" s="384"/>
      <c r="RQZ31" s="384"/>
      <c r="RRA31" s="384"/>
      <c r="RRB31" s="384"/>
      <c r="RRC31" s="384"/>
      <c r="RRD31" s="384"/>
      <c r="RRE31" s="384"/>
      <c r="RRF31" s="384"/>
      <c r="RRG31" s="384"/>
      <c r="RRH31" s="384"/>
      <c r="RRI31" s="384"/>
      <c r="RRJ31" s="384"/>
      <c r="RRK31" s="384"/>
      <c r="RRL31" s="384"/>
      <c r="RRM31" s="384"/>
      <c r="RRN31" s="384"/>
      <c r="RRO31" s="384"/>
      <c r="RRP31" s="384"/>
      <c r="RRQ31" s="384"/>
      <c r="RRR31" s="384"/>
      <c r="RRS31" s="384"/>
      <c r="RRT31" s="384"/>
      <c r="RRU31" s="384"/>
      <c r="RRV31" s="384"/>
      <c r="RRW31" s="384"/>
      <c r="RRX31" s="384"/>
      <c r="RRY31" s="384"/>
      <c r="RRZ31" s="384"/>
      <c r="RSA31" s="384"/>
      <c r="RSB31" s="384"/>
      <c r="RSC31" s="384"/>
      <c r="RSD31" s="384"/>
      <c r="RSE31" s="384"/>
      <c r="RSF31" s="384"/>
      <c r="RSG31" s="384"/>
      <c r="RSH31" s="384"/>
      <c r="RSI31" s="384"/>
      <c r="RSJ31" s="384"/>
      <c r="RSK31" s="384"/>
      <c r="RSL31" s="384"/>
      <c r="RSM31" s="384"/>
      <c r="RSN31" s="384"/>
      <c r="RSO31" s="384"/>
      <c r="RSP31" s="384"/>
      <c r="RSQ31" s="384"/>
      <c r="RSR31" s="384"/>
      <c r="RSS31" s="384"/>
      <c r="RST31" s="384"/>
      <c r="RSU31" s="384"/>
      <c r="RSV31" s="384"/>
      <c r="RSW31" s="384"/>
      <c r="RSX31" s="384"/>
      <c r="RSY31" s="384"/>
      <c r="RSZ31" s="384"/>
      <c r="RTA31" s="384"/>
      <c r="RTB31" s="384"/>
      <c r="RTC31" s="384"/>
      <c r="RTD31" s="384"/>
      <c r="RTE31" s="384"/>
      <c r="RTF31" s="384"/>
      <c r="RTG31" s="384"/>
      <c r="RTH31" s="384"/>
      <c r="RTI31" s="384"/>
      <c r="RTJ31" s="384"/>
      <c r="RTK31" s="384"/>
      <c r="RTL31" s="384"/>
      <c r="RTM31" s="384"/>
      <c r="RTN31" s="384"/>
      <c r="RTO31" s="384"/>
      <c r="RTP31" s="384"/>
      <c r="RTQ31" s="384"/>
      <c r="RTR31" s="384"/>
      <c r="RTS31" s="384"/>
      <c r="RTT31" s="384"/>
      <c r="RTU31" s="384"/>
      <c r="RTV31" s="384"/>
      <c r="RTW31" s="384"/>
      <c r="RTX31" s="384"/>
      <c r="RTY31" s="384"/>
      <c r="RTZ31" s="384"/>
      <c r="RUA31" s="384"/>
      <c r="RUB31" s="384"/>
      <c r="RUC31" s="384"/>
      <c r="RUD31" s="384"/>
      <c r="RUE31" s="384"/>
      <c r="RUF31" s="384"/>
      <c r="RUG31" s="384"/>
      <c r="RUH31" s="384"/>
      <c r="RUI31" s="384"/>
      <c r="RUJ31" s="384"/>
      <c r="RUK31" s="384"/>
      <c r="RUL31" s="384"/>
      <c r="RUM31" s="384"/>
      <c r="RUN31" s="384"/>
      <c r="RUO31" s="384"/>
      <c r="RUP31" s="384"/>
      <c r="RUQ31" s="384"/>
      <c r="RUR31" s="384"/>
      <c r="RUS31" s="384"/>
      <c r="RUT31" s="384"/>
      <c r="RUU31" s="384"/>
      <c r="RUV31" s="384"/>
      <c r="RUW31" s="384"/>
      <c r="RUX31" s="384"/>
      <c r="RUY31" s="384"/>
      <c r="RUZ31" s="384"/>
      <c r="RVA31" s="384"/>
      <c r="RVB31" s="384"/>
      <c r="RVC31" s="384"/>
      <c r="RVD31" s="384"/>
      <c r="RVE31" s="384"/>
      <c r="RVF31" s="384"/>
      <c r="RVG31" s="384"/>
      <c r="RVH31" s="384"/>
      <c r="RVI31" s="384"/>
      <c r="RVJ31" s="384"/>
      <c r="RVK31" s="384"/>
      <c r="RVL31" s="384"/>
      <c r="RVM31" s="384"/>
      <c r="RVN31" s="384"/>
      <c r="RVO31" s="384"/>
      <c r="RVP31" s="384"/>
      <c r="RVQ31" s="384"/>
      <c r="RVR31" s="384"/>
      <c r="RVS31" s="384"/>
      <c r="RVT31" s="384"/>
      <c r="RVU31" s="384"/>
      <c r="RVV31" s="384"/>
      <c r="RVW31" s="384"/>
      <c r="RVX31" s="384"/>
      <c r="RVY31" s="384"/>
      <c r="RVZ31" s="384"/>
      <c r="RWA31" s="384"/>
      <c r="RWB31" s="384"/>
      <c r="RWC31" s="384"/>
      <c r="RWD31" s="384"/>
      <c r="RWE31" s="384"/>
      <c r="RWF31" s="384"/>
      <c r="RWG31" s="384"/>
      <c r="RWH31" s="384"/>
      <c r="RWI31" s="384"/>
      <c r="RWJ31" s="384"/>
      <c r="RWK31" s="384"/>
      <c r="RWL31" s="384"/>
      <c r="RWM31" s="384"/>
      <c r="RWN31" s="384"/>
      <c r="RWO31" s="384"/>
      <c r="RWP31" s="384"/>
      <c r="RWQ31" s="384"/>
      <c r="RWR31" s="384"/>
      <c r="RWS31" s="384"/>
      <c r="RWT31" s="384"/>
      <c r="RWU31" s="384"/>
      <c r="RWV31" s="384"/>
      <c r="RWW31" s="384"/>
      <c r="RWX31" s="384"/>
      <c r="RWY31" s="384"/>
      <c r="RWZ31" s="384"/>
      <c r="RXA31" s="384"/>
      <c r="RXB31" s="384"/>
      <c r="RXC31" s="384"/>
      <c r="RXD31" s="384"/>
      <c r="RXE31" s="384"/>
      <c r="RXF31" s="384"/>
      <c r="RXG31" s="384"/>
      <c r="RXH31" s="384"/>
      <c r="RXI31" s="384"/>
      <c r="RXJ31" s="384"/>
      <c r="RXK31" s="384"/>
      <c r="RXL31" s="384"/>
      <c r="RXM31" s="384"/>
      <c r="RXN31" s="384"/>
      <c r="RXO31" s="384"/>
      <c r="RXP31" s="384"/>
      <c r="RXQ31" s="384"/>
      <c r="RXR31" s="384"/>
      <c r="RXS31" s="384"/>
      <c r="RXT31" s="384"/>
      <c r="RXU31" s="384"/>
      <c r="RXV31" s="384"/>
      <c r="RXW31" s="384"/>
      <c r="RXX31" s="384"/>
      <c r="RXY31" s="384"/>
      <c r="RXZ31" s="384"/>
      <c r="RYA31" s="384"/>
      <c r="RYB31" s="384"/>
      <c r="RYC31" s="384"/>
      <c r="RYD31" s="384"/>
      <c r="RYE31" s="384"/>
      <c r="RYF31" s="384"/>
      <c r="RYG31" s="384"/>
      <c r="RYH31" s="384"/>
      <c r="RYI31" s="384"/>
      <c r="RYJ31" s="384"/>
      <c r="RYK31" s="384"/>
      <c r="RYL31" s="384"/>
      <c r="RYM31" s="384"/>
      <c r="RYN31" s="384"/>
      <c r="RYO31" s="384"/>
      <c r="RYP31" s="384"/>
      <c r="RYQ31" s="384"/>
      <c r="RYR31" s="384"/>
      <c r="RYS31" s="384"/>
      <c r="RYT31" s="384"/>
      <c r="RYU31" s="384"/>
      <c r="RYV31" s="384"/>
      <c r="RYW31" s="384"/>
      <c r="RYX31" s="384"/>
      <c r="RYY31" s="384"/>
      <c r="RYZ31" s="384"/>
      <c r="RZA31" s="384"/>
      <c r="RZB31" s="384"/>
      <c r="RZC31" s="384"/>
      <c r="RZD31" s="384"/>
      <c r="RZE31" s="384"/>
      <c r="RZF31" s="384"/>
      <c r="RZG31" s="384"/>
      <c r="RZH31" s="384"/>
      <c r="RZI31" s="384"/>
      <c r="RZJ31" s="384"/>
      <c r="RZK31" s="384"/>
      <c r="RZL31" s="384"/>
      <c r="RZM31" s="384"/>
      <c r="RZN31" s="384"/>
      <c r="RZO31" s="384"/>
      <c r="RZP31" s="384"/>
      <c r="RZQ31" s="384"/>
      <c r="RZR31" s="384"/>
      <c r="RZS31" s="384"/>
      <c r="RZT31" s="384"/>
      <c r="RZU31" s="384"/>
      <c r="RZV31" s="384"/>
      <c r="RZW31" s="384"/>
      <c r="RZX31" s="384"/>
      <c r="RZY31" s="384"/>
      <c r="RZZ31" s="384"/>
      <c r="SAA31" s="384"/>
      <c r="SAB31" s="384"/>
      <c r="SAC31" s="384"/>
      <c r="SAD31" s="384"/>
      <c r="SAE31" s="384"/>
      <c r="SAF31" s="384"/>
      <c r="SAG31" s="384"/>
      <c r="SAH31" s="384"/>
      <c r="SAI31" s="384"/>
      <c r="SAJ31" s="384"/>
      <c r="SAK31" s="384"/>
      <c r="SAL31" s="384"/>
      <c r="SAM31" s="384"/>
      <c r="SAN31" s="384"/>
      <c r="SAO31" s="384"/>
      <c r="SAP31" s="384"/>
      <c r="SAQ31" s="384"/>
      <c r="SAR31" s="384"/>
      <c r="SAS31" s="384"/>
      <c r="SAT31" s="384"/>
      <c r="SAU31" s="384"/>
      <c r="SAV31" s="384"/>
      <c r="SAW31" s="384"/>
      <c r="SAX31" s="384"/>
      <c r="SAY31" s="384"/>
      <c r="SAZ31" s="384"/>
      <c r="SBA31" s="384"/>
      <c r="SBB31" s="384"/>
      <c r="SBC31" s="384"/>
      <c r="SBD31" s="384"/>
      <c r="SBE31" s="384"/>
      <c r="SBF31" s="384"/>
      <c r="SBG31" s="384"/>
      <c r="SBH31" s="384"/>
      <c r="SBI31" s="384"/>
      <c r="SBJ31" s="384"/>
      <c r="SBK31" s="384"/>
      <c r="SBL31" s="384"/>
      <c r="SBM31" s="384"/>
      <c r="SBN31" s="384"/>
      <c r="SBO31" s="384"/>
      <c r="SBP31" s="384"/>
      <c r="SBQ31" s="384"/>
      <c r="SBR31" s="384"/>
      <c r="SBS31" s="384"/>
      <c r="SBT31" s="384"/>
      <c r="SBU31" s="384"/>
      <c r="SBV31" s="384"/>
      <c r="SBW31" s="384"/>
      <c r="SBX31" s="384"/>
      <c r="SBY31" s="384"/>
      <c r="SBZ31" s="384"/>
      <c r="SCA31" s="384"/>
      <c r="SCB31" s="384"/>
      <c r="SCC31" s="384"/>
      <c r="SCD31" s="384"/>
      <c r="SCE31" s="384"/>
      <c r="SCF31" s="384"/>
      <c r="SCG31" s="384"/>
      <c r="SCH31" s="384"/>
      <c r="SCI31" s="384"/>
      <c r="SCJ31" s="384"/>
      <c r="SCK31" s="384"/>
      <c r="SCL31" s="384"/>
      <c r="SCM31" s="384"/>
      <c r="SCN31" s="384"/>
      <c r="SCO31" s="384"/>
      <c r="SCP31" s="384"/>
      <c r="SCQ31" s="384"/>
      <c r="SCR31" s="384"/>
      <c r="SCS31" s="384"/>
      <c r="SCT31" s="384"/>
      <c r="SCU31" s="384"/>
      <c r="SCV31" s="384"/>
      <c r="SCW31" s="384"/>
      <c r="SCX31" s="384"/>
      <c r="SCY31" s="384"/>
      <c r="SCZ31" s="384"/>
      <c r="SDA31" s="384"/>
      <c r="SDB31" s="384"/>
      <c r="SDC31" s="384"/>
      <c r="SDD31" s="384"/>
      <c r="SDE31" s="384"/>
      <c r="SDF31" s="384"/>
      <c r="SDG31" s="384"/>
      <c r="SDH31" s="384"/>
      <c r="SDI31" s="384"/>
      <c r="SDJ31" s="384"/>
      <c r="SDK31" s="384"/>
      <c r="SDL31" s="384"/>
      <c r="SDM31" s="384"/>
      <c r="SDN31" s="384"/>
      <c r="SDO31" s="384"/>
      <c r="SDP31" s="384"/>
      <c r="SDQ31" s="384"/>
      <c r="SDR31" s="384"/>
      <c r="SDS31" s="384"/>
      <c r="SDT31" s="384"/>
      <c r="SDU31" s="384"/>
      <c r="SDV31" s="384"/>
      <c r="SDW31" s="384"/>
      <c r="SDX31" s="384"/>
      <c r="SDY31" s="384"/>
      <c r="SDZ31" s="384"/>
      <c r="SEA31" s="384"/>
      <c r="SEB31" s="384"/>
      <c r="SEC31" s="384"/>
      <c r="SED31" s="384"/>
      <c r="SEE31" s="384"/>
      <c r="SEF31" s="384"/>
      <c r="SEG31" s="384"/>
      <c r="SEH31" s="384"/>
      <c r="SEI31" s="384"/>
      <c r="SEJ31" s="384"/>
      <c r="SEK31" s="384"/>
      <c r="SEL31" s="384"/>
      <c r="SEM31" s="384"/>
      <c r="SEN31" s="384"/>
      <c r="SEO31" s="384"/>
      <c r="SEP31" s="384"/>
      <c r="SEQ31" s="384"/>
      <c r="SER31" s="384"/>
      <c r="SES31" s="384"/>
      <c r="SET31" s="384"/>
      <c r="SEU31" s="384"/>
      <c r="SEV31" s="384"/>
      <c r="SEW31" s="384"/>
      <c r="SEX31" s="384"/>
      <c r="SEY31" s="384"/>
      <c r="SEZ31" s="384"/>
      <c r="SFA31" s="384"/>
      <c r="SFB31" s="384"/>
      <c r="SFC31" s="384"/>
      <c r="SFD31" s="384"/>
      <c r="SFE31" s="384"/>
      <c r="SFF31" s="384"/>
      <c r="SFG31" s="384"/>
      <c r="SFH31" s="384"/>
      <c r="SFI31" s="384"/>
      <c r="SFJ31" s="384"/>
      <c r="SFK31" s="384"/>
      <c r="SFL31" s="384"/>
      <c r="SFM31" s="384"/>
      <c r="SFN31" s="384"/>
      <c r="SFO31" s="384"/>
      <c r="SFP31" s="384"/>
      <c r="SFQ31" s="384"/>
      <c r="SFR31" s="384"/>
      <c r="SFS31" s="384"/>
      <c r="SFT31" s="384"/>
      <c r="SFU31" s="384"/>
      <c r="SFV31" s="384"/>
      <c r="SFW31" s="384"/>
      <c r="SFX31" s="384"/>
      <c r="SFY31" s="384"/>
      <c r="SFZ31" s="384"/>
      <c r="SGA31" s="384"/>
      <c r="SGB31" s="384"/>
      <c r="SGC31" s="384"/>
      <c r="SGD31" s="384"/>
      <c r="SGE31" s="384"/>
      <c r="SGF31" s="384"/>
      <c r="SGG31" s="384"/>
      <c r="SGH31" s="384"/>
      <c r="SGI31" s="384"/>
      <c r="SGJ31" s="384"/>
      <c r="SGK31" s="384"/>
      <c r="SGL31" s="384"/>
      <c r="SGM31" s="384"/>
      <c r="SGN31" s="384"/>
      <c r="SGO31" s="384"/>
      <c r="SGP31" s="384"/>
      <c r="SGQ31" s="384"/>
      <c r="SGR31" s="384"/>
      <c r="SGS31" s="384"/>
      <c r="SGT31" s="384"/>
      <c r="SGU31" s="384"/>
      <c r="SGV31" s="384"/>
      <c r="SGW31" s="384"/>
      <c r="SGX31" s="384"/>
      <c r="SGY31" s="384"/>
      <c r="SGZ31" s="384"/>
      <c r="SHA31" s="384"/>
      <c r="SHB31" s="384"/>
      <c r="SHC31" s="384"/>
      <c r="SHD31" s="384"/>
      <c r="SHE31" s="384"/>
      <c r="SHF31" s="384"/>
      <c r="SHG31" s="384"/>
      <c r="SHH31" s="384"/>
      <c r="SHI31" s="384"/>
      <c r="SHJ31" s="384"/>
      <c r="SHK31" s="384"/>
      <c r="SHL31" s="384"/>
      <c r="SHM31" s="384"/>
      <c r="SHN31" s="384"/>
      <c r="SHO31" s="384"/>
      <c r="SHP31" s="384"/>
      <c r="SHQ31" s="384"/>
      <c r="SHR31" s="384"/>
      <c r="SHS31" s="384"/>
      <c r="SHT31" s="384"/>
      <c r="SHU31" s="384"/>
      <c r="SHV31" s="384"/>
      <c r="SHW31" s="384"/>
      <c r="SHX31" s="384"/>
      <c r="SHY31" s="384"/>
      <c r="SHZ31" s="384"/>
      <c r="SIA31" s="384"/>
      <c r="SIB31" s="384"/>
      <c r="SIC31" s="384"/>
      <c r="SID31" s="384"/>
      <c r="SIE31" s="384"/>
      <c r="SIF31" s="384"/>
      <c r="SIG31" s="384"/>
      <c r="SIH31" s="384"/>
      <c r="SII31" s="384"/>
      <c r="SIJ31" s="384"/>
      <c r="SIK31" s="384"/>
      <c r="SIL31" s="384"/>
      <c r="SIM31" s="384"/>
      <c r="SIN31" s="384"/>
      <c r="SIO31" s="384"/>
      <c r="SIP31" s="384"/>
      <c r="SIQ31" s="384"/>
      <c r="SIR31" s="384"/>
      <c r="SIS31" s="384"/>
      <c r="SIT31" s="384"/>
      <c r="SIU31" s="384"/>
      <c r="SIV31" s="384"/>
      <c r="SIW31" s="384"/>
      <c r="SIX31" s="384"/>
      <c r="SIY31" s="384"/>
      <c r="SIZ31" s="384"/>
      <c r="SJA31" s="384"/>
      <c r="SJB31" s="384"/>
      <c r="SJC31" s="384"/>
      <c r="SJD31" s="384"/>
      <c r="SJE31" s="384"/>
      <c r="SJF31" s="384"/>
      <c r="SJG31" s="384"/>
      <c r="SJH31" s="384"/>
      <c r="SJI31" s="384"/>
      <c r="SJJ31" s="384"/>
      <c r="SJK31" s="384"/>
      <c r="SJL31" s="384"/>
      <c r="SJM31" s="384"/>
      <c r="SJN31" s="384"/>
      <c r="SJO31" s="384"/>
      <c r="SJP31" s="384"/>
      <c r="SJQ31" s="384"/>
      <c r="SJR31" s="384"/>
      <c r="SJS31" s="384"/>
      <c r="SJT31" s="384"/>
      <c r="SJU31" s="384"/>
      <c r="SJV31" s="384"/>
      <c r="SJW31" s="384"/>
      <c r="SJX31" s="384"/>
      <c r="SJY31" s="384"/>
      <c r="SJZ31" s="384"/>
      <c r="SKA31" s="384"/>
      <c r="SKB31" s="384"/>
      <c r="SKC31" s="384"/>
      <c r="SKD31" s="384"/>
      <c r="SKE31" s="384"/>
      <c r="SKF31" s="384"/>
      <c r="SKG31" s="384"/>
      <c r="SKH31" s="384"/>
      <c r="SKI31" s="384"/>
      <c r="SKJ31" s="384"/>
      <c r="SKK31" s="384"/>
      <c r="SKL31" s="384"/>
      <c r="SKM31" s="384"/>
      <c r="SKN31" s="384"/>
      <c r="SKO31" s="384"/>
      <c r="SKP31" s="384"/>
      <c r="SKQ31" s="384"/>
      <c r="SKR31" s="384"/>
      <c r="SKS31" s="384"/>
      <c r="SKT31" s="384"/>
      <c r="SKU31" s="384"/>
      <c r="SKV31" s="384"/>
      <c r="SKW31" s="384"/>
      <c r="SKX31" s="384"/>
      <c r="SKY31" s="384"/>
      <c r="SKZ31" s="384"/>
      <c r="SLA31" s="384"/>
      <c r="SLB31" s="384"/>
      <c r="SLC31" s="384"/>
      <c r="SLD31" s="384"/>
      <c r="SLE31" s="384"/>
      <c r="SLF31" s="384"/>
      <c r="SLG31" s="384"/>
      <c r="SLH31" s="384"/>
      <c r="SLI31" s="384"/>
      <c r="SLJ31" s="384"/>
      <c r="SLK31" s="384"/>
      <c r="SLL31" s="384"/>
      <c r="SLM31" s="384"/>
      <c r="SLN31" s="384"/>
      <c r="SLO31" s="384"/>
      <c r="SLP31" s="384"/>
      <c r="SLQ31" s="384"/>
      <c r="SLR31" s="384"/>
      <c r="SLS31" s="384"/>
      <c r="SLT31" s="384"/>
      <c r="SLU31" s="384"/>
      <c r="SLV31" s="384"/>
      <c r="SLW31" s="384"/>
      <c r="SLX31" s="384"/>
      <c r="SLY31" s="384"/>
      <c r="SLZ31" s="384"/>
      <c r="SMA31" s="384"/>
      <c r="SMB31" s="384"/>
      <c r="SMC31" s="384"/>
      <c r="SMD31" s="384"/>
      <c r="SME31" s="384"/>
      <c r="SMF31" s="384"/>
      <c r="SMG31" s="384"/>
      <c r="SMH31" s="384"/>
      <c r="SMI31" s="384"/>
      <c r="SMJ31" s="384"/>
      <c r="SMK31" s="384"/>
      <c r="SML31" s="384"/>
      <c r="SMM31" s="384"/>
      <c r="SMN31" s="384"/>
      <c r="SMO31" s="384"/>
      <c r="SMP31" s="384"/>
      <c r="SMQ31" s="384"/>
      <c r="SMR31" s="384"/>
      <c r="SMS31" s="384"/>
      <c r="SMT31" s="384"/>
      <c r="SMU31" s="384"/>
      <c r="SMV31" s="384"/>
      <c r="SMW31" s="384"/>
      <c r="SMX31" s="384"/>
      <c r="SMY31" s="384"/>
      <c r="SMZ31" s="384"/>
      <c r="SNA31" s="384"/>
      <c r="SNB31" s="384"/>
      <c r="SNC31" s="384"/>
      <c r="SND31" s="384"/>
      <c r="SNE31" s="384"/>
      <c r="SNF31" s="384"/>
      <c r="SNG31" s="384"/>
      <c r="SNH31" s="384"/>
      <c r="SNI31" s="384"/>
      <c r="SNJ31" s="384"/>
      <c r="SNK31" s="384"/>
      <c r="SNL31" s="384"/>
      <c r="SNM31" s="384"/>
      <c r="SNN31" s="384"/>
      <c r="SNO31" s="384"/>
      <c r="SNP31" s="384"/>
      <c r="SNQ31" s="384"/>
      <c r="SNR31" s="384"/>
      <c r="SNS31" s="384"/>
      <c r="SNT31" s="384"/>
      <c r="SNU31" s="384"/>
      <c r="SNV31" s="384"/>
      <c r="SNW31" s="384"/>
      <c r="SNX31" s="384"/>
      <c r="SNY31" s="384"/>
      <c r="SNZ31" s="384"/>
      <c r="SOA31" s="384"/>
      <c r="SOB31" s="384"/>
      <c r="SOC31" s="384"/>
      <c r="SOD31" s="384"/>
      <c r="SOE31" s="384"/>
      <c r="SOF31" s="384"/>
      <c r="SOG31" s="384"/>
      <c r="SOH31" s="384"/>
      <c r="SOI31" s="384"/>
      <c r="SOJ31" s="384"/>
      <c r="SOK31" s="384"/>
      <c r="SOL31" s="384"/>
      <c r="SOM31" s="384"/>
      <c r="SON31" s="384"/>
      <c r="SOO31" s="384"/>
      <c r="SOP31" s="384"/>
      <c r="SOQ31" s="384"/>
      <c r="SOR31" s="384"/>
      <c r="SOS31" s="384"/>
      <c r="SOT31" s="384"/>
      <c r="SOU31" s="384"/>
      <c r="SOV31" s="384"/>
      <c r="SOW31" s="384"/>
      <c r="SOX31" s="384"/>
      <c r="SOY31" s="384"/>
      <c r="SOZ31" s="384"/>
      <c r="SPA31" s="384"/>
      <c r="SPB31" s="384"/>
      <c r="SPC31" s="384"/>
      <c r="SPD31" s="384"/>
      <c r="SPE31" s="384"/>
      <c r="SPF31" s="384"/>
      <c r="SPG31" s="384"/>
      <c r="SPH31" s="384"/>
      <c r="SPI31" s="384"/>
      <c r="SPJ31" s="384"/>
      <c r="SPK31" s="384"/>
      <c r="SPL31" s="384"/>
      <c r="SPM31" s="384"/>
      <c r="SPN31" s="384"/>
      <c r="SPO31" s="384"/>
      <c r="SPP31" s="384"/>
      <c r="SPQ31" s="384"/>
      <c r="SPR31" s="384"/>
      <c r="SPS31" s="384"/>
      <c r="SPT31" s="384"/>
      <c r="SPU31" s="384"/>
      <c r="SPV31" s="384"/>
      <c r="SPW31" s="384"/>
      <c r="SPX31" s="384"/>
      <c r="SPY31" s="384"/>
      <c r="SPZ31" s="384"/>
      <c r="SQA31" s="384"/>
      <c r="SQB31" s="384"/>
      <c r="SQC31" s="384"/>
      <c r="SQD31" s="384"/>
      <c r="SQE31" s="384"/>
      <c r="SQF31" s="384"/>
      <c r="SQG31" s="384"/>
      <c r="SQH31" s="384"/>
      <c r="SQI31" s="384"/>
      <c r="SQJ31" s="384"/>
      <c r="SQK31" s="384"/>
      <c r="SQL31" s="384"/>
      <c r="SQM31" s="384"/>
      <c r="SQN31" s="384"/>
      <c r="SQO31" s="384"/>
      <c r="SQP31" s="384"/>
      <c r="SQQ31" s="384"/>
      <c r="SQR31" s="384"/>
      <c r="SQS31" s="384"/>
      <c r="SQT31" s="384"/>
      <c r="SQU31" s="384"/>
      <c r="SQV31" s="384"/>
      <c r="SQW31" s="384"/>
      <c r="SQX31" s="384"/>
      <c r="SQY31" s="384"/>
      <c r="SQZ31" s="384"/>
      <c r="SRA31" s="384"/>
      <c r="SRB31" s="384"/>
      <c r="SRC31" s="384"/>
      <c r="SRD31" s="384"/>
      <c r="SRE31" s="384"/>
      <c r="SRF31" s="384"/>
      <c r="SRG31" s="384"/>
      <c r="SRH31" s="384"/>
      <c r="SRI31" s="384"/>
      <c r="SRJ31" s="384"/>
      <c r="SRK31" s="384"/>
      <c r="SRL31" s="384"/>
      <c r="SRM31" s="384"/>
      <c r="SRN31" s="384"/>
      <c r="SRO31" s="384"/>
      <c r="SRP31" s="384"/>
      <c r="SRQ31" s="384"/>
      <c r="SRR31" s="384"/>
      <c r="SRS31" s="384"/>
      <c r="SRT31" s="384"/>
      <c r="SRU31" s="384"/>
      <c r="SRV31" s="384"/>
      <c r="SRW31" s="384"/>
      <c r="SRX31" s="384"/>
      <c r="SRY31" s="384"/>
      <c r="SRZ31" s="384"/>
      <c r="SSA31" s="384"/>
      <c r="SSB31" s="384"/>
      <c r="SSC31" s="384"/>
      <c r="SSD31" s="384"/>
      <c r="SSE31" s="384"/>
      <c r="SSF31" s="384"/>
      <c r="SSG31" s="384"/>
      <c r="SSH31" s="384"/>
      <c r="SSI31" s="384"/>
      <c r="SSJ31" s="384"/>
      <c r="SSK31" s="384"/>
      <c r="SSL31" s="384"/>
      <c r="SSM31" s="384"/>
      <c r="SSN31" s="384"/>
      <c r="SSO31" s="384"/>
      <c r="SSP31" s="384"/>
      <c r="SSQ31" s="384"/>
      <c r="SSR31" s="384"/>
      <c r="SSS31" s="384"/>
      <c r="SST31" s="384"/>
      <c r="SSU31" s="384"/>
      <c r="SSV31" s="384"/>
      <c r="SSW31" s="384"/>
      <c r="SSX31" s="384"/>
      <c r="SSY31" s="384"/>
      <c r="SSZ31" s="384"/>
      <c r="STA31" s="384"/>
      <c r="STB31" s="384"/>
      <c r="STC31" s="384"/>
      <c r="STD31" s="384"/>
      <c r="STE31" s="384"/>
      <c r="STF31" s="384"/>
      <c r="STG31" s="384"/>
      <c r="STH31" s="384"/>
      <c r="STI31" s="384"/>
      <c r="STJ31" s="384"/>
      <c r="STK31" s="384"/>
      <c r="STL31" s="384"/>
      <c r="STM31" s="384"/>
      <c r="STN31" s="384"/>
      <c r="STO31" s="384"/>
      <c r="STP31" s="384"/>
      <c r="STQ31" s="384"/>
      <c r="STR31" s="384"/>
      <c r="STS31" s="384"/>
      <c r="STT31" s="384"/>
      <c r="STU31" s="384"/>
      <c r="STV31" s="384"/>
      <c r="STW31" s="384"/>
      <c r="STX31" s="384"/>
      <c r="STY31" s="384"/>
      <c r="STZ31" s="384"/>
      <c r="SUA31" s="384"/>
      <c r="SUB31" s="384"/>
      <c r="SUC31" s="384"/>
      <c r="SUD31" s="384"/>
      <c r="SUE31" s="384"/>
      <c r="SUF31" s="384"/>
      <c r="SUG31" s="384"/>
      <c r="SUH31" s="384"/>
      <c r="SUI31" s="384"/>
      <c r="SUJ31" s="384"/>
      <c r="SUK31" s="384"/>
      <c r="SUL31" s="384"/>
      <c r="SUM31" s="384"/>
      <c r="SUN31" s="384"/>
      <c r="SUO31" s="384"/>
      <c r="SUP31" s="384"/>
      <c r="SUQ31" s="384"/>
      <c r="SUR31" s="384"/>
      <c r="SUS31" s="384"/>
      <c r="SUT31" s="384"/>
      <c r="SUU31" s="384"/>
      <c r="SUV31" s="384"/>
      <c r="SUW31" s="384"/>
      <c r="SUX31" s="384"/>
      <c r="SUY31" s="384"/>
      <c r="SUZ31" s="384"/>
      <c r="SVA31" s="384"/>
      <c r="SVB31" s="384"/>
      <c r="SVC31" s="384"/>
      <c r="SVD31" s="384"/>
      <c r="SVE31" s="384"/>
      <c r="SVF31" s="384"/>
      <c r="SVG31" s="384"/>
      <c r="SVH31" s="384"/>
      <c r="SVI31" s="384"/>
      <c r="SVJ31" s="384"/>
      <c r="SVK31" s="384"/>
      <c r="SVL31" s="384"/>
      <c r="SVM31" s="384"/>
      <c r="SVN31" s="384"/>
      <c r="SVO31" s="384"/>
      <c r="SVP31" s="384"/>
      <c r="SVQ31" s="384"/>
      <c r="SVR31" s="384"/>
      <c r="SVS31" s="384"/>
      <c r="SVT31" s="384"/>
      <c r="SVU31" s="384"/>
      <c r="SVV31" s="384"/>
      <c r="SVW31" s="384"/>
      <c r="SVX31" s="384"/>
      <c r="SVY31" s="384"/>
      <c r="SVZ31" s="384"/>
      <c r="SWA31" s="384"/>
      <c r="SWB31" s="384"/>
      <c r="SWC31" s="384"/>
      <c r="SWD31" s="384"/>
      <c r="SWE31" s="384"/>
      <c r="SWF31" s="384"/>
      <c r="SWG31" s="384"/>
      <c r="SWH31" s="384"/>
      <c r="SWI31" s="384"/>
      <c r="SWJ31" s="384"/>
      <c r="SWK31" s="384"/>
      <c r="SWL31" s="384"/>
      <c r="SWM31" s="384"/>
      <c r="SWN31" s="384"/>
      <c r="SWO31" s="384"/>
      <c r="SWP31" s="384"/>
      <c r="SWQ31" s="384"/>
      <c r="SWR31" s="384"/>
      <c r="SWS31" s="384"/>
      <c r="SWT31" s="384"/>
      <c r="SWU31" s="384"/>
      <c r="SWV31" s="384"/>
      <c r="SWW31" s="384"/>
      <c r="SWX31" s="384"/>
      <c r="SWY31" s="384"/>
      <c r="SWZ31" s="384"/>
      <c r="SXA31" s="384"/>
      <c r="SXB31" s="384"/>
      <c r="SXC31" s="384"/>
      <c r="SXD31" s="384"/>
      <c r="SXE31" s="384"/>
      <c r="SXF31" s="384"/>
      <c r="SXG31" s="384"/>
      <c r="SXH31" s="384"/>
      <c r="SXI31" s="384"/>
      <c r="SXJ31" s="384"/>
      <c r="SXK31" s="384"/>
      <c r="SXL31" s="384"/>
      <c r="SXM31" s="384"/>
      <c r="SXN31" s="384"/>
      <c r="SXO31" s="384"/>
      <c r="SXP31" s="384"/>
      <c r="SXQ31" s="384"/>
      <c r="SXR31" s="384"/>
      <c r="SXS31" s="384"/>
      <c r="SXT31" s="384"/>
      <c r="SXU31" s="384"/>
      <c r="SXV31" s="384"/>
      <c r="SXW31" s="384"/>
      <c r="SXX31" s="384"/>
      <c r="SXY31" s="384"/>
      <c r="SXZ31" s="384"/>
      <c r="SYA31" s="384"/>
      <c r="SYB31" s="384"/>
      <c r="SYC31" s="384"/>
      <c r="SYD31" s="384"/>
      <c r="SYE31" s="384"/>
      <c r="SYF31" s="384"/>
      <c r="SYG31" s="384"/>
      <c r="SYH31" s="384"/>
      <c r="SYI31" s="384"/>
      <c r="SYJ31" s="384"/>
      <c r="SYK31" s="384"/>
      <c r="SYL31" s="384"/>
      <c r="SYM31" s="384"/>
      <c r="SYN31" s="384"/>
      <c r="SYO31" s="384"/>
      <c r="SYP31" s="384"/>
      <c r="SYQ31" s="384"/>
      <c r="SYR31" s="384"/>
      <c r="SYS31" s="384"/>
      <c r="SYT31" s="384"/>
      <c r="SYU31" s="384"/>
      <c r="SYV31" s="384"/>
      <c r="SYW31" s="384"/>
      <c r="SYX31" s="384"/>
      <c r="SYY31" s="384"/>
      <c r="SYZ31" s="384"/>
      <c r="SZA31" s="384"/>
      <c r="SZB31" s="384"/>
      <c r="SZC31" s="384"/>
      <c r="SZD31" s="384"/>
      <c r="SZE31" s="384"/>
      <c r="SZF31" s="384"/>
      <c r="SZG31" s="384"/>
      <c r="SZH31" s="384"/>
      <c r="SZI31" s="384"/>
      <c r="SZJ31" s="384"/>
      <c r="SZK31" s="384"/>
      <c r="SZL31" s="384"/>
      <c r="SZM31" s="384"/>
      <c r="SZN31" s="384"/>
      <c r="SZO31" s="384"/>
      <c r="SZP31" s="384"/>
      <c r="SZQ31" s="384"/>
      <c r="SZR31" s="384"/>
      <c r="SZS31" s="384"/>
      <c r="SZT31" s="384"/>
      <c r="SZU31" s="384"/>
      <c r="SZV31" s="384"/>
      <c r="SZW31" s="384"/>
      <c r="SZX31" s="384"/>
      <c r="SZY31" s="384"/>
      <c r="SZZ31" s="384"/>
      <c r="TAA31" s="384"/>
      <c r="TAB31" s="384"/>
      <c r="TAC31" s="384"/>
      <c r="TAD31" s="384"/>
      <c r="TAE31" s="384"/>
      <c r="TAF31" s="384"/>
      <c r="TAG31" s="384"/>
      <c r="TAH31" s="384"/>
      <c r="TAI31" s="384"/>
      <c r="TAJ31" s="384"/>
      <c r="TAK31" s="384"/>
      <c r="TAL31" s="384"/>
      <c r="TAM31" s="384"/>
      <c r="TAN31" s="384"/>
      <c r="TAO31" s="384"/>
      <c r="TAP31" s="384"/>
      <c r="TAQ31" s="384"/>
      <c r="TAR31" s="384"/>
      <c r="TAS31" s="384"/>
      <c r="TAT31" s="384"/>
      <c r="TAU31" s="384"/>
      <c r="TAV31" s="384"/>
      <c r="TAW31" s="384"/>
      <c r="TAX31" s="384"/>
      <c r="TAY31" s="384"/>
      <c r="TAZ31" s="384"/>
      <c r="TBA31" s="384"/>
      <c r="TBB31" s="384"/>
      <c r="TBC31" s="384"/>
      <c r="TBD31" s="384"/>
      <c r="TBE31" s="384"/>
      <c r="TBF31" s="384"/>
      <c r="TBG31" s="384"/>
      <c r="TBH31" s="384"/>
      <c r="TBI31" s="384"/>
      <c r="TBJ31" s="384"/>
      <c r="TBK31" s="384"/>
      <c r="TBL31" s="384"/>
      <c r="TBM31" s="384"/>
      <c r="TBN31" s="384"/>
      <c r="TBO31" s="384"/>
      <c r="TBP31" s="384"/>
      <c r="TBQ31" s="384"/>
      <c r="TBR31" s="384"/>
      <c r="TBS31" s="384"/>
      <c r="TBT31" s="384"/>
      <c r="TBU31" s="384"/>
      <c r="TBV31" s="384"/>
      <c r="TBW31" s="384"/>
      <c r="TBX31" s="384"/>
      <c r="TBY31" s="384"/>
      <c r="TBZ31" s="384"/>
      <c r="TCA31" s="384"/>
      <c r="TCB31" s="384"/>
      <c r="TCC31" s="384"/>
      <c r="TCD31" s="384"/>
      <c r="TCE31" s="384"/>
      <c r="TCF31" s="384"/>
      <c r="TCG31" s="384"/>
      <c r="TCH31" s="384"/>
      <c r="TCI31" s="384"/>
      <c r="TCJ31" s="384"/>
      <c r="TCK31" s="384"/>
      <c r="TCL31" s="384"/>
      <c r="TCM31" s="384"/>
      <c r="TCN31" s="384"/>
      <c r="TCO31" s="384"/>
      <c r="TCP31" s="384"/>
      <c r="TCQ31" s="384"/>
      <c r="TCR31" s="384"/>
      <c r="TCS31" s="384"/>
      <c r="TCT31" s="384"/>
      <c r="TCU31" s="384"/>
      <c r="TCV31" s="384"/>
      <c r="TCW31" s="384"/>
      <c r="TCX31" s="384"/>
      <c r="TCY31" s="384"/>
      <c r="TCZ31" s="384"/>
      <c r="TDA31" s="384"/>
      <c r="TDB31" s="384"/>
      <c r="TDC31" s="384"/>
      <c r="TDD31" s="384"/>
      <c r="TDE31" s="384"/>
      <c r="TDF31" s="384"/>
      <c r="TDG31" s="384"/>
      <c r="TDH31" s="384"/>
      <c r="TDI31" s="384"/>
      <c r="TDJ31" s="384"/>
      <c r="TDK31" s="384"/>
      <c r="TDL31" s="384"/>
      <c r="TDM31" s="384"/>
      <c r="TDN31" s="384"/>
      <c r="TDO31" s="384"/>
      <c r="TDP31" s="384"/>
      <c r="TDQ31" s="384"/>
      <c r="TDR31" s="384"/>
      <c r="TDS31" s="384"/>
      <c r="TDT31" s="384"/>
      <c r="TDU31" s="384"/>
      <c r="TDV31" s="384"/>
      <c r="TDW31" s="384"/>
      <c r="TDX31" s="384"/>
      <c r="TDY31" s="384"/>
      <c r="TDZ31" s="384"/>
      <c r="TEA31" s="384"/>
      <c r="TEB31" s="384"/>
      <c r="TEC31" s="384"/>
      <c r="TED31" s="384"/>
      <c r="TEE31" s="384"/>
      <c r="TEF31" s="384"/>
      <c r="TEG31" s="384"/>
      <c r="TEH31" s="384"/>
      <c r="TEI31" s="384"/>
      <c r="TEJ31" s="384"/>
      <c r="TEK31" s="384"/>
      <c r="TEL31" s="384"/>
      <c r="TEM31" s="384"/>
      <c r="TEN31" s="384"/>
      <c r="TEO31" s="384"/>
      <c r="TEP31" s="384"/>
      <c r="TEQ31" s="384"/>
      <c r="TER31" s="384"/>
      <c r="TES31" s="384"/>
      <c r="TET31" s="384"/>
      <c r="TEU31" s="384"/>
      <c r="TEV31" s="384"/>
      <c r="TEW31" s="384"/>
      <c r="TEX31" s="384"/>
      <c r="TEY31" s="384"/>
      <c r="TEZ31" s="384"/>
      <c r="TFA31" s="384"/>
      <c r="TFB31" s="384"/>
      <c r="TFC31" s="384"/>
      <c r="TFD31" s="384"/>
      <c r="TFE31" s="384"/>
      <c r="TFF31" s="384"/>
      <c r="TFG31" s="384"/>
      <c r="TFH31" s="384"/>
      <c r="TFI31" s="384"/>
      <c r="TFJ31" s="384"/>
      <c r="TFK31" s="384"/>
      <c r="TFL31" s="384"/>
      <c r="TFM31" s="384"/>
      <c r="TFN31" s="384"/>
      <c r="TFO31" s="384"/>
      <c r="TFP31" s="384"/>
      <c r="TFQ31" s="384"/>
      <c r="TFR31" s="384"/>
      <c r="TFS31" s="384"/>
      <c r="TFT31" s="384"/>
      <c r="TFU31" s="384"/>
      <c r="TFV31" s="384"/>
      <c r="TFW31" s="384"/>
      <c r="TFX31" s="384"/>
      <c r="TFY31" s="384"/>
      <c r="TFZ31" s="384"/>
      <c r="TGA31" s="384"/>
      <c r="TGB31" s="384"/>
      <c r="TGC31" s="384"/>
      <c r="TGD31" s="384"/>
      <c r="TGE31" s="384"/>
      <c r="TGF31" s="384"/>
      <c r="TGG31" s="384"/>
      <c r="TGH31" s="384"/>
      <c r="TGI31" s="384"/>
      <c r="TGJ31" s="384"/>
      <c r="TGK31" s="384"/>
      <c r="TGL31" s="384"/>
      <c r="TGM31" s="384"/>
      <c r="TGN31" s="384"/>
      <c r="TGO31" s="384"/>
      <c r="TGP31" s="384"/>
      <c r="TGQ31" s="384"/>
      <c r="TGR31" s="384"/>
      <c r="TGS31" s="384"/>
      <c r="TGT31" s="384"/>
      <c r="TGU31" s="384"/>
      <c r="TGV31" s="384"/>
      <c r="TGW31" s="384"/>
      <c r="TGX31" s="384"/>
      <c r="TGY31" s="384"/>
      <c r="TGZ31" s="384"/>
      <c r="THA31" s="384"/>
      <c r="THB31" s="384"/>
      <c r="THC31" s="384"/>
      <c r="THD31" s="384"/>
      <c r="THE31" s="384"/>
      <c r="THF31" s="384"/>
      <c r="THG31" s="384"/>
      <c r="THH31" s="384"/>
      <c r="THI31" s="384"/>
      <c r="THJ31" s="384"/>
      <c r="THK31" s="384"/>
      <c r="THL31" s="384"/>
      <c r="THM31" s="384"/>
      <c r="THN31" s="384"/>
      <c r="THO31" s="384"/>
      <c r="THP31" s="384"/>
      <c r="THQ31" s="384"/>
      <c r="THR31" s="384"/>
      <c r="THS31" s="384"/>
      <c r="THT31" s="384"/>
      <c r="THU31" s="384"/>
      <c r="THV31" s="384"/>
      <c r="THW31" s="384"/>
      <c r="THX31" s="384"/>
      <c r="THY31" s="384"/>
      <c r="THZ31" s="384"/>
      <c r="TIA31" s="384"/>
      <c r="TIB31" s="384"/>
      <c r="TIC31" s="384"/>
      <c r="TID31" s="384"/>
      <c r="TIE31" s="384"/>
      <c r="TIF31" s="384"/>
      <c r="TIG31" s="384"/>
      <c r="TIH31" s="384"/>
      <c r="TII31" s="384"/>
      <c r="TIJ31" s="384"/>
      <c r="TIK31" s="384"/>
      <c r="TIL31" s="384"/>
      <c r="TIM31" s="384"/>
      <c r="TIN31" s="384"/>
      <c r="TIO31" s="384"/>
      <c r="TIP31" s="384"/>
      <c r="TIQ31" s="384"/>
      <c r="TIR31" s="384"/>
      <c r="TIS31" s="384"/>
      <c r="TIT31" s="384"/>
      <c r="TIU31" s="384"/>
      <c r="TIV31" s="384"/>
      <c r="TIW31" s="384"/>
      <c r="TIX31" s="384"/>
      <c r="TIY31" s="384"/>
      <c r="TIZ31" s="384"/>
      <c r="TJA31" s="384"/>
      <c r="TJB31" s="384"/>
      <c r="TJC31" s="384"/>
      <c r="TJD31" s="384"/>
      <c r="TJE31" s="384"/>
      <c r="TJF31" s="384"/>
      <c r="TJG31" s="384"/>
      <c r="TJH31" s="384"/>
      <c r="TJI31" s="384"/>
      <c r="TJJ31" s="384"/>
      <c r="TJK31" s="384"/>
      <c r="TJL31" s="384"/>
      <c r="TJM31" s="384"/>
      <c r="TJN31" s="384"/>
      <c r="TJO31" s="384"/>
      <c r="TJP31" s="384"/>
      <c r="TJQ31" s="384"/>
      <c r="TJR31" s="384"/>
      <c r="TJS31" s="384"/>
      <c r="TJT31" s="384"/>
      <c r="TJU31" s="384"/>
      <c r="TJV31" s="384"/>
      <c r="TJW31" s="384"/>
      <c r="TJX31" s="384"/>
      <c r="TJY31" s="384"/>
      <c r="TJZ31" s="384"/>
      <c r="TKA31" s="384"/>
      <c r="TKB31" s="384"/>
      <c r="TKC31" s="384"/>
      <c r="TKD31" s="384"/>
      <c r="TKE31" s="384"/>
      <c r="TKF31" s="384"/>
      <c r="TKG31" s="384"/>
      <c r="TKH31" s="384"/>
      <c r="TKI31" s="384"/>
      <c r="TKJ31" s="384"/>
      <c r="TKK31" s="384"/>
      <c r="TKL31" s="384"/>
      <c r="TKM31" s="384"/>
      <c r="TKN31" s="384"/>
      <c r="TKO31" s="384"/>
      <c r="TKP31" s="384"/>
      <c r="TKQ31" s="384"/>
      <c r="TKR31" s="384"/>
      <c r="TKS31" s="384"/>
      <c r="TKT31" s="384"/>
      <c r="TKU31" s="384"/>
      <c r="TKV31" s="384"/>
      <c r="TKW31" s="384"/>
      <c r="TKX31" s="384"/>
      <c r="TKY31" s="384"/>
      <c r="TKZ31" s="384"/>
      <c r="TLA31" s="384"/>
      <c r="TLB31" s="384"/>
      <c r="TLC31" s="384"/>
      <c r="TLD31" s="384"/>
      <c r="TLE31" s="384"/>
      <c r="TLF31" s="384"/>
      <c r="TLG31" s="384"/>
      <c r="TLH31" s="384"/>
      <c r="TLI31" s="384"/>
      <c r="TLJ31" s="384"/>
      <c r="TLK31" s="384"/>
      <c r="TLL31" s="384"/>
      <c r="TLM31" s="384"/>
      <c r="TLN31" s="384"/>
      <c r="TLO31" s="384"/>
      <c r="TLP31" s="384"/>
      <c r="TLQ31" s="384"/>
      <c r="TLR31" s="384"/>
      <c r="TLS31" s="384"/>
      <c r="TLT31" s="384"/>
      <c r="TLU31" s="384"/>
      <c r="TLV31" s="384"/>
      <c r="TLW31" s="384"/>
      <c r="TLX31" s="384"/>
      <c r="TLY31" s="384"/>
      <c r="TLZ31" s="384"/>
      <c r="TMA31" s="384"/>
      <c r="TMB31" s="384"/>
      <c r="TMC31" s="384"/>
      <c r="TMD31" s="384"/>
      <c r="TME31" s="384"/>
      <c r="TMF31" s="384"/>
      <c r="TMG31" s="384"/>
      <c r="TMH31" s="384"/>
      <c r="TMI31" s="384"/>
      <c r="TMJ31" s="384"/>
      <c r="TMK31" s="384"/>
      <c r="TML31" s="384"/>
      <c r="TMM31" s="384"/>
      <c r="TMN31" s="384"/>
      <c r="TMO31" s="384"/>
      <c r="TMP31" s="384"/>
      <c r="TMQ31" s="384"/>
      <c r="TMR31" s="384"/>
      <c r="TMS31" s="384"/>
      <c r="TMT31" s="384"/>
      <c r="TMU31" s="384"/>
      <c r="TMV31" s="384"/>
      <c r="TMW31" s="384"/>
      <c r="TMX31" s="384"/>
      <c r="TMY31" s="384"/>
      <c r="TMZ31" s="384"/>
      <c r="TNA31" s="384"/>
      <c r="TNB31" s="384"/>
      <c r="TNC31" s="384"/>
      <c r="TND31" s="384"/>
      <c r="TNE31" s="384"/>
      <c r="TNF31" s="384"/>
      <c r="TNG31" s="384"/>
      <c r="TNH31" s="384"/>
      <c r="TNI31" s="384"/>
      <c r="TNJ31" s="384"/>
      <c r="TNK31" s="384"/>
      <c r="TNL31" s="384"/>
      <c r="TNM31" s="384"/>
      <c r="TNN31" s="384"/>
      <c r="TNO31" s="384"/>
      <c r="TNP31" s="384"/>
      <c r="TNQ31" s="384"/>
      <c r="TNR31" s="384"/>
      <c r="TNS31" s="384"/>
      <c r="TNT31" s="384"/>
      <c r="TNU31" s="384"/>
      <c r="TNV31" s="384"/>
      <c r="TNW31" s="384"/>
      <c r="TNX31" s="384"/>
      <c r="TNY31" s="384"/>
      <c r="TNZ31" s="384"/>
      <c r="TOA31" s="384"/>
      <c r="TOB31" s="384"/>
      <c r="TOC31" s="384"/>
      <c r="TOD31" s="384"/>
      <c r="TOE31" s="384"/>
      <c r="TOF31" s="384"/>
      <c r="TOG31" s="384"/>
      <c r="TOH31" s="384"/>
      <c r="TOI31" s="384"/>
      <c r="TOJ31" s="384"/>
      <c r="TOK31" s="384"/>
      <c r="TOL31" s="384"/>
      <c r="TOM31" s="384"/>
      <c r="TON31" s="384"/>
      <c r="TOO31" s="384"/>
      <c r="TOP31" s="384"/>
      <c r="TOQ31" s="384"/>
      <c r="TOR31" s="384"/>
      <c r="TOS31" s="384"/>
      <c r="TOT31" s="384"/>
      <c r="TOU31" s="384"/>
      <c r="TOV31" s="384"/>
      <c r="TOW31" s="384"/>
      <c r="TOX31" s="384"/>
      <c r="TOY31" s="384"/>
      <c r="TOZ31" s="384"/>
      <c r="TPA31" s="384"/>
      <c r="TPB31" s="384"/>
      <c r="TPC31" s="384"/>
      <c r="TPD31" s="384"/>
      <c r="TPE31" s="384"/>
      <c r="TPF31" s="384"/>
      <c r="TPG31" s="384"/>
      <c r="TPH31" s="384"/>
      <c r="TPI31" s="384"/>
      <c r="TPJ31" s="384"/>
      <c r="TPK31" s="384"/>
      <c r="TPL31" s="384"/>
      <c r="TPM31" s="384"/>
      <c r="TPN31" s="384"/>
      <c r="TPO31" s="384"/>
      <c r="TPP31" s="384"/>
      <c r="TPQ31" s="384"/>
      <c r="TPR31" s="384"/>
      <c r="TPS31" s="384"/>
      <c r="TPT31" s="384"/>
      <c r="TPU31" s="384"/>
      <c r="TPV31" s="384"/>
      <c r="TPW31" s="384"/>
      <c r="TPX31" s="384"/>
      <c r="TPY31" s="384"/>
      <c r="TPZ31" s="384"/>
      <c r="TQA31" s="384"/>
      <c r="TQB31" s="384"/>
      <c r="TQC31" s="384"/>
      <c r="TQD31" s="384"/>
      <c r="TQE31" s="384"/>
      <c r="TQF31" s="384"/>
      <c r="TQG31" s="384"/>
      <c r="TQH31" s="384"/>
      <c r="TQI31" s="384"/>
      <c r="TQJ31" s="384"/>
      <c r="TQK31" s="384"/>
      <c r="TQL31" s="384"/>
      <c r="TQM31" s="384"/>
      <c r="TQN31" s="384"/>
      <c r="TQO31" s="384"/>
      <c r="TQP31" s="384"/>
      <c r="TQQ31" s="384"/>
      <c r="TQR31" s="384"/>
      <c r="TQS31" s="384"/>
      <c r="TQT31" s="384"/>
      <c r="TQU31" s="384"/>
      <c r="TQV31" s="384"/>
      <c r="TQW31" s="384"/>
      <c r="TQX31" s="384"/>
      <c r="TQY31" s="384"/>
      <c r="TQZ31" s="384"/>
      <c r="TRA31" s="384"/>
      <c r="TRB31" s="384"/>
      <c r="TRC31" s="384"/>
      <c r="TRD31" s="384"/>
      <c r="TRE31" s="384"/>
      <c r="TRF31" s="384"/>
      <c r="TRG31" s="384"/>
      <c r="TRH31" s="384"/>
      <c r="TRI31" s="384"/>
      <c r="TRJ31" s="384"/>
      <c r="TRK31" s="384"/>
      <c r="TRL31" s="384"/>
      <c r="TRM31" s="384"/>
      <c r="TRN31" s="384"/>
      <c r="TRO31" s="384"/>
      <c r="TRP31" s="384"/>
      <c r="TRQ31" s="384"/>
      <c r="TRR31" s="384"/>
      <c r="TRS31" s="384"/>
      <c r="TRT31" s="384"/>
      <c r="TRU31" s="384"/>
      <c r="TRV31" s="384"/>
      <c r="TRW31" s="384"/>
      <c r="TRX31" s="384"/>
      <c r="TRY31" s="384"/>
      <c r="TRZ31" s="384"/>
      <c r="TSA31" s="384"/>
      <c r="TSB31" s="384"/>
      <c r="TSC31" s="384"/>
      <c r="TSD31" s="384"/>
      <c r="TSE31" s="384"/>
      <c r="TSF31" s="384"/>
      <c r="TSG31" s="384"/>
      <c r="TSH31" s="384"/>
      <c r="TSI31" s="384"/>
      <c r="TSJ31" s="384"/>
      <c r="TSK31" s="384"/>
      <c r="TSL31" s="384"/>
      <c r="TSM31" s="384"/>
      <c r="TSN31" s="384"/>
      <c r="TSO31" s="384"/>
      <c r="TSP31" s="384"/>
      <c r="TSQ31" s="384"/>
      <c r="TSR31" s="384"/>
      <c r="TSS31" s="384"/>
      <c r="TST31" s="384"/>
      <c r="TSU31" s="384"/>
      <c r="TSV31" s="384"/>
      <c r="TSW31" s="384"/>
      <c r="TSX31" s="384"/>
      <c r="TSY31" s="384"/>
      <c r="TSZ31" s="384"/>
      <c r="TTA31" s="384"/>
      <c r="TTB31" s="384"/>
      <c r="TTC31" s="384"/>
      <c r="TTD31" s="384"/>
      <c r="TTE31" s="384"/>
      <c r="TTF31" s="384"/>
      <c r="TTG31" s="384"/>
      <c r="TTH31" s="384"/>
      <c r="TTI31" s="384"/>
      <c r="TTJ31" s="384"/>
      <c r="TTK31" s="384"/>
      <c r="TTL31" s="384"/>
      <c r="TTM31" s="384"/>
      <c r="TTN31" s="384"/>
      <c r="TTO31" s="384"/>
      <c r="TTP31" s="384"/>
      <c r="TTQ31" s="384"/>
      <c r="TTR31" s="384"/>
      <c r="TTS31" s="384"/>
      <c r="TTT31" s="384"/>
      <c r="TTU31" s="384"/>
      <c r="TTV31" s="384"/>
      <c r="TTW31" s="384"/>
      <c r="TTX31" s="384"/>
      <c r="TTY31" s="384"/>
      <c r="TTZ31" s="384"/>
      <c r="TUA31" s="384"/>
      <c r="TUB31" s="384"/>
      <c r="TUC31" s="384"/>
      <c r="TUD31" s="384"/>
      <c r="TUE31" s="384"/>
      <c r="TUF31" s="384"/>
      <c r="TUG31" s="384"/>
      <c r="TUH31" s="384"/>
      <c r="TUI31" s="384"/>
      <c r="TUJ31" s="384"/>
      <c r="TUK31" s="384"/>
      <c r="TUL31" s="384"/>
      <c r="TUM31" s="384"/>
      <c r="TUN31" s="384"/>
      <c r="TUO31" s="384"/>
      <c r="TUP31" s="384"/>
      <c r="TUQ31" s="384"/>
      <c r="TUR31" s="384"/>
      <c r="TUS31" s="384"/>
      <c r="TUT31" s="384"/>
      <c r="TUU31" s="384"/>
      <c r="TUV31" s="384"/>
      <c r="TUW31" s="384"/>
      <c r="TUX31" s="384"/>
      <c r="TUY31" s="384"/>
      <c r="TUZ31" s="384"/>
      <c r="TVA31" s="384"/>
      <c r="TVB31" s="384"/>
      <c r="TVC31" s="384"/>
      <c r="TVD31" s="384"/>
      <c r="TVE31" s="384"/>
      <c r="TVF31" s="384"/>
      <c r="TVG31" s="384"/>
      <c r="TVH31" s="384"/>
      <c r="TVI31" s="384"/>
      <c r="TVJ31" s="384"/>
      <c r="TVK31" s="384"/>
      <c r="TVL31" s="384"/>
      <c r="TVM31" s="384"/>
      <c r="TVN31" s="384"/>
      <c r="TVO31" s="384"/>
      <c r="TVP31" s="384"/>
      <c r="TVQ31" s="384"/>
      <c r="TVR31" s="384"/>
      <c r="TVS31" s="384"/>
      <c r="TVT31" s="384"/>
      <c r="TVU31" s="384"/>
      <c r="TVV31" s="384"/>
      <c r="TVW31" s="384"/>
      <c r="TVX31" s="384"/>
      <c r="TVY31" s="384"/>
      <c r="TVZ31" s="384"/>
      <c r="TWA31" s="384"/>
      <c r="TWB31" s="384"/>
      <c r="TWC31" s="384"/>
      <c r="TWD31" s="384"/>
      <c r="TWE31" s="384"/>
      <c r="TWF31" s="384"/>
      <c r="TWG31" s="384"/>
      <c r="TWH31" s="384"/>
      <c r="TWI31" s="384"/>
      <c r="TWJ31" s="384"/>
      <c r="TWK31" s="384"/>
      <c r="TWL31" s="384"/>
      <c r="TWM31" s="384"/>
      <c r="TWN31" s="384"/>
      <c r="TWO31" s="384"/>
      <c r="TWP31" s="384"/>
      <c r="TWQ31" s="384"/>
      <c r="TWR31" s="384"/>
      <c r="TWS31" s="384"/>
      <c r="TWT31" s="384"/>
      <c r="TWU31" s="384"/>
      <c r="TWV31" s="384"/>
      <c r="TWW31" s="384"/>
      <c r="TWX31" s="384"/>
      <c r="TWY31" s="384"/>
      <c r="TWZ31" s="384"/>
      <c r="TXA31" s="384"/>
      <c r="TXB31" s="384"/>
      <c r="TXC31" s="384"/>
      <c r="TXD31" s="384"/>
      <c r="TXE31" s="384"/>
      <c r="TXF31" s="384"/>
      <c r="TXG31" s="384"/>
      <c r="TXH31" s="384"/>
      <c r="TXI31" s="384"/>
      <c r="TXJ31" s="384"/>
      <c r="TXK31" s="384"/>
      <c r="TXL31" s="384"/>
      <c r="TXM31" s="384"/>
      <c r="TXN31" s="384"/>
      <c r="TXO31" s="384"/>
      <c r="TXP31" s="384"/>
      <c r="TXQ31" s="384"/>
      <c r="TXR31" s="384"/>
      <c r="TXS31" s="384"/>
      <c r="TXT31" s="384"/>
      <c r="TXU31" s="384"/>
      <c r="TXV31" s="384"/>
      <c r="TXW31" s="384"/>
      <c r="TXX31" s="384"/>
      <c r="TXY31" s="384"/>
      <c r="TXZ31" s="384"/>
      <c r="TYA31" s="384"/>
      <c r="TYB31" s="384"/>
      <c r="TYC31" s="384"/>
      <c r="TYD31" s="384"/>
      <c r="TYE31" s="384"/>
      <c r="TYF31" s="384"/>
      <c r="TYG31" s="384"/>
      <c r="TYH31" s="384"/>
      <c r="TYI31" s="384"/>
      <c r="TYJ31" s="384"/>
      <c r="TYK31" s="384"/>
      <c r="TYL31" s="384"/>
      <c r="TYM31" s="384"/>
      <c r="TYN31" s="384"/>
      <c r="TYO31" s="384"/>
      <c r="TYP31" s="384"/>
      <c r="TYQ31" s="384"/>
      <c r="TYR31" s="384"/>
      <c r="TYS31" s="384"/>
      <c r="TYT31" s="384"/>
      <c r="TYU31" s="384"/>
      <c r="TYV31" s="384"/>
      <c r="TYW31" s="384"/>
      <c r="TYX31" s="384"/>
      <c r="TYY31" s="384"/>
      <c r="TYZ31" s="384"/>
      <c r="TZA31" s="384"/>
      <c r="TZB31" s="384"/>
      <c r="TZC31" s="384"/>
      <c r="TZD31" s="384"/>
      <c r="TZE31" s="384"/>
      <c r="TZF31" s="384"/>
      <c r="TZG31" s="384"/>
      <c r="TZH31" s="384"/>
      <c r="TZI31" s="384"/>
      <c r="TZJ31" s="384"/>
      <c r="TZK31" s="384"/>
      <c r="TZL31" s="384"/>
      <c r="TZM31" s="384"/>
      <c r="TZN31" s="384"/>
      <c r="TZO31" s="384"/>
      <c r="TZP31" s="384"/>
      <c r="TZQ31" s="384"/>
      <c r="TZR31" s="384"/>
      <c r="TZS31" s="384"/>
      <c r="TZT31" s="384"/>
      <c r="TZU31" s="384"/>
      <c r="TZV31" s="384"/>
      <c r="TZW31" s="384"/>
      <c r="TZX31" s="384"/>
      <c r="TZY31" s="384"/>
      <c r="TZZ31" s="384"/>
      <c r="UAA31" s="384"/>
      <c r="UAB31" s="384"/>
      <c r="UAC31" s="384"/>
      <c r="UAD31" s="384"/>
      <c r="UAE31" s="384"/>
      <c r="UAF31" s="384"/>
      <c r="UAG31" s="384"/>
      <c r="UAH31" s="384"/>
      <c r="UAI31" s="384"/>
      <c r="UAJ31" s="384"/>
      <c r="UAK31" s="384"/>
      <c r="UAL31" s="384"/>
      <c r="UAM31" s="384"/>
      <c r="UAN31" s="384"/>
      <c r="UAO31" s="384"/>
      <c r="UAP31" s="384"/>
      <c r="UAQ31" s="384"/>
      <c r="UAR31" s="384"/>
      <c r="UAS31" s="384"/>
      <c r="UAT31" s="384"/>
      <c r="UAU31" s="384"/>
      <c r="UAV31" s="384"/>
      <c r="UAW31" s="384"/>
      <c r="UAX31" s="384"/>
      <c r="UAY31" s="384"/>
      <c r="UAZ31" s="384"/>
      <c r="UBA31" s="384"/>
      <c r="UBB31" s="384"/>
      <c r="UBC31" s="384"/>
      <c r="UBD31" s="384"/>
      <c r="UBE31" s="384"/>
      <c r="UBF31" s="384"/>
      <c r="UBG31" s="384"/>
      <c r="UBH31" s="384"/>
      <c r="UBI31" s="384"/>
      <c r="UBJ31" s="384"/>
      <c r="UBK31" s="384"/>
      <c r="UBL31" s="384"/>
      <c r="UBM31" s="384"/>
      <c r="UBN31" s="384"/>
      <c r="UBO31" s="384"/>
      <c r="UBP31" s="384"/>
      <c r="UBQ31" s="384"/>
      <c r="UBR31" s="384"/>
      <c r="UBS31" s="384"/>
      <c r="UBT31" s="384"/>
      <c r="UBU31" s="384"/>
      <c r="UBV31" s="384"/>
      <c r="UBW31" s="384"/>
      <c r="UBX31" s="384"/>
      <c r="UBY31" s="384"/>
      <c r="UBZ31" s="384"/>
      <c r="UCA31" s="384"/>
      <c r="UCB31" s="384"/>
      <c r="UCC31" s="384"/>
      <c r="UCD31" s="384"/>
      <c r="UCE31" s="384"/>
      <c r="UCF31" s="384"/>
      <c r="UCG31" s="384"/>
      <c r="UCH31" s="384"/>
      <c r="UCI31" s="384"/>
      <c r="UCJ31" s="384"/>
      <c r="UCK31" s="384"/>
      <c r="UCL31" s="384"/>
      <c r="UCM31" s="384"/>
      <c r="UCN31" s="384"/>
      <c r="UCO31" s="384"/>
      <c r="UCP31" s="384"/>
      <c r="UCQ31" s="384"/>
      <c r="UCR31" s="384"/>
      <c r="UCS31" s="384"/>
      <c r="UCT31" s="384"/>
      <c r="UCU31" s="384"/>
      <c r="UCV31" s="384"/>
      <c r="UCW31" s="384"/>
      <c r="UCX31" s="384"/>
      <c r="UCY31" s="384"/>
      <c r="UCZ31" s="384"/>
      <c r="UDA31" s="384"/>
      <c r="UDB31" s="384"/>
      <c r="UDC31" s="384"/>
      <c r="UDD31" s="384"/>
      <c r="UDE31" s="384"/>
      <c r="UDF31" s="384"/>
      <c r="UDG31" s="384"/>
      <c r="UDH31" s="384"/>
      <c r="UDI31" s="384"/>
      <c r="UDJ31" s="384"/>
      <c r="UDK31" s="384"/>
      <c r="UDL31" s="384"/>
      <c r="UDM31" s="384"/>
      <c r="UDN31" s="384"/>
      <c r="UDO31" s="384"/>
      <c r="UDP31" s="384"/>
      <c r="UDQ31" s="384"/>
      <c r="UDR31" s="384"/>
      <c r="UDS31" s="384"/>
      <c r="UDT31" s="384"/>
      <c r="UDU31" s="384"/>
      <c r="UDV31" s="384"/>
      <c r="UDW31" s="384"/>
      <c r="UDX31" s="384"/>
      <c r="UDY31" s="384"/>
      <c r="UDZ31" s="384"/>
      <c r="UEA31" s="384"/>
      <c r="UEB31" s="384"/>
      <c r="UEC31" s="384"/>
      <c r="UED31" s="384"/>
      <c r="UEE31" s="384"/>
      <c r="UEF31" s="384"/>
      <c r="UEG31" s="384"/>
      <c r="UEH31" s="384"/>
      <c r="UEI31" s="384"/>
      <c r="UEJ31" s="384"/>
      <c r="UEK31" s="384"/>
      <c r="UEL31" s="384"/>
      <c r="UEM31" s="384"/>
      <c r="UEN31" s="384"/>
      <c r="UEO31" s="384"/>
      <c r="UEP31" s="384"/>
      <c r="UEQ31" s="384"/>
      <c r="UER31" s="384"/>
      <c r="UES31" s="384"/>
      <c r="UET31" s="384"/>
      <c r="UEU31" s="384"/>
      <c r="UEV31" s="384"/>
      <c r="UEW31" s="384"/>
      <c r="UEX31" s="384"/>
      <c r="UEY31" s="384"/>
      <c r="UEZ31" s="384"/>
      <c r="UFA31" s="384"/>
      <c r="UFB31" s="384"/>
      <c r="UFC31" s="384"/>
      <c r="UFD31" s="384"/>
      <c r="UFE31" s="384"/>
      <c r="UFF31" s="384"/>
      <c r="UFG31" s="384"/>
      <c r="UFH31" s="384"/>
      <c r="UFI31" s="384"/>
      <c r="UFJ31" s="384"/>
      <c r="UFK31" s="384"/>
      <c r="UFL31" s="384"/>
      <c r="UFM31" s="384"/>
      <c r="UFN31" s="384"/>
      <c r="UFO31" s="384"/>
      <c r="UFP31" s="384"/>
      <c r="UFQ31" s="384"/>
      <c r="UFR31" s="384"/>
      <c r="UFS31" s="384"/>
      <c r="UFT31" s="384"/>
      <c r="UFU31" s="384"/>
      <c r="UFV31" s="384"/>
      <c r="UFW31" s="384"/>
      <c r="UFX31" s="384"/>
      <c r="UFY31" s="384"/>
      <c r="UFZ31" s="384"/>
      <c r="UGA31" s="384"/>
      <c r="UGB31" s="384"/>
      <c r="UGC31" s="384"/>
      <c r="UGD31" s="384"/>
      <c r="UGE31" s="384"/>
      <c r="UGF31" s="384"/>
      <c r="UGG31" s="384"/>
      <c r="UGH31" s="384"/>
      <c r="UGI31" s="384"/>
      <c r="UGJ31" s="384"/>
      <c r="UGK31" s="384"/>
      <c r="UGL31" s="384"/>
      <c r="UGM31" s="384"/>
      <c r="UGN31" s="384"/>
      <c r="UGO31" s="384"/>
      <c r="UGP31" s="384"/>
      <c r="UGQ31" s="384"/>
      <c r="UGR31" s="384"/>
      <c r="UGS31" s="384"/>
      <c r="UGT31" s="384"/>
      <c r="UGU31" s="384"/>
      <c r="UGV31" s="384"/>
      <c r="UGW31" s="384"/>
      <c r="UGX31" s="384"/>
      <c r="UGY31" s="384"/>
      <c r="UGZ31" s="384"/>
      <c r="UHA31" s="384"/>
      <c r="UHB31" s="384"/>
      <c r="UHC31" s="384"/>
      <c r="UHD31" s="384"/>
      <c r="UHE31" s="384"/>
      <c r="UHF31" s="384"/>
      <c r="UHG31" s="384"/>
      <c r="UHH31" s="384"/>
      <c r="UHI31" s="384"/>
      <c r="UHJ31" s="384"/>
      <c r="UHK31" s="384"/>
      <c r="UHL31" s="384"/>
      <c r="UHM31" s="384"/>
      <c r="UHN31" s="384"/>
      <c r="UHO31" s="384"/>
      <c r="UHP31" s="384"/>
      <c r="UHQ31" s="384"/>
      <c r="UHR31" s="384"/>
      <c r="UHS31" s="384"/>
      <c r="UHT31" s="384"/>
      <c r="UHU31" s="384"/>
      <c r="UHV31" s="384"/>
      <c r="UHW31" s="384"/>
      <c r="UHX31" s="384"/>
      <c r="UHY31" s="384"/>
      <c r="UHZ31" s="384"/>
      <c r="UIA31" s="384"/>
      <c r="UIB31" s="384"/>
      <c r="UIC31" s="384"/>
      <c r="UID31" s="384"/>
      <c r="UIE31" s="384"/>
      <c r="UIF31" s="384"/>
      <c r="UIG31" s="384"/>
      <c r="UIH31" s="384"/>
      <c r="UII31" s="384"/>
      <c r="UIJ31" s="384"/>
      <c r="UIK31" s="384"/>
      <c r="UIL31" s="384"/>
      <c r="UIM31" s="384"/>
      <c r="UIN31" s="384"/>
      <c r="UIO31" s="384"/>
      <c r="UIP31" s="384"/>
      <c r="UIQ31" s="384"/>
      <c r="UIR31" s="384"/>
      <c r="UIS31" s="384"/>
      <c r="UIT31" s="384"/>
      <c r="UIU31" s="384"/>
      <c r="UIV31" s="384"/>
      <c r="UIW31" s="384"/>
      <c r="UIX31" s="384"/>
      <c r="UIY31" s="384"/>
      <c r="UIZ31" s="384"/>
      <c r="UJA31" s="384"/>
      <c r="UJB31" s="384"/>
      <c r="UJC31" s="384"/>
      <c r="UJD31" s="384"/>
      <c r="UJE31" s="384"/>
      <c r="UJF31" s="384"/>
      <c r="UJG31" s="384"/>
      <c r="UJH31" s="384"/>
      <c r="UJI31" s="384"/>
      <c r="UJJ31" s="384"/>
      <c r="UJK31" s="384"/>
      <c r="UJL31" s="384"/>
      <c r="UJM31" s="384"/>
      <c r="UJN31" s="384"/>
      <c r="UJO31" s="384"/>
      <c r="UJP31" s="384"/>
      <c r="UJQ31" s="384"/>
      <c r="UJR31" s="384"/>
      <c r="UJS31" s="384"/>
      <c r="UJT31" s="384"/>
      <c r="UJU31" s="384"/>
      <c r="UJV31" s="384"/>
      <c r="UJW31" s="384"/>
      <c r="UJX31" s="384"/>
      <c r="UJY31" s="384"/>
      <c r="UJZ31" s="384"/>
      <c r="UKA31" s="384"/>
      <c r="UKB31" s="384"/>
      <c r="UKC31" s="384"/>
      <c r="UKD31" s="384"/>
      <c r="UKE31" s="384"/>
      <c r="UKF31" s="384"/>
      <c r="UKG31" s="384"/>
      <c r="UKH31" s="384"/>
      <c r="UKI31" s="384"/>
      <c r="UKJ31" s="384"/>
      <c r="UKK31" s="384"/>
      <c r="UKL31" s="384"/>
      <c r="UKM31" s="384"/>
      <c r="UKN31" s="384"/>
      <c r="UKO31" s="384"/>
      <c r="UKP31" s="384"/>
      <c r="UKQ31" s="384"/>
      <c r="UKR31" s="384"/>
      <c r="UKS31" s="384"/>
      <c r="UKT31" s="384"/>
      <c r="UKU31" s="384"/>
      <c r="UKV31" s="384"/>
      <c r="UKW31" s="384"/>
      <c r="UKX31" s="384"/>
      <c r="UKY31" s="384"/>
      <c r="UKZ31" s="384"/>
      <c r="ULA31" s="384"/>
      <c r="ULB31" s="384"/>
      <c r="ULC31" s="384"/>
      <c r="ULD31" s="384"/>
      <c r="ULE31" s="384"/>
      <c r="ULF31" s="384"/>
      <c r="ULG31" s="384"/>
      <c r="ULH31" s="384"/>
      <c r="ULI31" s="384"/>
      <c r="ULJ31" s="384"/>
      <c r="ULK31" s="384"/>
      <c r="ULL31" s="384"/>
      <c r="ULM31" s="384"/>
      <c r="ULN31" s="384"/>
      <c r="ULO31" s="384"/>
      <c r="ULP31" s="384"/>
      <c r="ULQ31" s="384"/>
      <c r="ULR31" s="384"/>
      <c r="ULS31" s="384"/>
      <c r="ULT31" s="384"/>
      <c r="ULU31" s="384"/>
      <c r="ULV31" s="384"/>
      <c r="ULW31" s="384"/>
      <c r="ULX31" s="384"/>
      <c r="ULY31" s="384"/>
      <c r="ULZ31" s="384"/>
      <c r="UMA31" s="384"/>
      <c r="UMB31" s="384"/>
      <c r="UMC31" s="384"/>
      <c r="UMD31" s="384"/>
      <c r="UME31" s="384"/>
      <c r="UMF31" s="384"/>
      <c r="UMG31" s="384"/>
      <c r="UMH31" s="384"/>
      <c r="UMI31" s="384"/>
      <c r="UMJ31" s="384"/>
      <c r="UMK31" s="384"/>
      <c r="UML31" s="384"/>
      <c r="UMM31" s="384"/>
      <c r="UMN31" s="384"/>
      <c r="UMO31" s="384"/>
      <c r="UMP31" s="384"/>
      <c r="UMQ31" s="384"/>
      <c r="UMR31" s="384"/>
      <c r="UMS31" s="384"/>
      <c r="UMT31" s="384"/>
      <c r="UMU31" s="384"/>
      <c r="UMV31" s="384"/>
      <c r="UMW31" s="384"/>
      <c r="UMX31" s="384"/>
      <c r="UMY31" s="384"/>
      <c r="UMZ31" s="384"/>
      <c r="UNA31" s="384"/>
      <c r="UNB31" s="384"/>
      <c r="UNC31" s="384"/>
      <c r="UND31" s="384"/>
      <c r="UNE31" s="384"/>
      <c r="UNF31" s="384"/>
      <c r="UNG31" s="384"/>
      <c r="UNH31" s="384"/>
      <c r="UNI31" s="384"/>
      <c r="UNJ31" s="384"/>
      <c r="UNK31" s="384"/>
      <c r="UNL31" s="384"/>
      <c r="UNM31" s="384"/>
      <c r="UNN31" s="384"/>
      <c r="UNO31" s="384"/>
      <c r="UNP31" s="384"/>
      <c r="UNQ31" s="384"/>
      <c r="UNR31" s="384"/>
      <c r="UNS31" s="384"/>
      <c r="UNT31" s="384"/>
      <c r="UNU31" s="384"/>
      <c r="UNV31" s="384"/>
      <c r="UNW31" s="384"/>
      <c r="UNX31" s="384"/>
      <c r="UNY31" s="384"/>
      <c r="UNZ31" s="384"/>
      <c r="UOA31" s="384"/>
      <c r="UOB31" s="384"/>
      <c r="UOC31" s="384"/>
      <c r="UOD31" s="384"/>
      <c r="UOE31" s="384"/>
      <c r="UOF31" s="384"/>
      <c r="UOG31" s="384"/>
      <c r="UOH31" s="384"/>
      <c r="UOI31" s="384"/>
      <c r="UOJ31" s="384"/>
      <c r="UOK31" s="384"/>
      <c r="UOL31" s="384"/>
      <c r="UOM31" s="384"/>
      <c r="UON31" s="384"/>
      <c r="UOO31" s="384"/>
      <c r="UOP31" s="384"/>
      <c r="UOQ31" s="384"/>
      <c r="UOR31" s="384"/>
      <c r="UOS31" s="384"/>
      <c r="UOT31" s="384"/>
      <c r="UOU31" s="384"/>
      <c r="UOV31" s="384"/>
      <c r="UOW31" s="384"/>
      <c r="UOX31" s="384"/>
      <c r="UOY31" s="384"/>
      <c r="UOZ31" s="384"/>
      <c r="UPA31" s="384"/>
      <c r="UPB31" s="384"/>
      <c r="UPC31" s="384"/>
      <c r="UPD31" s="384"/>
      <c r="UPE31" s="384"/>
      <c r="UPF31" s="384"/>
      <c r="UPG31" s="384"/>
      <c r="UPH31" s="384"/>
      <c r="UPI31" s="384"/>
      <c r="UPJ31" s="384"/>
      <c r="UPK31" s="384"/>
      <c r="UPL31" s="384"/>
      <c r="UPM31" s="384"/>
      <c r="UPN31" s="384"/>
      <c r="UPO31" s="384"/>
      <c r="UPP31" s="384"/>
      <c r="UPQ31" s="384"/>
      <c r="UPR31" s="384"/>
      <c r="UPS31" s="384"/>
      <c r="UPT31" s="384"/>
      <c r="UPU31" s="384"/>
      <c r="UPV31" s="384"/>
      <c r="UPW31" s="384"/>
      <c r="UPX31" s="384"/>
      <c r="UPY31" s="384"/>
      <c r="UPZ31" s="384"/>
      <c r="UQA31" s="384"/>
      <c r="UQB31" s="384"/>
      <c r="UQC31" s="384"/>
      <c r="UQD31" s="384"/>
      <c r="UQE31" s="384"/>
      <c r="UQF31" s="384"/>
      <c r="UQG31" s="384"/>
      <c r="UQH31" s="384"/>
      <c r="UQI31" s="384"/>
      <c r="UQJ31" s="384"/>
      <c r="UQK31" s="384"/>
      <c r="UQL31" s="384"/>
      <c r="UQM31" s="384"/>
      <c r="UQN31" s="384"/>
      <c r="UQO31" s="384"/>
      <c r="UQP31" s="384"/>
      <c r="UQQ31" s="384"/>
      <c r="UQR31" s="384"/>
      <c r="UQS31" s="384"/>
      <c r="UQT31" s="384"/>
      <c r="UQU31" s="384"/>
      <c r="UQV31" s="384"/>
      <c r="UQW31" s="384"/>
      <c r="UQX31" s="384"/>
      <c r="UQY31" s="384"/>
      <c r="UQZ31" s="384"/>
      <c r="URA31" s="384"/>
      <c r="URB31" s="384"/>
      <c r="URC31" s="384"/>
      <c r="URD31" s="384"/>
      <c r="URE31" s="384"/>
      <c r="URF31" s="384"/>
      <c r="URG31" s="384"/>
      <c r="URH31" s="384"/>
      <c r="URI31" s="384"/>
      <c r="URJ31" s="384"/>
      <c r="URK31" s="384"/>
      <c r="URL31" s="384"/>
      <c r="URM31" s="384"/>
      <c r="URN31" s="384"/>
      <c r="URO31" s="384"/>
      <c r="URP31" s="384"/>
      <c r="URQ31" s="384"/>
      <c r="URR31" s="384"/>
      <c r="URS31" s="384"/>
      <c r="URT31" s="384"/>
      <c r="URU31" s="384"/>
      <c r="URV31" s="384"/>
      <c r="URW31" s="384"/>
      <c r="URX31" s="384"/>
      <c r="URY31" s="384"/>
      <c r="URZ31" s="384"/>
      <c r="USA31" s="384"/>
      <c r="USB31" s="384"/>
      <c r="USC31" s="384"/>
      <c r="USD31" s="384"/>
      <c r="USE31" s="384"/>
      <c r="USF31" s="384"/>
      <c r="USG31" s="384"/>
      <c r="USH31" s="384"/>
      <c r="USI31" s="384"/>
      <c r="USJ31" s="384"/>
      <c r="USK31" s="384"/>
      <c r="USL31" s="384"/>
      <c r="USM31" s="384"/>
      <c r="USN31" s="384"/>
      <c r="USO31" s="384"/>
      <c r="USP31" s="384"/>
      <c r="USQ31" s="384"/>
      <c r="USR31" s="384"/>
      <c r="USS31" s="384"/>
      <c r="UST31" s="384"/>
      <c r="USU31" s="384"/>
      <c r="USV31" s="384"/>
      <c r="USW31" s="384"/>
      <c r="USX31" s="384"/>
      <c r="USY31" s="384"/>
      <c r="USZ31" s="384"/>
      <c r="UTA31" s="384"/>
      <c r="UTB31" s="384"/>
      <c r="UTC31" s="384"/>
      <c r="UTD31" s="384"/>
      <c r="UTE31" s="384"/>
      <c r="UTF31" s="384"/>
      <c r="UTG31" s="384"/>
      <c r="UTH31" s="384"/>
      <c r="UTI31" s="384"/>
      <c r="UTJ31" s="384"/>
      <c r="UTK31" s="384"/>
      <c r="UTL31" s="384"/>
      <c r="UTM31" s="384"/>
      <c r="UTN31" s="384"/>
      <c r="UTO31" s="384"/>
      <c r="UTP31" s="384"/>
      <c r="UTQ31" s="384"/>
      <c r="UTR31" s="384"/>
      <c r="UTS31" s="384"/>
      <c r="UTT31" s="384"/>
      <c r="UTU31" s="384"/>
      <c r="UTV31" s="384"/>
      <c r="UTW31" s="384"/>
      <c r="UTX31" s="384"/>
      <c r="UTY31" s="384"/>
      <c r="UTZ31" s="384"/>
      <c r="UUA31" s="384"/>
      <c r="UUB31" s="384"/>
      <c r="UUC31" s="384"/>
      <c r="UUD31" s="384"/>
      <c r="UUE31" s="384"/>
      <c r="UUF31" s="384"/>
      <c r="UUG31" s="384"/>
      <c r="UUH31" s="384"/>
      <c r="UUI31" s="384"/>
      <c r="UUJ31" s="384"/>
      <c r="UUK31" s="384"/>
      <c r="UUL31" s="384"/>
      <c r="UUM31" s="384"/>
      <c r="UUN31" s="384"/>
      <c r="UUO31" s="384"/>
      <c r="UUP31" s="384"/>
      <c r="UUQ31" s="384"/>
      <c r="UUR31" s="384"/>
      <c r="UUS31" s="384"/>
      <c r="UUT31" s="384"/>
      <c r="UUU31" s="384"/>
      <c r="UUV31" s="384"/>
      <c r="UUW31" s="384"/>
      <c r="UUX31" s="384"/>
      <c r="UUY31" s="384"/>
      <c r="UUZ31" s="384"/>
      <c r="UVA31" s="384"/>
      <c r="UVB31" s="384"/>
      <c r="UVC31" s="384"/>
      <c r="UVD31" s="384"/>
      <c r="UVE31" s="384"/>
      <c r="UVF31" s="384"/>
      <c r="UVG31" s="384"/>
      <c r="UVH31" s="384"/>
      <c r="UVI31" s="384"/>
      <c r="UVJ31" s="384"/>
      <c r="UVK31" s="384"/>
      <c r="UVL31" s="384"/>
      <c r="UVM31" s="384"/>
      <c r="UVN31" s="384"/>
      <c r="UVO31" s="384"/>
      <c r="UVP31" s="384"/>
      <c r="UVQ31" s="384"/>
      <c r="UVR31" s="384"/>
      <c r="UVS31" s="384"/>
      <c r="UVT31" s="384"/>
      <c r="UVU31" s="384"/>
      <c r="UVV31" s="384"/>
      <c r="UVW31" s="384"/>
      <c r="UVX31" s="384"/>
      <c r="UVY31" s="384"/>
      <c r="UVZ31" s="384"/>
      <c r="UWA31" s="384"/>
      <c r="UWB31" s="384"/>
      <c r="UWC31" s="384"/>
      <c r="UWD31" s="384"/>
      <c r="UWE31" s="384"/>
      <c r="UWF31" s="384"/>
      <c r="UWG31" s="384"/>
      <c r="UWH31" s="384"/>
      <c r="UWI31" s="384"/>
      <c r="UWJ31" s="384"/>
      <c r="UWK31" s="384"/>
      <c r="UWL31" s="384"/>
      <c r="UWM31" s="384"/>
      <c r="UWN31" s="384"/>
      <c r="UWO31" s="384"/>
      <c r="UWP31" s="384"/>
      <c r="UWQ31" s="384"/>
      <c r="UWR31" s="384"/>
      <c r="UWS31" s="384"/>
      <c r="UWT31" s="384"/>
      <c r="UWU31" s="384"/>
      <c r="UWV31" s="384"/>
      <c r="UWW31" s="384"/>
      <c r="UWX31" s="384"/>
      <c r="UWY31" s="384"/>
      <c r="UWZ31" s="384"/>
      <c r="UXA31" s="384"/>
      <c r="UXB31" s="384"/>
      <c r="UXC31" s="384"/>
      <c r="UXD31" s="384"/>
      <c r="UXE31" s="384"/>
      <c r="UXF31" s="384"/>
      <c r="UXG31" s="384"/>
      <c r="UXH31" s="384"/>
      <c r="UXI31" s="384"/>
      <c r="UXJ31" s="384"/>
      <c r="UXK31" s="384"/>
      <c r="UXL31" s="384"/>
      <c r="UXM31" s="384"/>
      <c r="UXN31" s="384"/>
      <c r="UXO31" s="384"/>
      <c r="UXP31" s="384"/>
      <c r="UXQ31" s="384"/>
      <c r="UXR31" s="384"/>
      <c r="UXS31" s="384"/>
      <c r="UXT31" s="384"/>
      <c r="UXU31" s="384"/>
      <c r="UXV31" s="384"/>
      <c r="UXW31" s="384"/>
      <c r="UXX31" s="384"/>
      <c r="UXY31" s="384"/>
      <c r="UXZ31" s="384"/>
      <c r="UYA31" s="384"/>
      <c r="UYB31" s="384"/>
      <c r="UYC31" s="384"/>
      <c r="UYD31" s="384"/>
      <c r="UYE31" s="384"/>
      <c r="UYF31" s="384"/>
      <c r="UYG31" s="384"/>
      <c r="UYH31" s="384"/>
      <c r="UYI31" s="384"/>
      <c r="UYJ31" s="384"/>
      <c r="UYK31" s="384"/>
      <c r="UYL31" s="384"/>
      <c r="UYM31" s="384"/>
      <c r="UYN31" s="384"/>
      <c r="UYO31" s="384"/>
      <c r="UYP31" s="384"/>
      <c r="UYQ31" s="384"/>
      <c r="UYR31" s="384"/>
      <c r="UYS31" s="384"/>
      <c r="UYT31" s="384"/>
      <c r="UYU31" s="384"/>
      <c r="UYV31" s="384"/>
      <c r="UYW31" s="384"/>
      <c r="UYX31" s="384"/>
      <c r="UYY31" s="384"/>
      <c r="UYZ31" s="384"/>
      <c r="UZA31" s="384"/>
      <c r="UZB31" s="384"/>
      <c r="UZC31" s="384"/>
      <c r="UZD31" s="384"/>
      <c r="UZE31" s="384"/>
      <c r="UZF31" s="384"/>
      <c r="UZG31" s="384"/>
      <c r="UZH31" s="384"/>
      <c r="UZI31" s="384"/>
      <c r="UZJ31" s="384"/>
      <c r="UZK31" s="384"/>
      <c r="UZL31" s="384"/>
      <c r="UZM31" s="384"/>
      <c r="UZN31" s="384"/>
      <c r="UZO31" s="384"/>
      <c r="UZP31" s="384"/>
      <c r="UZQ31" s="384"/>
      <c r="UZR31" s="384"/>
      <c r="UZS31" s="384"/>
      <c r="UZT31" s="384"/>
      <c r="UZU31" s="384"/>
      <c r="UZV31" s="384"/>
      <c r="UZW31" s="384"/>
      <c r="UZX31" s="384"/>
      <c r="UZY31" s="384"/>
      <c r="UZZ31" s="384"/>
      <c r="VAA31" s="384"/>
      <c r="VAB31" s="384"/>
      <c r="VAC31" s="384"/>
      <c r="VAD31" s="384"/>
      <c r="VAE31" s="384"/>
      <c r="VAF31" s="384"/>
      <c r="VAG31" s="384"/>
      <c r="VAH31" s="384"/>
      <c r="VAI31" s="384"/>
      <c r="VAJ31" s="384"/>
      <c r="VAK31" s="384"/>
      <c r="VAL31" s="384"/>
      <c r="VAM31" s="384"/>
      <c r="VAN31" s="384"/>
      <c r="VAO31" s="384"/>
      <c r="VAP31" s="384"/>
      <c r="VAQ31" s="384"/>
      <c r="VAR31" s="384"/>
      <c r="VAS31" s="384"/>
      <c r="VAT31" s="384"/>
      <c r="VAU31" s="384"/>
      <c r="VAV31" s="384"/>
      <c r="VAW31" s="384"/>
      <c r="VAX31" s="384"/>
      <c r="VAY31" s="384"/>
      <c r="VAZ31" s="384"/>
      <c r="VBA31" s="384"/>
      <c r="VBB31" s="384"/>
      <c r="VBC31" s="384"/>
      <c r="VBD31" s="384"/>
      <c r="VBE31" s="384"/>
      <c r="VBF31" s="384"/>
      <c r="VBG31" s="384"/>
      <c r="VBH31" s="384"/>
      <c r="VBI31" s="384"/>
      <c r="VBJ31" s="384"/>
      <c r="VBK31" s="384"/>
      <c r="VBL31" s="384"/>
      <c r="VBM31" s="384"/>
      <c r="VBN31" s="384"/>
      <c r="VBO31" s="384"/>
      <c r="VBP31" s="384"/>
      <c r="VBQ31" s="384"/>
      <c r="VBR31" s="384"/>
      <c r="VBS31" s="384"/>
      <c r="VBT31" s="384"/>
      <c r="VBU31" s="384"/>
      <c r="VBV31" s="384"/>
      <c r="VBW31" s="384"/>
      <c r="VBX31" s="384"/>
      <c r="VBY31" s="384"/>
      <c r="VBZ31" s="384"/>
      <c r="VCA31" s="384"/>
      <c r="VCB31" s="384"/>
      <c r="VCC31" s="384"/>
      <c r="VCD31" s="384"/>
      <c r="VCE31" s="384"/>
      <c r="VCF31" s="384"/>
      <c r="VCG31" s="384"/>
      <c r="VCH31" s="384"/>
      <c r="VCI31" s="384"/>
      <c r="VCJ31" s="384"/>
      <c r="VCK31" s="384"/>
      <c r="VCL31" s="384"/>
      <c r="VCM31" s="384"/>
      <c r="VCN31" s="384"/>
      <c r="VCO31" s="384"/>
      <c r="VCP31" s="384"/>
      <c r="VCQ31" s="384"/>
      <c r="VCR31" s="384"/>
      <c r="VCS31" s="384"/>
      <c r="VCT31" s="384"/>
      <c r="VCU31" s="384"/>
      <c r="VCV31" s="384"/>
      <c r="VCW31" s="384"/>
      <c r="VCX31" s="384"/>
      <c r="VCY31" s="384"/>
      <c r="VCZ31" s="384"/>
      <c r="VDA31" s="384"/>
      <c r="VDB31" s="384"/>
      <c r="VDC31" s="384"/>
      <c r="VDD31" s="384"/>
      <c r="VDE31" s="384"/>
      <c r="VDF31" s="384"/>
      <c r="VDG31" s="384"/>
      <c r="VDH31" s="384"/>
      <c r="VDI31" s="384"/>
      <c r="VDJ31" s="384"/>
      <c r="VDK31" s="384"/>
      <c r="VDL31" s="384"/>
      <c r="VDM31" s="384"/>
      <c r="VDN31" s="384"/>
      <c r="VDO31" s="384"/>
      <c r="VDP31" s="384"/>
      <c r="VDQ31" s="384"/>
      <c r="VDR31" s="384"/>
      <c r="VDS31" s="384"/>
      <c r="VDT31" s="384"/>
      <c r="VDU31" s="384"/>
      <c r="VDV31" s="384"/>
      <c r="VDW31" s="384"/>
      <c r="VDX31" s="384"/>
      <c r="VDY31" s="384"/>
      <c r="VDZ31" s="384"/>
      <c r="VEA31" s="384"/>
      <c r="VEB31" s="384"/>
      <c r="VEC31" s="384"/>
      <c r="VED31" s="384"/>
      <c r="VEE31" s="384"/>
      <c r="VEF31" s="384"/>
      <c r="VEG31" s="384"/>
      <c r="VEH31" s="384"/>
      <c r="VEI31" s="384"/>
      <c r="VEJ31" s="384"/>
      <c r="VEK31" s="384"/>
      <c r="VEL31" s="384"/>
      <c r="VEM31" s="384"/>
      <c r="VEN31" s="384"/>
      <c r="VEO31" s="384"/>
      <c r="VEP31" s="384"/>
      <c r="VEQ31" s="384"/>
      <c r="VER31" s="384"/>
      <c r="VES31" s="384"/>
      <c r="VET31" s="384"/>
      <c r="VEU31" s="384"/>
      <c r="VEV31" s="384"/>
      <c r="VEW31" s="384"/>
      <c r="VEX31" s="384"/>
      <c r="VEY31" s="384"/>
      <c r="VEZ31" s="384"/>
      <c r="VFA31" s="384"/>
      <c r="VFB31" s="384"/>
      <c r="VFC31" s="384"/>
      <c r="VFD31" s="384"/>
      <c r="VFE31" s="384"/>
      <c r="VFF31" s="384"/>
      <c r="VFG31" s="384"/>
      <c r="VFH31" s="384"/>
      <c r="VFI31" s="384"/>
      <c r="VFJ31" s="384"/>
      <c r="VFK31" s="384"/>
      <c r="VFL31" s="384"/>
      <c r="VFM31" s="384"/>
      <c r="VFN31" s="384"/>
      <c r="VFO31" s="384"/>
      <c r="VFP31" s="384"/>
      <c r="VFQ31" s="384"/>
      <c r="VFR31" s="384"/>
      <c r="VFS31" s="384"/>
      <c r="VFT31" s="384"/>
      <c r="VFU31" s="384"/>
      <c r="VFV31" s="384"/>
      <c r="VFW31" s="384"/>
      <c r="VFX31" s="384"/>
      <c r="VFY31" s="384"/>
      <c r="VFZ31" s="384"/>
      <c r="VGA31" s="384"/>
      <c r="VGB31" s="384"/>
      <c r="VGC31" s="384"/>
      <c r="VGD31" s="384"/>
      <c r="VGE31" s="384"/>
      <c r="VGF31" s="384"/>
      <c r="VGG31" s="384"/>
      <c r="VGH31" s="384"/>
      <c r="VGI31" s="384"/>
      <c r="VGJ31" s="384"/>
      <c r="VGK31" s="384"/>
      <c r="VGL31" s="384"/>
      <c r="VGM31" s="384"/>
      <c r="VGN31" s="384"/>
      <c r="VGO31" s="384"/>
      <c r="VGP31" s="384"/>
      <c r="VGQ31" s="384"/>
      <c r="VGR31" s="384"/>
      <c r="VGS31" s="384"/>
      <c r="VGT31" s="384"/>
      <c r="VGU31" s="384"/>
      <c r="VGV31" s="384"/>
      <c r="VGW31" s="384"/>
      <c r="VGX31" s="384"/>
      <c r="VGY31" s="384"/>
      <c r="VGZ31" s="384"/>
      <c r="VHA31" s="384"/>
      <c r="VHB31" s="384"/>
      <c r="VHC31" s="384"/>
      <c r="VHD31" s="384"/>
      <c r="VHE31" s="384"/>
      <c r="VHF31" s="384"/>
      <c r="VHG31" s="384"/>
      <c r="VHH31" s="384"/>
      <c r="VHI31" s="384"/>
      <c r="VHJ31" s="384"/>
      <c r="VHK31" s="384"/>
      <c r="VHL31" s="384"/>
      <c r="VHM31" s="384"/>
      <c r="VHN31" s="384"/>
      <c r="VHO31" s="384"/>
      <c r="VHP31" s="384"/>
      <c r="VHQ31" s="384"/>
      <c r="VHR31" s="384"/>
      <c r="VHS31" s="384"/>
      <c r="VHT31" s="384"/>
      <c r="VHU31" s="384"/>
      <c r="VHV31" s="384"/>
      <c r="VHW31" s="384"/>
      <c r="VHX31" s="384"/>
      <c r="VHY31" s="384"/>
      <c r="VHZ31" s="384"/>
      <c r="VIA31" s="384"/>
      <c r="VIB31" s="384"/>
      <c r="VIC31" s="384"/>
      <c r="VID31" s="384"/>
      <c r="VIE31" s="384"/>
      <c r="VIF31" s="384"/>
      <c r="VIG31" s="384"/>
      <c r="VIH31" s="384"/>
      <c r="VII31" s="384"/>
      <c r="VIJ31" s="384"/>
      <c r="VIK31" s="384"/>
      <c r="VIL31" s="384"/>
      <c r="VIM31" s="384"/>
      <c r="VIN31" s="384"/>
      <c r="VIO31" s="384"/>
      <c r="VIP31" s="384"/>
      <c r="VIQ31" s="384"/>
      <c r="VIR31" s="384"/>
      <c r="VIS31" s="384"/>
      <c r="VIT31" s="384"/>
      <c r="VIU31" s="384"/>
      <c r="VIV31" s="384"/>
      <c r="VIW31" s="384"/>
      <c r="VIX31" s="384"/>
      <c r="VIY31" s="384"/>
      <c r="VIZ31" s="384"/>
      <c r="VJA31" s="384"/>
      <c r="VJB31" s="384"/>
      <c r="VJC31" s="384"/>
      <c r="VJD31" s="384"/>
      <c r="VJE31" s="384"/>
      <c r="VJF31" s="384"/>
      <c r="VJG31" s="384"/>
      <c r="VJH31" s="384"/>
      <c r="VJI31" s="384"/>
      <c r="VJJ31" s="384"/>
      <c r="VJK31" s="384"/>
      <c r="VJL31" s="384"/>
      <c r="VJM31" s="384"/>
      <c r="VJN31" s="384"/>
      <c r="VJO31" s="384"/>
      <c r="VJP31" s="384"/>
      <c r="VJQ31" s="384"/>
      <c r="VJR31" s="384"/>
      <c r="VJS31" s="384"/>
      <c r="VJT31" s="384"/>
      <c r="VJU31" s="384"/>
      <c r="VJV31" s="384"/>
      <c r="VJW31" s="384"/>
      <c r="VJX31" s="384"/>
      <c r="VJY31" s="384"/>
      <c r="VJZ31" s="384"/>
      <c r="VKA31" s="384"/>
      <c r="VKB31" s="384"/>
      <c r="VKC31" s="384"/>
      <c r="VKD31" s="384"/>
      <c r="VKE31" s="384"/>
      <c r="VKF31" s="384"/>
      <c r="VKG31" s="384"/>
      <c r="VKH31" s="384"/>
      <c r="VKI31" s="384"/>
      <c r="VKJ31" s="384"/>
      <c r="VKK31" s="384"/>
      <c r="VKL31" s="384"/>
      <c r="VKM31" s="384"/>
      <c r="VKN31" s="384"/>
      <c r="VKO31" s="384"/>
      <c r="VKP31" s="384"/>
      <c r="VKQ31" s="384"/>
      <c r="VKR31" s="384"/>
      <c r="VKS31" s="384"/>
      <c r="VKT31" s="384"/>
      <c r="VKU31" s="384"/>
      <c r="VKV31" s="384"/>
      <c r="VKW31" s="384"/>
      <c r="VKX31" s="384"/>
      <c r="VKY31" s="384"/>
      <c r="VKZ31" s="384"/>
      <c r="VLA31" s="384"/>
      <c r="VLB31" s="384"/>
      <c r="VLC31" s="384"/>
      <c r="VLD31" s="384"/>
      <c r="VLE31" s="384"/>
      <c r="VLF31" s="384"/>
      <c r="VLG31" s="384"/>
      <c r="VLH31" s="384"/>
      <c r="VLI31" s="384"/>
      <c r="VLJ31" s="384"/>
      <c r="VLK31" s="384"/>
      <c r="VLL31" s="384"/>
      <c r="VLM31" s="384"/>
      <c r="VLN31" s="384"/>
      <c r="VLO31" s="384"/>
      <c r="VLP31" s="384"/>
      <c r="VLQ31" s="384"/>
      <c r="VLR31" s="384"/>
      <c r="VLS31" s="384"/>
      <c r="VLT31" s="384"/>
      <c r="VLU31" s="384"/>
      <c r="VLV31" s="384"/>
      <c r="VLW31" s="384"/>
      <c r="VLX31" s="384"/>
      <c r="VLY31" s="384"/>
      <c r="VLZ31" s="384"/>
      <c r="VMA31" s="384"/>
      <c r="VMB31" s="384"/>
      <c r="VMC31" s="384"/>
      <c r="VMD31" s="384"/>
      <c r="VME31" s="384"/>
      <c r="VMF31" s="384"/>
      <c r="VMG31" s="384"/>
      <c r="VMH31" s="384"/>
      <c r="VMI31" s="384"/>
      <c r="VMJ31" s="384"/>
      <c r="VMK31" s="384"/>
      <c r="VML31" s="384"/>
      <c r="VMM31" s="384"/>
      <c r="VMN31" s="384"/>
      <c r="VMO31" s="384"/>
      <c r="VMP31" s="384"/>
      <c r="VMQ31" s="384"/>
      <c r="VMR31" s="384"/>
      <c r="VMS31" s="384"/>
      <c r="VMT31" s="384"/>
      <c r="VMU31" s="384"/>
      <c r="VMV31" s="384"/>
      <c r="VMW31" s="384"/>
      <c r="VMX31" s="384"/>
      <c r="VMY31" s="384"/>
      <c r="VMZ31" s="384"/>
      <c r="VNA31" s="384"/>
      <c r="VNB31" s="384"/>
      <c r="VNC31" s="384"/>
      <c r="VND31" s="384"/>
      <c r="VNE31" s="384"/>
      <c r="VNF31" s="384"/>
      <c r="VNG31" s="384"/>
      <c r="VNH31" s="384"/>
      <c r="VNI31" s="384"/>
      <c r="VNJ31" s="384"/>
      <c r="VNK31" s="384"/>
      <c r="VNL31" s="384"/>
      <c r="VNM31" s="384"/>
      <c r="VNN31" s="384"/>
      <c r="VNO31" s="384"/>
      <c r="VNP31" s="384"/>
      <c r="VNQ31" s="384"/>
      <c r="VNR31" s="384"/>
      <c r="VNS31" s="384"/>
      <c r="VNT31" s="384"/>
      <c r="VNU31" s="384"/>
      <c r="VNV31" s="384"/>
      <c r="VNW31" s="384"/>
      <c r="VNX31" s="384"/>
      <c r="VNY31" s="384"/>
      <c r="VNZ31" s="384"/>
      <c r="VOA31" s="384"/>
      <c r="VOB31" s="384"/>
      <c r="VOC31" s="384"/>
      <c r="VOD31" s="384"/>
      <c r="VOE31" s="384"/>
      <c r="VOF31" s="384"/>
      <c r="VOG31" s="384"/>
      <c r="VOH31" s="384"/>
      <c r="VOI31" s="384"/>
      <c r="VOJ31" s="384"/>
      <c r="VOK31" s="384"/>
      <c r="VOL31" s="384"/>
      <c r="VOM31" s="384"/>
      <c r="VON31" s="384"/>
      <c r="VOO31" s="384"/>
      <c r="VOP31" s="384"/>
      <c r="VOQ31" s="384"/>
      <c r="VOR31" s="384"/>
      <c r="VOS31" s="384"/>
      <c r="VOT31" s="384"/>
      <c r="VOU31" s="384"/>
      <c r="VOV31" s="384"/>
      <c r="VOW31" s="384"/>
      <c r="VOX31" s="384"/>
      <c r="VOY31" s="384"/>
      <c r="VOZ31" s="384"/>
      <c r="VPA31" s="384"/>
      <c r="VPB31" s="384"/>
      <c r="VPC31" s="384"/>
      <c r="VPD31" s="384"/>
      <c r="VPE31" s="384"/>
      <c r="VPF31" s="384"/>
      <c r="VPG31" s="384"/>
      <c r="VPH31" s="384"/>
      <c r="VPI31" s="384"/>
      <c r="VPJ31" s="384"/>
      <c r="VPK31" s="384"/>
      <c r="VPL31" s="384"/>
      <c r="VPM31" s="384"/>
      <c r="VPN31" s="384"/>
      <c r="VPO31" s="384"/>
      <c r="VPP31" s="384"/>
      <c r="VPQ31" s="384"/>
      <c r="VPR31" s="384"/>
      <c r="VPS31" s="384"/>
      <c r="VPT31" s="384"/>
      <c r="VPU31" s="384"/>
      <c r="VPV31" s="384"/>
      <c r="VPW31" s="384"/>
      <c r="VPX31" s="384"/>
      <c r="VPY31" s="384"/>
      <c r="VPZ31" s="384"/>
      <c r="VQA31" s="384"/>
      <c r="VQB31" s="384"/>
      <c r="VQC31" s="384"/>
      <c r="VQD31" s="384"/>
      <c r="VQE31" s="384"/>
      <c r="VQF31" s="384"/>
      <c r="VQG31" s="384"/>
      <c r="VQH31" s="384"/>
      <c r="VQI31" s="384"/>
      <c r="VQJ31" s="384"/>
      <c r="VQK31" s="384"/>
      <c r="VQL31" s="384"/>
      <c r="VQM31" s="384"/>
      <c r="VQN31" s="384"/>
      <c r="VQO31" s="384"/>
      <c r="VQP31" s="384"/>
      <c r="VQQ31" s="384"/>
      <c r="VQR31" s="384"/>
      <c r="VQS31" s="384"/>
      <c r="VQT31" s="384"/>
      <c r="VQU31" s="384"/>
      <c r="VQV31" s="384"/>
      <c r="VQW31" s="384"/>
      <c r="VQX31" s="384"/>
      <c r="VQY31" s="384"/>
      <c r="VQZ31" s="384"/>
      <c r="VRA31" s="384"/>
      <c r="VRB31" s="384"/>
      <c r="VRC31" s="384"/>
      <c r="VRD31" s="384"/>
      <c r="VRE31" s="384"/>
      <c r="VRF31" s="384"/>
      <c r="VRG31" s="384"/>
      <c r="VRH31" s="384"/>
      <c r="VRI31" s="384"/>
      <c r="VRJ31" s="384"/>
      <c r="VRK31" s="384"/>
      <c r="VRL31" s="384"/>
      <c r="VRM31" s="384"/>
      <c r="VRN31" s="384"/>
      <c r="VRO31" s="384"/>
      <c r="VRP31" s="384"/>
      <c r="VRQ31" s="384"/>
      <c r="VRR31" s="384"/>
      <c r="VRS31" s="384"/>
      <c r="VRT31" s="384"/>
      <c r="VRU31" s="384"/>
      <c r="VRV31" s="384"/>
      <c r="VRW31" s="384"/>
      <c r="VRX31" s="384"/>
      <c r="VRY31" s="384"/>
      <c r="VRZ31" s="384"/>
      <c r="VSA31" s="384"/>
      <c r="VSB31" s="384"/>
      <c r="VSC31" s="384"/>
      <c r="VSD31" s="384"/>
      <c r="VSE31" s="384"/>
      <c r="VSF31" s="384"/>
      <c r="VSG31" s="384"/>
      <c r="VSH31" s="384"/>
      <c r="VSI31" s="384"/>
      <c r="VSJ31" s="384"/>
      <c r="VSK31" s="384"/>
      <c r="VSL31" s="384"/>
      <c r="VSM31" s="384"/>
      <c r="VSN31" s="384"/>
      <c r="VSO31" s="384"/>
      <c r="VSP31" s="384"/>
      <c r="VSQ31" s="384"/>
      <c r="VSR31" s="384"/>
      <c r="VSS31" s="384"/>
      <c r="VST31" s="384"/>
      <c r="VSU31" s="384"/>
      <c r="VSV31" s="384"/>
      <c r="VSW31" s="384"/>
      <c r="VSX31" s="384"/>
      <c r="VSY31" s="384"/>
      <c r="VSZ31" s="384"/>
      <c r="VTA31" s="384"/>
      <c r="VTB31" s="384"/>
      <c r="VTC31" s="384"/>
      <c r="VTD31" s="384"/>
      <c r="VTE31" s="384"/>
      <c r="VTF31" s="384"/>
      <c r="VTG31" s="384"/>
      <c r="VTH31" s="384"/>
      <c r="VTI31" s="384"/>
      <c r="VTJ31" s="384"/>
      <c r="VTK31" s="384"/>
      <c r="VTL31" s="384"/>
      <c r="VTM31" s="384"/>
      <c r="VTN31" s="384"/>
      <c r="VTO31" s="384"/>
      <c r="VTP31" s="384"/>
      <c r="VTQ31" s="384"/>
      <c r="VTR31" s="384"/>
      <c r="VTS31" s="384"/>
      <c r="VTT31" s="384"/>
      <c r="VTU31" s="384"/>
      <c r="VTV31" s="384"/>
      <c r="VTW31" s="384"/>
      <c r="VTX31" s="384"/>
      <c r="VTY31" s="384"/>
      <c r="VTZ31" s="384"/>
      <c r="VUA31" s="384"/>
      <c r="VUB31" s="384"/>
      <c r="VUC31" s="384"/>
      <c r="VUD31" s="384"/>
      <c r="VUE31" s="384"/>
      <c r="VUF31" s="384"/>
      <c r="VUG31" s="384"/>
      <c r="VUH31" s="384"/>
      <c r="VUI31" s="384"/>
      <c r="VUJ31" s="384"/>
      <c r="VUK31" s="384"/>
      <c r="VUL31" s="384"/>
      <c r="VUM31" s="384"/>
      <c r="VUN31" s="384"/>
      <c r="VUO31" s="384"/>
      <c r="VUP31" s="384"/>
      <c r="VUQ31" s="384"/>
      <c r="VUR31" s="384"/>
      <c r="VUS31" s="384"/>
      <c r="VUT31" s="384"/>
      <c r="VUU31" s="384"/>
      <c r="VUV31" s="384"/>
      <c r="VUW31" s="384"/>
      <c r="VUX31" s="384"/>
      <c r="VUY31" s="384"/>
      <c r="VUZ31" s="384"/>
      <c r="VVA31" s="384"/>
      <c r="VVB31" s="384"/>
      <c r="VVC31" s="384"/>
      <c r="VVD31" s="384"/>
      <c r="VVE31" s="384"/>
      <c r="VVF31" s="384"/>
      <c r="VVG31" s="384"/>
      <c r="VVH31" s="384"/>
      <c r="VVI31" s="384"/>
      <c r="VVJ31" s="384"/>
      <c r="VVK31" s="384"/>
      <c r="VVL31" s="384"/>
      <c r="VVM31" s="384"/>
      <c r="VVN31" s="384"/>
      <c r="VVO31" s="384"/>
      <c r="VVP31" s="384"/>
      <c r="VVQ31" s="384"/>
      <c r="VVR31" s="384"/>
      <c r="VVS31" s="384"/>
      <c r="VVT31" s="384"/>
      <c r="VVU31" s="384"/>
      <c r="VVV31" s="384"/>
      <c r="VVW31" s="384"/>
      <c r="VVX31" s="384"/>
      <c r="VVY31" s="384"/>
      <c r="VVZ31" s="384"/>
      <c r="VWA31" s="384"/>
      <c r="VWB31" s="384"/>
      <c r="VWC31" s="384"/>
      <c r="VWD31" s="384"/>
      <c r="VWE31" s="384"/>
      <c r="VWF31" s="384"/>
      <c r="VWG31" s="384"/>
      <c r="VWH31" s="384"/>
      <c r="VWI31" s="384"/>
      <c r="VWJ31" s="384"/>
      <c r="VWK31" s="384"/>
      <c r="VWL31" s="384"/>
      <c r="VWM31" s="384"/>
      <c r="VWN31" s="384"/>
      <c r="VWO31" s="384"/>
      <c r="VWP31" s="384"/>
      <c r="VWQ31" s="384"/>
      <c r="VWR31" s="384"/>
      <c r="VWS31" s="384"/>
      <c r="VWT31" s="384"/>
      <c r="VWU31" s="384"/>
      <c r="VWV31" s="384"/>
      <c r="VWW31" s="384"/>
      <c r="VWX31" s="384"/>
      <c r="VWY31" s="384"/>
      <c r="VWZ31" s="384"/>
      <c r="VXA31" s="384"/>
      <c r="VXB31" s="384"/>
      <c r="VXC31" s="384"/>
      <c r="VXD31" s="384"/>
      <c r="VXE31" s="384"/>
      <c r="VXF31" s="384"/>
      <c r="VXG31" s="384"/>
      <c r="VXH31" s="384"/>
      <c r="VXI31" s="384"/>
      <c r="VXJ31" s="384"/>
      <c r="VXK31" s="384"/>
      <c r="VXL31" s="384"/>
      <c r="VXM31" s="384"/>
      <c r="VXN31" s="384"/>
      <c r="VXO31" s="384"/>
      <c r="VXP31" s="384"/>
      <c r="VXQ31" s="384"/>
      <c r="VXR31" s="384"/>
      <c r="VXS31" s="384"/>
      <c r="VXT31" s="384"/>
      <c r="VXU31" s="384"/>
      <c r="VXV31" s="384"/>
      <c r="VXW31" s="384"/>
      <c r="VXX31" s="384"/>
      <c r="VXY31" s="384"/>
      <c r="VXZ31" s="384"/>
      <c r="VYA31" s="384"/>
      <c r="VYB31" s="384"/>
      <c r="VYC31" s="384"/>
      <c r="VYD31" s="384"/>
      <c r="VYE31" s="384"/>
      <c r="VYF31" s="384"/>
      <c r="VYG31" s="384"/>
      <c r="VYH31" s="384"/>
      <c r="VYI31" s="384"/>
      <c r="VYJ31" s="384"/>
      <c r="VYK31" s="384"/>
      <c r="VYL31" s="384"/>
      <c r="VYM31" s="384"/>
      <c r="VYN31" s="384"/>
      <c r="VYO31" s="384"/>
      <c r="VYP31" s="384"/>
      <c r="VYQ31" s="384"/>
      <c r="VYR31" s="384"/>
      <c r="VYS31" s="384"/>
      <c r="VYT31" s="384"/>
      <c r="VYU31" s="384"/>
      <c r="VYV31" s="384"/>
      <c r="VYW31" s="384"/>
      <c r="VYX31" s="384"/>
      <c r="VYY31" s="384"/>
      <c r="VYZ31" s="384"/>
      <c r="VZA31" s="384"/>
      <c r="VZB31" s="384"/>
      <c r="VZC31" s="384"/>
      <c r="VZD31" s="384"/>
      <c r="VZE31" s="384"/>
      <c r="VZF31" s="384"/>
      <c r="VZG31" s="384"/>
      <c r="VZH31" s="384"/>
      <c r="VZI31" s="384"/>
      <c r="VZJ31" s="384"/>
      <c r="VZK31" s="384"/>
      <c r="VZL31" s="384"/>
      <c r="VZM31" s="384"/>
      <c r="VZN31" s="384"/>
      <c r="VZO31" s="384"/>
      <c r="VZP31" s="384"/>
      <c r="VZQ31" s="384"/>
      <c r="VZR31" s="384"/>
      <c r="VZS31" s="384"/>
      <c r="VZT31" s="384"/>
      <c r="VZU31" s="384"/>
      <c r="VZV31" s="384"/>
      <c r="VZW31" s="384"/>
      <c r="VZX31" s="384"/>
      <c r="VZY31" s="384"/>
      <c r="VZZ31" s="384"/>
      <c r="WAA31" s="384"/>
      <c r="WAB31" s="384"/>
      <c r="WAC31" s="384"/>
      <c r="WAD31" s="384"/>
      <c r="WAE31" s="384"/>
      <c r="WAF31" s="384"/>
      <c r="WAG31" s="384"/>
      <c r="WAH31" s="384"/>
      <c r="WAI31" s="384"/>
      <c r="WAJ31" s="384"/>
      <c r="WAK31" s="384"/>
      <c r="WAL31" s="384"/>
      <c r="WAM31" s="384"/>
      <c r="WAN31" s="384"/>
      <c r="WAO31" s="384"/>
      <c r="WAP31" s="384"/>
      <c r="WAQ31" s="384"/>
      <c r="WAR31" s="384"/>
      <c r="WAS31" s="384"/>
      <c r="WAT31" s="384"/>
      <c r="WAU31" s="384"/>
      <c r="WAV31" s="384"/>
      <c r="WAW31" s="384"/>
      <c r="WAX31" s="384"/>
      <c r="WAY31" s="384"/>
      <c r="WAZ31" s="384"/>
      <c r="WBA31" s="384"/>
      <c r="WBB31" s="384"/>
      <c r="WBC31" s="384"/>
      <c r="WBD31" s="384"/>
      <c r="WBE31" s="384"/>
      <c r="WBF31" s="384"/>
      <c r="WBG31" s="384"/>
      <c r="WBH31" s="384"/>
      <c r="WBI31" s="384"/>
      <c r="WBJ31" s="384"/>
      <c r="WBK31" s="384"/>
      <c r="WBL31" s="384"/>
      <c r="WBM31" s="384"/>
      <c r="WBN31" s="384"/>
      <c r="WBO31" s="384"/>
      <c r="WBP31" s="384"/>
      <c r="WBQ31" s="384"/>
      <c r="WBR31" s="384"/>
      <c r="WBS31" s="384"/>
      <c r="WBT31" s="384"/>
      <c r="WBU31" s="384"/>
      <c r="WBV31" s="384"/>
      <c r="WBW31" s="384"/>
      <c r="WBX31" s="384"/>
      <c r="WBY31" s="384"/>
      <c r="WBZ31" s="384"/>
      <c r="WCA31" s="384"/>
      <c r="WCB31" s="384"/>
      <c r="WCC31" s="384"/>
      <c r="WCD31" s="384"/>
      <c r="WCE31" s="384"/>
      <c r="WCF31" s="384"/>
      <c r="WCG31" s="384"/>
      <c r="WCH31" s="384"/>
      <c r="WCI31" s="384"/>
      <c r="WCJ31" s="384"/>
      <c r="WCK31" s="384"/>
      <c r="WCL31" s="384"/>
      <c r="WCM31" s="384"/>
      <c r="WCN31" s="384"/>
      <c r="WCO31" s="384"/>
      <c r="WCP31" s="384"/>
      <c r="WCQ31" s="384"/>
      <c r="WCR31" s="384"/>
      <c r="WCS31" s="384"/>
      <c r="WCT31" s="384"/>
      <c r="WCU31" s="384"/>
      <c r="WCV31" s="384"/>
      <c r="WCW31" s="384"/>
      <c r="WCX31" s="384"/>
      <c r="WCY31" s="384"/>
      <c r="WCZ31" s="384"/>
      <c r="WDA31" s="384"/>
      <c r="WDB31" s="384"/>
      <c r="WDC31" s="384"/>
      <c r="WDD31" s="384"/>
      <c r="WDE31" s="384"/>
      <c r="WDF31" s="384"/>
      <c r="WDG31" s="384"/>
      <c r="WDH31" s="384"/>
      <c r="WDI31" s="384"/>
      <c r="WDJ31" s="384"/>
      <c r="WDK31" s="384"/>
      <c r="WDL31" s="384"/>
      <c r="WDM31" s="384"/>
      <c r="WDN31" s="384"/>
      <c r="WDO31" s="384"/>
      <c r="WDP31" s="384"/>
      <c r="WDQ31" s="384"/>
      <c r="WDR31" s="384"/>
      <c r="WDS31" s="384"/>
      <c r="WDT31" s="384"/>
      <c r="WDU31" s="384"/>
      <c r="WDV31" s="384"/>
      <c r="WDW31" s="384"/>
      <c r="WDX31" s="384"/>
      <c r="WDY31" s="384"/>
      <c r="WDZ31" s="384"/>
      <c r="WEA31" s="384"/>
      <c r="WEB31" s="384"/>
      <c r="WEC31" s="384"/>
      <c r="WED31" s="384"/>
      <c r="WEE31" s="384"/>
      <c r="WEF31" s="384"/>
      <c r="WEG31" s="384"/>
      <c r="WEH31" s="384"/>
      <c r="WEI31" s="384"/>
      <c r="WEJ31" s="384"/>
      <c r="WEK31" s="384"/>
      <c r="WEL31" s="384"/>
      <c r="WEM31" s="384"/>
      <c r="WEN31" s="384"/>
      <c r="WEO31" s="384"/>
      <c r="WEP31" s="384"/>
      <c r="WEQ31" s="384"/>
      <c r="WER31" s="384"/>
      <c r="WES31" s="384"/>
      <c r="WET31" s="384"/>
      <c r="WEU31" s="384"/>
      <c r="WEV31" s="384"/>
      <c r="WEW31" s="384"/>
      <c r="WEX31" s="384"/>
      <c r="WEY31" s="384"/>
      <c r="WEZ31" s="384"/>
      <c r="WFA31" s="384"/>
      <c r="WFB31" s="384"/>
      <c r="WFC31" s="384"/>
      <c r="WFD31" s="384"/>
      <c r="WFE31" s="384"/>
      <c r="WFF31" s="384"/>
      <c r="WFG31" s="384"/>
      <c r="WFH31" s="384"/>
      <c r="WFI31" s="384"/>
      <c r="WFJ31" s="384"/>
      <c r="WFK31" s="384"/>
      <c r="WFL31" s="384"/>
      <c r="WFM31" s="384"/>
      <c r="WFN31" s="384"/>
      <c r="WFO31" s="384"/>
      <c r="WFP31" s="384"/>
      <c r="WFQ31" s="384"/>
      <c r="WFR31" s="384"/>
      <c r="WFS31" s="384"/>
      <c r="WFT31" s="384"/>
      <c r="WFU31" s="384"/>
      <c r="WFV31" s="384"/>
      <c r="WFW31" s="384"/>
      <c r="WFX31" s="384"/>
      <c r="WFY31" s="384"/>
      <c r="WFZ31" s="384"/>
      <c r="WGA31" s="384"/>
      <c r="WGB31" s="384"/>
      <c r="WGC31" s="384"/>
      <c r="WGD31" s="384"/>
      <c r="WGE31" s="384"/>
      <c r="WGF31" s="384"/>
      <c r="WGG31" s="384"/>
      <c r="WGH31" s="384"/>
      <c r="WGI31" s="384"/>
      <c r="WGJ31" s="384"/>
      <c r="WGK31" s="384"/>
      <c r="WGL31" s="384"/>
      <c r="WGM31" s="384"/>
      <c r="WGN31" s="384"/>
      <c r="WGO31" s="384"/>
      <c r="WGP31" s="384"/>
      <c r="WGQ31" s="384"/>
      <c r="WGR31" s="384"/>
      <c r="WGS31" s="384"/>
      <c r="WGT31" s="384"/>
      <c r="WGU31" s="384"/>
      <c r="WGV31" s="384"/>
      <c r="WGW31" s="384"/>
      <c r="WGX31" s="384"/>
      <c r="WGY31" s="384"/>
      <c r="WGZ31" s="384"/>
      <c r="WHA31" s="384"/>
      <c r="WHB31" s="384"/>
      <c r="WHC31" s="384"/>
      <c r="WHD31" s="384"/>
      <c r="WHE31" s="384"/>
      <c r="WHF31" s="384"/>
      <c r="WHG31" s="384"/>
      <c r="WHH31" s="384"/>
      <c r="WHI31" s="384"/>
      <c r="WHJ31" s="384"/>
      <c r="WHK31" s="384"/>
      <c r="WHL31" s="384"/>
      <c r="WHM31" s="384"/>
      <c r="WHN31" s="384"/>
      <c r="WHO31" s="384"/>
      <c r="WHP31" s="384"/>
      <c r="WHQ31" s="384"/>
      <c r="WHR31" s="384"/>
      <c r="WHS31" s="384"/>
      <c r="WHT31" s="384"/>
      <c r="WHU31" s="384"/>
      <c r="WHV31" s="384"/>
      <c r="WHW31" s="384"/>
      <c r="WHX31" s="384"/>
      <c r="WHY31" s="384"/>
      <c r="WHZ31" s="384"/>
      <c r="WIA31" s="384"/>
      <c r="WIB31" s="384"/>
      <c r="WIC31" s="384"/>
      <c r="WID31" s="384"/>
      <c r="WIE31" s="384"/>
      <c r="WIF31" s="384"/>
      <c r="WIG31" s="384"/>
      <c r="WIH31" s="384"/>
      <c r="WII31" s="384"/>
      <c r="WIJ31" s="384"/>
      <c r="WIK31" s="384"/>
      <c r="WIL31" s="384"/>
      <c r="WIM31" s="384"/>
      <c r="WIN31" s="384"/>
      <c r="WIO31" s="384"/>
      <c r="WIP31" s="384"/>
      <c r="WIQ31" s="384"/>
      <c r="WIR31" s="384"/>
      <c r="WIS31" s="384"/>
      <c r="WIT31" s="384"/>
      <c r="WIU31" s="384"/>
      <c r="WIV31" s="384"/>
      <c r="WIW31" s="384"/>
      <c r="WIX31" s="384"/>
      <c r="WIY31" s="384"/>
      <c r="WIZ31" s="384"/>
      <c r="WJA31" s="384"/>
      <c r="WJB31" s="384"/>
      <c r="WJC31" s="384"/>
      <c r="WJD31" s="384"/>
      <c r="WJE31" s="384"/>
      <c r="WJF31" s="384"/>
      <c r="WJG31" s="384"/>
      <c r="WJH31" s="384"/>
      <c r="WJI31" s="384"/>
      <c r="WJJ31" s="384"/>
      <c r="WJK31" s="384"/>
      <c r="WJL31" s="384"/>
      <c r="WJM31" s="384"/>
      <c r="WJN31" s="384"/>
      <c r="WJO31" s="384"/>
      <c r="WJP31" s="384"/>
      <c r="WJQ31" s="384"/>
      <c r="WJR31" s="384"/>
      <c r="WJS31" s="384"/>
      <c r="WJT31" s="384"/>
      <c r="WJU31" s="384"/>
      <c r="WJV31" s="384"/>
      <c r="WJW31" s="384"/>
      <c r="WJX31" s="384"/>
      <c r="WJY31" s="384"/>
      <c r="WJZ31" s="384"/>
      <c r="WKA31" s="384"/>
      <c r="WKB31" s="384"/>
      <c r="WKC31" s="384"/>
      <c r="WKD31" s="384"/>
      <c r="WKE31" s="384"/>
      <c r="WKF31" s="384"/>
      <c r="WKG31" s="384"/>
      <c r="WKH31" s="384"/>
      <c r="WKI31" s="384"/>
      <c r="WKJ31" s="384"/>
      <c r="WKK31" s="384"/>
      <c r="WKL31" s="384"/>
      <c r="WKM31" s="384"/>
      <c r="WKN31" s="384"/>
      <c r="WKO31" s="384"/>
      <c r="WKP31" s="384"/>
      <c r="WKQ31" s="384"/>
      <c r="WKR31" s="384"/>
      <c r="WKS31" s="384"/>
      <c r="WKT31" s="384"/>
      <c r="WKU31" s="384"/>
      <c r="WKV31" s="384"/>
      <c r="WKW31" s="384"/>
      <c r="WKX31" s="384"/>
      <c r="WKY31" s="384"/>
      <c r="WKZ31" s="384"/>
      <c r="WLA31" s="384"/>
      <c r="WLB31" s="384"/>
      <c r="WLC31" s="384"/>
      <c r="WLD31" s="384"/>
      <c r="WLE31" s="384"/>
      <c r="WLF31" s="384"/>
      <c r="WLG31" s="384"/>
      <c r="WLH31" s="384"/>
      <c r="WLI31" s="384"/>
      <c r="WLJ31" s="384"/>
      <c r="WLK31" s="384"/>
      <c r="WLL31" s="384"/>
      <c r="WLM31" s="384"/>
      <c r="WLN31" s="384"/>
      <c r="WLO31" s="384"/>
      <c r="WLP31" s="384"/>
      <c r="WLQ31" s="384"/>
      <c r="WLR31" s="384"/>
      <c r="WLS31" s="384"/>
      <c r="WLT31" s="384"/>
      <c r="WLU31" s="384"/>
      <c r="WLV31" s="384"/>
      <c r="WLW31" s="384"/>
      <c r="WLX31" s="384"/>
      <c r="WLY31" s="384"/>
      <c r="WLZ31" s="384"/>
      <c r="WMA31" s="384"/>
      <c r="WMB31" s="384"/>
      <c r="WMC31" s="384"/>
      <c r="WMD31" s="384"/>
      <c r="WME31" s="384"/>
      <c r="WMF31" s="384"/>
      <c r="WMG31" s="384"/>
      <c r="WMH31" s="384"/>
      <c r="WMI31" s="384"/>
      <c r="WMJ31" s="384"/>
      <c r="WMK31" s="384"/>
      <c r="WML31" s="384"/>
      <c r="WMM31" s="384"/>
      <c r="WMN31" s="384"/>
      <c r="WMO31" s="384"/>
      <c r="WMP31" s="384"/>
      <c r="WMQ31" s="384"/>
      <c r="WMR31" s="384"/>
      <c r="WMS31" s="384"/>
      <c r="WMT31" s="384"/>
      <c r="WMU31" s="384"/>
      <c r="WMV31" s="384"/>
      <c r="WMW31" s="384"/>
      <c r="WMX31" s="384"/>
      <c r="WMY31" s="384"/>
      <c r="WMZ31" s="384"/>
      <c r="WNA31" s="384"/>
      <c r="WNB31" s="384"/>
      <c r="WNC31" s="384"/>
      <c r="WND31" s="384"/>
      <c r="WNE31" s="384"/>
      <c r="WNF31" s="384"/>
      <c r="WNG31" s="384"/>
      <c r="WNH31" s="384"/>
      <c r="WNI31" s="384"/>
      <c r="WNJ31" s="384"/>
      <c r="WNK31" s="384"/>
      <c r="WNL31" s="384"/>
      <c r="WNM31" s="384"/>
      <c r="WNN31" s="384"/>
      <c r="WNO31" s="384"/>
      <c r="WNP31" s="384"/>
      <c r="WNQ31" s="384"/>
      <c r="WNR31" s="384"/>
      <c r="WNS31" s="384"/>
      <c r="WNT31" s="384"/>
      <c r="WNU31" s="384"/>
      <c r="WNV31" s="384"/>
      <c r="WNW31" s="384"/>
      <c r="WNX31" s="384"/>
      <c r="WNY31" s="384"/>
      <c r="WNZ31" s="384"/>
      <c r="WOA31" s="384"/>
      <c r="WOB31" s="384"/>
      <c r="WOC31" s="384"/>
      <c r="WOD31" s="384"/>
      <c r="WOE31" s="384"/>
      <c r="WOF31" s="384"/>
      <c r="WOG31" s="384"/>
      <c r="WOH31" s="384"/>
      <c r="WOI31" s="384"/>
      <c r="WOJ31" s="384"/>
      <c r="WOK31" s="384"/>
      <c r="WOL31" s="384"/>
      <c r="WOM31" s="384"/>
      <c r="WON31" s="384"/>
      <c r="WOO31" s="384"/>
      <c r="WOP31" s="384"/>
      <c r="WOQ31" s="384"/>
      <c r="WOR31" s="384"/>
      <c r="WOS31" s="384"/>
      <c r="WOT31" s="384"/>
      <c r="WOU31" s="384"/>
      <c r="WOV31" s="384"/>
      <c r="WOW31" s="384"/>
      <c r="WOX31" s="384"/>
      <c r="WOY31" s="384"/>
      <c r="WOZ31" s="384"/>
      <c r="WPA31" s="384"/>
      <c r="WPB31" s="384"/>
      <c r="WPC31" s="384"/>
      <c r="WPD31" s="384"/>
      <c r="WPE31" s="384"/>
      <c r="WPF31" s="384"/>
      <c r="WPG31" s="384"/>
      <c r="WPH31" s="384"/>
      <c r="WPI31" s="384"/>
      <c r="WPJ31" s="384"/>
      <c r="WPK31" s="384"/>
      <c r="WPL31" s="384"/>
      <c r="WPM31" s="384"/>
      <c r="WPN31" s="384"/>
      <c r="WPO31" s="384"/>
      <c r="WPP31" s="384"/>
      <c r="WPQ31" s="384"/>
      <c r="WPR31" s="384"/>
      <c r="WPS31" s="384"/>
      <c r="WPT31" s="384"/>
      <c r="WPU31" s="384"/>
      <c r="WPV31" s="384"/>
      <c r="WPW31" s="384"/>
      <c r="WPX31" s="384"/>
      <c r="WPY31" s="384"/>
      <c r="WPZ31" s="384"/>
      <c r="WQA31" s="384"/>
      <c r="WQB31" s="384"/>
      <c r="WQC31" s="384"/>
      <c r="WQD31" s="384"/>
      <c r="WQE31" s="384"/>
      <c r="WQF31" s="384"/>
      <c r="WQG31" s="384"/>
      <c r="WQH31" s="384"/>
      <c r="WQI31" s="384"/>
      <c r="WQJ31" s="384"/>
      <c r="WQK31" s="384"/>
      <c r="WQL31" s="384"/>
      <c r="WQM31" s="384"/>
      <c r="WQN31" s="384"/>
      <c r="WQO31" s="384"/>
      <c r="WQP31" s="384"/>
      <c r="WQQ31" s="384"/>
      <c r="WQR31" s="384"/>
      <c r="WQS31" s="384"/>
      <c r="WQT31" s="384"/>
      <c r="WQU31" s="384"/>
      <c r="WQV31" s="384"/>
      <c r="WQW31" s="384"/>
      <c r="WQX31" s="384"/>
      <c r="WQY31" s="384"/>
      <c r="WQZ31" s="384"/>
      <c r="WRA31" s="384"/>
      <c r="WRB31" s="384"/>
      <c r="WRC31" s="384"/>
      <c r="WRD31" s="384"/>
      <c r="WRE31" s="384"/>
      <c r="WRF31" s="384"/>
      <c r="WRG31" s="384"/>
      <c r="WRH31" s="384"/>
      <c r="WRI31" s="384"/>
      <c r="WRJ31" s="384"/>
      <c r="WRK31" s="384"/>
      <c r="WRL31" s="384"/>
      <c r="WRM31" s="384"/>
      <c r="WRN31" s="384"/>
      <c r="WRO31" s="384"/>
      <c r="WRP31" s="384"/>
      <c r="WRQ31" s="384"/>
      <c r="WRR31" s="384"/>
      <c r="WRS31" s="384"/>
      <c r="WRT31" s="384"/>
      <c r="WRU31" s="384"/>
      <c r="WRV31" s="384"/>
      <c r="WRW31" s="384"/>
      <c r="WRX31" s="384"/>
      <c r="WRY31" s="384"/>
      <c r="WRZ31" s="384"/>
      <c r="WSA31" s="384"/>
      <c r="WSB31" s="384"/>
      <c r="WSC31" s="384"/>
      <c r="WSD31" s="384"/>
      <c r="WSE31" s="384"/>
      <c r="WSF31" s="384"/>
      <c r="WSG31" s="384"/>
      <c r="WSH31" s="384"/>
      <c r="WSI31" s="384"/>
      <c r="WSJ31" s="384"/>
      <c r="WSK31" s="384"/>
      <c r="WSL31" s="384"/>
      <c r="WSM31" s="384"/>
      <c r="WSN31" s="384"/>
      <c r="WSO31" s="384"/>
      <c r="WSP31" s="384"/>
      <c r="WSQ31" s="384"/>
      <c r="WSR31" s="384"/>
      <c r="WSS31" s="384"/>
      <c r="WST31" s="384"/>
      <c r="WSU31" s="384"/>
      <c r="WSV31" s="384"/>
      <c r="WSW31" s="384"/>
      <c r="WSX31" s="384"/>
      <c r="WSY31" s="384"/>
      <c r="WSZ31" s="384"/>
      <c r="WTA31" s="384"/>
      <c r="WTB31" s="384"/>
      <c r="WTC31" s="384"/>
      <c r="WTD31" s="384"/>
      <c r="WTE31" s="384"/>
      <c r="WTF31" s="384"/>
      <c r="WTG31" s="384"/>
      <c r="WTH31" s="384"/>
      <c r="WTI31" s="384"/>
      <c r="WTJ31" s="384"/>
      <c r="WTK31" s="384"/>
      <c r="WTL31" s="384"/>
      <c r="WTM31" s="384"/>
      <c r="WTN31" s="384"/>
      <c r="WTO31" s="384"/>
      <c r="WTP31" s="384"/>
      <c r="WTQ31" s="384"/>
      <c r="WTR31" s="384"/>
      <c r="WTS31" s="384"/>
      <c r="WTT31" s="384"/>
      <c r="WTU31" s="384"/>
      <c r="WTV31" s="384"/>
      <c r="WTW31" s="384"/>
      <c r="WTX31" s="384"/>
      <c r="WTY31" s="384"/>
      <c r="WTZ31" s="384"/>
      <c r="WUA31" s="384"/>
      <c r="WUB31" s="384"/>
      <c r="WUC31" s="384"/>
      <c r="WUD31" s="384"/>
      <c r="WUE31" s="384"/>
      <c r="WUF31" s="384"/>
      <c r="WUG31" s="384"/>
      <c r="WUH31" s="384"/>
      <c r="WUI31" s="384"/>
      <c r="WUJ31" s="384"/>
      <c r="WUK31" s="384"/>
      <c r="WUL31" s="384"/>
      <c r="WUM31" s="384"/>
      <c r="WUN31" s="384"/>
      <c r="WUO31" s="384"/>
      <c r="WUP31" s="384"/>
      <c r="WUQ31" s="384"/>
      <c r="WUR31" s="384"/>
      <c r="WUS31" s="384"/>
      <c r="WUT31" s="384"/>
      <c r="WUU31" s="384"/>
      <c r="WUV31" s="384"/>
      <c r="WUW31" s="384"/>
      <c r="WUX31" s="384"/>
      <c r="WUY31" s="384"/>
      <c r="WUZ31" s="384"/>
      <c r="WVA31" s="384"/>
      <c r="WVB31" s="384"/>
      <c r="WVC31" s="384"/>
      <c r="WVD31" s="384"/>
      <c r="WVE31" s="384"/>
      <c r="WVF31" s="384"/>
      <c r="WVG31" s="384"/>
      <c r="WVH31" s="384"/>
      <c r="WVI31" s="384"/>
      <c r="WVJ31" s="384"/>
      <c r="WVK31" s="384"/>
      <c r="WVL31" s="384"/>
      <c r="WVM31" s="384"/>
      <c r="WVN31" s="384"/>
      <c r="WVO31" s="384"/>
      <c r="WVP31" s="384"/>
      <c r="WVQ31" s="384"/>
      <c r="WVR31" s="384"/>
      <c r="WVS31" s="384"/>
      <c r="WVT31" s="384"/>
      <c r="WVU31" s="384"/>
      <c r="WVV31" s="384"/>
      <c r="WVW31" s="384"/>
      <c r="WVX31" s="384"/>
      <c r="WVY31" s="384"/>
      <c r="WVZ31" s="384"/>
      <c r="WWA31" s="384"/>
      <c r="WWB31" s="384"/>
      <c r="WWC31" s="384"/>
      <c r="WWD31" s="384"/>
      <c r="WWE31" s="384"/>
      <c r="WWF31" s="384"/>
      <c r="WWG31" s="384"/>
      <c r="WWH31" s="384"/>
      <c r="WWI31" s="384"/>
      <c r="WWJ31" s="384"/>
      <c r="WWK31" s="384"/>
      <c r="WWL31" s="384"/>
      <c r="WWM31" s="384"/>
      <c r="WWN31" s="384"/>
      <c r="WWO31" s="384"/>
      <c r="WWP31" s="384"/>
      <c r="WWQ31" s="384"/>
      <c r="WWR31" s="384"/>
      <c r="WWS31" s="384"/>
      <c r="WWT31" s="384"/>
      <c r="WWU31" s="384"/>
      <c r="WWV31" s="384"/>
      <c r="WWW31" s="384"/>
      <c r="WWX31" s="384"/>
      <c r="WWY31" s="384"/>
      <c r="WWZ31" s="384"/>
      <c r="WXA31" s="384"/>
      <c r="WXB31" s="384"/>
      <c r="WXC31" s="384"/>
      <c r="WXD31" s="384"/>
      <c r="WXE31" s="384"/>
      <c r="WXF31" s="384"/>
      <c r="WXG31" s="384"/>
      <c r="WXH31" s="384"/>
      <c r="WXI31" s="384"/>
      <c r="WXJ31" s="384"/>
      <c r="WXK31" s="384"/>
      <c r="WXL31" s="384"/>
      <c r="WXM31" s="384"/>
      <c r="WXN31" s="384"/>
      <c r="WXO31" s="384"/>
      <c r="WXP31" s="384"/>
      <c r="WXQ31" s="384"/>
      <c r="WXR31" s="384"/>
      <c r="WXS31" s="384"/>
      <c r="WXT31" s="384"/>
      <c r="WXU31" s="384"/>
      <c r="WXV31" s="384"/>
      <c r="WXW31" s="384"/>
      <c r="WXX31" s="384"/>
      <c r="WXY31" s="384"/>
      <c r="WXZ31" s="384"/>
      <c r="WYA31" s="384"/>
      <c r="WYB31" s="384"/>
      <c r="WYC31" s="384"/>
      <c r="WYD31" s="384"/>
      <c r="WYE31" s="384"/>
      <c r="WYF31" s="384"/>
      <c r="WYG31" s="384"/>
      <c r="WYH31" s="384"/>
      <c r="WYI31" s="384"/>
      <c r="WYJ31" s="384"/>
      <c r="WYK31" s="384"/>
      <c r="WYL31" s="384"/>
      <c r="WYM31" s="384"/>
      <c r="WYN31" s="384"/>
      <c r="WYO31" s="384"/>
      <c r="WYP31" s="384"/>
      <c r="WYQ31" s="384"/>
      <c r="WYR31" s="384"/>
      <c r="WYS31" s="384"/>
      <c r="WYT31" s="384"/>
      <c r="WYU31" s="384"/>
      <c r="WYV31" s="384"/>
      <c r="WYW31" s="384"/>
      <c r="WYX31" s="384"/>
      <c r="WYY31" s="384"/>
      <c r="WYZ31" s="384"/>
      <c r="WZA31" s="384"/>
      <c r="WZB31" s="384"/>
      <c r="WZC31" s="384"/>
      <c r="WZD31" s="384"/>
      <c r="WZE31" s="384"/>
      <c r="WZF31" s="384"/>
      <c r="WZG31" s="384"/>
      <c r="WZH31" s="384"/>
      <c r="WZI31" s="384"/>
      <c r="WZJ31" s="384"/>
      <c r="WZK31" s="384"/>
      <c r="WZL31" s="384"/>
      <c r="WZM31" s="384"/>
      <c r="WZN31" s="384"/>
      <c r="WZO31" s="384"/>
      <c r="WZP31" s="384"/>
      <c r="WZQ31" s="384"/>
      <c r="WZR31" s="384"/>
      <c r="WZS31" s="384"/>
      <c r="WZT31" s="384"/>
      <c r="WZU31" s="384"/>
      <c r="WZV31" s="384"/>
      <c r="WZW31" s="384"/>
      <c r="WZX31" s="384"/>
      <c r="WZY31" s="384"/>
      <c r="WZZ31" s="384"/>
      <c r="XAA31" s="384"/>
      <c r="XAB31" s="384"/>
      <c r="XAC31" s="384"/>
      <c r="XAD31" s="384"/>
      <c r="XAE31" s="384"/>
      <c r="XAF31" s="384"/>
      <c r="XAG31" s="384"/>
      <c r="XAH31" s="384"/>
      <c r="XAI31" s="384"/>
      <c r="XAJ31" s="384"/>
      <c r="XAK31" s="384"/>
      <c r="XAL31" s="384"/>
      <c r="XAM31" s="384"/>
      <c r="XAN31" s="384"/>
      <c r="XAO31" s="384"/>
      <c r="XAP31" s="384"/>
      <c r="XAQ31" s="384"/>
      <c r="XAR31" s="384"/>
      <c r="XAS31" s="384"/>
      <c r="XAT31" s="384"/>
      <c r="XAU31" s="384"/>
      <c r="XAV31" s="384"/>
      <c r="XAW31" s="384"/>
      <c r="XAX31" s="384"/>
      <c r="XAY31" s="384"/>
      <c r="XAZ31" s="384"/>
      <c r="XBA31" s="384"/>
      <c r="XBB31" s="384"/>
      <c r="XBC31" s="384"/>
      <c r="XBD31" s="384"/>
      <c r="XBE31" s="384"/>
      <c r="XBF31" s="384"/>
      <c r="XBG31" s="384"/>
      <c r="XBH31" s="384"/>
      <c r="XBI31" s="384"/>
      <c r="XBJ31" s="384"/>
      <c r="XBK31" s="384"/>
      <c r="XBL31" s="384"/>
      <c r="XBM31" s="384"/>
      <c r="XBN31" s="384"/>
      <c r="XBO31" s="384"/>
      <c r="XBP31" s="384"/>
      <c r="XBQ31" s="384"/>
      <c r="XBR31" s="384"/>
      <c r="XBS31" s="384"/>
      <c r="XBT31" s="384"/>
      <c r="XBU31" s="384"/>
      <c r="XBV31" s="384"/>
      <c r="XBW31" s="384"/>
      <c r="XBX31" s="384"/>
      <c r="XBY31" s="384"/>
      <c r="XBZ31" s="384"/>
      <c r="XCA31" s="384"/>
      <c r="XCB31" s="384"/>
      <c r="XCC31" s="384"/>
      <c r="XCD31" s="384"/>
      <c r="XCE31" s="384"/>
      <c r="XCF31" s="384"/>
      <c r="XCG31" s="384"/>
      <c r="XCH31" s="384"/>
      <c r="XCI31" s="384"/>
      <c r="XCJ31" s="384"/>
      <c r="XCK31" s="384"/>
      <c r="XCL31" s="384"/>
      <c r="XCM31" s="384"/>
      <c r="XCN31" s="384"/>
      <c r="XCO31" s="384"/>
      <c r="XCP31" s="384"/>
      <c r="XCQ31" s="384"/>
      <c r="XCR31" s="384"/>
      <c r="XCS31" s="384"/>
      <c r="XCT31" s="384"/>
      <c r="XCU31" s="384"/>
      <c r="XCV31" s="384"/>
      <c r="XCW31" s="384"/>
      <c r="XCX31" s="384"/>
      <c r="XCY31" s="384"/>
      <c r="XCZ31" s="384"/>
      <c r="XDA31" s="384"/>
      <c r="XDB31" s="384"/>
      <c r="XDC31" s="384"/>
      <c r="XDD31" s="384"/>
      <c r="XDE31" s="384"/>
      <c r="XDF31" s="384"/>
      <c r="XDG31" s="384"/>
      <c r="XDH31" s="384"/>
      <c r="XDI31" s="384"/>
      <c r="XDJ31" s="384"/>
      <c r="XDK31" s="384"/>
      <c r="XDL31" s="384"/>
      <c r="XDM31" s="384"/>
      <c r="XDN31" s="384"/>
      <c r="XDO31" s="384"/>
      <c r="XDP31" s="384"/>
      <c r="XDQ31" s="384"/>
      <c r="XDR31" s="384"/>
      <c r="XDS31" s="384"/>
      <c r="XDT31" s="384"/>
      <c r="XDU31" s="384"/>
      <c r="XDV31" s="384"/>
      <c r="XDW31" s="384"/>
      <c r="XDX31" s="384"/>
      <c r="XDY31" s="384"/>
      <c r="XDZ31" s="384"/>
      <c r="XEA31" s="384"/>
      <c r="XEB31" s="384"/>
      <c r="XEC31" s="384"/>
      <c r="XED31" s="384"/>
      <c r="XEE31" s="384"/>
      <c r="XEF31" s="384"/>
      <c r="XEG31" s="384"/>
      <c r="XEH31" s="384"/>
      <c r="XEI31" s="384"/>
      <c r="XEJ31" s="384"/>
      <c r="XEK31" s="384"/>
      <c r="XEL31" s="384"/>
      <c r="XEM31" s="384"/>
      <c r="XEN31" s="384"/>
      <c r="XEO31" s="384"/>
      <c r="XEP31" s="384"/>
      <c r="XEQ31" s="384"/>
      <c r="XER31" s="384"/>
      <c r="XES31" s="384"/>
      <c r="XET31" s="384"/>
      <c r="XEU31" s="384"/>
      <c r="XEV31" s="384"/>
      <c r="XEW31" s="384"/>
      <c r="XEX31" s="384"/>
      <c r="XEY31" s="384"/>
      <c r="XEZ31" s="384"/>
      <c r="XFA31" s="384"/>
      <c r="XFB31" s="384"/>
      <c r="XFC31" s="384"/>
      <c r="XFD31" s="384"/>
    </row>
    <row r="32" spans="1:16384" x14ac:dyDescent="0.2">
      <c r="A32" s="53"/>
      <c r="B32" s="52"/>
    </row>
    <row r="33" spans="1:2" s="49" customFormat="1" x14ac:dyDescent="0.25">
      <c r="A33" s="51"/>
      <c r="B33" s="54" t="s">
        <v>82</v>
      </c>
    </row>
    <row r="34" spans="1:2" s="49" customFormat="1" x14ac:dyDescent="0.25">
      <c r="A34" s="51"/>
      <c r="B34" s="54"/>
    </row>
    <row r="35" spans="1:2" x14ac:dyDescent="0.2">
      <c r="A35" s="53"/>
      <c r="B35" s="384" t="s">
        <v>139</v>
      </c>
    </row>
    <row r="36" spans="1:2" x14ac:dyDescent="0.2">
      <c r="A36" s="53"/>
      <c r="B36" s="52"/>
    </row>
    <row r="37" spans="1:2" s="49" customFormat="1" x14ac:dyDescent="0.25">
      <c r="A37" s="51"/>
      <c r="B37" s="50" t="s">
        <v>62</v>
      </c>
    </row>
    <row r="38" spans="1:2" s="49" customFormat="1" x14ac:dyDescent="0.25">
      <c r="A38" s="51"/>
      <c r="B38" s="50"/>
    </row>
    <row r="39" spans="1:2" ht="38.25" x14ac:dyDescent="0.2">
      <c r="B39" s="384" t="s">
        <v>761</v>
      </c>
    </row>
    <row r="40" spans="1:2" x14ac:dyDescent="0.2">
      <c r="B40" s="384"/>
    </row>
    <row r="41" spans="1:2" x14ac:dyDescent="0.2">
      <c r="B41" s="48" t="str">
        <f>'Cover Page'!$E$1</f>
        <v>Last updated: 07/17/2017</v>
      </c>
    </row>
  </sheetData>
  <mergeCells count="1">
    <mergeCell ref="A10:A13"/>
  </mergeCells>
  <pageMargins left="0.75" right="0.75" top="1" bottom="1" header="0.5" footer="0.5"/>
  <pageSetup scale="5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8"/>
  <sheetViews>
    <sheetView workbookViewId="0"/>
  </sheetViews>
  <sheetFormatPr defaultRowHeight="15" x14ac:dyDescent="0.25"/>
  <cols>
    <col min="1" max="4" width="36.7109375" customWidth="1"/>
  </cols>
  <sheetData>
    <row r="1" spans="1:4" x14ac:dyDescent="0.25">
      <c r="A1" s="275" t="s">
        <v>594</v>
      </c>
    </row>
    <row r="3" spans="1:4" x14ac:dyDescent="0.25">
      <c r="A3" t="s">
        <v>595</v>
      </c>
      <c r="B3" t="s">
        <v>596</v>
      </c>
      <c r="C3">
        <v>0</v>
      </c>
    </row>
    <row r="4" spans="1:4" x14ac:dyDescent="0.25">
      <c r="A4" t="s">
        <v>597</v>
      </c>
    </row>
    <row r="5" spans="1:4" x14ac:dyDescent="0.25">
      <c r="A5" t="s">
        <v>598</v>
      </c>
    </row>
    <row r="7" spans="1:4" x14ac:dyDescent="0.25">
      <c r="A7" s="275" t="s">
        <v>599</v>
      </c>
      <c r="B7" t="s">
        <v>600</v>
      </c>
    </row>
    <row r="8" spans="1:4" x14ac:dyDescent="0.25">
      <c r="B8">
        <v>4</v>
      </c>
    </row>
    <row r="10" spans="1:4" x14ac:dyDescent="0.25">
      <c r="A10" t="s">
        <v>601</v>
      </c>
    </row>
    <row r="11" spans="1:4" x14ac:dyDescent="0.25">
      <c r="A11" t="e">
        <f>CB_DATA_!#REF!</f>
        <v>#REF!</v>
      </c>
      <c r="B11" t="e">
        <f>'ERR &amp; Sensitivity Analysis'!#REF!</f>
        <v>#REF!</v>
      </c>
      <c r="C11" t="e">
        <f>'Fiscal Space'!#REF!</f>
        <v>#REF!</v>
      </c>
      <c r="D11" t="e">
        <f>'Cost-Benefit Summary'!#REF!</f>
        <v>#REF!</v>
      </c>
    </row>
    <row r="13" spans="1:4" x14ac:dyDescent="0.25">
      <c r="A13" t="s">
        <v>602</v>
      </c>
    </row>
    <row r="14" spans="1:4" x14ac:dyDescent="0.25">
      <c r="A14" t="s">
        <v>606</v>
      </c>
      <c r="B14" t="s">
        <v>612</v>
      </c>
      <c r="C14" t="s">
        <v>694</v>
      </c>
      <c r="D14" t="s">
        <v>697</v>
      </c>
    </row>
    <row r="16" spans="1:4" x14ac:dyDescent="0.25">
      <c r="A16" t="s">
        <v>603</v>
      </c>
    </row>
    <row r="19" spans="1:4" x14ac:dyDescent="0.25">
      <c r="A19" t="s">
        <v>604</v>
      </c>
    </row>
    <row r="20" spans="1:4" x14ac:dyDescent="0.25">
      <c r="A20">
        <v>28</v>
      </c>
      <c r="B20">
        <v>26</v>
      </c>
      <c r="C20">
        <v>26</v>
      </c>
      <c r="D20">
        <v>26</v>
      </c>
    </row>
    <row r="25" spans="1:4" x14ac:dyDescent="0.25">
      <c r="A25" s="275" t="s">
        <v>605</v>
      </c>
    </row>
    <row r="26" spans="1:4" x14ac:dyDescent="0.25">
      <c r="A26" s="331" t="s">
        <v>607</v>
      </c>
    </row>
    <row r="27" spans="1:4" x14ac:dyDescent="0.25">
      <c r="A27" t="s">
        <v>608</v>
      </c>
    </row>
    <row r="28" spans="1:4" x14ac:dyDescent="0.25">
      <c r="A28" s="331" t="s">
        <v>609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J84"/>
  <sheetViews>
    <sheetView showGridLines="0" topLeftCell="A22" zoomScale="90" zoomScaleNormal="90" workbookViewId="0">
      <selection activeCell="D23" sqref="D23"/>
    </sheetView>
  </sheetViews>
  <sheetFormatPr defaultColWidth="9.140625" defaultRowHeight="12.75" x14ac:dyDescent="0.2"/>
  <cols>
    <col min="1" max="1" width="5.7109375" style="1" customWidth="1"/>
    <col min="2" max="2" width="16.28515625" style="1" customWidth="1"/>
    <col min="3" max="3" width="67" style="1" customWidth="1"/>
    <col min="4" max="4" width="15.140625" style="1" customWidth="1"/>
    <col min="5" max="5" width="15" style="1" customWidth="1"/>
    <col min="6" max="6" width="15.140625" style="1" customWidth="1"/>
    <col min="7" max="7" width="18.28515625" style="1" customWidth="1"/>
    <col min="8" max="8" width="5.7109375" style="1" customWidth="1"/>
    <col min="9" max="9" width="20.7109375" style="1" customWidth="1"/>
    <col min="10" max="16384" width="9.140625" style="1"/>
  </cols>
  <sheetData>
    <row r="1" spans="1:10" s="45" customFormat="1" x14ac:dyDescent="0.2">
      <c r="C1" s="46"/>
      <c r="F1" s="92"/>
    </row>
    <row r="2" spans="1:10" ht="20.25" x14ac:dyDescent="0.3">
      <c r="A2" s="41"/>
      <c r="B2" s="44" t="s">
        <v>135</v>
      </c>
      <c r="C2" s="41"/>
      <c r="D2" s="41"/>
      <c r="E2" s="41"/>
      <c r="F2" s="41"/>
      <c r="G2" s="43"/>
    </row>
    <row r="3" spans="1:10" ht="27.75" customHeight="1" x14ac:dyDescent="0.25">
      <c r="A3" s="41"/>
      <c r="B3" s="42" t="s">
        <v>81</v>
      </c>
      <c r="C3" s="41"/>
      <c r="D3" s="41"/>
      <c r="E3" s="41"/>
      <c r="F3" s="41"/>
      <c r="G3" s="40"/>
    </row>
    <row r="4" spans="1:10" ht="12.75" customHeight="1" x14ac:dyDescent="0.25">
      <c r="C4" s="35"/>
    </row>
    <row r="5" spans="1:10" ht="39.75" customHeight="1" x14ac:dyDescent="0.2">
      <c r="B5" s="396" t="s">
        <v>80</v>
      </c>
      <c r="C5" s="397"/>
      <c r="D5" s="397"/>
      <c r="E5" s="397"/>
      <c r="F5" s="397"/>
      <c r="G5" s="397"/>
    </row>
    <row r="7" spans="1:10" s="35" customFormat="1" ht="15.75" x14ac:dyDescent="0.25">
      <c r="B7" s="406" t="s">
        <v>79</v>
      </c>
      <c r="C7" s="401" t="s">
        <v>78</v>
      </c>
      <c r="D7" s="403" t="s">
        <v>77</v>
      </c>
      <c r="E7" s="404"/>
      <c r="F7" s="404"/>
      <c r="G7" s="405"/>
    </row>
    <row r="8" spans="1:10" s="35" customFormat="1" ht="39" thickBot="1" x14ac:dyDescent="0.3">
      <c r="B8" s="407"/>
      <c r="C8" s="402"/>
      <c r="D8" s="39" t="s">
        <v>76</v>
      </c>
      <c r="E8" s="37" t="s">
        <v>75</v>
      </c>
      <c r="F8" s="38" t="s">
        <v>74</v>
      </c>
      <c r="G8" s="37" t="s">
        <v>73</v>
      </c>
      <c r="I8" s="21" t="s">
        <v>72</v>
      </c>
      <c r="J8" s="36"/>
    </row>
    <row r="9" spans="1:10" ht="38.85" customHeight="1" x14ac:dyDescent="0.2">
      <c r="B9" s="34" t="s">
        <v>70</v>
      </c>
      <c r="C9" s="33" t="s">
        <v>71</v>
      </c>
      <c r="D9" s="32">
        <v>1</v>
      </c>
      <c r="E9" s="31">
        <v>1</v>
      </c>
      <c r="F9" s="30" t="s">
        <v>68</v>
      </c>
      <c r="G9" s="29">
        <f>D9</f>
        <v>1</v>
      </c>
      <c r="I9" s="20" t="str">
        <f>IF(D9=E9,IF(D10=E10,"Y","N"),"N")</f>
        <v>Y</v>
      </c>
    </row>
    <row r="10" spans="1:10" ht="38.85" customHeight="1" x14ac:dyDescent="0.2">
      <c r="B10" s="28" t="s">
        <v>70</v>
      </c>
      <c r="C10" s="27" t="s">
        <v>69</v>
      </c>
      <c r="D10" s="26">
        <v>1</v>
      </c>
      <c r="E10" s="25">
        <v>1</v>
      </c>
      <c r="F10" s="24" t="s">
        <v>68</v>
      </c>
      <c r="G10" s="23">
        <f>D10</f>
        <v>1</v>
      </c>
    </row>
    <row r="11" spans="1:10" ht="14.25" customHeight="1" x14ac:dyDescent="0.2">
      <c r="B11" s="22"/>
      <c r="C11" s="242"/>
      <c r="D11" s="242"/>
      <c r="E11" s="242"/>
      <c r="F11" s="242"/>
      <c r="G11" s="22"/>
    </row>
    <row r="12" spans="1:10" ht="35.25" customHeight="1" x14ac:dyDescent="0.2">
      <c r="B12" s="243" t="s">
        <v>512</v>
      </c>
      <c r="C12" s="246" t="s">
        <v>507</v>
      </c>
      <c r="D12" s="250">
        <v>13308.326999999999</v>
      </c>
      <c r="E12" s="251">
        <f>Parameters!C6</f>
        <v>13308.326999999999</v>
      </c>
      <c r="F12" s="247" t="s">
        <v>511</v>
      </c>
      <c r="G12" s="327">
        <f>IF($I$9="Y",IF(D12&lt;0,0%,D12),E12)</f>
        <v>13308.326999999999</v>
      </c>
      <c r="H12" s="400"/>
      <c r="I12" s="21" t="s">
        <v>67</v>
      </c>
    </row>
    <row r="13" spans="1:10" ht="35.25" customHeight="1" x14ac:dyDescent="0.2">
      <c r="B13" s="244" t="s">
        <v>66</v>
      </c>
      <c r="C13" s="248" t="s">
        <v>610</v>
      </c>
      <c r="D13" s="351">
        <v>1.4999999999999999E-2</v>
      </c>
      <c r="E13" s="253">
        <f>Parameters!$C$5</f>
        <v>1.4999999999999999E-2</v>
      </c>
      <c r="F13" s="249" t="s">
        <v>611</v>
      </c>
      <c r="G13" s="252">
        <f>IF($I$9="Y",IF(D13&lt;0,0%,D13),E13)</f>
        <v>1.4999999999999999E-2</v>
      </c>
      <c r="H13" s="400"/>
      <c r="I13" s="332"/>
    </row>
    <row r="14" spans="1:10" ht="42" customHeight="1" x14ac:dyDescent="0.2">
      <c r="B14" s="244" t="s">
        <v>66</v>
      </c>
      <c r="C14" s="248" t="s">
        <v>506</v>
      </c>
      <c r="D14" s="351">
        <v>0.58899999999999997</v>
      </c>
      <c r="E14" s="253">
        <f>Parameters!$C$7</f>
        <v>0.58899999999999997</v>
      </c>
      <c r="F14" s="249" t="s">
        <v>585</v>
      </c>
      <c r="G14" s="252">
        <f>IF($I$9="Y",IF(D14&lt;0,0%,D14),E14)</f>
        <v>0.58899999999999997</v>
      </c>
      <c r="H14" s="400"/>
      <c r="I14" s="20" t="e">
        <f>IF(D12=E12,IF(D14=E14,IF(D18=E18,IF(#REF!=#REF!,IF(D19=E19,"Y","N"),"N"),"N"),"N"),"N")</f>
        <v>#REF!</v>
      </c>
    </row>
    <row r="15" spans="1:10" ht="42" customHeight="1" x14ac:dyDescent="0.2">
      <c r="B15" s="244" t="s">
        <v>66</v>
      </c>
      <c r="C15" s="248" t="s">
        <v>588</v>
      </c>
      <c r="D15" s="352">
        <v>6.6000000000000003E-2</v>
      </c>
      <c r="E15" s="270">
        <f>Parameters!$C$10</f>
        <v>6.6000000000000003E-2</v>
      </c>
      <c r="F15" s="326" t="s">
        <v>613</v>
      </c>
      <c r="G15" s="328">
        <f>IF($I$9="Y",IF(D15&lt;0,0%,D15),E15)</f>
        <v>6.6000000000000003E-2</v>
      </c>
      <c r="H15" s="400"/>
      <c r="I15" s="325"/>
    </row>
    <row r="16" spans="1:10" ht="42" customHeight="1" x14ac:dyDescent="0.2">
      <c r="B16" s="244" t="s">
        <v>66</v>
      </c>
      <c r="C16" s="248" t="s">
        <v>565</v>
      </c>
      <c r="D16" s="352">
        <v>5.2999999999999999E-2</v>
      </c>
      <c r="E16" s="270">
        <f>Parameters!$C$13</f>
        <v>5.2999999999999999E-2</v>
      </c>
      <c r="F16" s="324" t="s">
        <v>564</v>
      </c>
      <c r="G16" s="328">
        <f>IF($I$9="Y",IF(D16&lt;0,0%,MIN(D16,G15)),E16)</f>
        <v>5.2999999999999999E-2</v>
      </c>
      <c r="H16" s="400"/>
      <c r="I16" s="325"/>
    </row>
    <row r="17" spans="2:9" ht="42" customHeight="1" x14ac:dyDescent="0.2">
      <c r="B17" s="244" t="s">
        <v>66</v>
      </c>
      <c r="C17" s="248" t="s">
        <v>510</v>
      </c>
      <c r="D17" s="353">
        <v>1744.5626686110134</v>
      </c>
      <c r="E17" s="268">
        <f>Parameters!$C$3/1000000</f>
        <v>1744.5626686110134</v>
      </c>
      <c r="F17" s="266" t="s">
        <v>593</v>
      </c>
      <c r="G17" s="269">
        <f>IF($I$9="Y",IF(D17&lt;0,0%,D17),E17)</f>
        <v>1744.5626686110134</v>
      </c>
      <c r="H17" s="400"/>
    </row>
    <row r="18" spans="2:9" ht="33" customHeight="1" x14ac:dyDescent="0.2">
      <c r="B18" s="19" t="s">
        <v>66</v>
      </c>
      <c r="C18" s="245" t="s">
        <v>590</v>
      </c>
      <c r="D18" s="352">
        <v>0</v>
      </c>
      <c r="E18" s="270">
        <f>Parameters!$C$18</f>
        <v>0</v>
      </c>
      <c r="F18" s="266" t="s">
        <v>748</v>
      </c>
      <c r="G18" s="272">
        <f>IF($I$9="Y",IF(D18&lt;0,0%,D18),E18)</f>
        <v>0</v>
      </c>
      <c r="H18" s="400"/>
    </row>
    <row r="19" spans="2:9" ht="38.25" customHeight="1" x14ac:dyDescent="0.2">
      <c r="B19" s="18" t="s">
        <v>66</v>
      </c>
      <c r="C19" s="273" t="s">
        <v>519</v>
      </c>
      <c r="D19" s="354">
        <v>0</v>
      </c>
      <c r="E19" s="329">
        <f>Parameters!$C$20</f>
        <v>0</v>
      </c>
      <c r="F19" s="274" t="s">
        <v>689</v>
      </c>
      <c r="G19" s="330">
        <f>IF($I$9="Y",IF(D19&lt;0,0%,D19),E19)</f>
        <v>0</v>
      </c>
      <c r="H19" s="400"/>
    </row>
    <row r="20" spans="2:9" x14ac:dyDescent="0.2">
      <c r="D20" s="399"/>
      <c r="E20" s="399"/>
      <c r="F20" s="399"/>
      <c r="G20" s="399"/>
    </row>
    <row r="21" spans="2:9" ht="31.5" customHeight="1" x14ac:dyDescent="0.2">
      <c r="B21" s="398"/>
      <c r="C21" s="398"/>
      <c r="D21" s="398"/>
      <c r="E21" s="398"/>
      <c r="F21" s="398"/>
      <c r="G21" s="398"/>
    </row>
    <row r="22" spans="2:9" ht="12" customHeight="1" x14ac:dyDescent="0.2">
      <c r="B22" s="17"/>
      <c r="C22" s="17"/>
      <c r="D22" s="17"/>
      <c r="E22" s="17"/>
      <c r="F22" s="17"/>
      <c r="G22" s="17"/>
    </row>
    <row r="23" spans="2:9" x14ac:dyDescent="0.2">
      <c r="C23" s="11" t="s">
        <v>65</v>
      </c>
      <c r="D23" s="355">
        <f>'Cost-Benefit Summary'!$C$19</f>
        <v>0.11515085935768599</v>
      </c>
      <c r="E23" s="15"/>
    </row>
    <row r="24" spans="2:9" x14ac:dyDescent="0.2">
      <c r="C24" s="11"/>
      <c r="D24" s="15"/>
      <c r="E24" s="15"/>
    </row>
    <row r="25" spans="2:9" x14ac:dyDescent="0.2">
      <c r="C25" s="11"/>
      <c r="D25" s="16"/>
      <c r="E25" s="15"/>
      <c r="I25" s="1">
        <f>1690000000*(0)*(1-'ERR &amp; Sensitivity Analysis'!$G$14*(1+Parameters!$C$9/'ERR &amp; Sensitivity Analysis'!$G$14))</f>
        <v>0</v>
      </c>
    </row>
    <row r="26" spans="2:9" x14ac:dyDescent="0.2">
      <c r="C26" s="11" t="s">
        <v>64</v>
      </c>
      <c r="D26" s="14"/>
      <c r="E26" s="13" t="s">
        <v>63</v>
      </c>
      <c r="F26" s="12" t="s">
        <v>62</v>
      </c>
    </row>
    <row r="27" spans="2:9" x14ac:dyDescent="0.2">
      <c r="C27" s="11"/>
      <c r="D27" s="9" t="s">
        <v>61</v>
      </c>
      <c r="E27" s="10" t="s">
        <v>138</v>
      </c>
      <c r="F27" s="323">
        <v>0.115</v>
      </c>
    </row>
    <row r="28" spans="2:9" x14ac:dyDescent="0.2">
      <c r="D28" s="9" t="s">
        <v>60</v>
      </c>
      <c r="E28" s="8" t="s">
        <v>139</v>
      </c>
      <c r="F28" s="7">
        <v>43788</v>
      </c>
    </row>
    <row r="30" spans="2:9" x14ac:dyDescent="0.2">
      <c r="C30" s="5" t="s">
        <v>59</v>
      </c>
      <c r="D30" s="4">
        <f>'Cost-Benefit Summary'!C28</f>
        <v>51817747.686714463</v>
      </c>
    </row>
    <row r="31" spans="2:9" x14ac:dyDescent="0.2">
      <c r="C31" s="5"/>
      <c r="D31" s="6"/>
    </row>
    <row r="32" spans="2:9" x14ac:dyDescent="0.2">
      <c r="C32" s="5" t="s">
        <v>58</v>
      </c>
      <c r="D32" s="4">
        <f>'Cost-Benefit Summary'!C30</f>
        <v>46301804.113075808</v>
      </c>
    </row>
    <row r="33" spans="3:4" x14ac:dyDescent="0.2">
      <c r="C33" s="3"/>
      <c r="D33" s="3"/>
    </row>
    <row r="34" spans="3:4" x14ac:dyDescent="0.2">
      <c r="C34" s="2" t="s">
        <v>57</v>
      </c>
    </row>
    <row r="81" spans="3:6" ht="22.5" customHeight="1" x14ac:dyDescent="0.2"/>
    <row r="82" spans="3:6" ht="42" customHeight="1" x14ac:dyDescent="0.2"/>
    <row r="83" spans="3:6" ht="22.5" customHeight="1" x14ac:dyDescent="0.2">
      <c r="C83" s="408" t="s">
        <v>56</v>
      </c>
      <c r="D83" s="408"/>
      <c r="E83" s="408"/>
      <c r="F83" s="408"/>
    </row>
    <row r="84" spans="3:6" ht="42" customHeight="1" x14ac:dyDescent="0.2">
      <c r="C84" s="408" t="s">
        <v>55</v>
      </c>
      <c r="D84" s="408"/>
      <c r="E84" s="408"/>
      <c r="F84" s="408"/>
    </row>
  </sheetData>
  <mergeCells count="9">
    <mergeCell ref="C84:F84"/>
    <mergeCell ref="C83:F83"/>
    <mergeCell ref="B5:G5"/>
    <mergeCell ref="B21:G21"/>
    <mergeCell ref="D20:G20"/>
    <mergeCell ref="H12:H19"/>
    <mergeCell ref="C7:C8"/>
    <mergeCell ref="D7:G7"/>
    <mergeCell ref="B7:B8"/>
  </mergeCells>
  <conditionalFormatting sqref="B21:B22 B11">
    <cfRule type="cellIs" dxfId="3" priority="1" stopIfTrue="1" operator="equal">
      <formula>0</formula>
    </cfRule>
    <cfRule type="cellIs" dxfId="2" priority="2" stopIfTrue="1" operator="notEqual">
      <formula>0</formula>
    </cfRule>
  </conditionalFormatting>
  <pageMargins left="1.57" right="0.75" top="0.49" bottom="0.49" header="0.5" footer="0.5"/>
  <pageSetup scale="4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Reset">
                <anchor moveWithCells="1" sizeWithCells="1">
                  <from>
                    <xdr:col>8</xdr:col>
                    <xdr:colOff>0</xdr:colOff>
                    <xdr:row>4</xdr:row>
                    <xdr:rowOff>0</xdr:rowOff>
                  </from>
                  <to>
                    <xdr:col>8</xdr:col>
                    <xdr:colOff>1371600</xdr:colOff>
                    <xdr:row>5</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Z30"/>
  <sheetViews>
    <sheetView zoomScale="90" zoomScaleNormal="90" workbookViewId="0">
      <selection activeCell="J1" sqref="J1"/>
    </sheetView>
  </sheetViews>
  <sheetFormatPr defaultColWidth="9.140625" defaultRowHeight="12.75" x14ac:dyDescent="0.2"/>
  <cols>
    <col min="1" max="1" width="7.7109375" style="150" customWidth="1"/>
    <col min="2" max="2" width="35.7109375" style="150" customWidth="1"/>
    <col min="3" max="23" width="12.7109375" style="150" customWidth="1"/>
    <col min="24" max="16384" width="9.140625" style="150"/>
  </cols>
  <sheetData>
    <row r="1" spans="2:26" ht="12.75" customHeight="1" x14ac:dyDescent="0.2">
      <c r="B1" s="409">
        <f>IF('ERR &amp; Sensitivity Analysis'!$I$9="N","Note: Current calculations are based on user input and are not the original MCC estimates.",IF('ERR &amp; Sensitivity Analysis'!$J$14="N","Note: Current calculations are based on user input and are not the original MCC estimates.",0))</f>
        <v>0</v>
      </c>
      <c r="C1" s="409"/>
      <c r="D1" s="409"/>
      <c r="E1" s="409"/>
      <c r="F1" s="409"/>
      <c r="G1" s="409"/>
      <c r="H1" s="409"/>
      <c r="I1" s="156"/>
      <c r="J1" s="151"/>
      <c r="L1" s="152"/>
      <c r="O1" s="153"/>
      <c r="P1" s="154"/>
      <c r="Q1" s="154"/>
    </row>
    <row r="2" spans="2:26" ht="26.25" customHeight="1" x14ac:dyDescent="0.3">
      <c r="B2" s="155" t="s">
        <v>135</v>
      </c>
      <c r="C2" s="156"/>
      <c r="D2" s="156"/>
      <c r="E2" s="156"/>
      <c r="F2" s="156"/>
      <c r="G2" s="156"/>
      <c r="P2" s="154"/>
      <c r="Q2" s="154"/>
      <c r="S2" s="157"/>
      <c r="T2" s="157"/>
      <c r="U2" s="157"/>
      <c r="V2" s="157"/>
      <c r="W2" s="157"/>
      <c r="X2" s="157"/>
      <c r="Y2" s="157"/>
      <c r="Z2" s="157"/>
    </row>
    <row r="3" spans="2:26" s="159" customFormat="1" x14ac:dyDescent="0.2">
      <c r="B3" s="152"/>
      <c r="C3" s="158"/>
      <c r="D3" s="158"/>
    </row>
    <row r="4" spans="2:26" ht="21" customHeight="1" x14ac:dyDescent="0.25">
      <c r="B4" s="170" t="s">
        <v>136</v>
      </c>
      <c r="C4" s="160" t="s">
        <v>112</v>
      </c>
      <c r="D4" s="160"/>
    </row>
    <row r="5" spans="2:26" ht="21" customHeight="1" x14ac:dyDescent="0.25">
      <c r="B5" s="170"/>
      <c r="C5" s="160">
        <f>'ERR Calculation'!E8</f>
        <v>2013</v>
      </c>
      <c r="D5" s="160">
        <f>'ERR Calculation'!F8</f>
        <v>2014</v>
      </c>
      <c r="E5" s="160">
        <f>'ERR Calculation'!G8</f>
        <v>2015</v>
      </c>
      <c r="F5" s="160">
        <f>'ERR Calculation'!H8</f>
        <v>2016</v>
      </c>
      <c r="G5" s="160">
        <f>'ERR Calculation'!I8</f>
        <v>2017</v>
      </c>
      <c r="H5" s="160">
        <f>'ERR Calculation'!J8</f>
        <v>2018</v>
      </c>
      <c r="I5" s="160">
        <f>'ERR Calculation'!K8</f>
        <v>2019</v>
      </c>
      <c r="J5" s="160">
        <f>'ERR Calculation'!L8</f>
        <v>2020</v>
      </c>
      <c r="K5" s="160">
        <f>'ERR Calculation'!M8</f>
        <v>2021</v>
      </c>
      <c r="L5" s="160">
        <f>'ERR Calculation'!N8</f>
        <v>2022</v>
      </c>
      <c r="M5" s="160">
        <f>'ERR Calculation'!O8</f>
        <v>2023</v>
      </c>
      <c r="N5" s="160">
        <f>'ERR Calculation'!P8</f>
        <v>2024</v>
      </c>
      <c r="O5" s="160">
        <f>'ERR Calculation'!Q8</f>
        <v>2025</v>
      </c>
      <c r="P5" s="160">
        <f>'ERR Calculation'!R8</f>
        <v>2026</v>
      </c>
      <c r="Q5" s="160">
        <f>'ERR Calculation'!S8</f>
        <v>2027</v>
      </c>
      <c r="R5" s="160">
        <f>'ERR Calculation'!T8</f>
        <v>2028</v>
      </c>
      <c r="S5" s="160">
        <f>'ERR Calculation'!U8</f>
        <v>2029</v>
      </c>
      <c r="T5" s="160">
        <f>'ERR Calculation'!V8</f>
        <v>2030</v>
      </c>
      <c r="U5" s="160">
        <f>'ERR Calculation'!W8</f>
        <v>2031</v>
      </c>
      <c r="V5" s="160">
        <f>'ERR Calculation'!X8</f>
        <v>2032</v>
      </c>
    </row>
    <row r="6" spans="2:26" s="160" customFormat="1" ht="25.5" x14ac:dyDescent="0.2">
      <c r="B6" s="169" t="s">
        <v>143</v>
      </c>
      <c r="C6" s="161">
        <f>1</f>
        <v>1</v>
      </c>
      <c r="D6" s="161">
        <f t="shared" ref="D6:V6" si="0">C6+1</f>
        <v>2</v>
      </c>
      <c r="E6" s="161">
        <f t="shared" si="0"/>
        <v>3</v>
      </c>
      <c r="F6" s="161">
        <f t="shared" si="0"/>
        <v>4</v>
      </c>
      <c r="G6" s="161">
        <f t="shared" si="0"/>
        <v>5</v>
      </c>
      <c r="H6" s="161">
        <f t="shared" si="0"/>
        <v>6</v>
      </c>
      <c r="I6" s="161">
        <f t="shared" si="0"/>
        <v>7</v>
      </c>
      <c r="J6" s="161">
        <f t="shared" si="0"/>
        <v>8</v>
      </c>
      <c r="K6" s="161">
        <f t="shared" si="0"/>
        <v>9</v>
      </c>
      <c r="L6" s="161">
        <f t="shared" si="0"/>
        <v>10</v>
      </c>
      <c r="M6" s="161">
        <f t="shared" si="0"/>
        <v>11</v>
      </c>
      <c r="N6" s="161">
        <f t="shared" si="0"/>
        <v>12</v>
      </c>
      <c r="O6" s="161">
        <f t="shared" si="0"/>
        <v>13</v>
      </c>
      <c r="P6" s="161">
        <f t="shared" si="0"/>
        <v>14</v>
      </c>
      <c r="Q6" s="161">
        <f t="shared" si="0"/>
        <v>15</v>
      </c>
      <c r="R6" s="161">
        <f t="shared" si="0"/>
        <v>16</v>
      </c>
      <c r="S6" s="161">
        <f t="shared" si="0"/>
        <v>17</v>
      </c>
      <c r="T6" s="161">
        <f t="shared" si="0"/>
        <v>18</v>
      </c>
      <c r="U6" s="161">
        <f t="shared" si="0"/>
        <v>19</v>
      </c>
      <c r="V6" s="161">
        <f t="shared" si="0"/>
        <v>20</v>
      </c>
      <c r="W6" s="162"/>
      <c r="X6" s="162"/>
    </row>
    <row r="7" spans="2:26" x14ac:dyDescent="0.2">
      <c r="B7" s="150" t="s">
        <v>111</v>
      </c>
      <c r="C7" s="163">
        <f>'ERR &amp; Sensitivity Analysis'!$G$9*'ERR Calculation'!E$11/1000</f>
        <v>2528.9408399999998</v>
      </c>
      <c r="D7" s="163">
        <f>'ERR &amp; Sensitivity Analysis'!$G$9*'ERR Calculation'!F$11/1000</f>
        <v>7131.9617876000002</v>
      </c>
      <c r="E7" s="163">
        <f>'ERR &amp; Sensitivity Analysis'!$G$9*'ERR Calculation'!G$11/1000</f>
        <v>14667.318674414</v>
      </c>
      <c r="F7" s="163">
        <f>'ERR &amp; Sensitivity Analysis'!$G$9*'ERR Calculation'!H$11/1000</f>
        <v>20915.83392953021</v>
      </c>
      <c r="G7" s="163">
        <f>'ERR &amp; Sensitivity Analysis'!$G$9*'ERR Calculation'!I$11/1000</f>
        <v>15439.742883473164</v>
      </c>
      <c r="H7" s="163">
        <f>'ERR &amp; Sensitivity Analysis'!$G$9*'ERR Calculation'!J$11/1000</f>
        <v>4007.8765767252612</v>
      </c>
      <c r="I7" s="163">
        <f>'ERR &amp; Sensitivity Analysis'!$G$9*'ERR Calculation'!K$11/1000</f>
        <v>970.37512037613953</v>
      </c>
      <c r="J7" s="163">
        <f>'ERR &amp; Sensitivity Analysis'!$G$9*'ERR Calculation'!L$11/1000</f>
        <v>984.93074718178161</v>
      </c>
      <c r="K7" s="163">
        <f>'ERR &amp; Sensitivity Analysis'!$G$9*'ERR Calculation'!M$11/1000</f>
        <v>999.70470838950826</v>
      </c>
      <c r="L7" s="163">
        <f>'ERR &amp; Sensitivity Analysis'!$G$9*'ERR Calculation'!N$11/1000</f>
        <v>1014.7002790153508</v>
      </c>
      <c r="M7" s="163">
        <f>'ERR &amp; Sensitivity Analysis'!$G$9*'ERR Calculation'!O$11/1000</f>
        <v>1029.9207832005811</v>
      </c>
      <c r="N7" s="163">
        <f>'ERR &amp; Sensitivity Analysis'!$G$9*'ERR Calculation'!P$11/1000</f>
        <v>1045.3695949485898</v>
      </c>
      <c r="O7" s="163">
        <f>'ERR &amp; Sensitivity Analysis'!$G$9*'ERR Calculation'!Q$11/1000</f>
        <v>1061.0501388728185</v>
      </c>
      <c r="P7" s="163">
        <f>'ERR &amp; Sensitivity Analysis'!$G$9*'ERR Calculation'!R$11/1000</f>
        <v>1076.9658909559107</v>
      </c>
      <c r="Q7" s="163">
        <f>'ERR &amp; Sensitivity Analysis'!$G$9*'ERR Calculation'!S$11/1000</f>
        <v>1093.1203793202494</v>
      </c>
      <c r="R7" s="163">
        <f>'ERR &amp; Sensitivity Analysis'!$G$9*'ERR Calculation'!T$11/1000</f>
        <v>1109.5171850100533</v>
      </c>
      <c r="S7" s="163">
        <f>'ERR &amp; Sensitivity Analysis'!$G$9*'ERR Calculation'!U$11/1000</f>
        <v>1126.1599427852041</v>
      </c>
      <c r="T7" s="163">
        <f>'ERR &amp; Sensitivity Analysis'!$G$9*'ERR Calculation'!V$11/1000</f>
        <v>1143.0523419269821</v>
      </c>
      <c r="U7" s="163">
        <f>'ERR &amp; Sensitivity Analysis'!$G$9*'ERR Calculation'!W$11/1000</f>
        <v>1160.198127055887</v>
      </c>
      <c r="V7" s="163">
        <f>'ERR &amp; Sensitivity Analysis'!$G$9*'ERR Calculation'!X$11/1000</f>
        <v>1177.601098961725</v>
      </c>
    </row>
    <row r="8" spans="2:26" x14ac:dyDescent="0.2">
      <c r="B8" s="150" t="s">
        <v>110</v>
      </c>
      <c r="C8" s="163">
        <f>'ERR &amp; Sensitivity Analysis'!$G$10*'ERR Calculation'!E$10/1000</f>
        <v>0</v>
      </c>
      <c r="D8" s="163">
        <f>'ERR &amp; Sensitivity Analysis'!$G$10*'ERR Calculation'!F$10/1000</f>
        <v>0</v>
      </c>
      <c r="E8" s="163">
        <f>'ERR &amp; Sensitivity Analysis'!$G$10*'ERR Calculation'!G$10/1000</f>
        <v>0</v>
      </c>
      <c r="F8" s="163">
        <f>'ERR &amp; Sensitivity Analysis'!$G$10*'ERR Calculation'!H$10/1000</f>
        <v>0</v>
      </c>
      <c r="G8" s="163">
        <f>'ERR &amp; Sensitivity Analysis'!$G$10*'ERR Calculation'!I$10/1000</f>
        <v>0</v>
      </c>
      <c r="H8" s="163">
        <f>'ERR &amp; Sensitivity Analysis'!$G$10*'ERR Calculation'!J$10/1000</f>
        <v>13358.116353554533</v>
      </c>
      <c r="I8" s="163">
        <f>'ERR &amp; Sensitivity Analysis'!$G$10*'ERR Calculation'!K$10/1000</f>
        <v>13358.116353554533</v>
      </c>
      <c r="J8" s="163">
        <f>'ERR &amp; Sensitivity Analysis'!$G$10*'ERR Calculation'!L$10/1000</f>
        <v>13358.116353554533</v>
      </c>
      <c r="K8" s="163">
        <f>'ERR &amp; Sensitivity Analysis'!$G$10*'ERR Calculation'!M$10/1000</f>
        <v>13358.116353554533</v>
      </c>
      <c r="L8" s="163">
        <f>'ERR &amp; Sensitivity Analysis'!$G$10*'ERR Calculation'!N$10/1000</f>
        <v>13358.116353554533</v>
      </c>
      <c r="M8" s="163">
        <f>'ERR &amp; Sensitivity Analysis'!$G$10*'ERR Calculation'!O$10/1000</f>
        <v>13358.116353554533</v>
      </c>
      <c r="N8" s="163">
        <f>'ERR &amp; Sensitivity Analysis'!$G$10*'ERR Calculation'!P$10/1000</f>
        <v>13358.116353554533</v>
      </c>
      <c r="O8" s="163">
        <f>'ERR &amp; Sensitivity Analysis'!$G$10*'ERR Calculation'!Q$10/1000</f>
        <v>13358.116353554533</v>
      </c>
      <c r="P8" s="163">
        <f>'ERR &amp; Sensitivity Analysis'!$G$10*'ERR Calculation'!R$10/1000</f>
        <v>13358.116353554533</v>
      </c>
      <c r="Q8" s="163">
        <f>'ERR &amp; Sensitivity Analysis'!$G$10*'ERR Calculation'!S$10/1000</f>
        <v>13358.116353554533</v>
      </c>
      <c r="R8" s="163">
        <f>'ERR &amp; Sensitivity Analysis'!$G$10*'ERR Calculation'!T$10/1000</f>
        <v>13358.116353554533</v>
      </c>
      <c r="S8" s="163">
        <f>'ERR &amp; Sensitivity Analysis'!$G$10*'ERR Calculation'!U$10/1000</f>
        <v>13358.116353554533</v>
      </c>
      <c r="T8" s="163">
        <f>'ERR &amp; Sensitivity Analysis'!$G$10*'ERR Calculation'!V$10/1000</f>
        <v>13358.116353554533</v>
      </c>
      <c r="U8" s="163">
        <f>'ERR &amp; Sensitivity Analysis'!$G$10*'ERR Calculation'!W$10/1000</f>
        <v>13358.116353554533</v>
      </c>
      <c r="V8" s="163">
        <f>'ERR &amp; Sensitivity Analysis'!$G$10*'ERR Calculation'!X$10/1000</f>
        <v>13358.116353554533</v>
      </c>
    </row>
    <row r="9" spans="2:26" x14ac:dyDescent="0.2">
      <c r="B9" s="150" t="s">
        <v>109</v>
      </c>
      <c r="C9" s="163">
        <f t="shared" ref="C9:V9" si="1">C8-C7</f>
        <v>-2528.9408399999998</v>
      </c>
      <c r="D9" s="163">
        <f t="shared" si="1"/>
        <v>-7131.9617876000002</v>
      </c>
      <c r="E9" s="163">
        <f t="shared" si="1"/>
        <v>-14667.318674414</v>
      </c>
      <c r="F9" s="163">
        <f t="shared" si="1"/>
        <v>-20915.83392953021</v>
      </c>
      <c r="G9" s="163">
        <f t="shared" si="1"/>
        <v>-15439.742883473164</v>
      </c>
      <c r="H9" s="163">
        <f t="shared" si="1"/>
        <v>9350.2397768292722</v>
      </c>
      <c r="I9" s="163">
        <f t="shared" si="1"/>
        <v>12387.741233178393</v>
      </c>
      <c r="J9" s="163">
        <f t="shared" si="1"/>
        <v>12373.185606372752</v>
      </c>
      <c r="K9" s="163">
        <f t="shared" si="1"/>
        <v>12358.411645165024</v>
      </c>
      <c r="L9" s="163">
        <f t="shared" si="1"/>
        <v>12343.416074539182</v>
      </c>
      <c r="M9" s="163">
        <f t="shared" si="1"/>
        <v>12328.195570353952</v>
      </c>
      <c r="N9" s="163">
        <f t="shared" si="1"/>
        <v>12312.746758605943</v>
      </c>
      <c r="O9" s="163">
        <f t="shared" si="1"/>
        <v>12297.066214681714</v>
      </c>
      <c r="P9" s="163">
        <f t="shared" si="1"/>
        <v>12281.150462598622</v>
      </c>
      <c r="Q9" s="163">
        <f t="shared" si="1"/>
        <v>12264.995974234283</v>
      </c>
      <c r="R9" s="163">
        <f t="shared" si="1"/>
        <v>12248.599168544479</v>
      </c>
      <c r="S9" s="163">
        <f t="shared" si="1"/>
        <v>12231.95641076933</v>
      </c>
      <c r="T9" s="163">
        <f t="shared" si="1"/>
        <v>12215.06401162755</v>
      </c>
      <c r="U9" s="163">
        <f t="shared" si="1"/>
        <v>12197.918226498647</v>
      </c>
      <c r="V9" s="163">
        <f t="shared" si="1"/>
        <v>12180.515254592809</v>
      </c>
    </row>
    <row r="10" spans="2:26" x14ac:dyDescent="0.2">
      <c r="C10" s="163"/>
      <c r="D10" s="163"/>
      <c r="E10" s="163"/>
      <c r="F10" s="163"/>
      <c r="G10" s="163"/>
    </row>
    <row r="11" spans="2:26" s="160" customFormat="1" ht="25.5" x14ac:dyDescent="0.2">
      <c r="B11" s="169" t="s">
        <v>144</v>
      </c>
      <c r="C11" s="161">
        <f>1</f>
        <v>1</v>
      </c>
      <c r="D11" s="161">
        <f t="shared" ref="D11:V11" si="2">C11+1</f>
        <v>2</v>
      </c>
      <c r="E11" s="161">
        <f t="shared" si="2"/>
        <v>3</v>
      </c>
      <c r="F11" s="161">
        <f t="shared" si="2"/>
        <v>4</v>
      </c>
      <c r="G11" s="161">
        <f t="shared" si="2"/>
        <v>5</v>
      </c>
      <c r="H11" s="161">
        <f t="shared" si="2"/>
        <v>6</v>
      </c>
      <c r="I11" s="161">
        <f t="shared" si="2"/>
        <v>7</v>
      </c>
      <c r="J11" s="161">
        <f t="shared" si="2"/>
        <v>8</v>
      </c>
      <c r="K11" s="161">
        <f t="shared" si="2"/>
        <v>9</v>
      </c>
      <c r="L11" s="161">
        <f t="shared" si="2"/>
        <v>10</v>
      </c>
      <c r="M11" s="161">
        <f t="shared" si="2"/>
        <v>11</v>
      </c>
      <c r="N11" s="161">
        <f t="shared" si="2"/>
        <v>12</v>
      </c>
      <c r="O11" s="161">
        <f t="shared" si="2"/>
        <v>13</v>
      </c>
      <c r="P11" s="161">
        <f t="shared" si="2"/>
        <v>14</v>
      </c>
      <c r="Q11" s="161">
        <f t="shared" si="2"/>
        <v>15</v>
      </c>
      <c r="R11" s="161">
        <f t="shared" si="2"/>
        <v>16</v>
      </c>
      <c r="S11" s="161">
        <f t="shared" si="2"/>
        <v>17</v>
      </c>
      <c r="T11" s="161">
        <f t="shared" si="2"/>
        <v>18</v>
      </c>
      <c r="U11" s="161">
        <f t="shared" si="2"/>
        <v>19</v>
      </c>
      <c r="V11" s="161">
        <f t="shared" si="2"/>
        <v>20</v>
      </c>
    </row>
    <row r="12" spans="2:26" x14ac:dyDescent="0.2">
      <c r="B12" s="150" t="s">
        <v>111</v>
      </c>
      <c r="C12" s="163">
        <f>'ERR &amp; Sensitivity Analysis'!$G$9*'Program Costs'!H6/1000</f>
        <v>413.31728249999998</v>
      </c>
      <c r="D12" s="163">
        <f>'ERR &amp; Sensitivity Analysis'!$G$9*'Program Costs'!I6/1000</f>
        <v>637.43304750000016</v>
      </c>
      <c r="E12" s="163">
        <f>'ERR &amp; Sensitivity Analysis'!$G$9*'Program Costs'!J6/1000</f>
        <v>532.85592500000007</v>
      </c>
      <c r="F12" s="163">
        <f>'ERR &amp; Sensitivity Analysis'!$G$9*'Program Costs'!K6/1000</f>
        <v>1434.1930724999997</v>
      </c>
      <c r="G12" s="163">
        <f>'ERR &amp; Sensitivity Analysis'!$G$9*'Program Costs'!L6/1000</f>
        <v>2809.6222149999999</v>
      </c>
      <c r="H12" s="163">
        <f>'ERR &amp; Sensitivity Analysis'!$G$9*'Program Costs'!M6/1000</f>
        <v>790.75270750000004</v>
      </c>
      <c r="I12" s="163">
        <f>'ERR &amp; Sensitivity Analysis'!$G$9*'Program Costs'!N6/1000</f>
        <v>6618.17425</v>
      </c>
      <c r="J12" s="163">
        <f>'ERR &amp; Sensitivity Analysis'!$G$9*'Program Costs'!O6/1000</f>
        <v>0</v>
      </c>
      <c r="K12" s="163">
        <f>'ERR &amp; Sensitivity Analysis'!$G$9*'Program Costs'!P6/1000</f>
        <v>0</v>
      </c>
      <c r="L12" s="163">
        <f>'ERR &amp; Sensitivity Analysis'!$G$9*'Program Costs'!Q6/1000</f>
        <v>0</v>
      </c>
      <c r="M12" s="163">
        <f>'ERR &amp; Sensitivity Analysis'!$G$9*'Program Costs'!R6/1000</f>
        <v>0</v>
      </c>
      <c r="N12" s="163">
        <f>'ERR &amp; Sensitivity Analysis'!$G$9*'Program Costs'!S6/1000</f>
        <v>0</v>
      </c>
      <c r="O12" s="163">
        <f>'ERR &amp; Sensitivity Analysis'!$G$9*'Program Costs'!T6/1000</f>
        <v>0</v>
      </c>
      <c r="P12" s="163">
        <f>'ERR &amp; Sensitivity Analysis'!$G$9*'Program Costs'!U6/1000</f>
        <v>0</v>
      </c>
      <c r="Q12" s="163">
        <f>'ERR &amp; Sensitivity Analysis'!$G$9*'Program Costs'!V6/1000</f>
        <v>0</v>
      </c>
      <c r="R12" s="163">
        <f>'ERR &amp; Sensitivity Analysis'!$G$9*'Program Costs'!W6/1000</f>
        <v>0</v>
      </c>
      <c r="S12" s="163">
        <f>'ERR &amp; Sensitivity Analysis'!$G$9*'Program Costs'!X6/1000</f>
        <v>0</v>
      </c>
      <c r="T12" s="163">
        <f>'ERR &amp; Sensitivity Analysis'!$G$9*'Program Costs'!Y6/1000</f>
        <v>0</v>
      </c>
      <c r="U12" s="163">
        <f>'ERR &amp; Sensitivity Analysis'!$G$9*'Program Costs'!Z6/1000</f>
        <v>0</v>
      </c>
      <c r="V12" s="163">
        <f>'ERR &amp; Sensitivity Analysis'!$G$9*'Program Costs'!AA6/1000</f>
        <v>0</v>
      </c>
    </row>
    <row r="13" spans="2:26" x14ac:dyDescent="0.2">
      <c r="B13" s="150" t="s">
        <v>110</v>
      </c>
      <c r="C13" s="163">
        <f>'ERR &amp; Sensitivity Analysis'!$G$10*0</f>
        <v>0</v>
      </c>
      <c r="D13" s="163">
        <f>'ERR &amp; Sensitivity Analysis'!$G$10*0</f>
        <v>0</v>
      </c>
      <c r="E13" s="163">
        <f>'ERR &amp; Sensitivity Analysis'!$G$10*0</f>
        <v>0</v>
      </c>
      <c r="F13" s="163">
        <f>'ERR &amp; Sensitivity Analysis'!$G$10*0</f>
        <v>0</v>
      </c>
      <c r="G13" s="163">
        <f>'ERR &amp; Sensitivity Analysis'!$G$10*0</f>
        <v>0</v>
      </c>
      <c r="H13" s="163">
        <f>'ERR &amp; Sensitivity Analysis'!$G$10*0</f>
        <v>0</v>
      </c>
      <c r="I13" s="163">
        <f>'ERR &amp; Sensitivity Analysis'!$G$10*0</f>
        <v>0</v>
      </c>
      <c r="J13" s="163">
        <f>'ERR &amp; Sensitivity Analysis'!$G$10*0</f>
        <v>0</v>
      </c>
      <c r="K13" s="163">
        <f>'ERR &amp; Sensitivity Analysis'!$G$10*0</f>
        <v>0</v>
      </c>
      <c r="L13" s="163">
        <f>'ERR &amp; Sensitivity Analysis'!$G$10*0</f>
        <v>0</v>
      </c>
      <c r="M13" s="163">
        <f>'ERR &amp; Sensitivity Analysis'!$G$10*0</f>
        <v>0</v>
      </c>
      <c r="N13" s="163">
        <f>'ERR &amp; Sensitivity Analysis'!$G$10*0</f>
        <v>0</v>
      </c>
      <c r="O13" s="163">
        <f>'ERR &amp; Sensitivity Analysis'!$G$10*0</f>
        <v>0</v>
      </c>
      <c r="P13" s="163">
        <f>'ERR &amp; Sensitivity Analysis'!$G$10*0</f>
        <v>0</v>
      </c>
      <c r="Q13" s="163">
        <f>'ERR &amp; Sensitivity Analysis'!$G$10*0</f>
        <v>0</v>
      </c>
      <c r="R13" s="163">
        <f>'ERR &amp; Sensitivity Analysis'!$G$10*0</f>
        <v>0</v>
      </c>
      <c r="S13" s="163">
        <f>'ERR &amp; Sensitivity Analysis'!$G$10*0</f>
        <v>0</v>
      </c>
      <c r="T13" s="163">
        <f>'ERR &amp; Sensitivity Analysis'!$G$10*0</f>
        <v>0</v>
      </c>
      <c r="U13" s="163">
        <f>'ERR &amp; Sensitivity Analysis'!$G$10*0</f>
        <v>0</v>
      </c>
      <c r="V13" s="163">
        <f>'ERR &amp; Sensitivity Analysis'!$G$10*0</f>
        <v>0</v>
      </c>
    </row>
    <row r="14" spans="2:26" x14ac:dyDescent="0.2">
      <c r="B14" s="150" t="s">
        <v>109</v>
      </c>
      <c r="C14" s="163">
        <f t="shared" ref="C14:V14" si="3">C13-C12</f>
        <v>-413.31728249999998</v>
      </c>
      <c r="D14" s="163">
        <f t="shared" si="3"/>
        <v>-637.43304750000016</v>
      </c>
      <c r="E14" s="163">
        <f t="shared" si="3"/>
        <v>-532.85592500000007</v>
      </c>
      <c r="F14" s="163">
        <f t="shared" si="3"/>
        <v>-1434.1930724999997</v>
      </c>
      <c r="G14" s="163">
        <f t="shared" si="3"/>
        <v>-2809.6222149999999</v>
      </c>
      <c r="H14" s="163">
        <f t="shared" si="3"/>
        <v>-790.75270750000004</v>
      </c>
      <c r="I14" s="163">
        <f t="shared" si="3"/>
        <v>-6618.17425</v>
      </c>
      <c r="J14" s="163">
        <f t="shared" si="3"/>
        <v>0</v>
      </c>
      <c r="K14" s="163">
        <f t="shared" si="3"/>
        <v>0</v>
      </c>
      <c r="L14" s="163">
        <f t="shared" si="3"/>
        <v>0</v>
      </c>
      <c r="M14" s="163">
        <f t="shared" si="3"/>
        <v>0</v>
      </c>
      <c r="N14" s="163">
        <f t="shared" si="3"/>
        <v>0</v>
      </c>
      <c r="O14" s="163">
        <f t="shared" si="3"/>
        <v>0</v>
      </c>
      <c r="P14" s="163">
        <f t="shared" si="3"/>
        <v>0</v>
      </c>
      <c r="Q14" s="163">
        <f t="shared" si="3"/>
        <v>0</v>
      </c>
      <c r="R14" s="163">
        <f t="shared" si="3"/>
        <v>0</v>
      </c>
      <c r="S14" s="163">
        <f t="shared" si="3"/>
        <v>0</v>
      </c>
      <c r="T14" s="163">
        <f t="shared" si="3"/>
        <v>0</v>
      </c>
      <c r="U14" s="163">
        <f t="shared" si="3"/>
        <v>0</v>
      </c>
      <c r="V14" s="163">
        <f t="shared" si="3"/>
        <v>0</v>
      </c>
    </row>
    <row r="16" spans="2:26" x14ac:dyDescent="0.2">
      <c r="C16" s="163"/>
      <c r="D16" s="163"/>
      <c r="E16" s="163"/>
      <c r="F16" s="163"/>
      <c r="G16" s="163"/>
      <c r="H16" s="163"/>
      <c r="I16" s="163"/>
      <c r="J16" s="163"/>
      <c r="K16" s="163"/>
      <c r="L16" s="163"/>
      <c r="M16" s="163"/>
      <c r="N16" s="163"/>
      <c r="O16" s="163"/>
      <c r="P16" s="163"/>
      <c r="Q16" s="163"/>
      <c r="R16" s="163"/>
      <c r="S16" s="163"/>
      <c r="T16" s="163"/>
      <c r="U16" s="163"/>
      <c r="V16" s="163"/>
    </row>
    <row r="17" spans="2:23" s="164" customFormat="1" x14ac:dyDescent="0.2">
      <c r="B17" s="164" t="s">
        <v>108</v>
      </c>
      <c r="C17" s="165">
        <f t="shared" ref="C17:V17" si="4">SUM(C9,C14)</f>
        <v>-2942.2581224999999</v>
      </c>
      <c r="D17" s="165">
        <f t="shared" si="4"/>
        <v>-7769.3948350999999</v>
      </c>
      <c r="E17" s="165">
        <f t="shared" si="4"/>
        <v>-15200.174599414</v>
      </c>
      <c r="F17" s="165">
        <f t="shared" si="4"/>
        <v>-22350.027002030209</v>
      </c>
      <c r="G17" s="165">
        <f t="shared" si="4"/>
        <v>-18249.365098473165</v>
      </c>
      <c r="H17" s="165">
        <f t="shared" si="4"/>
        <v>8559.4870693292723</v>
      </c>
      <c r="I17" s="165">
        <f t="shared" si="4"/>
        <v>5769.5669831783925</v>
      </c>
      <c r="J17" s="165">
        <f t="shared" si="4"/>
        <v>12373.185606372752</v>
      </c>
      <c r="K17" s="165">
        <f t="shared" si="4"/>
        <v>12358.411645165024</v>
      </c>
      <c r="L17" s="165">
        <f t="shared" si="4"/>
        <v>12343.416074539182</v>
      </c>
      <c r="M17" s="165">
        <f t="shared" si="4"/>
        <v>12328.195570353952</v>
      </c>
      <c r="N17" s="165">
        <f t="shared" si="4"/>
        <v>12312.746758605943</v>
      </c>
      <c r="O17" s="165">
        <f t="shared" si="4"/>
        <v>12297.066214681714</v>
      </c>
      <c r="P17" s="165">
        <f t="shared" si="4"/>
        <v>12281.150462598622</v>
      </c>
      <c r="Q17" s="165">
        <f t="shared" si="4"/>
        <v>12264.995974234283</v>
      </c>
      <c r="R17" s="165">
        <f t="shared" si="4"/>
        <v>12248.599168544479</v>
      </c>
      <c r="S17" s="165">
        <f t="shared" si="4"/>
        <v>12231.95641076933</v>
      </c>
      <c r="T17" s="165">
        <f t="shared" si="4"/>
        <v>12215.06401162755</v>
      </c>
      <c r="U17" s="165">
        <f t="shared" si="4"/>
        <v>12197.918226498647</v>
      </c>
      <c r="V17" s="165">
        <f t="shared" si="4"/>
        <v>12180.515254592809</v>
      </c>
    </row>
    <row r="18" spans="2:23" x14ac:dyDescent="0.2">
      <c r="C18" s="163"/>
      <c r="D18" s="163"/>
      <c r="E18" s="163"/>
      <c r="F18" s="163"/>
      <c r="G18" s="163"/>
      <c r="H18" s="163"/>
      <c r="I18" s="163"/>
      <c r="J18" s="163"/>
      <c r="K18" s="163"/>
      <c r="L18" s="163"/>
      <c r="M18" s="163"/>
      <c r="N18" s="163"/>
      <c r="O18" s="163"/>
      <c r="P18" s="163"/>
      <c r="Q18" s="163"/>
      <c r="R18" s="163"/>
      <c r="S18" s="163"/>
      <c r="T18" s="163"/>
      <c r="U18" s="163"/>
      <c r="V18" s="163"/>
      <c r="W18" s="163"/>
    </row>
    <row r="19" spans="2:23" x14ac:dyDescent="0.2">
      <c r="B19" s="160" t="s">
        <v>61</v>
      </c>
      <c r="C19" s="350">
        <f>IRR(C17:V17,0)</f>
        <v>0.11515085935768599</v>
      </c>
      <c r="D19" s="166"/>
    </row>
    <row r="21" spans="2:23" s="93" customFormat="1" ht="15.75" customHeight="1" x14ac:dyDescent="0.2">
      <c r="B21" s="167" t="s">
        <v>107</v>
      </c>
      <c r="D21" s="168">
        <f>1000*SUM(C7,C12)</f>
        <v>2942258.1225000001</v>
      </c>
      <c r="E21" s="168">
        <f t="shared" ref="E21:W21" si="5">1000*SUM(D7,D12)</f>
        <v>7769394.8350999998</v>
      </c>
      <c r="F21" s="168">
        <f t="shared" si="5"/>
        <v>15200174.599414</v>
      </c>
      <c r="G21" s="168">
        <f t="shared" si="5"/>
        <v>22350027.002030209</v>
      </c>
      <c r="H21" s="168">
        <f t="shared" si="5"/>
        <v>18249365.098473165</v>
      </c>
      <c r="I21" s="168">
        <f t="shared" si="5"/>
        <v>4798629.2842252618</v>
      </c>
      <c r="J21" s="168">
        <f t="shared" si="5"/>
        <v>7588549.3703761399</v>
      </c>
      <c r="K21" s="168">
        <f t="shared" si="5"/>
        <v>984930.74718178157</v>
      </c>
      <c r="L21" s="168">
        <f t="shared" si="5"/>
        <v>999704.70838950831</v>
      </c>
      <c r="M21" s="168">
        <f t="shared" si="5"/>
        <v>1014700.2790153509</v>
      </c>
      <c r="N21" s="168">
        <f t="shared" si="5"/>
        <v>1029920.7832005811</v>
      </c>
      <c r="O21" s="168">
        <f t="shared" si="5"/>
        <v>1045369.5949485898</v>
      </c>
      <c r="P21" s="168">
        <f t="shared" si="5"/>
        <v>1061050.1388728186</v>
      </c>
      <c r="Q21" s="168">
        <f t="shared" si="5"/>
        <v>1076965.8909559108</v>
      </c>
      <c r="R21" s="168">
        <f t="shared" si="5"/>
        <v>1093120.3793202494</v>
      </c>
      <c r="S21" s="168">
        <f t="shared" si="5"/>
        <v>1109517.1850100532</v>
      </c>
      <c r="T21" s="168">
        <f t="shared" si="5"/>
        <v>1126159.9427852042</v>
      </c>
      <c r="U21" s="168">
        <f t="shared" si="5"/>
        <v>1143052.3419269822</v>
      </c>
      <c r="V21" s="168">
        <f t="shared" si="5"/>
        <v>1160198.1270558869</v>
      </c>
      <c r="W21" s="168">
        <f t="shared" si="5"/>
        <v>1177601.0989617251</v>
      </c>
    </row>
    <row r="22" spans="2:23" s="93" customFormat="1" x14ac:dyDescent="0.2">
      <c r="B22" s="167" t="s">
        <v>558</v>
      </c>
      <c r="D22" s="168">
        <f>'Program Costs'!H7</f>
        <v>2942258.1224999996</v>
      </c>
      <c r="E22" s="168">
        <f>'Program Costs'!I7</f>
        <v>7731460.7225000011</v>
      </c>
      <c r="F22" s="168">
        <f>'Program Costs'!J7</f>
        <v>15055261.060000001</v>
      </c>
      <c r="G22" s="168">
        <f>'Program Costs'!K7</f>
        <v>21985103.682499997</v>
      </c>
      <c r="H22" s="168">
        <f>'Program Costs'!L7</f>
        <v>17570704.27</v>
      </c>
      <c r="I22" s="168">
        <v>0</v>
      </c>
      <c r="J22" s="168">
        <v>0</v>
      </c>
      <c r="K22" s="168">
        <v>0</v>
      </c>
      <c r="L22" s="168">
        <v>0</v>
      </c>
      <c r="M22" s="168">
        <v>0</v>
      </c>
      <c r="N22" s="168">
        <v>0</v>
      </c>
      <c r="O22" s="168">
        <v>0</v>
      </c>
      <c r="P22" s="168">
        <v>0</v>
      </c>
      <c r="Q22" s="168">
        <v>0</v>
      </c>
      <c r="R22" s="168">
        <v>0</v>
      </c>
      <c r="S22" s="168">
        <v>0</v>
      </c>
      <c r="T22" s="168">
        <v>0</v>
      </c>
      <c r="U22" s="168">
        <v>0</v>
      </c>
      <c r="V22" s="168">
        <v>0</v>
      </c>
      <c r="W22" s="168">
        <v>0</v>
      </c>
    </row>
    <row r="23" spans="2:23" s="93" customFormat="1" x14ac:dyDescent="0.2">
      <c r="B23" s="167" t="s">
        <v>106</v>
      </c>
      <c r="D23" s="168">
        <f>1000*SUM(C8,C13)</f>
        <v>0</v>
      </c>
      <c r="E23" s="168">
        <f t="shared" ref="E23:W23" si="6">1000*SUM(D8,D13)</f>
        <v>0</v>
      </c>
      <c r="F23" s="168">
        <f t="shared" si="6"/>
        <v>0</v>
      </c>
      <c r="G23" s="168">
        <f t="shared" si="6"/>
        <v>0</v>
      </c>
      <c r="H23" s="168">
        <f t="shared" si="6"/>
        <v>0</v>
      </c>
      <c r="I23" s="168">
        <f t="shared" si="6"/>
        <v>13358116.353554534</v>
      </c>
      <c r="J23" s="168">
        <f t="shared" si="6"/>
        <v>13358116.353554534</v>
      </c>
      <c r="K23" s="168">
        <f t="shared" si="6"/>
        <v>13358116.353554534</v>
      </c>
      <c r="L23" s="168">
        <f t="shared" si="6"/>
        <v>13358116.353554534</v>
      </c>
      <c r="M23" s="168">
        <f t="shared" si="6"/>
        <v>13358116.353554534</v>
      </c>
      <c r="N23" s="168">
        <f t="shared" si="6"/>
        <v>13358116.353554534</v>
      </c>
      <c r="O23" s="168">
        <f t="shared" si="6"/>
        <v>13358116.353554534</v>
      </c>
      <c r="P23" s="168">
        <f t="shared" si="6"/>
        <v>13358116.353554534</v>
      </c>
      <c r="Q23" s="168">
        <f t="shared" si="6"/>
        <v>13358116.353554534</v>
      </c>
      <c r="R23" s="168">
        <f t="shared" si="6"/>
        <v>13358116.353554534</v>
      </c>
      <c r="S23" s="168">
        <f t="shared" si="6"/>
        <v>13358116.353554534</v>
      </c>
      <c r="T23" s="168">
        <f t="shared" si="6"/>
        <v>13358116.353554534</v>
      </c>
      <c r="U23" s="168">
        <f t="shared" si="6"/>
        <v>13358116.353554534</v>
      </c>
      <c r="V23" s="168">
        <f t="shared" si="6"/>
        <v>13358116.353554534</v>
      </c>
      <c r="W23" s="168">
        <f t="shared" si="6"/>
        <v>13358116.353554534</v>
      </c>
    </row>
    <row r="24" spans="2:23" s="93" customFormat="1" x14ac:dyDescent="0.2">
      <c r="B24" s="167" t="s">
        <v>105</v>
      </c>
      <c r="D24" s="168">
        <f>D23-(D21-D22)</f>
        <v>-4.6566128730773926E-10</v>
      </c>
      <c r="E24" s="168">
        <f t="shared" ref="E24:W24" si="7">E23-(E21-E22)</f>
        <v>-37934.112599998713</v>
      </c>
      <c r="F24" s="168">
        <f t="shared" si="7"/>
        <v>-144913.53941399977</v>
      </c>
      <c r="G24" s="168">
        <f t="shared" si="7"/>
        <v>-364923.31953021139</v>
      </c>
      <c r="H24" s="168">
        <f t="shared" si="7"/>
        <v>-678660.82847316563</v>
      </c>
      <c r="I24" s="168">
        <f t="shared" si="7"/>
        <v>8559487.069329273</v>
      </c>
      <c r="J24" s="168">
        <f t="shared" si="7"/>
        <v>5769566.9831783939</v>
      </c>
      <c r="K24" s="168">
        <f t="shared" si="7"/>
        <v>12373185.606372751</v>
      </c>
      <c r="L24" s="168">
        <f t="shared" si="7"/>
        <v>12358411.645165026</v>
      </c>
      <c r="M24" s="168">
        <f t="shared" si="7"/>
        <v>12343416.074539183</v>
      </c>
      <c r="N24" s="168">
        <f t="shared" si="7"/>
        <v>12328195.570353953</v>
      </c>
      <c r="O24" s="168">
        <f t="shared" si="7"/>
        <v>12312746.758605944</v>
      </c>
      <c r="P24" s="168">
        <f t="shared" si="7"/>
        <v>12297066.214681715</v>
      </c>
      <c r="Q24" s="168">
        <f t="shared" si="7"/>
        <v>12281150.462598624</v>
      </c>
      <c r="R24" s="168">
        <f t="shared" si="7"/>
        <v>12264995.974234285</v>
      </c>
      <c r="S24" s="168">
        <f t="shared" si="7"/>
        <v>12248599.168544481</v>
      </c>
      <c r="T24" s="168">
        <f t="shared" si="7"/>
        <v>12231956.41076933</v>
      </c>
      <c r="U24" s="168">
        <f t="shared" si="7"/>
        <v>12215064.011627551</v>
      </c>
      <c r="V24" s="168">
        <f t="shared" si="7"/>
        <v>12197918.226498647</v>
      </c>
      <c r="W24" s="168">
        <f t="shared" si="7"/>
        <v>12180515.254592808</v>
      </c>
    </row>
    <row r="26" spans="2:23" x14ac:dyDescent="0.2">
      <c r="B26" s="160" t="s">
        <v>538</v>
      </c>
      <c r="C26" s="410">
        <f>1000*NPV(0.1,C17:V17)</f>
        <v>5515943.5736386534</v>
      </c>
      <c r="D26" s="410"/>
    </row>
    <row r="27" spans="2:23" x14ac:dyDescent="0.2">
      <c r="C27" s="410"/>
      <c r="D27" s="410"/>
    </row>
    <row r="28" spans="2:23" x14ac:dyDescent="0.2">
      <c r="B28" s="160" t="s">
        <v>537</v>
      </c>
      <c r="C28" s="410">
        <f>NPV(0.1,D24:W24)</f>
        <v>51817747.686714463</v>
      </c>
      <c r="D28" s="410"/>
    </row>
    <row r="29" spans="2:23" x14ac:dyDescent="0.2">
      <c r="B29" s="160"/>
      <c r="C29" s="411"/>
      <c r="D29" s="411"/>
    </row>
    <row r="30" spans="2:23" x14ac:dyDescent="0.2">
      <c r="B30" s="160" t="s">
        <v>539</v>
      </c>
      <c r="C30" s="410">
        <f>NPV(0.1,D22:W22)</f>
        <v>46301804.113075808</v>
      </c>
      <c r="D30" s="410"/>
    </row>
  </sheetData>
  <mergeCells count="6">
    <mergeCell ref="B1:H1"/>
    <mergeCell ref="C28:D28"/>
    <mergeCell ref="C29:D29"/>
    <mergeCell ref="C30:D30"/>
    <mergeCell ref="C26:D26"/>
    <mergeCell ref="C27:D27"/>
  </mergeCells>
  <conditionalFormatting sqref="B1">
    <cfRule type="cellIs" dxfId="1" priority="1" stopIfTrue="1" operator="equal">
      <formula>0</formula>
    </cfRule>
    <cfRule type="cellIs" dxfId="0" priority="2" stopIfTrue="1" operator="notEqual">
      <formula>0</formula>
    </cfRule>
  </conditionalFormatting>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X31"/>
  <sheetViews>
    <sheetView tabSelected="1" workbookViewId="0">
      <selection activeCell="M4" sqref="M1:X4"/>
    </sheetView>
  </sheetViews>
  <sheetFormatPr defaultColWidth="9.140625" defaultRowHeight="12.75" x14ac:dyDescent="0.2"/>
  <cols>
    <col min="1" max="1" width="2.7109375" style="206" customWidth="1"/>
    <col min="2" max="2" width="20.7109375" style="204" customWidth="1"/>
    <col min="3" max="3" width="12.7109375" style="205" customWidth="1"/>
    <col min="4" max="4" width="9.28515625" style="205" bestFit="1" customWidth="1"/>
    <col min="5" max="9" width="10.7109375" style="205" customWidth="1"/>
    <col min="10" max="10" width="10.42578125" style="205" bestFit="1" customWidth="1"/>
    <col min="11" max="22" width="9.85546875" style="205" bestFit="1" customWidth="1"/>
    <col min="23" max="24" width="9.85546875" style="206" bestFit="1" customWidth="1"/>
    <col min="25" max="16384" width="9.140625" style="206"/>
  </cols>
  <sheetData>
    <row r="1" spans="2:24" ht="13.5" thickBot="1" x14ac:dyDescent="0.25"/>
    <row r="2" spans="2:24" ht="13.5" thickBot="1" x14ac:dyDescent="0.25">
      <c r="B2" s="227" t="s">
        <v>591</v>
      </c>
      <c r="C2" s="228">
        <f>IRR(E12:X12)</f>
        <v>0.1397440205082936</v>
      </c>
    </row>
    <row r="3" spans="2:24" ht="13.5" thickBot="1" x14ac:dyDescent="0.25">
      <c r="B3" s="227" t="s">
        <v>474</v>
      </c>
      <c r="C3" s="302">
        <f>NPV(0.1,E10:X10)</f>
        <v>63087404.014662214</v>
      </c>
    </row>
    <row r="4" spans="2:24" ht="13.5" thickBot="1" x14ac:dyDescent="0.25">
      <c r="B4" s="227" t="s">
        <v>475</v>
      </c>
      <c r="C4" s="302">
        <f>NPV(0.1,E11:X11)</f>
        <v>49701914.100345276</v>
      </c>
    </row>
    <row r="5" spans="2:24" ht="13.5" thickBot="1" x14ac:dyDescent="0.25">
      <c r="B5" s="226" t="s">
        <v>472</v>
      </c>
      <c r="C5" s="303">
        <f>NPV(0.1,E12:X12)</f>
        <v>13385489.914316941</v>
      </c>
    </row>
    <row r="6" spans="2:24" ht="15.75" customHeight="1" thickBot="1" x14ac:dyDescent="0.25">
      <c r="D6" s="412" t="s">
        <v>592</v>
      </c>
      <c r="E6" s="413"/>
      <c r="F6" s="413"/>
      <c r="G6" s="413"/>
      <c r="H6" s="413"/>
      <c r="I6" s="413"/>
      <c r="J6" s="414"/>
    </row>
    <row r="7" spans="2:24" x14ac:dyDescent="0.2">
      <c r="E7" s="205" t="s">
        <v>140</v>
      </c>
    </row>
    <row r="8" spans="2:24" x14ac:dyDescent="0.2">
      <c r="B8" s="206"/>
      <c r="D8" s="204" t="s">
        <v>128</v>
      </c>
      <c r="E8" s="205">
        <v>2013</v>
      </c>
      <c r="F8" s="205">
        <v>2014</v>
      </c>
      <c r="G8" s="205">
        <v>2015</v>
      </c>
      <c r="H8" s="205">
        <v>2016</v>
      </c>
      <c r="I8" s="205">
        <v>2017</v>
      </c>
      <c r="J8" s="205">
        <v>2018</v>
      </c>
      <c r="K8" s="205">
        <v>2019</v>
      </c>
      <c r="L8" s="205">
        <v>2020</v>
      </c>
      <c r="M8" s="205">
        <v>2021</v>
      </c>
      <c r="N8" s="205">
        <v>2022</v>
      </c>
      <c r="O8" s="205">
        <v>2023</v>
      </c>
      <c r="P8" s="205">
        <v>2024</v>
      </c>
      <c r="Q8" s="205">
        <v>2025</v>
      </c>
      <c r="R8" s="205">
        <v>2026</v>
      </c>
      <c r="S8" s="205">
        <v>2027</v>
      </c>
      <c r="T8" s="205">
        <v>2028</v>
      </c>
      <c r="U8" s="205">
        <v>2029</v>
      </c>
      <c r="V8" s="205">
        <v>2030</v>
      </c>
      <c r="W8" s="205">
        <v>2031</v>
      </c>
      <c r="X8" s="205">
        <v>2032</v>
      </c>
    </row>
    <row r="9" spans="2:24" s="204" customFormat="1" x14ac:dyDescent="0.2">
      <c r="D9" s="207"/>
      <c r="E9" s="208">
        <v>1</v>
      </c>
      <c r="F9" s="208">
        <v>2</v>
      </c>
      <c r="G9" s="208">
        <v>3</v>
      </c>
      <c r="H9" s="208">
        <v>4</v>
      </c>
      <c r="I9" s="208">
        <v>5</v>
      </c>
      <c r="J9" s="208">
        <v>6</v>
      </c>
      <c r="K9" s="208">
        <v>7</v>
      </c>
      <c r="L9" s="208">
        <v>8</v>
      </c>
      <c r="M9" s="208">
        <v>9</v>
      </c>
      <c r="N9" s="208">
        <v>10</v>
      </c>
      <c r="O9" s="208">
        <v>11</v>
      </c>
      <c r="P9" s="208">
        <v>12</v>
      </c>
      <c r="Q9" s="208">
        <v>13</v>
      </c>
      <c r="R9" s="208">
        <v>14</v>
      </c>
      <c r="S9" s="208">
        <v>15</v>
      </c>
      <c r="T9" s="208">
        <v>16</v>
      </c>
      <c r="U9" s="208">
        <v>17</v>
      </c>
      <c r="V9" s="208">
        <v>18</v>
      </c>
      <c r="W9" s="208">
        <v>19</v>
      </c>
      <c r="X9" s="208">
        <v>20</v>
      </c>
    </row>
    <row r="10" spans="2:24" x14ac:dyDescent="0.2">
      <c r="B10" s="206"/>
      <c r="C10" s="206"/>
      <c r="D10" s="209" t="s">
        <v>424</v>
      </c>
      <c r="E10" s="301">
        <f>(E16+E20+E24+'Fiscal Space'!E14+E28)*(1-'ERR &amp; Sensitivity Analysis'!$G$19)</f>
        <v>0</v>
      </c>
      <c r="F10" s="301">
        <f>(F16+F20+F24+'Fiscal Space'!F14+F28)*(1-'ERR &amp; Sensitivity Analysis'!$G$19)</f>
        <v>0</v>
      </c>
      <c r="G10" s="301">
        <f>(G16+G20+G24+'Fiscal Space'!G14+G28)*(1-'ERR &amp; Sensitivity Analysis'!$G$19)</f>
        <v>0</v>
      </c>
      <c r="H10" s="301">
        <f>(H16+H20+H24+'Fiscal Space'!H14+H28)*(1-'ERR &amp; Sensitivity Analysis'!$G$19)</f>
        <v>0</v>
      </c>
      <c r="I10" s="301">
        <f>(I16+I20+I24+'Fiscal Space'!I14+I28)*(1-'ERR &amp; Sensitivity Analysis'!$G$19)</f>
        <v>0</v>
      </c>
      <c r="J10" s="301">
        <f>(J16+J20+J24+J28)*(1-'ERR &amp; Sensitivity Analysis'!$G$19)^(J$9-5)</f>
        <v>13358116.353554534</v>
      </c>
      <c r="K10" s="301">
        <f>(K16+K20+K24+K28)*(1-'ERR &amp; Sensitivity Analysis'!$G$19)^(K$9-5)</f>
        <v>13358116.353554534</v>
      </c>
      <c r="L10" s="301">
        <f>(L16+L20+L24+L28)*(1-'ERR &amp; Sensitivity Analysis'!$G$19)^(L$9-5)</f>
        <v>13358116.353554534</v>
      </c>
      <c r="M10" s="301">
        <f>(M16+M20+M24+M28)*(1-'ERR &amp; Sensitivity Analysis'!$G$19)^(M$9-5)</f>
        <v>13358116.353554534</v>
      </c>
      <c r="N10" s="301">
        <f>(N16+N20+N24+N28)*(1-'ERR &amp; Sensitivity Analysis'!$G$19)^(N$9-5)</f>
        <v>13358116.353554534</v>
      </c>
      <c r="O10" s="301">
        <f>(O16+O20+O24+O28)*(1-'ERR &amp; Sensitivity Analysis'!$G$19)^(O$9-5)</f>
        <v>13358116.353554534</v>
      </c>
      <c r="P10" s="301">
        <f>(P16+P20+P24+P28)*(1-'ERR &amp; Sensitivity Analysis'!$G$19)^(P$9-5)</f>
        <v>13358116.353554534</v>
      </c>
      <c r="Q10" s="301">
        <f>(Q16+Q20+Q24+Q28)*(1-'ERR &amp; Sensitivity Analysis'!$G$19)^(Q$9-5)</f>
        <v>13358116.353554534</v>
      </c>
      <c r="R10" s="301">
        <f>(R16+R20+R24+R28)*(1-'ERR &amp; Sensitivity Analysis'!$G$19)^(R$9-5)</f>
        <v>13358116.353554534</v>
      </c>
      <c r="S10" s="301">
        <f>(S16+S20+S24+S28)*(1-'ERR &amp; Sensitivity Analysis'!$G$19)^(S$9-5)</f>
        <v>13358116.353554534</v>
      </c>
      <c r="T10" s="301">
        <f>(T16+T20+T24+T28)*(1-'ERR &amp; Sensitivity Analysis'!$G$19)^(T$9-5)</f>
        <v>13358116.353554534</v>
      </c>
      <c r="U10" s="301">
        <f>(U16+U20+U24+U28)*(1-'ERR &amp; Sensitivity Analysis'!$G$19)^(U$9-5)</f>
        <v>13358116.353554534</v>
      </c>
      <c r="V10" s="301">
        <f>(V16+V20+V24+V28)*(1-'ERR &amp; Sensitivity Analysis'!$G$19)^(V$9-5)</f>
        <v>13358116.353554534</v>
      </c>
      <c r="W10" s="301">
        <f>(W16+W20+W24+W28)*(1-'ERR &amp; Sensitivity Analysis'!$G$19)^(W$9-5)</f>
        <v>13358116.353554534</v>
      </c>
      <c r="X10" s="301">
        <f>(X16+X20+X24+X28)*(1-'ERR &amp; Sensitivity Analysis'!$G$19)^(X$9-5)</f>
        <v>13358116.353554534</v>
      </c>
    </row>
    <row r="11" spans="2:24" x14ac:dyDescent="0.2">
      <c r="B11" s="206"/>
      <c r="C11" s="206"/>
      <c r="D11" s="209" t="s">
        <v>425</v>
      </c>
      <c r="E11" s="301">
        <f>'Program Costs'!H5</f>
        <v>2528940.84</v>
      </c>
      <c r="F11" s="301">
        <f>'Program Costs'!I5+'ERR &amp; Sensitivity Analysis'!$G$13*SUM($E$11:E$11)</f>
        <v>7131961.7876000004</v>
      </c>
      <c r="G11" s="301">
        <f>'Program Costs'!J5+'ERR &amp; Sensitivity Analysis'!$G$13*SUM($E$11:F$11)</f>
        <v>14667318.674414</v>
      </c>
      <c r="H11" s="301">
        <f>'Program Costs'!K5+'ERR &amp; Sensitivity Analysis'!$G$13*SUM($E$11:G$11)</f>
        <v>20915833.929530211</v>
      </c>
      <c r="I11" s="301">
        <f>'Program Costs'!L5+'ERR &amp; Sensitivity Analysis'!$G$13*SUM($E$11:H$11)</f>
        <v>15439742.883473163</v>
      </c>
      <c r="J11" s="301">
        <f>'Program Costs'!M5+'ERR &amp; Sensitivity Analysis'!$G$13*SUM($E$11:I$11)</f>
        <v>4007876.5767252613</v>
      </c>
      <c r="K11" s="301">
        <f>'ERR &amp; Sensitivity Analysis'!$G$13*SUM($E$11:J$11)</f>
        <v>970375.12037613953</v>
      </c>
      <c r="L11" s="301">
        <f>'ERR &amp; Sensitivity Analysis'!$G$13*SUM($E$11:K$11)</f>
        <v>984930.74718178157</v>
      </c>
      <c r="M11" s="301">
        <f>'ERR &amp; Sensitivity Analysis'!$G$13*SUM($E$11:L$11)</f>
        <v>999704.70838950831</v>
      </c>
      <c r="N11" s="301">
        <f>'ERR &amp; Sensitivity Analysis'!$G$13*SUM($E$11:M$11)</f>
        <v>1014700.2790153509</v>
      </c>
      <c r="O11" s="301">
        <f>'ERR &amp; Sensitivity Analysis'!$G$13*SUM($E$11:N$11)</f>
        <v>1029920.7832005811</v>
      </c>
      <c r="P11" s="301">
        <f>'ERR &amp; Sensitivity Analysis'!$G$13*SUM($E$11:O$11)</f>
        <v>1045369.5949485898</v>
      </c>
      <c r="Q11" s="301">
        <f>'ERR &amp; Sensitivity Analysis'!$G$13*SUM($E$11:P$11)</f>
        <v>1061050.1388728186</v>
      </c>
      <c r="R11" s="301">
        <f>'ERR &amp; Sensitivity Analysis'!$G$13*SUM($E$11:Q$11)</f>
        <v>1076965.8909559108</v>
      </c>
      <c r="S11" s="301">
        <f>'ERR &amp; Sensitivity Analysis'!$G$13*SUM($E$11:R$11)</f>
        <v>1093120.3793202494</v>
      </c>
      <c r="T11" s="301">
        <f>'ERR &amp; Sensitivity Analysis'!$G$13*SUM($E$11:S$11)</f>
        <v>1109517.1850100532</v>
      </c>
      <c r="U11" s="301">
        <f>'ERR &amp; Sensitivity Analysis'!$G$13*SUM($E$11:T$11)</f>
        <v>1126159.9427852042</v>
      </c>
      <c r="V11" s="301">
        <f>'ERR &amp; Sensitivity Analysis'!$G$13*SUM($E$11:U$11)</f>
        <v>1143052.3419269822</v>
      </c>
      <c r="W11" s="301">
        <f>'ERR &amp; Sensitivity Analysis'!$G$13*SUM($E$11:V$11)</f>
        <v>1160198.1270558869</v>
      </c>
      <c r="X11" s="301">
        <f>'ERR &amp; Sensitivity Analysis'!$G$13*SUM($E$11:W$11)</f>
        <v>1177601.0989617251</v>
      </c>
    </row>
    <row r="12" spans="2:24" x14ac:dyDescent="0.2">
      <c r="B12" s="206"/>
      <c r="C12" s="206"/>
      <c r="D12" s="209" t="s">
        <v>426</v>
      </c>
      <c r="E12" s="301">
        <f t="shared" ref="E12:X12" si="0">E10-E11</f>
        <v>-2528940.84</v>
      </c>
      <c r="F12" s="301">
        <f t="shared" si="0"/>
        <v>-7131961.7876000004</v>
      </c>
      <c r="G12" s="301">
        <f t="shared" si="0"/>
        <v>-14667318.674414</v>
      </c>
      <c r="H12" s="301">
        <f t="shared" si="0"/>
        <v>-20915833.929530211</v>
      </c>
      <c r="I12" s="301">
        <f t="shared" si="0"/>
        <v>-15439742.883473163</v>
      </c>
      <c r="J12" s="301">
        <f t="shared" si="0"/>
        <v>9350239.7768292725</v>
      </c>
      <c r="K12" s="301">
        <f>K10-K11</f>
        <v>12387741.233178394</v>
      </c>
      <c r="L12" s="301">
        <f t="shared" si="0"/>
        <v>12373185.606372751</v>
      </c>
      <c r="M12" s="301">
        <f t="shared" si="0"/>
        <v>12358411.645165026</v>
      </c>
      <c r="N12" s="301">
        <f t="shared" si="0"/>
        <v>12343416.074539183</v>
      </c>
      <c r="O12" s="301">
        <f t="shared" si="0"/>
        <v>12328195.570353953</v>
      </c>
      <c r="P12" s="301">
        <f t="shared" si="0"/>
        <v>12312746.758605944</v>
      </c>
      <c r="Q12" s="301">
        <f t="shared" si="0"/>
        <v>12297066.214681715</v>
      </c>
      <c r="R12" s="301">
        <f t="shared" si="0"/>
        <v>12281150.462598624</v>
      </c>
      <c r="S12" s="301">
        <f t="shared" si="0"/>
        <v>12264995.974234285</v>
      </c>
      <c r="T12" s="301">
        <f t="shared" si="0"/>
        <v>12248599.168544481</v>
      </c>
      <c r="U12" s="301">
        <f t="shared" si="0"/>
        <v>12231956.41076933</v>
      </c>
      <c r="V12" s="301">
        <f t="shared" si="0"/>
        <v>12215064.011627551</v>
      </c>
      <c r="W12" s="301">
        <f t="shared" si="0"/>
        <v>12197918.226498647</v>
      </c>
      <c r="X12" s="301">
        <f t="shared" si="0"/>
        <v>12180515.254592808</v>
      </c>
    </row>
    <row r="13" spans="2:24" x14ac:dyDescent="0.2">
      <c r="B13" s="206"/>
      <c r="C13" s="204"/>
      <c r="W13" s="205"/>
    </row>
    <row r="14" spans="2:24" x14ac:dyDescent="0.2">
      <c r="B14" s="206"/>
      <c r="C14" s="206"/>
      <c r="D14" s="204" t="s">
        <v>427</v>
      </c>
      <c r="W14" s="205"/>
      <c r="X14" s="205"/>
    </row>
    <row r="15" spans="2:24" s="204" customFormat="1" x14ac:dyDescent="0.2">
      <c r="D15" s="210"/>
      <c r="E15" s="208">
        <v>1</v>
      </c>
      <c r="F15" s="208">
        <v>2</v>
      </c>
      <c r="G15" s="208">
        <v>3</v>
      </c>
      <c r="H15" s="208">
        <v>4</v>
      </c>
      <c r="I15" s="208">
        <v>5</v>
      </c>
      <c r="J15" s="208">
        <v>6</v>
      </c>
      <c r="K15" s="208">
        <v>7</v>
      </c>
      <c r="L15" s="208">
        <v>8</v>
      </c>
      <c r="M15" s="208">
        <v>9</v>
      </c>
      <c r="N15" s="208">
        <v>10</v>
      </c>
      <c r="O15" s="208">
        <v>11</v>
      </c>
      <c r="P15" s="208">
        <v>12</v>
      </c>
      <c r="Q15" s="208">
        <v>13</v>
      </c>
      <c r="R15" s="208">
        <v>14</v>
      </c>
      <c r="S15" s="208">
        <v>15</v>
      </c>
      <c r="T15" s="208">
        <v>16</v>
      </c>
      <c r="U15" s="208">
        <v>17</v>
      </c>
      <c r="V15" s="208">
        <v>18</v>
      </c>
      <c r="W15" s="208">
        <v>19</v>
      </c>
      <c r="X15" s="208">
        <v>20</v>
      </c>
    </row>
    <row r="16" spans="2:24" x14ac:dyDescent="0.2">
      <c r="B16" s="206"/>
      <c r="C16" s="206"/>
      <c r="D16" s="211" t="s">
        <v>424</v>
      </c>
      <c r="E16" s="301">
        <v>0</v>
      </c>
      <c r="F16" s="301">
        <v>0</v>
      </c>
      <c r="G16" s="301">
        <v>0</v>
      </c>
      <c r="H16" s="301">
        <v>0</v>
      </c>
      <c r="I16" s="301">
        <v>0</v>
      </c>
      <c r="J16" s="301">
        <f>Parameters!$C3*('ERR &amp; Sensitivity Analysis'!$G$15-'ERR &amp; Sensitivity Analysis'!$G$16)*'ERR &amp; Sensitivity Analysis'!$G$14</f>
        <v>13358116.353554534</v>
      </c>
      <c r="K16" s="301">
        <f>Parameters!$C3*('ERR &amp; Sensitivity Analysis'!$G$15-'ERR &amp; Sensitivity Analysis'!$G$16)*'ERR &amp; Sensitivity Analysis'!$G$14</f>
        <v>13358116.353554534</v>
      </c>
      <c r="L16" s="301">
        <f>Parameters!$C3*('ERR &amp; Sensitivity Analysis'!$G$15-'ERR &amp; Sensitivity Analysis'!$G$16)*'ERR &amp; Sensitivity Analysis'!$G$14</f>
        <v>13358116.353554534</v>
      </c>
      <c r="M16" s="301">
        <f>Parameters!$C3*('ERR &amp; Sensitivity Analysis'!$G$15-'ERR &amp; Sensitivity Analysis'!$G$16)*'ERR &amp; Sensitivity Analysis'!$G$14</f>
        <v>13358116.353554534</v>
      </c>
      <c r="N16" s="301">
        <f>Parameters!$C3*('ERR &amp; Sensitivity Analysis'!$G$15-'ERR &amp; Sensitivity Analysis'!$G$16)*'ERR &amp; Sensitivity Analysis'!$G$14</f>
        <v>13358116.353554534</v>
      </c>
      <c r="O16" s="301">
        <f>Parameters!$C3*('ERR &amp; Sensitivity Analysis'!$G$15-'ERR &amp; Sensitivity Analysis'!$G$16)*'ERR &amp; Sensitivity Analysis'!$G$14</f>
        <v>13358116.353554534</v>
      </c>
      <c r="P16" s="301">
        <f>Parameters!$C3*('ERR &amp; Sensitivity Analysis'!$G$15-'ERR &amp; Sensitivity Analysis'!$G$16)*'ERR &amp; Sensitivity Analysis'!$G$14</f>
        <v>13358116.353554534</v>
      </c>
      <c r="Q16" s="301">
        <f>Parameters!$C3*('ERR &amp; Sensitivity Analysis'!$G$15-'ERR &amp; Sensitivity Analysis'!$G$16)*'ERR &amp; Sensitivity Analysis'!$G$14</f>
        <v>13358116.353554534</v>
      </c>
      <c r="R16" s="301">
        <f>Parameters!$C3*('ERR &amp; Sensitivity Analysis'!$G$15-'ERR &amp; Sensitivity Analysis'!$G$16)*'ERR &amp; Sensitivity Analysis'!$G$14</f>
        <v>13358116.353554534</v>
      </c>
      <c r="S16" s="301">
        <f>Parameters!$C3*('ERR &amp; Sensitivity Analysis'!$G$15-'ERR &amp; Sensitivity Analysis'!$G$16)*'ERR &amp; Sensitivity Analysis'!$G$14</f>
        <v>13358116.353554534</v>
      </c>
      <c r="T16" s="301">
        <f>Parameters!$C3*('ERR &amp; Sensitivity Analysis'!$G$15-'ERR &amp; Sensitivity Analysis'!$G$16)*'ERR &amp; Sensitivity Analysis'!$G$14</f>
        <v>13358116.353554534</v>
      </c>
      <c r="U16" s="301">
        <f>Parameters!$C3*('ERR &amp; Sensitivity Analysis'!$G$15-'ERR &amp; Sensitivity Analysis'!$G$16)*'ERR &amp; Sensitivity Analysis'!$G$14</f>
        <v>13358116.353554534</v>
      </c>
      <c r="V16" s="301">
        <f>Parameters!$C3*('ERR &amp; Sensitivity Analysis'!$G$15-'ERR &amp; Sensitivity Analysis'!$G$16)*'ERR &amp; Sensitivity Analysis'!$G$14</f>
        <v>13358116.353554534</v>
      </c>
      <c r="W16" s="301">
        <f>Parameters!$C3*('ERR &amp; Sensitivity Analysis'!$G$15-'ERR &amp; Sensitivity Analysis'!$G$16)*'ERR &amp; Sensitivity Analysis'!$G$14</f>
        <v>13358116.353554534</v>
      </c>
      <c r="X16" s="301">
        <f>Parameters!$C3*('ERR &amp; Sensitivity Analysis'!$G$15-'ERR &amp; Sensitivity Analysis'!$G$16)*'ERR &amp; Sensitivity Analysis'!$G$14</f>
        <v>13358116.353554534</v>
      </c>
    </row>
    <row r="17" spans="2:24" x14ac:dyDescent="0.2">
      <c r="B17" s="206"/>
      <c r="C17" s="206"/>
      <c r="D17" s="204"/>
      <c r="W17" s="205"/>
      <c r="X17" s="205"/>
    </row>
    <row r="18" spans="2:24" x14ac:dyDescent="0.2">
      <c r="B18" s="206"/>
      <c r="C18" s="206"/>
      <c r="D18" s="204" t="s">
        <v>428</v>
      </c>
      <c r="W18" s="205"/>
      <c r="X18" s="205"/>
    </row>
    <row r="19" spans="2:24" s="204" customFormat="1" x14ac:dyDescent="0.2">
      <c r="D19" s="210"/>
      <c r="E19" s="208">
        <v>1</v>
      </c>
      <c r="F19" s="208">
        <v>2</v>
      </c>
      <c r="G19" s="208">
        <v>3</v>
      </c>
      <c r="H19" s="208">
        <v>4</v>
      </c>
      <c r="I19" s="208">
        <v>5</v>
      </c>
      <c r="J19" s="208">
        <v>6</v>
      </c>
      <c r="K19" s="208">
        <v>7</v>
      </c>
      <c r="L19" s="208">
        <v>8</v>
      </c>
      <c r="M19" s="208">
        <v>9</v>
      </c>
      <c r="N19" s="208">
        <v>10</v>
      </c>
      <c r="O19" s="208">
        <v>11</v>
      </c>
      <c r="P19" s="208">
        <v>12</v>
      </c>
      <c r="Q19" s="208">
        <v>13</v>
      </c>
      <c r="R19" s="208">
        <v>14</v>
      </c>
      <c r="S19" s="208">
        <v>15</v>
      </c>
      <c r="T19" s="208">
        <v>16</v>
      </c>
      <c r="U19" s="208">
        <v>17</v>
      </c>
      <c r="V19" s="208">
        <v>18</v>
      </c>
      <c r="W19" s="208">
        <v>19</v>
      </c>
      <c r="X19" s="208">
        <v>20</v>
      </c>
    </row>
    <row r="20" spans="2:24" x14ac:dyDescent="0.2">
      <c r="B20" s="206"/>
      <c r="C20" s="206"/>
      <c r="D20" s="211" t="s">
        <v>424</v>
      </c>
      <c r="E20" s="301">
        <v>0</v>
      </c>
      <c r="F20" s="301">
        <v>0</v>
      </c>
      <c r="G20" s="301">
        <v>0</v>
      </c>
      <c r="H20" s="301">
        <v>0</v>
      </c>
      <c r="I20" s="301">
        <v>0</v>
      </c>
      <c r="J20" s="301">
        <f>1690000000*(Parameters!$C$11)*(1-'ERR &amp; Sensitivity Analysis'!$G$14*(1+Parameters!$C$9/Parameters!$C$7))</f>
        <v>0</v>
      </c>
      <c r="K20" s="301">
        <f>1690000000*(Parameters!$C$11)*(1-'ERR &amp; Sensitivity Analysis'!$G$14*(1+Parameters!$C$9/Parameters!$C$7))</f>
        <v>0</v>
      </c>
      <c r="L20" s="301">
        <f>1690000000*(Parameters!$C$11)*(1-'ERR &amp; Sensitivity Analysis'!$G$14*(1+Parameters!$C$9/Parameters!$C$7))</f>
        <v>0</v>
      </c>
      <c r="M20" s="301">
        <f>1690000000*(Parameters!$C$11)*(1-'ERR &amp; Sensitivity Analysis'!$G$14*(1+Parameters!$C$9/Parameters!$C$7))</f>
        <v>0</v>
      </c>
      <c r="N20" s="301">
        <f>1690000000*(Parameters!$C$11)*(1-'ERR &amp; Sensitivity Analysis'!$G$14*(1+Parameters!$C$9/Parameters!$C$7))</f>
        <v>0</v>
      </c>
      <c r="O20" s="301">
        <f>1690000000*(Parameters!$C$11)*(1-'ERR &amp; Sensitivity Analysis'!$G$14*(1+Parameters!$C$9/Parameters!$C$7))</f>
        <v>0</v>
      </c>
      <c r="P20" s="301">
        <f>1690000000*(Parameters!$C$11)*(1-'ERR &amp; Sensitivity Analysis'!$G$14*(1+Parameters!$C$9/Parameters!$C$7))</f>
        <v>0</v>
      </c>
      <c r="Q20" s="301">
        <f>1690000000*(Parameters!$C$11)*(1-'ERR &amp; Sensitivity Analysis'!$G$14*(1+Parameters!$C$9/Parameters!$C$7))</f>
        <v>0</v>
      </c>
      <c r="R20" s="301">
        <f>1690000000*(Parameters!$C$11)*(1-'ERR &amp; Sensitivity Analysis'!$G$14*(1+Parameters!$C$9/Parameters!$C$7))</f>
        <v>0</v>
      </c>
      <c r="S20" s="301">
        <f>1690000000*(Parameters!$C$11)*(1-'ERR &amp; Sensitivity Analysis'!$G$14*(1+Parameters!$C$9/Parameters!$C$7))</f>
        <v>0</v>
      </c>
      <c r="T20" s="301">
        <f>1690000000*(Parameters!$C$11)*(1-'ERR &amp; Sensitivity Analysis'!$G$14*(1+Parameters!$C$9/Parameters!$C$7))</f>
        <v>0</v>
      </c>
      <c r="U20" s="301">
        <f>1690000000*(Parameters!$C$11)*(1-'ERR &amp; Sensitivity Analysis'!$G$14*(1+Parameters!$C$9/Parameters!$C$7))</f>
        <v>0</v>
      </c>
      <c r="V20" s="301">
        <f>1690000000*(Parameters!$C$11)*(1-'ERR &amp; Sensitivity Analysis'!$G$14*(1+Parameters!$C$9/Parameters!$C$7))</f>
        <v>0</v>
      </c>
      <c r="W20" s="301">
        <f>1690000000*(Parameters!$C$11)*(1-'ERR &amp; Sensitivity Analysis'!$G$14*(1+Parameters!$C$9/Parameters!$C$7))</f>
        <v>0</v>
      </c>
      <c r="X20" s="301">
        <f>1690000000*(Parameters!$C$11)*(1-'ERR &amp; Sensitivity Analysis'!$G$14*(1+Parameters!$C$9/Parameters!$C$7))</f>
        <v>0</v>
      </c>
    </row>
    <row r="21" spans="2:24" x14ac:dyDescent="0.2">
      <c r="B21" s="206"/>
      <c r="C21" s="206"/>
      <c r="D21" s="204"/>
      <c r="W21" s="205"/>
      <c r="X21" s="205"/>
    </row>
    <row r="22" spans="2:24" x14ac:dyDescent="0.2">
      <c r="B22" s="206"/>
      <c r="C22" s="206"/>
      <c r="D22" s="204" t="s">
        <v>429</v>
      </c>
      <c r="W22" s="205"/>
      <c r="X22" s="205"/>
    </row>
    <row r="23" spans="2:24" s="204" customFormat="1" x14ac:dyDescent="0.2">
      <c r="D23" s="210"/>
      <c r="E23" s="208">
        <v>1</v>
      </c>
      <c r="F23" s="208">
        <v>2</v>
      </c>
      <c r="G23" s="208">
        <v>3</v>
      </c>
      <c r="H23" s="208">
        <v>4</v>
      </c>
      <c r="I23" s="208">
        <v>5</v>
      </c>
      <c r="J23" s="208">
        <v>6</v>
      </c>
      <c r="K23" s="208">
        <v>7</v>
      </c>
      <c r="L23" s="208">
        <v>8</v>
      </c>
      <c r="M23" s="208">
        <v>9</v>
      </c>
      <c r="N23" s="208">
        <v>10</v>
      </c>
      <c r="O23" s="208">
        <v>11</v>
      </c>
      <c r="P23" s="208">
        <v>12</v>
      </c>
      <c r="Q23" s="208">
        <v>13</v>
      </c>
      <c r="R23" s="208">
        <v>14</v>
      </c>
      <c r="S23" s="208">
        <v>15</v>
      </c>
      <c r="T23" s="208">
        <v>16</v>
      </c>
      <c r="U23" s="208">
        <v>17</v>
      </c>
      <c r="V23" s="208">
        <v>18</v>
      </c>
      <c r="W23" s="208">
        <v>19</v>
      </c>
      <c r="X23" s="208">
        <v>20</v>
      </c>
    </row>
    <row r="24" spans="2:24" x14ac:dyDescent="0.2">
      <c r="B24" s="206"/>
      <c r="C24" s="206"/>
      <c r="D24" s="211" t="s">
        <v>424</v>
      </c>
      <c r="E24" s="301">
        <v>0</v>
      </c>
      <c r="F24" s="301">
        <v>0</v>
      </c>
      <c r="G24" s="301">
        <v>0</v>
      </c>
      <c r="H24" s="301">
        <v>0</v>
      </c>
      <c r="I24" s="301">
        <v>0</v>
      </c>
      <c r="J24" s="301">
        <f>1690000000*(Parameters!$C$12)*(1-'ERR &amp; Sensitivity Analysis'!$G$14*(1+Parameters!$C$8/Parameters!$C$7))</f>
        <v>0</v>
      </c>
      <c r="K24" s="301">
        <f>1690000000*(Parameters!$C$12)*(1-'ERR &amp; Sensitivity Analysis'!$G$14*(1+Parameters!$C$8/Parameters!$C$7))</f>
        <v>0</v>
      </c>
      <c r="L24" s="301">
        <f>1690000000*(Parameters!$C$12)*(1-'ERR &amp; Sensitivity Analysis'!$G$14*(1+Parameters!$C$8/Parameters!$C$7))</f>
        <v>0</v>
      </c>
      <c r="M24" s="301">
        <f>1690000000*(Parameters!$C$12)*(1-'ERR &amp; Sensitivity Analysis'!$G$14*(1+Parameters!$C$8/Parameters!$C$7))</f>
        <v>0</v>
      </c>
      <c r="N24" s="301">
        <f>1690000000*(Parameters!$C$12)*(1-'ERR &amp; Sensitivity Analysis'!$G$14*(1+Parameters!$C$8/Parameters!$C$7))</f>
        <v>0</v>
      </c>
      <c r="O24" s="301">
        <f>1690000000*(Parameters!$C$12)*(1-'ERR &amp; Sensitivity Analysis'!$G$14*(1+Parameters!$C$8/Parameters!$C$7))</f>
        <v>0</v>
      </c>
      <c r="P24" s="301">
        <f>1690000000*(Parameters!$C$12)*(1-'ERR &amp; Sensitivity Analysis'!$G$14*(1+Parameters!$C$8/Parameters!$C$7))</f>
        <v>0</v>
      </c>
      <c r="Q24" s="301">
        <f>1690000000*(Parameters!$C$12)*(1-'ERR &amp; Sensitivity Analysis'!$G$14*(1+Parameters!$C$8/Parameters!$C$7))</f>
        <v>0</v>
      </c>
      <c r="R24" s="301">
        <f>1690000000*(Parameters!$C$12)*(1-'ERR &amp; Sensitivity Analysis'!$G$14*(1+Parameters!$C$8/Parameters!$C$7))</f>
        <v>0</v>
      </c>
      <c r="S24" s="301">
        <f>1690000000*(Parameters!$C$12)*(1-'ERR &amp; Sensitivity Analysis'!$G$14*(1+Parameters!$C$8/Parameters!$C$7))</f>
        <v>0</v>
      </c>
      <c r="T24" s="301">
        <f>1690000000*(Parameters!$C$12)*(1-'ERR &amp; Sensitivity Analysis'!$G$14*(1+Parameters!$C$8/Parameters!$C$7))</f>
        <v>0</v>
      </c>
      <c r="U24" s="301">
        <f>1690000000*(Parameters!$C$12)*(1-'ERR &amp; Sensitivity Analysis'!$G$14*(1+Parameters!$C$8/Parameters!$C$7))</f>
        <v>0</v>
      </c>
      <c r="V24" s="301">
        <f>1690000000*(Parameters!$C$12)*(1-'ERR &amp; Sensitivity Analysis'!$G$14*(1+Parameters!$C$8/Parameters!$C$7))</f>
        <v>0</v>
      </c>
      <c r="W24" s="301">
        <f>1690000000*(Parameters!$C$12)*(1-'ERR &amp; Sensitivity Analysis'!$G$14*(1+Parameters!$C$8/Parameters!$C$7))</f>
        <v>0</v>
      </c>
      <c r="X24" s="301">
        <f>1690000000*(Parameters!$C$12)*(1-'ERR &amp; Sensitivity Analysis'!$G$14*(1+Parameters!$C$8/Parameters!$C$7))</f>
        <v>0</v>
      </c>
    </row>
    <row r="26" spans="2:24" x14ac:dyDescent="0.2">
      <c r="B26" s="206"/>
      <c r="C26" s="206"/>
      <c r="D26" s="204" t="s">
        <v>430</v>
      </c>
      <c r="W26" s="205"/>
      <c r="X26" s="205"/>
    </row>
    <row r="27" spans="2:24" s="204" customFormat="1" x14ac:dyDescent="0.2">
      <c r="D27" s="210"/>
      <c r="E27" s="208">
        <v>1</v>
      </c>
      <c r="F27" s="208">
        <v>2</v>
      </c>
      <c r="G27" s="208">
        <v>3</v>
      </c>
      <c r="H27" s="208">
        <v>4</v>
      </c>
      <c r="I27" s="208">
        <v>5</v>
      </c>
      <c r="J27" s="208">
        <v>6</v>
      </c>
      <c r="K27" s="208">
        <v>7</v>
      </c>
      <c r="L27" s="208">
        <v>8</v>
      </c>
      <c r="M27" s="208">
        <v>9</v>
      </c>
      <c r="N27" s="208">
        <v>10</v>
      </c>
      <c r="O27" s="208">
        <v>11</v>
      </c>
      <c r="P27" s="208">
        <v>12</v>
      </c>
      <c r="Q27" s="208">
        <v>13</v>
      </c>
      <c r="R27" s="208">
        <v>14</v>
      </c>
      <c r="S27" s="208">
        <v>15</v>
      </c>
      <c r="T27" s="208">
        <v>16</v>
      </c>
      <c r="U27" s="208">
        <v>17</v>
      </c>
      <c r="V27" s="208">
        <v>18</v>
      </c>
      <c r="W27" s="208">
        <v>19</v>
      </c>
      <c r="X27" s="208">
        <v>20</v>
      </c>
    </row>
    <row r="28" spans="2:24" x14ac:dyDescent="0.2">
      <c r="B28" s="206"/>
      <c r="C28" s="206"/>
      <c r="D28" s="211" t="s">
        <v>424</v>
      </c>
      <c r="E28" s="301">
        <v>0</v>
      </c>
      <c r="F28" s="301">
        <v>0</v>
      </c>
      <c r="G28" s="301">
        <v>0</v>
      </c>
      <c r="H28" s="301">
        <v>0</v>
      </c>
      <c r="I28" s="301">
        <v>0</v>
      </c>
      <c r="J28" s="301">
        <f>'ERR &amp; Sensitivity Analysis'!$G$17*1000000*('ERR &amp; Sensitivity Analysis'!$G$15-'ERR &amp; Sensitivity Analysis'!$G$16)*'ERR &amp; Sensitivity Analysis'!$G$14*'ERR &amp; Sensitivity Analysis'!$G$18</f>
        <v>0</v>
      </c>
      <c r="K28" s="301">
        <f>'ERR &amp; Sensitivity Analysis'!$G$17*1000000*('ERR &amp; Sensitivity Analysis'!$G$15-'ERR &amp; Sensitivity Analysis'!$G$16)*'ERR &amp; Sensitivity Analysis'!$G$14*'ERR &amp; Sensitivity Analysis'!$G$18</f>
        <v>0</v>
      </c>
      <c r="L28" s="301">
        <f>'ERR &amp; Sensitivity Analysis'!$G$17*1000000*('ERR &amp; Sensitivity Analysis'!$G$15-'ERR &amp; Sensitivity Analysis'!$G$16)*'ERR &amp; Sensitivity Analysis'!$G$14*'ERR &amp; Sensitivity Analysis'!$G$18</f>
        <v>0</v>
      </c>
      <c r="M28" s="301">
        <f>'ERR &amp; Sensitivity Analysis'!$G$17*1000000*('ERR &amp; Sensitivity Analysis'!$G$15-'ERR &amp; Sensitivity Analysis'!$G$16)*'ERR &amp; Sensitivity Analysis'!$G$14*'ERR &amp; Sensitivity Analysis'!$G$18</f>
        <v>0</v>
      </c>
      <c r="N28" s="301">
        <f>'ERR &amp; Sensitivity Analysis'!$G$17*1000000*('ERR &amp; Sensitivity Analysis'!$G$15-'ERR &amp; Sensitivity Analysis'!$G$16)*'ERR &amp; Sensitivity Analysis'!$G$14*'ERR &amp; Sensitivity Analysis'!$G$18</f>
        <v>0</v>
      </c>
      <c r="O28" s="301">
        <f>'ERR &amp; Sensitivity Analysis'!$G$17*1000000*('ERR &amp; Sensitivity Analysis'!$G$15-'ERR &amp; Sensitivity Analysis'!$G$16)*'ERR &amp; Sensitivity Analysis'!$G$14*'ERR &amp; Sensitivity Analysis'!$G$18</f>
        <v>0</v>
      </c>
      <c r="P28" s="301">
        <f>'ERR &amp; Sensitivity Analysis'!$G$17*1000000*('ERR &amp; Sensitivity Analysis'!$G$15-'ERR &amp; Sensitivity Analysis'!$G$16)*'ERR &amp; Sensitivity Analysis'!$G$14*'ERR &amp; Sensitivity Analysis'!$G$18</f>
        <v>0</v>
      </c>
      <c r="Q28" s="301">
        <f>'ERR &amp; Sensitivity Analysis'!$G$17*1000000*('ERR &amp; Sensitivity Analysis'!$G$15-'ERR &amp; Sensitivity Analysis'!$G$16)*'ERR &amp; Sensitivity Analysis'!$G$14*'ERR &amp; Sensitivity Analysis'!$G$18</f>
        <v>0</v>
      </c>
      <c r="R28" s="301">
        <f>'ERR &amp; Sensitivity Analysis'!$G$17*1000000*('ERR &amp; Sensitivity Analysis'!$G$15-'ERR &amp; Sensitivity Analysis'!$G$16)*'ERR &amp; Sensitivity Analysis'!$G$14*'ERR &amp; Sensitivity Analysis'!$G$18</f>
        <v>0</v>
      </c>
      <c r="S28" s="301">
        <f>'ERR &amp; Sensitivity Analysis'!$G$17*1000000*('ERR &amp; Sensitivity Analysis'!$G$15-'ERR &amp; Sensitivity Analysis'!$G$16)*'ERR &amp; Sensitivity Analysis'!$G$14*'ERR &amp; Sensitivity Analysis'!$G$18</f>
        <v>0</v>
      </c>
      <c r="T28" s="301">
        <f>'ERR &amp; Sensitivity Analysis'!$G$17*1000000*('ERR &amp; Sensitivity Analysis'!$G$15-'ERR &amp; Sensitivity Analysis'!$G$16)*'ERR &amp; Sensitivity Analysis'!$G$14*'ERR &amp; Sensitivity Analysis'!$G$18</f>
        <v>0</v>
      </c>
      <c r="U28" s="301">
        <f>'ERR &amp; Sensitivity Analysis'!$G$17*1000000*('ERR &amp; Sensitivity Analysis'!$G$15-'ERR &amp; Sensitivity Analysis'!$G$16)*'ERR &amp; Sensitivity Analysis'!$G$14*'ERR &amp; Sensitivity Analysis'!$G$18</f>
        <v>0</v>
      </c>
      <c r="V28" s="301">
        <f>'ERR &amp; Sensitivity Analysis'!$G$17*1000000*('ERR &amp; Sensitivity Analysis'!$G$15-'ERR &amp; Sensitivity Analysis'!$G$16)*'ERR &amp; Sensitivity Analysis'!$G$14*'ERR &amp; Sensitivity Analysis'!$G$18</f>
        <v>0</v>
      </c>
      <c r="W28" s="301">
        <f>'ERR &amp; Sensitivity Analysis'!$G$17*1000000*('ERR &amp; Sensitivity Analysis'!$G$15-'ERR &amp; Sensitivity Analysis'!$G$16)*'ERR &amp; Sensitivity Analysis'!$G$14*'ERR &amp; Sensitivity Analysis'!$G$18</f>
        <v>0</v>
      </c>
      <c r="X28" s="301">
        <f>'ERR &amp; Sensitivity Analysis'!$G$17*1000000*('ERR &amp; Sensitivity Analysis'!$G$15-'ERR &amp; Sensitivity Analysis'!$G$16)*'ERR &amp; Sensitivity Analysis'!$G$14*'ERR &amp; Sensitivity Analysis'!$G$18</f>
        <v>0</v>
      </c>
    </row>
    <row r="31" spans="2:24" x14ac:dyDescent="0.2">
      <c r="G31" s="206"/>
    </row>
  </sheetData>
  <mergeCells count="1">
    <mergeCell ref="D6:J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J32"/>
  <sheetViews>
    <sheetView topLeftCell="E1" workbookViewId="0">
      <selection activeCell="F19" sqref="F11:H19"/>
    </sheetView>
  </sheetViews>
  <sheetFormatPr defaultColWidth="9.140625" defaultRowHeight="12.75" x14ac:dyDescent="0.2"/>
  <cols>
    <col min="1" max="1" width="2.7109375" style="206" customWidth="1"/>
    <col min="2" max="2" width="53.42578125" style="206" customWidth="1"/>
    <col min="3" max="3" width="18.42578125" style="206" customWidth="1"/>
    <col min="4" max="4" width="11.7109375" style="206" customWidth="1"/>
    <col min="5" max="5" width="8.7109375" style="206" customWidth="1"/>
    <col min="6" max="6" width="47.42578125" style="206" customWidth="1"/>
    <col min="7" max="7" width="97.140625" style="206" customWidth="1"/>
    <col min="8" max="16384" width="9.140625" style="206"/>
  </cols>
  <sheetData>
    <row r="2" spans="2:7" ht="15" x14ac:dyDescent="0.2">
      <c r="B2" s="254" t="s">
        <v>431</v>
      </c>
      <c r="C2" s="254" t="s">
        <v>432</v>
      </c>
      <c r="D2" s="254" t="s">
        <v>151</v>
      </c>
      <c r="E2" s="254" t="s">
        <v>578</v>
      </c>
      <c r="F2" s="254" t="s">
        <v>433</v>
      </c>
      <c r="G2" s="254" t="s">
        <v>434</v>
      </c>
    </row>
    <row r="3" spans="2:7" ht="15" customHeight="1" x14ac:dyDescent="0.2">
      <c r="B3" s="212" t="s">
        <v>494</v>
      </c>
      <c r="C3" s="267">
        <f>Spend!$E$54/'ERR &amp; Sensitivity Analysis'!$G$12</f>
        <v>1744562668.6110134</v>
      </c>
      <c r="D3" s="212" t="s">
        <v>137</v>
      </c>
      <c r="E3" s="320" t="s">
        <v>139</v>
      </c>
      <c r="F3" s="212" t="s">
        <v>515</v>
      </c>
      <c r="G3" s="212" t="s">
        <v>502</v>
      </c>
    </row>
    <row r="4" spans="2:7" ht="15" customHeight="1" x14ac:dyDescent="0.2">
      <c r="B4" s="212" t="s">
        <v>589</v>
      </c>
      <c r="C4" s="267">
        <f>Spend!$E$5/'ERR &amp; Sensitivity Analysis'!$G$12</f>
        <v>10515741322.238852</v>
      </c>
      <c r="D4" s="212" t="s">
        <v>137</v>
      </c>
      <c r="E4" s="320" t="s">
        <v>139</v>
      </c>
      <c r="F4" s="212" t="s">
        <v>515</v>
      </c>
      <c r="G4" s="212" t="s">
        <v>502</v>
      </c>
    </row>
    <row r="5" spans="2:7" ht="15" customHeight="1" x14ac:dyDescent="0.2">
      <c r="B5" s="212" t="s">
        <v>561</v>
      </c>
      <c r="C5" s="271">
        <v>1.4999999999999999E-2</v>
      </c>
      <c r="D5" s="212" t="s">
        <v>574</v>
      </c>
      <c r="E5" s="321">
        <v>1.4999999999999999E-2</v>
      </c>
      <c r="F5" s="212" t="s">
        <v>559</v>
      </c>
      <c r="G5" s="212" t="s">
        <v>560</v>
      </c>
    </row>
    <row r="6" spans="2:7" ht="15" customHeight="1" x14ac:dyDescent="0.2">
      <c r="B6" s="212" t="s">
        <v>491</v>
      </c>
      <c r="C6" s="255">
        <v>13308.326999999999</v>
      </c>
      <c r="D6" s="212" t="s">
        <v>517</v>
      </c>
      <c r="E6" s="320"/>
      <c r="F6" s="212" t="s">
        <v>492</v>
      </c>
      <c r="G6" s="241" t="s">
        <v>503</v>
      </c>
    </row>
    <row r="7" spans="2:7" ht="15" customHeight="1" x14ac:dyDescent="0.2">
      <c r="B7" s="212" t="s">
        <v>495</v>
      </c>
      <c r="C7" s="271">
        <v>0.58899999999999997</v>
      </c>
      <c r="D7" s="212" t="s">
        <v>586</v>
      </c>
      <c r="E7" s="321"/>
      <c r="F7" s="212" t="s">
        <v>580</v>
      </c>
      <c r="G7" s="212" t="s">
        <v>501</v>
      </c>
    </row>
    <row r="8" spans="2:7" ht="15" customHeight="1" x14ac:dyDescent="0.2">
      <c r="B8" s="212" t="s">
        <v>569</v>
      </c>
      <c r="C8" s="271">
        <v>0.32600000000000001</v>
      </c>
      <c r="D8" s="212" t="s">
        <v>153</v>
      </c>
      <c r="E8" s="321"/>
      <c r="F8" s="212" t="s">
        <v>580</v>
      </c>
      <c r="G8" s="212" t="s">
        <v>501</v>
      </c>
    </row>
    <row r="9" spans="2:7" ht="15" customHeight="1" x14ac:dyDescent="0.2">
      <c r="B9" s="212" t="s">
        <v>570</v>
      </c>
      <c r="C9" s="271">
        <f>1-($C$7+$C$8)</f>
        <v>8.4999999999999964E-2</v>
      </c>
      <c r="D9" s="212" t="s">
        <v>153</v>
      </c>
      <c r="E9" s="321"/>
      <c r="F9" s="212" t="s">
        <v>514</v>
      </c>
      <c r="G9" s="212" t="s">
        <v>501</v>
      </c>
    </row>
    <row r="10" spans="2:7" ht="15" customHeight="1" x14ac:dyDescent="0.2">
      <c r="B10" s="212" t="s">
        <v>566</v>
      </c>
      <c r="C10" s="271">
        <v>6.6000000000000003E-2</v>
      </c>
      <c r="D10" s="212" t="s">
        <v>153</v>
      </c>
      <c r="E10" s="321">
        <v>0.03</v>
      </c>
      <c r="F10" s="212" t="s">
        <v>571</v>
      </c>
      <c r="G10" s="212" t="s">
        <v>504</v>
      </c>
    </row>
    <row r="11" spans="2:7" ht="15" customHeight="1" x14ac:dyDescent="0.2">
      <c r="B11" s="212" t="s">
        <v>567</v>
      </c>
      <c r="C11" s="271">
        <v>0</v>
      </c>
      <c r="D11" s="212" t="s">
        <v>153</v>
      </c>
      <c r="E11" s="321"/>
      <c r="F11" s="212" t="s">
        <v>572</v>
      </c>
      <c r="G11" s="212" t="s">
        <v>504</v>
      </c>
    </row>
    <row r="12" spans="2:7" ht="15" customHeight="1" x14ac:dyDescent="0.2">
      <c r="B12" s="212" t="s">
        <v>568</v>
      </c>
      <c r="C12" s="271">
        <v>0</v>
      </c>
      <c r="D12" s="212" t="s">
        <v>574</v>
      </c>
      <c r="E12" s="321">
        <v>0.15</v>
      </c>
      <c r="F12" s="212" t="s">
        <v>572</v>
      </c>
      <c r="G12" s="212" t="s">
        <v>504</v>
      </c>
    </row>
    <row r="13" spans="2:7" ht="15" customHeight="1" x14ac:dyDescent="0.2">
      <c r="B13" s="212" t="s">
        <v>496</v>
      </c>
      <c r="C13" s="271">
        <v>5.2999999999999999E-2</v>
      </c>
      <c r="D13" s="212" t="s">
        <v>153</v>
      </c>
      <c r="E13" s="321"/>
      <c r="F13" s="212" t="s">
        <v>516</v>
      </c>
      <c r="G13" s="212" t="s">
        <v>505</v>
      </c>
    </row>
    <row r="14" spans="2:7" ht="15" customHeight="1" x14ac:dyDescent="0.2">
      <c r="B14" s="213" t="s">
        <v>497</v>
      </c>
      <c r="C14" s="271">
        <f>'Procurement Spend'!$GE$9</f>
        <v>0.85986449366755069</v>
      </c>
      <c r="D14" s="212" t="s">
        <v>153</v>
      </c>
      <c r="E14" s="321"/>
      <c r="F14" s="212" t="s">
        <v>746</v>
      </c>
      <c r="G14" s="212" t="s">
        <v>501</v>
      </c>
    </row>
    <row r="15" spans="2:7" ht="15" customHeight="1" x14ac:dyDescent="0.2">
      <c r="B15" s="212" t="s">
        <v>498</v>
      </c>
      <c r="C15" s="271">
        <f>'Procurement Spend'!$GC$9</f>
        <v>0.5128039883763581</v>
      </c>
      <c r="D15" s="212" t="s">
        <v>153</v>
      </c>
      <c r="E15" s="321"/>
      <c r="F15" s="212" t="s">
        <v>747</v>
      </c>
      <c r="G15" s="212" t="s">
        <v>501</v>
      </c>
    </row>
    <row r="16" spans="2:7" ht="15" customHeight="1" x14ac:dyDescent="0.2">
      <c r="B16" s="212" t="s">
        <v>499</v>
      </c>
      <c r="C16" s="271">
        <f>'Procurement Spend'!$GE$8</f>
        <v>0.92068366311019822</v>
      </c>
      <c r="D16" s="212" t="s">
        <v>153</v>
      </c>
      <c r="E16" s="321"/>
      <c r="F16" s="212" t="s">
        <v>746</v>
      </c>
      <c r="G16" s="212" t="s">
        <v>501</v>
      </c>
    </row>
    <row r="17" spans="1:10" ht="15" customHeight="1" x14ac:dyDescent="0.2">
      <c r="B17" s="212" t="s">
        <v>500</v>
      </c>
      <c r="C17" s="271">
        <f>'Procurement Spend'!$GC$8</f>
        <v>0.73756946340768703</v>
      </c>
      <c r="D17" s="212" t="s">
        <v>153</v>
      </c>
      <c r="E17" s="321"/>
      <c r="F17" s="212" t="s">
        <v>747</v>
      </c>
      <c r="G17" s="212" t="s">
        <v>501</v>
      </c>
    </row>
    <row r="18" spans="1:10" ht="15" customHeight="1" x14ac:dyDescent="0.2">
      <c r="B18" s="212" t="s">
        <v>513</v>
      </c>
      <c r="C18" s="271">
        <v>0</v>
      </c>
      <c r="D18" s="212" t="s">
        <v>575</v>
      </c>
      <c r="E18" s="321">
        <v>0.3</v>
      </c>
      <c r="F18" s="212" t="s">
        <v>750</v>
      </c>
      <c r="G18" s="212" t="s">
        <v>501</v>
      </c>
    </row>
    <row r="19" spans="1:10" ht="15" customHeight="1" x14ac:dyDescent="0.2">
      <c r="B19" s="212" t="s">
        <v>581</v>
      </c>
      <c r="C19" s="271">
        <v>0.1</v>
      </c>
      <c r="D19" s="212" t="s">
        <v>574</v>
      </c>
      <c r="E19" s="321">
        <v>0.25</v>
      </c>
      <c r="F19" s="212" t="s">
        <v>583</v>
      </c>
      <c r="G19" s="212" t="s">
        <v>584</v>
      </c>
    </row>
    <row r="20" spans="1:10" ht="15" customHeight="1" x14ac:dyDescent="0.2">
      <c r="B20" s="212" t="s">
        <v>518</v>
      </c>
      <c r="C20" s="271">
        <v>0</v>
      </c>
      <c r="D20" s="212" t="s">
        <v>575</v>
      </c>
      <c r="E20" s="321">
        <v>0.05</v>
      </c>
      <c r="F20" s="212" t="s">
        <v>514</v>
      </c>
      <c r="G20" s="212" t="s">
        <v>501</v>
      </c>
      <c r="J20" s="206">
        <f>Parameters!$C$3*(Parameters!$C$11)*(1-'ERR &amp; Sensitivity Analysis'!$G$14*(1+Parameters!$C$9/Parameters!$C$7))</f>
        <v>0</v>
      </c>
    </row>
    <row r="22" spans="1:10" x14ac:dyDescent="0.2">
      <c r="B22" s="415" t="s">
        <v>573</v>
      </c>
      <c r="C22" s="416"/>
      <c r="D22" s="416"/>
      <c r="E22" s="416"/>
      <c r="F22" s="416"/>
      <c r="G22" s="417"/>
    </row>
    <row r="23" spans="1:10" x14ac:dyDescent="0.2">
      <c r="A23" s="206">
        <v>1</v>
      </c>
      <c r="B23" s="418" t="s">
        <v>576</v>
      </c>
      <c r="C23" s="418"/>
      <c r="D23" s="418"/>
      <c r="E23" s="418"/>
      <c r="F23" s="418"/>
      <c r="G23" s="418"/>
    </row>
    <row r="24" spans="1:10" x14ac:dyDescent="0.2">
      <c r="A24" s="206">
        <f>A23+1</f>
        <v>2</v>
      </c>
      <c r="B24" s="418" t="s">
        <v>577</v>
      </c>
      <c r="C24" s="418"/>
      <c r="D24" s="418"/>
      <c r="E24" s="418"/>
      <c r="F24" s="418"/>
      <c r="G24" s="418"/>
    </row>
    <row r="25" spans="1:10" x14ac:dyDescent="0.2">
      <c r="A25" s="206">
        <f t="shared" ref="A25:A32" si="0">A24+1</f>
        <v>3</v>
      </c>
      <c r="B25" s="418" t="s">
        <v>579</v>
      </c>
      <c r="C25" s="418"/>
      <c r="D25" s="418"/>
      <c r="E25" s="418"/>
      <c r="F25" s="418"/>
      <c r="G25" s="418"/>
    </row>
    <row r="26" spans="1:10" x14ac:dyDescent="0.2">
      <c r="A26" s="206">
        <f t="shared" si="0"/>
        <v>4</v>
      </c>
      <c r="B26" s="418" t="s">
        <v>582</v>
      </c>
      <c r="C26" s="418"/>
      <c r="D26" s="418"/>
      <c r="E26" s="418"/>
      <c r="F26" s="418"/>
      <c r="G26" s="418"/>
    </row>
    <row r="27" spans="1:10" x14ac:dyDescent="0.2">
      <c r="A27" s="206">
        <f t="shared" si="0"/>
        <v>5</v>
      </c>
      <c r="B27" s="418" t="s">
        <v>587</v>
      </c>
      <c r="C27" s="418"/>
      <c r="D27" s="418"/>
      <c r="E27" s="418"/>
      <c r="F27" s="418"/>
      <c r="G27" s="418"/>
    </row>
    <row r="28" spans="1:10" x14ac:dyDescent="0.2">
      <c r="A28" s="206">
        <f t="shared" si="0"/>
        <v>6</v>
      </c>
      <c r="B28" s="418"/>
      <c r="C28" s="418"/>
      <c r="D28" s="418"/>
      <c r="E28" s="418"/>
      <c r="F28" s="418"/>
      <c r="G28" s="418"/>
    </row>
    <row r="29" spans="1:10" x14ac:dyDescent="0.2">
      <c r="A29" s="206">
        <f t="shared" si="0"/>
        <v>7</v>
      </c>
      <c r="B29" s="418"/>
      <c r="C29" s="418"/>
      <c r="D29" s="418"/>
      <c r="E29" s="418"/>
      <c r="F29" s="418"/>
      <c r="G29" s="418"/>
    </row>
    <row r="30" spans="1:10" x14ac:dyDescent="0.2">
      <c r="A30" s="206">
        <f t="shared" si="0"/>
        <v>8</v>
      </c>
      <c r="B30" s="418"/>
      <c r="C30" s="418"/>
      <c r="D30" s="418"/>
      <c r="E30" s="418"/>
      <c r="F30" s="418"/>
      <c r="G30" s="418"/>
    </row>
    <row r="31" spans="1:10" x14ac:dyDescent="0.2">
      <c r="A31" s="206">
        <f t="shared" si="0"/>
        <v>9</v>
      </c>
      <c r="B31" s="418"/>
      <c r="C31" s="418"/>
      <c r="D31" s="418"/>
      <c r="E31" s="418"/>
      <c r="F31" s="418"/>
      <c r="G31" s="418"/>
    </row>
    <row r="32" spans="1:10" x14ac:dyDescent="0.2">
      <c r="A32" s="206">
        <f t="shared" si="0"/>
        <v>10</v>
      </c>
      <c r="B32" s="418"/>
      <c r="C32" s="418"/>
      <c r="D32" s="418"/>
      <c r="E32" s="418"/>
      <c r="F32" s="418"/>
      <c r="G32" s="418"/>
    </row>
  </sheetData>
  <mergeCells count="11">
    <mergeCell ref="B22:G22"/>
    <mergeCell ref="B29:G29"/>
    <mergeCell ref="B30:G30"/>
    <mergeCell ref="B31:G31"/>
    <mergeCell ref="B32:G32"/>
    <mergeCell ref="B23:G23"/>
    <mergeCell ref="B24:G24"/>
    <mergeCell ref="B25:G25"/>
    <mergeCell ref="B26:G26"/>
    <mergeCell ref="B27:G27"/>
    <mergeCell ref="B28:G28"/>
  </mergeCells>
  <hyperlinks>
    <hyperlink ref="G6"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29:V87"/>
  <sheetViews>
    <sheetView workbookViewId="0"/>
  </sheetViews>
  <sheetFormatPr defaultColWidth="9.140625" defaultRowHeight="15" x14ac:dyDescent="0.25"/>
  <cols>
    <col min="1" max="1" width="9.140625" style="171"/>
    <col min="2" max="2" width="9.140625" style="171" customWidth="1"/>
    <col min="3" max="16384" width="9.140625" style="171"/>
  </cols>
  <sheetData>
    <row r="29" spans="12:22" x14ac:dyDescent="0.25">
      <c r="L29" s="419" t="s">
        <v>520</v>
      </c>
      <c r="M29" s="419"/>
      <c r="N29" s="419"/>
      <c r="O29" s="419"/>
      <c r="P29" s="419"/>
      <c r="Q29" s="419"/>
      <c r="R29" s="419"/>
      <c r="S29" s="419"/>
      <c r="T29" s="419"/>
      <c r="U29" s="419"/>
      <c r="V29" s="419"/>
    </row>
    <row r="30" spans="12:22" ht="30" customHeight="1" x14ac:dyDescent="0.25">
      <c r="L30" s="420" t="s">
        <v>521</v>
      </c>
      <c r="M30" s="420"/>
      <c r="N30" s="420"/>
      <c r="O30" s="420"/>
      <c r="P30" s="420"/>
      <c r="Q30" s="420"/>
      <c r="R30" s="420"/>
      <c r="S30" s="420"/>
      <c r="T30" s="420"/>
      <c r="U30" s="420"/>
      <c r="V30" s="420"/>
    </row>
    <row r="31" spans="12:22" ht="30" customHeight="1" x14ac:dyDescent="0.25">
      <c r="L31" s="420" t="s">
        <v>522</v>
      </c>
      <c r="M31" s="420"/>
      <c r="N31" s="420"/>
      <c r="O31" s="420"/>
      <c r="P31" s="420"/>
      <c r="Q31" s="420"/>
      <c r="R31" s="420"/>
      <c r="S31" s="420"/>
      <c r="T31" s="420"/>
      <c r="U31" s="420"/>
      <c r="V31" s="420"/>
    </row>
    <row r="32" spans="12:22" s="281" customFormat="1" ht="30" customHeight="1" x14ac:dyDescent="0.25">
      <c r="L32" s="420" t="s">
        <v>523</v>
      </c>
      <c r="M32" s="420"/>
      <c r="N32" s="420"/>
      <c r="O32" s="420"/>
      <c r="P32" s="420"/>
      <c r="Q32" s="420"/>
      <c r="R32" s="420"/>
      <c r="S32" s="420"/>
      <c r="T32" s="420"/>
      <c r="U32" s="420"/>
      <c r="V32" s="420"/>
    </row>
    <row r="33" spans="12:22" ht="30" customHeight="1" x14ac:dyDescent="0.25">
      <c r="L33" s="420" t="s">
        <v>524</v>
      </c>
      <c r="M33" s="420"/>
      <c r="N33" s="420"/>
      <c r="O33" s="420"/>
      <c r="P33" s="420"/>
      <c r="Q33" s="420"/>
      <c r="R33" s="420"/>
      <c r="S33" s="420"/>
      <c r="T33" s="420"/>
      <c r="U33" s="420"/>
      <c r="V33" s="420"/>
    </row>
    <row r="34" spans="12:22" x14ac:dyDescent="0.25">
      <c r="L34" s="420" t="s">
        <v>525</v>
      </c>
      <c r="M34" s="420"/>
      <c r="N34" s="420"/>
      <c r="O34" s="420"/>
      <c r="P34" s="420"/>
      <c r="Q34" s="420"/>
      <c r="R34" s="420"/>
      <c r="S34" s="420"/>
      <c r="T34" s="420"/>
      <c r="U34" s="420"/>
      <c r="V34" s="420"/>
    </row>
    <row r="35" spans="12:22" ht="30" customHeight="1" x14ac:dyDescent="0.25">
      <c r="L35" s="420" t="s">
        <v>526</v>
      </c>
      <c r="M35" s="420"/>
      <c r="N35" s="420"/>
      <c r="O35" s="420"/>
      <c r="P35" s="420"/>
      <c r="Q35" s="420"/>
      <c r="R35" s="420"/>
      <c r="S35" s="420"/>
      <c r="T35" s="420"/>
      <c r="U35" s="420"/>
      <c r="V35" s="420"/>
    </row>
    <row r="36" spans="12:22" ht="30" customHeight="1" x14ac:dyDescent="0.25">
      <c r="L36" s="420" t="s">
        <v>527</v>
      </c>
      <c r="M36" s="420"/>
      <c r="N36" s="420"/>
      <c r="O36" s="420"/>
      <c r="P36" s="420"/>
      <c r="Q36" s="420"/>
      <c r="R36" s="420"/>
      <c r="S36" s="420"/>
      <c r="T36" s="420"/>
      <c r="U36" s="420"/>
      <c r="V36" s="420"/>
    </row>
    <row r="37" spans="12:22" x14ac:dyDescent="0.25">
      <c r="L37" s="421" t="s">
        <v>528</v>
      </c>
      <c r="M37" s="421"/>
      <c r="N37" s="421"/>
      <c r="O37" s="421"/>
      <c r="P37" s="421"/>
      <c r="Q37" s="421"/>
      <c r="R37" s="421"/>
      <c r="S37" s="421"/>
      <c r="T37" s="421"/>
      <c r="U37" s="421"/>
      <c r="V37" s="421"/>
    </row>
    <row r="38" spans="12:22" x14ac:dyDescent="0.25">
      <c r="L38" s="420" t="s">
        <v>529</v>
      </c>
      <c r="M38" s="420"/>
      <c r="N38" s="420"/>
      <c r="O38" s="420"/>
      <c r="P38" s="420"/>
      <c r="Q38" s="420"/>
      <c r="R38" s="420"/>
      <c r="S38" s="420"/>
      <c r="T38" s="420"/>
      <c r="U38" s="420"/>
      <c r="V38" s="420"/>
    </row>
    <row r="39" spans="12:22" ht="45" customHeight="1" x14ac:dyDescent="0.25">
      <c r="L39" s="420" t="s">
        <v>530</v>
      </c>
      <c r="M39" s="420"/>
      <c r="N39" s="420"/>
      <c r="O39" s="420"/>
      <c r="P39" s="420"/>
      <c r="Q39" s="420"/>
      <c r="R39" s="420"/>
      <c r="S39" s="420"/>
      <c r="T39" s="420"/>
      <c r="U39" s="420"/>
      <c r="V39" s="420"/>
    </row>
    <row r="40" spans="12:22" x14ac:dyDescent="0.25">
      <c r="L40" s="420" t="s">
        <v>531</v>
      </c>
      <c r="M40" s="420"/>
      <c r="N40" s="420"/>
      <c r="O40" s="420"/>
      <c r="P40" s="420"/>
      <c r="Q40" s="420"/>
      <c r="R40" s="420"/>
      <c r="S40" s="420"/>
      <c r="T40" s="420"/>
      <c r="U40" s="420"/>
      <c r="V40" s="420"/>
    </row>
    <row r="41" spans="12:22" x14ac:dyDescent="0.25">
      <c r="L41" s="280"/>
      <c r="M41" s="280"/>
      <c r="N41" s="280"/>
      <c r="O41" s="280"/>
      <c r="P41" s="280"/>
      <c r="Q41" s="280"/>
      <c r="R41" s="280"/>
      <c r="S41" s="280"/>
      <c r="T41" s="280"/>
    </row>
    <row r="42" spans="12:22" x14ac:dyDescent="0.25">
      <c r="L42" s="280"/>
      <c r="M42" s="280"/>
      <c r="N42" s="280"/>
      <c r="O42" s="280"/>
      <c r="P42" s="280"/>
      <c r="Q42" s="280"/>
      <c r="R42" s="280"/>
      <c r="S42" s="280"/>
      <c r="T42" s="280"/>
    </row>
    <row r="43" spans="12:22" x14ac:dyDescent="0.25">
      <c r="L43" s="280"/>
      <c r="M43" s="280"/>
      <c r="N43" s="280"/>
      <c r="O43" s="280"/>
      <c r="P43" s="280"/>
      <c r="Q43" s="280"/>
      <c r="R43" s="280"/>
      <c r="S43" s="280"/>
      <c r="T43" s="280"/>
    </row>
    <row r="44" spans="12:22" x14ac:dyDescent="0.25">
      <c r="L44" s="280"/>
      <c r="M44" s="280"/>
      <c r="N44" s="280"/>
      <c r="O44" s="280"/>
      <c r="P44" s="280"/>
      <c r="Q44" s="280"/>
      <c r="R44" s="280"/>
      <c r="S44" s="280"/>
      <c r="T44" s="280"/>
    </row>
    <row r="45" spans="12:22" x14ac:dyDescent="0.25">
      <c r="L45" s="280"/>
      <c r="M45" s="280"/>
      <c r="N45" s="280"/>
      <c r="O45" s="280"/>
      <c r="P45" s="280"/>
      <c r="Q45" s="280"/>
      <c r="R45" s="280"/>
      <c r="S45" s="280"/>
      <c r="T45" s="280"/>
    </row>
    <row r="46" spans="12:22" x14ac:dyDescent="0.25">
      <c r="L46" s="280"/>
      <c r="M46" s="280"/>
      <c r="N46" s="280"/>
      <c r="O46" s="280"/>
      <c r="P46" s="280"/>
      <c r="Q46" s="280"/>
      <c r="R46" s="280"/>
      <c r="S46" s="280"/>
      <c r="T46" s="280"/>
    </row>
    <row r="47" spans="12:22" x14ac:dyDescent="0.25">
      <c r="L47" s="280"/>
      <c r="M47" s="280"/>
      <c r="N47" s="280"/>
      <c r="O47" s="280"/>
      <c r="P47" s="280"/>
      <c r="Q47" s="280"/>
      <c r="R47" s="280"/>
      <c r="S47" s="280"/>
      <c r="T47" s="280"/>
    </row>
    <row r="48" spans="12:22" x14ac:dyDescent="0.25">
      <c r="L48" s="280"/>
      <c r="M48" s="280"/>
      <c r="N48" s="280"/>
      <c r="O48" s="280"/>
      <c r="P48" s="280"/>
      <c r="Q48" s="280"/>
      <c r="R48" s="280"/>
      <c r="S48" s="280"/>
      <c r="T48" s="280"/>
    </row>
    <row r="49" spans="12:20" x14ac:dyDescent="0.25">
      <c r="L49" s="280"/>
      <c r="M49" s="280"/>
      <c r="N49" s="280"/>
      <c r="O49" s="280"/>
      <c r="P49" s="280"/>
      <c r="Q49" s="280"/>
      <c r="R49" s="280"/>
      <c r="S49" s="280"/>
      <c r="T49" s="280"/>
    </row>
    <row r="50" spans="12:20" x14ac:dyDescent="0.25">
      <c r="L50" s="280"/>
      <c r="M50" s="280"/>
      <c r="N50" s="280"/>
      <c r="O50" s="280"/>
      <c r="P50" s="280"/>
      <c r="Q50" s="280"/>
      <c r="R50" s="280"/>
      <c r="S50" s="280"/>
      <c r="T50" s="280"/>
    </row>
    <row r="51" spans="12:20" x14ac:dyDescent="0.25">
      <c r="L51" s="276"/>
      <c r="M51" s="276"/>
      <c r="N51" s="276"/>
      <c r="O51" s="276"/>
      <c r="P51" s="276"/>
      <c r="Q51" s="276"/>
      <c r="R51" s="276"/>
      <c r="S51" s="276"/>
      <c r="T51" s="276"/>
    </row>
    <row r="52" spans="12:20" x14ac:dyDescent="0.25">
      <c r="L52" s="276"/>
      <c r="M52" s="276"/>
      <c r="N52" s="276"/>
      <c r="O52" s="276"/>
      <c r="P52" s="276"/>
      <c r="Q52" s="276"/>
      <c r="R52" s="276"/>
      <c r="S52" s="276"/>
      <c r="T52" s="276"/>
    </row>
    <row r="53" spans="12:20" x14ac:dyDescent="0.25">
      <c r="L53" s="276"/>
      <c r="M53" s="276"/>
      <c r="N53" s="276"/>
      <c r="O53" s="276"/>
      <c r="P53" s="276"/>
      <c r="Q53" s="276"/>
      <c r="R53" s="276"/>
      <c r="S53" s="276"/>
      <c r="T53" s="276"/>
    </row>
    <row r="54" spans="12:20" x14ac:dyDescent="0.25">
      <c r="L54" s="276"/>
      <c r="M54" s="276"/>
      <c r="N54" s="276"/>
      <c r="O54" s="276"/>
      <c r="P54" s="276"/>
      <c r="Q54" s="276"/>
      <c r="R54" s="276"/>
      <c r="S54" s="276"/>
      <c r="T54" s="276"/>
    </row>
    <row r="55" spans="12:20" x14ac:dyDescent="0.25">
      <c r="L55" s="276"/>
      <c r="M55" s="276"/>
      <c r="N55" s="276"/>
      <c r="O55" s="276"/>
      <c r="P55" s="276"/>
      <c r="Q55" s="276"/>
      <c r="R55" s="276"/>
      <c r="S55" s="276"/>
      <c r="T55" s="276"/>
    </row>
    <row r="56" spans="12:20" x14ac:dyDescent="0.25">
      <c r="L56" s="276"/>
      <c r="M56" s="276"/>
      <c r="N56" s="276"/>
      <c r="O56" s="276"/>
      <c r="P56" s="276"/>
      <c r="Q56" s="276"/>
      <c r="R56" s="276"/>
      <c r="S56" s="276"/>
      <c r="T56" s="276"/>
    </row>
    <row r="57" spans="12:20" x14ac:dyDescent="0.25">
      <c r="L57" s="276"/>
      <c r="M57" s="276"/>
      <c r="N57" s="276"/>
      <c r="O57" s="276"/>
      <c r="P57" s="276"/>
      <c r="Q57" s="276"/>
      <c r="R57" s="276"/>
      <c r="S57" s="276"/>
      <c r="T57" s="276"/>
    </row>
    <row r="58" spans="12:20" x14ac:dyDescent="0.25">
      <c r="L58" s="276"/>
      <c r="M58" s="276"/>
      <c r="N58" s="276"/>
      <c r="O58" s="276"/>
      <c r="P58" s="276"/>
      <c r="Q58" s="276"/>
      <c r="R58" s="276"/>
      <c r="S58" s="276"/>
      <c r="T58" s="276"/>
    </row>
    <row r="59" spans="12:20" x14ac:dyDescent="0.25">
      <c r="L59" s="276"/>
      <c r="M59" s="276"/>
      <c r="N59" s="276"/>
      <c r="O59" s="276"/>
      <c r="P59" s="276"/>
      <c r="Q59" s="276"/>
      <c r="R59" s="276"/>
      <c r="S59" s="276"/>
      <c r="T59" s="276"/>
    </row>
    <row r="60" spans="12:20" x14ac:dyDescent="0.25">
      <c r="L60" s="276"/>
      <c r="M60" s="276"/>
      <c r="N60" s="276"/>
      <c r="O60" s="276"/>
      <c r="P60" s="276"/>
      <c r="Q60" s="276"/>
      <c r="R60" s="276"/>
      <c r="S60" s="276"/>
      <c r="T60" s="276"/>
    </row>
    <row r="61" spans="12:20" x14ac:dyDescent="0.25">
      <c r="L61" s="276"/>
      <c r="M61" s="276"/>
      <c r="N61" s="276"/>
      <c r="O61" s="276"/>
      <c r="P61" s="276"/>
      <c r="Q61" s="276"/>
      <c r="R61" s="276"/>
      <c r="S61" s="276"/>
      <c r="T61" s="276"/>
    </row>
    <row r="62" spans="12:20" x14ac:dyDescent="0.25">
      <c r="L62" s="276"/>
      <c r="M62" s="276"/>
      <c r="N62" s="276"/>
      <c r="O62" s="276"/>
      <c r="P62" s="276"/>
      <c r="Q62" s="276"/>
      <c r="R62" s="276"/>
      <c r="S62" s="276"/>
      <c r="T62" s="276"/>
    </row>
    <row r="63" spans="12:20" x14ac:dyDescent="0.25">
      <c r="L63" s="276"/>
      <c r="M63" s="276"/>
      <c r="N63" s="276"/>
      <c r="O63" s="276"/>
      <c r="P63" s="276"/>
      <c r="Q63" s="276"/>
      <c r="R63" s="276"/>
      <c r="S63" s="276"/>
      <c r="T63" s="276"/>
    </row>
    <row r="64" spans="12:20" x14ac:dyDescent="0.25">
      <c r="L64" s="276"/>
      <c r="M64" s="276"/>
      <c r="N64" s="276"/>
      <c r="O64" s="276"/>
      <c r="P64" s="276"/>
      <c r="Q64" s="276"/>
      <c r="R64" s="276"/>
      <c r="S64" s="276"/>
      <c r="T64" s="276"/>
    </row>
    <row r="65" spans="12:20" x14ac:dyDescent="0.25">
      <c r="L65" s="276"/>
      <c r="M65" s="276"/>
      <c r="N65" s="276"/>
      <c r="O65" s="276"/>
      <c r="P65" s="276"/>
      <c r="Q65" s="276"/>
      <c r="R65" s="276"/>
      <c r="S65" s="276"/>
      <c r="T65" s="276"/>
    </row>
    <row r="66" spans="12:20" x14ac:dyDescent="0.25">
      <c r="L66" s="276"/>
      <c r="M66" s="276"/>
      <c r="N66" s="276"/>
      <c r="O66" s="276"/>
      <c r="P66" s="276"/>
      <c r="Q66" s="276"/>
      <c r="R66" s="276"/>
      <c r="S66" s="276"/>
      <c r="T66" s="276"/>
    </row>
    <row r="67" spans="12:20" x14ac:dyDescent="0.25">
      <c r="L67" s="276"/>
      <c r="M67" s="276"/>
      <c r="N67" s="276"/>
      <c r="O67" s="276"/>
      <c r="P67" s="276"/>
      <c r="Q67" s="276"/>
      <c r="R67" s="276"/>
      <c r="S67" s="276"/>
      <c r="T67" s="276"/>
    </row>
    <row r="68" spans="12:20" x14ac:dyDescent="0.25">
      <c r="L68" s="276"/>
      <c r="M68" s="276"/>
      <c r="N68" s="276"/>
      <c r="O68" s="276"/>
      <c r="P68" s="276"/>
      <c r="Q68" s="276"/>
      <c r="R68" s="276"/>
      <c r="S68" s="276"/>
      <c r="T68" s="276"/>
    </row>
    <row r="69" spans="12:20" x14ac:dyDescent="0.25">
      <c r="L69" s="276"/>
      <c r="M69" s="276"/>
      <c r="N69" s="276"/>
      <c r="O69" s="276"/>
      <c r="P69" s="276"/>
      <c r="Q69" s="276"/>
      <c r="R69" s="276"/>
      <c r="S69" s="276"/>
      <c r="T69" s="276"/>
    </row>
    <row r="70" spans="12:20" x14ac:dyDescent="0.25">
      <c r="L70" s="276"/>
      <c r="M70" s="276"/>
      <c r="N70" s="276"/>
      <c r="O70" s="276"/>
      <c r="P70" s="276"/>
      <c r="Q70" s="276"/>
      <c r="R70" s="276"/>
      <c r="S70" s="276"/>
      <c r="T70" s="276"/>
    </row>
    <row r="71" spans="12:20" x14ac:dyDescent="0.25">
      <c r="L71" s="276"/>
      <c r="M71" s="276"/>
      <c r="N71" s="276"/>
      <c r="O71" s="276"/>
      <c r="P71" s="276"/>
      <c r="Q71" s="276"/>
      <c r="R71" s="276"/>
      <c r="S71" s="276"/>
      <c r="T71" s="276"/>
    </row>
    <row r="72" spans="12:20" x14ac:dyDescent="0.25">
      <c r="L72" s="276"/>
      <c r="M72" s="276"/>
      <c r="N72" s="276"/>
      <c r="O72" s="276"/>
      <c r="P72" s="276"/>
      <c r="Q72" s="276"/>
      <c r="R72" s="276"/>
      <c r="S72" s="276"/>
      <c r="T72" s="276"/>
    </row>
    <row r="73" spans="12:20" x14ac:dyDescent="0.25">
      <c r="L73" s="276"/>
      <c r="M73" s="276"/>
      <c r="N73" s="276"/>
      <c r="O73" s="276"/>
      <c r="P73" s="276"/>
      <c r="Q73" s="276"/>
      <c r="R73" s="276"/>
      <c r="S73" s="276"/>
      <c r="T73" s="276"/>
    </row>
    <row r="74" spans="12:20" x14ac:dyDescent="0.25">
      <c r="L74" s="276"/>
      <c r="M74" s="276"/>
      <c r="N74" s="276"/>
      <c r="O74" s="276"/>
      <c r="P74" s="276"/>
      <c r="Q74" s="276"/>
      <c r="R74" s="276"/>
      <c r="S74" s="276"/>
      <c r="T74" s="276"/>
    </row>
    <row r="75" spans="12:20" x14ac:dyDescent="0.25">
      <c r="L75" s="276"/>
      <c r="M75" s="276"/>
      <c r="N75" s="276"/>
      <c r="O75" s="276"/>
      <c r="P75" s="276"/>
      <c r="Q75" s="276"/>
      <c r="R75" s="276"/>
      <c r="S75" s="276"/>
      <c r="T75" s="276"/>
    </row>
    <row r="76" spans="12:20" x14ac:dyDescent="0.25">
      <c r="L76" s="276"/>
      <c r="M76" s="276"/>
      <c r="N76" s="276"/>
      <c r="O76" s="276"/>
      <c r="P76" s="276"/>
      <c r="Q76" s="276"/>
      <c r="R76" s="276"/>
      <c r="S76" s="276"/>
      <c r="T76" s="276"/>
    </row>
    <row r="77" spans="12:20" x14ac:dyDescent="0.25">
      <c r="L77" s="276"/>
      <c r="M77" s="276"/>
      <c r="N77" s="276"/>
      <c r="O77" s="276"/>
      <c r="P77" s="276"/>
      <c r="Q77" s="276"/>
      <c r="R77" s="276"/>
      <c r="S77" s="276"/>
      <c r="T77" s="276"/>
    </row>
    <row r="78" spans="12:20" x14ac:dyDescent="0.25">
      <c r="L78" s="276"/>
      <c r="M78" s="276"/>
      <c r="N78" s="276"/>
      <c r="O78" s="276"/>
      <c r="P78" s="276"/>
      <c r="Q78" s="276"/>
      <c r="R78" s="276"/>
      <c r="S78" s="276"/>
      <c r="T78" s="276"/>
    </row>
    <row r="79" spans="12:20" x14ac:dyDescent="0.25">
      <c r="L79" s="276"/>
      <c r="M79" s="276"/>
      <c r="N79" s="276"/>
      <c r="O79" s="276"/>
      <c r="P79" s="276"/>
      <c r="Q79" s="276"/>
      <c r="R79" s="276"/>
      <c r="S79" s="276"/>
      <c r="T79" s="276"/>
    </row>
    <row r="80" spans="12:20" x14ac:dyDescent="0.25">
      <c r="L80" s="276"/>
      <c r="M80" s="276"/>
      <c r="N80" s="276"/>
      <c r="O80" s="276"/>
      <c r="P80" s="276"/>
      <c r="Q80" s="276"/>
      <c r="R80" s="276"/>
      <c r="S80" s="276"/>
      <c r="T80" s="276"/>
    </row>
    <row r="81" spans="12:20" x14ac:dyDescent="0.25">
      <c r="L81" s="276"/>
      <c r="M81" s="276"/>
      <c r="N81" s="276"/>
      <c r="O81" s="276"/>
      <c r="P81" s="276"/>
      <c r="Q81" s="276"/>
      <c r="R81" s="276"/>
      <c r="S81" s="276"/>
      <c r="T81" s="276"/>
    </row>
    <row r="82" spans="12:20" x14ac:dyDescent="0.25">
      <c r="L82" s="276"/>
      <c r="M82" s="276"/>
      <c r="N82" s="276"/>
      <c r="O82" s="276"/>
      <c r="P82" s="276"/>
      <c r="Q82" s="276"/>
      <c r="R82" s="276"/>
      <c r="S82" s="276"/>
      <c r="T82" s="276"/>
    </row>
    <row r="83" spans="12:20" x14ac:dyDescent="0.25">
      <c r="L83" s="276"/>
      <c r="M83" s="276"/>
      <c r="N83" s="276"/>
      <c r="O83" s="276"/>
      <c r="P83" s="276"/>
      <c r="Q83" s="276"/>
      <c r="R83" s="276"/>
      <c r="S83" s="276"/>
      <c r="T83" s="276"/>
    </row>
    <row r="84" spans="12:20" x14ac:dyDescent="0.25">
      <c r="L84" s="276"/>
      <c r="M84" s="276"/>
      <c r="N84" s="276"/>
      <c r="O84" s="276"/>
      <c r="P84" s="276"/>
      <c r="Q84" s="276"/>
      <c r="R84" s="276"/>
      <c r="S84" s="276"/>
      <c r="T84" s="276"/>
    </row>
    <row r="85" spans="12:20" x14ac:dyDescent="0.25">
      <c r="L85" s="276"/>
      <c r="M85" s="276"/>
      <c r="N85" s="276"/>
      <c r="O85" s="276"/>
      <c r="P85" s="276"/>
      <c r="Q85" s="276"/>
      <c r="R85" s="276"/>
      <c r="S85" s="276"/>
      <c r="T85" s="276"/>
    </row>
    <row r="86" spans="12:20" x14ac:dyDescent="0.25">
      <c r="L86" s="276"/>
      <c r="M86" s="276"/>
      <c r="N86" s="276"/>
      <c r="O86" s="276"/>
      <c r="P86" s="276"/>
      <c r="Q86" s="276"/>
      <c r="R86" s="276"/>
      <c r="S86" s="276"/>
      <c r="T86" s="276"/>
    </row>
    <row r="87" spans="12:20" x14ac:dyDescent="0.25">
      <c r="L87" s="276"/>
      <c r="M87" s="276"/>
      <c r="N87" s="276"/>
      <c r="O87" s="276"/>
      <c r="P87" s="276"/>
      <c r="Q87" s="276"/>
      <c r="R87" s="276"/>
      <c r="S87" s="276"/>
      <c r="T87" s="276"/>
    </row>
  </sheetData>
  <mergeCells count="12">
    <mergeCell ref="L39:V39"/>
    <mergeCell ref="L40:V40"/>
    <mergeCell ref="L34:V34"/>
    <mergeCell ref="L35:V35"/>
    <mergeCell ref="L36:V36"/>
    <mergeCell ref="L37:V37"/>
    <mergeCell ref="L38:V38"/>
    <mergeCell ref="L29:V29"/>
    <mergeCell ref="L30:V30"/>
    <mergeCell ref="L31:V31"/>
    <mergeCell ref="L32:V32"/>
    <mergeCell ref="L33:V33"/>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8C783FF128904593EF9B24C0FE1B6A" ma:contentTypeVersion="12" ma:contentTypeDescription="Create a new document." ma:contentTypeScope="" ma:versionID="cf481c8662044a29e199fd81d9f90ab8">
  <xsd:schema xmlns:xsd="http://www.w3.org/2001/XMLSchema" xmlns:xs="http://www.w3.org/2001/XMLSchema" xmlns:p="http://schemas.microsoft.com/office/2006/metadata/properties" xmlns:ns1="http://schemas.microsoft.com/sharepoint/v3" xmlns:ns3="bd8c728d-e719-496b-b789-a7ebfcb01033" xmlns:ns4="2e3d73e3-37bf-43d9-a52a-f6b48e119629" targetNamespace="http://schemas.microsoft.com/office/2006/metadata/properties" ma:root="true" ma:fieldsID="ef201266762ea01a965b5e864ea65be4" ns1:_="" ns3:_="" ns4:_="">
    <xsd:import namespace="http://schemas.microsoft.com/sharepoint/v3"/>
    <xsd:import namespace="bd8c728d-e719-496b-b789-a7ebfcb01033"/>
    <xsd:import namespace="2e3d73e3-37bf-43d9-a52a-f6b48e1196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8c728d-e719-496b-b789-a7ebfcb0103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3d73e3-37bf-43d9-a52a-f6b48e11962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05D820-EAFF-47D3-ABE4-D7A45784DEB8}">
  <ds:schemaRefs>
    <ds:schemaRef ds:uri="bd8c728d-e719-496b-b789-a7ebfcb01033"/>
    <ds:schemaRef ds:uri="http://purl.org/dc/dcmitype/"/>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terms/"/>
    <ds:schemaRef ds:uri="2e3d73e3-37bf-43d9-a52a-f6b48e119629"/>
    <ds:schemaRef ds:uri="http://purl.org/dc/elements/1.1/"/>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E1E9DA96-4A64-487E-8314-AB6401400E5E}">
  <ds:schemaRefs>
    <ds:schemaRef ds:uri="http://schemas.microsoft.com/sharepoint/v3/contenttype/forms"/>
  </ds:schemaRefs>
</ds:datastoreItem>
</file>

<file path=customXml/itemProps3.xml><?xml version="1.0" encoding="utf-8"?>
<ds:datastoreItem xmlns:ds="http://schemas.openxmlformats.org/officeDocument/2006/customXml" ds:itemID="{C115E472-A961-4A4E-B4CA-914198D2C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d8c728d-e719-496b-b789-a7ebfcb01033"/>
    <ds:schemaRef ds:uri="2e3d73e3-37bf-43d9-a52a-f6b48e1196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Cover Page</vt:lpstr>
      <vt:lpstr>Project Description - PSU</vt:lpstr>
      <vt:lpstr>Project Description - PPP</vt:lpstr>
      <vt:lpstr>ERR &amp; Sensitivity Analysis</vt:lpstr>
      <vt:lpstr>Cost-Benefit Summary</vt:lpstr>
      <vt:lpstr>ERR Calculation</vt:lpstr>
      <vt:lpstr>Parameters</vt:lpstr>
      <vt:lpstr>ERR Theory</vt:lpstr>
      <vt:lpstr>Program Costs</vt:lpstr>
      <vt:lpstr>Procurement Spend</vt:lpstr>
      <vt:lpstr>Spend</vt:lpstr>
      <vt:lpstr>Fiscal Space</vt:lpstr>
      <vt:lpstr>Demographics</vt:lpstr>
      <vt:lpstr>Crystal Ball Report</vt:lpstr>
      <vt:lpstr>PS</vt:lpstr>
      <vt:lpstr>'ERR &amp; Sensitivity Analysis'!Print_Area</vt:lpstr>
      <vt:lpstr>Spend!Print_Area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Ray</dc:creator>
  <cp:lastModifiedBy>Fiore, Peter N (DPE/EE-EA/PSC)</cp:lastModifiedBy>
  <cp:lastPrinted>2017-04-04T03:24:02Z</cp:lastPrinted>
  <dcterms:created xsi:type="dcterms:W3CDTF">2015-12-08T04:05:07Z</dcterms:created>
  <dcterms:modified xsi:type="dcterms:W3CDTF">2019-12-03T18:51:23Z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0x010100A08C783FF128904593EF9B24C0FE1B6A</vt:lpwstr>
  </property>
</Properties>
</file>