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khadrmf\Downloads\"/>
    </mc:Choice>
  </mc:AlternateContent>
  <xr:revisionPtr revIDLastSave="0" documentId="13_ncr:1_{CFEB927A-8AF3-4FA4-98AE-2E94595925D9}" xr6:coauthVersionLast="47" xr6:coauthVersionMax="47" xr10:uidLastSave="{00000000-0000-0000-0000-000000000000}"/>
  <bookViews>
    <workbookView xWindow="-96" yWindow="-96" windowWidth="23232" windowHeight="12552" tabRatio="781" firstSheet="2" activeTab="2" xr2:uid="{00000000-000D-0000-FFFF-FFFF00000000}"/>
  </bookViews>
  <sheets>
    <sheet name="Table of Contents" sheetId="41" r:id="rId1"/>
    <sheet name="Summary of Results" sheetId="13" r:id="rId2"/>
    <sheet name="Intervention Description" sheetId="15" r:id="rId3"/>
    <sheet name="Cost-Benefit Summary" sheetId="18" r:id="rId4"/>
    <sheet name="CBA Model" sheetId="19" r:id="rId5"/>
    <sheet name="CB_DATA_" sheetId="34" state="veryHidden" r:id="rId6"/>
    <sheet name="Sensitivity Analysis" sheetId="17" r:id="rId7"/>
    <sheet name="MCA Report" sheetId="42" r:id="rId8"/>
    <sheet name="Crop Prices &amp; Production Costs" sheetId="24" r:id="rId9"/>
    <sheet name="Crop Production" sheetId="22" r:id="rId10"/>
    <sheet name="By-Product Value" sheetId="33" r:id="rId11"/>
    <sheet name="Livestock &amp; Meat Production" sheetId="21" r:id="rId12"/>
    <sheet name="Cattle Prices" sheetId="27" r:id="rId13"/>
    <sheet name="Dairy Production" sheetId="28" r:id="rId14"/>
    <sheet name="Irrigation Equipment" sheetId="20" r:id="rId15"/>
    <sheet name="Inflation" sheetId="36" r:id="rId16"/>
    <sheet name="Exchange Rate" sheetId="37" r:id="rId17"/>
    <sheet name="Costs" sheetId="40"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LEX1955" localSheetId="4">#REF!</definedName>
    <definedName name="__LEX1955" localSheetId="3">#REF!</definedName>
    <definedName name="__LEX1955" localSheetId="2">#REF!</definedName>
    <definedName name="__LEX1955" localSheetId="6">#REF!</definedName>
    <definedName name="__LEX1955" localSheetId="1">#REF!</definedName>
    <definedName name="__LEX1955">#REF!</definedName>
    <definedName name="__LEX1975" localSheetId="4">#REF!</definedName>
    <definedName name="__LEX1975" localSheetId="3">#REF!</definedName>
    <definedName name="__LEX1975" localSheetId="2">#REF!</definedName>
    <definedName name="__LEX1975" localSheetId="6">#REF!</definedName>
    <definedName name="__LEX1975" localSheetId="1">#REF!</definedName>
    <definedName name="__LEX1975">#REF!</definedName>
    <definedName name="__LEX2025" localSheetId="4">#REF!</definedName>
    <definedName name="__LEX2025" localSheetId="3">#REF!</definedName>
    <definedName name="__LEX2025" localSheetId="2">#REF!</definedName>
    <definedName name="__LEX2025" localSheetId="6">#REF!</definedName>
    <definedName name="__LEX2025" localSheetId="1">#REF!</definedName>
    <definedName name="__LEX2025">#REF!</definedName>
    <definedName name="__reg98" localSheetId="3">#REF!</definedName>
    <definedName name="__reg98" localSheetId="2">#REF!</definedName>
    <definedName name="__reg98" localSheetId="6">#REF!</definedName>
    <definedName name="__reg98" localSheetId="1">#REF!</definedName>
    <definedName name="__reg98">#REF!</definedName>
    <definedName name="_LEX1955" localSheetId="4">#REF!</definedName>
    <definedName name="_LEX1955" localSheetId="3">#REF!</definedName>
    <definedName name="_LEX1955" localSheetId="2">#REF!</definedName>
    <definedName name="_LEX1955" localSheetId="6">#REF!</definedName>
    <definedName name="_LEX1955" localSheetId="1">#REF!</definedName>
    <definedName name="_LEX1955">#REF!</definedName>
    <definedName name="_LEX1975" localSheetId="4">#REF!</definedName>
    <definedName name="_LEX1975" localSheetId="3">#REF!</definedName>
    <definedName name="_LEX1975" localSheetId="2">#REF!</definedName>
    <definedName name="_LEX1975" localSheetId="6">#REF!</definedName>
    <definedName name="_LEX1975" localSheetId="1">#REF!</definedName>
    <definedName name="_LEX1975">#REF!</definedName>
    <definedName name="_LEX2025" localSheetId="4">#REF!</definedName>
    <definedName name="_LEX2025" localSheetId="3">#REF!</definedName>
    <definedName name="_LEX2025" localSheetId="2">#REF!</definedName>
    <definedName name="_LEX2025" localSheetId="6">#REF!</definedName>
    <definedName name="_LEX2025" localSheetId="1">#REF!</definedName>
    <definedName name="_LEX2025">#REF!</definedName>
    <definedName name="_LF0913" localSheetId="4">[1]Assumptions!$G$12</definedName>
    <definedName name="_LF0913">#REF!</definedName>
    <definedName name="_LF1423" localSheetId="4">[1]Assumptions!$H$12</definedName>
    <definedName name="_LF1423">#REF!</definedName>
    <definedName name="_LF2433" localSheetId="4">[1]Assumptions!$I$12</definedName>
    <definedName name="_LF2433">#REF!</definedName>
    <definedName name="_LF2434" localSheetId="4">[1]Assumptions!$I$12</definedName>
    <definedName name="_LF2434">#REF!</definedName>
    <definedName name="_LU1" localSheetId="4">#REF!</definedName>
    <definedName name="_LU1" localSheetId="3">#REF!</definedName>
    <definedName name="_LU1" localSheetId="2">#REF!</definedName>
    <definedName name="_LU1" localSheetId="6">#REF!</definedName>
    <definedName name="_LU1" localSheetId="1">#REF!</definedName>
    <definedName name="_LU1">#REF!</definedName>
    <definedName name="_reg98" localSheetId="4">#REF!</definedName>
    <definedName name="_reg98" localSheetId="3">#REF!</definedName>
    <definedName name="_reg98" localSheetId="2">#REF!</definedName>
    <definedName name="_reg98" localSheetId="6">#REF!</definedName>
    <definedName name="_reg98" localSheetId="1">#REF!</definedName>
    <definedName name="_reg98">#REF!</definedName>
    <definedName name="_reg98v2" localSheetId="4">[2]whoreg!#REF!</definedName>
    <definedName name="_reg98v2">#REF!</definedName>
    <definedName name="_resul" localSheetId="4">#REF!</definedName>
    <definedName name="_resul" localSheetId="3">#REF!</definedName>
    <definedName name="_resul" localSheetId="2">#REF!</definedName>
    <definedName name="_resul" localSheetId="6">#REF!</definedName>
    <definedName name="_resul" localSheetId="1">#REF!</definedName>
    <definedName name="_resul">#REF!</definedName>
    <definedName name="_yellowF" localSheetId="4">#REF!</definedName>
    <definedName name="_yellowF" localSheetId="3">#REF!</definedName>
    <definedName name="_yellowF" localSheetId="2">#REF!</definedName>
    <definedName name="_yellowF" localSheetId="6">#REF!</definedName>
    <definedName name="_yellowF" localSheetId="1">#REF!</definedName>
    <definedName name="_yellowF">#REF!</definedName>
    <definedName name="_yellowM" localSheetId="4">#REF!</definedName>
    <definedName name="_yellowM" localSheetId="3">#REF!</definedName>
    <definedName name="_yellowM" localSheetId="2">#REF!</definedName>
    <definedName name="_yellowM" localSheetId="6">#REF!</definedName>
    <definedName name="_yellowM" localSheetId="1">#REF!</definedName>
    <definedName name="_yellowM">#REF!</definedName>
    <definedName name="Addgrow" localSheetId="4">#REF!</definedName>
    <definedName name="Addgrow" localSheetId="3">#REF!</definedName>
    <definedName name="Addgrow" localSheetId="2">#REF!</definedName>
    <definedName name="Addgrow" localSheetId="6">#REF!</definedName>
    <definedName name="Addgrow" localSheetId="1">#REF!</definedName>
    <definedName name="Addgrow">#REF!</definedName>
    <definedName name="Annual_Eff_Benefit_2b" localSheetId="4">#REF!</definedName>
    <definedName name="Annual_Eff_Benefit_2b" localSheetId="3">#REF!</definedName>
    <definedName name="Annual_Eff_Benefit_2b" localSheetId="2">#REF!</definedName>
    <definedName name="Annual_Eff_Benefit_2b" localSheetId="6">#REF!</definedName>
    <definedName name="Annual_Eff_Benefit_2b" localSheetId="1">#REF!</definedName>
    <definedName name="Annual_Eff_Benefit_2b">#REF!</definedName>
    <definedName name="Annual_Eff_Benefit_2f" localSheetId="4">#REF!</definedName>
    <definedName name="Annual_Eff_Benefit_2f" localSheetId="3">#REF!</definedName>
    <definedName name="Annual_Eff_Benefit_2f" localSheetId="2">#REF!</definedName>
    <definedName name="Annual_Eff_Benefit_2f" localSheetId="6">#REF!</definedName>
    <definedName name="Annual_Eff_Benefit_2f" localSheetId="1">#REF!</definedName>
    <definedName name="Annual_Eff_Benefit_2f">#REF!</definedName>
    <definedName name="Annual_TS_Benefit_2b" localSheetId="4">#REF!</definedName>
    <definedName name="Annual_TS_Benefit_2b" localSheetId="3">#REF!</definedName>
    <definedName name="Annual_TS_Benefit_2b" localSheetId="2">#REF!</definedName>
    <definedName name="Annual_TS_Benefit_2b" localSheetId="6">#REF!</definedName>
    <definedName name="Annual_TS_Benefit_2b" localSheetId="1">#REF!</definedName>
    <definedName name="Annual_TS_Benefit_2b">#REF!</definedName>
    <definedName name="Annual_TS_Benefit_2f" localSheetId="4">#REF!</definedName>
    <definedName name="Annual_TS_Benefit_2f" localSheetId="3">#REF!</definedName>
    <definedName name="Annual_TS_Benefit_2f" localSheetId="2">#REF!</definedName>
    <definedName name="Annual_TS_Benefit_2f" localSheetId="6">#REF!</definedName>
    <definedName name="Annual_TS_Benefit_2f" localSheetId="1">#REF!</definedName>
    <definedName name="Annual_TS_Benefit_2f">#REF!</definedName>
    <definedName name="annwage" localSheetId="4">#REF!</definedName>
    <definedName name="annwage" localSheetId="3">#REF!</definedName>
    <definedName name="annwage" localSheetId="2">#REF!</definedName>
    <definedName name="annwage" localSheetId="6">#REF!</definedName>
    <definedName name="annwage" localSheetId="1">#REF!</definedName>
    <definedName name="annwage">#REF!</definedName>
    <definedName name="asset_life" localSheetId="4">#REF!</definedName>
    <definedName name="asset_life" localSheetId="3">#REF!</definedName>
    <definedName name="asset_life" localSheetId="2">#REF!</definedName>
    <definedName name="asset_life" localSheetId="6">#REF!</definedName>
    <definedName name="asset_life" localSheetId="1">#REF!</definedName>
    <definedName name="asset_life">#REF!</definedName>
    <definedName name="avgwage" localSheetId="4">#REF!</definedName>
    <definedName name="avgwage" localSheetId="3">#REF!</definedName>
    <definedName name="avgwage" localSheetId="2">#REF!</definedName>
    <definedName name="avgwage" localSheetId="6">#REF!</definedName>
    <definedName name="avgwage" localSheetId="1">#REF!</definedName>
    <definedName name="avgwage">#REF!</definedName>
    <definedName name="avoidedLoss" localSheetId="4">'[3]Background Sheet 1'!$C$7</definedName>
    <definedName name="avoidedLoss">#REF!</definedName>
    <definedName name="billing_hydro">#REF!</definedName>
    <definedName name="billing_subsea" localSheetId="4">#REF!</definedName>
    <definedName name="billing_subsea" localSheetId="3">#REF!</definedName>
    <definedName name="billing_subsea" localSheetId="2">#REF!</definedName>
    <definedName name="billing_subsea" localSheetId="6">#REF!</definedName>
    <definedName name="billing_subsea" localSheetId="1">#REF!</definedName>
    <definedName name="billing_subsea">#REF!</definedName>
    <definedName name="billing_td" localSheetId="4">#REF!</definedName>
    <definedName name="billing_td" localSheetId="3">#REF!</definedName>
    <definedName name="billing_td" localSheetId="2">#REF!</definedName>
    <definedName name="billing_td" localSheetId="6">#REF!</definedName>
    <definedName name="billing_td" localSheetId="1">#REF!</definedName>
    <definedName name="billing_td">#REF!</definedName>
    <definedName name="c_tax" localSheetId="4">[4]Assumptions!$D$129</definedName>
    <definedName name="c_tax">#REF!</definedName>
    <definedName name="cablife" localSheetId="4">[1]Assumptions!$H$29</definedName>
    <definedName name="cablife">#REF!</definedName>
    <definedName name="CB_12e62801962942a1b1f01ad173193b26" localSheetId="4" hidden="1">'CBA Model'!$D$27</definedName>
    <definedName name="CB_29f9e5807f9248d19036e90f9b585233" localSheetId="4" hidden="1">'CBA Model'!$D$28</definedName>
    <definedName name="CB_314053845924437eaaab510bb3ee5e19" localSheetId="3" hidden="1">'Cost-Benefit Summary'!$E$19</definedName>
    <definedName name="CB_334e024f15f04071b796804c86e35cce" localSheetId="4" hidden="1">'CBA Model'!$D$23</definedName>
    <definedName name="CB_731995f532b3438a9806c912f3d662a9" localSheetId="3" hidden="1">'Cost-Benefit Summary'!$E$21</definedName>
    <definedName name="CB_b9c257c266b6484e91105d7384d31b2a" localSheetId="4" hidden="1">'CBA Model'!$D$29</definedName>
    <definedName name="CB_bd891fae18bc450b800c056dbb81a82c" localSheetId="4" hidden="1">'CBA Model'!$D$25</definedName>
    <definedName name="CB_bec81748275647cc9484d6490a0fe0a9" localSheetId="3" hidden="1">'Cost-Benefit Summary'!$E$20</definedName>
    <definedName name="CB_Block_00000000000000000000000000000000" localSheetId="4" hidden="1">"'7.0.0.0"</definedName>
    <definedName name="CB_Block_00000000000000000000000000000000" localSheetId="3" hidden="1">"'7.0.0.0"</definedName>
    <definedName name="CB_Block_00000000000000000000000000000000" localSheetId="6" hidden="1">"'7.0.0.0"</definedName>
    <definedName name="CB_Block_00000000000000000000000000000001" localSheetId="5" hidden="1">"'638682220036118337"</definedName>
    <definedName name="CB_Block_00000000000000000000000000000001" localSheetId="4" hidden="1">"'638682220036118337"</definedName>
    <definedName name="CB_Block_00000000000000000000000000000001" localSheetId="3" hidden="1">"'638682220036425001"</definedName>
    <definedName name="CB_Block_00000000000000000000000000000001" localSheetId="6" hidden="1">"'638537841443146822"</definedName>
    <definedName name="CB_Block_00000000000000000000000000000003" localSheetId="4" hidden="1">"'11.1.4716.0"</definedName>
    <definedName name="CB_Block_00000000000000000000000000000003" localSheetId="3" hidden="1">"'11.1.4716.0"</definedName>
    <definedName name="CB_Block_00000000000000000000000000000003" localSheetId="6" hidden="1">"'11.1.4716.0"</definedName>
    <definedName name="CB_BlockExt_00000000000000000000000000000003" localSheetId="4" hidden="1">"'11.1.2.4.850"</definedName>
    <definedName name="CB_BlockExt_00000000000000000000000000000003" localSheetId="3" hidden="1">"'11.1.2.4.850"</definedName>
    <definedName name="CB_BlockExt_00000000000000000000000000000003" localSheetId="6" hidden="1">"'11.1.2.4.850"</definedName>
    <definedName name="CB_d68ee2d4b2684ea4bab6e1557672b310" localSheetId="4" hidden="1">'CBA Model'!$D$24</definedName>
    <definedName name="CB_efddb7a01cdc4437a0ae529b8036bb6f" localSheetId="3" hidden="1">'Cost-Benefit Summary'!$E$17</definedName>
    <definedName name="CBWorkbookPriority" localSheetId="5" hidden="1">-3041900174136390</definedName>
    <definedName name="CBWorkbookPriority" hidden="1">-1802552942</definedName>
    <definedName name="CBx_1aabb6672df64e49b1916aa2a3e91982" localSheetId="5" hidden="1">"'CBA Model'!$A$1"</definedName>
    <definedName name="CBx_25c594a40d7a4e559820bf0d3a77f1b3" localSheetId="5" hidden="1">"'Sensitivity Analysis'!$A$1"</definedName>
    <definedName name="CBx_7272f04edf4b4e7e8ffd01487e2bc888" localSheetId="5" hidden="1">"'CB_DATA_'!$A$1"</definedName>
    <definedName name="CBx_79ef28799f48423aa5251de97ced1457" localSheetId="5" hidden="1">"'Cost-Benefit Summary'!$A$1"</definedName>
    <definedName name="CBx_Sheet_Guid" localSheetId="5" hidden="1">"'7272f04e-df4b-4e7e-8ffd-01487e2bc888"</definedName>
    <definedName name="CBx_Sheet_Guid" localSheetId="4" hidden="1">"'1aabb667-2df6-4e49-b191-6aa2a3e91982"</definedName>
    <definedName name="CBx_Sheet_Guid" localSheetId="3" hidden="1">"'79ef2879-9f48-423a-a525-1de97ced1457"</definedName>
    <definedName name="CBx_Sheet_Guid" localSheetId="6" hidden="1">"'25c594a4-0d7a-4e55-9820-bf0d3a77f1b3"</definedName>
    <definedName name="CBx_SheetRef" localSheetId="5" hidden="1">CB_DATA_!$A$14</definedName>
    <definedName name="CBx_SheetRef" localSheetId="4" hidden="1">CB_DATA_!$C$14</definedName>
    <definedName name="CBx_SheetRef" localSheetId="3" hidden="1">CB_DATA_!$D$14</definedName>
    <definedName name="CBx_SheetRef" localSheetId="6" hidden="1">CB_DATA_!$B$14</definedName>
    <definedName name="CBx_StorageType" localSheetId="5" hidden="1">2</definedName>
    <definedName name="CBx_StorageType" localSheetId="4" hidden="1">2</definedName>
    <definedName name="CBx_StorageType" localSheetId="3" hidden="1">2</definedName>
    <definedName name="CBx_StorageType" localSheetId="6" hidden="1">2</definedName>
    <definedName name="changebene">#REF!</definedName>
    <definedName name="changecosts" localSheetId="4">#REF!</definedName>
    <definedName name="changecosts" localSheetId="3">#REF!</definedName>
    <definedName name="changecosts" localSheetId="2">#REF!</definedName>
    <definedName name="changecosts" localSheetId="6">#REF!</definedName>
    <definedName name="changecosts" localSheetId="1">#REF!</definedName>
    <definedName name="changecosts">#REF!</definedName>
    <definedName name="changeinv" localSheetId="4">#REF!</definedName>
    <definedName name="changeinv" localSheetId="3">#REF!</definedName>
    <definedName name="changeinv" localSheetId="2">#REF!</definedName>
    <definedName name="changeinv" localSheetId="6">#REF!</definedName>
    <definedName name="changeinv" localSheetId="1">#REF!</definedName>
    <definedName name="changeinv">#REF!</definedName>
    <definedName name="Class1_wo_expt" localSheetId="4">#REF!</definedName>
    <definedName name="Class1_wo_expt" localSheetId="3">#REF!</definedName>
    <definedName name="Class1_wo_expt" localSheetId="2">#REF!</definedName>
    <definedName name="Class1_wo_expt" localSheetId="6">#REF!</definedName>
    <definedName name="Class1_wo_expt" localSheetId="1">#REF!</definedName>
    <definedName name="Class1_wo_expt">#REF!</definedName>
    <definedName name="Class2_wo_expt" localSheetId="4">#REF!</definedName>
    <definedName name="Class2_wo_expt" localSheetId="3">#REF!</definedName>
    <definedName name="Class2_wo_expt" localSheetId="2">#REF!</definedName>
    <definedName name="Class2_wo_expt" localSheetId="6">#REF!</definedName>
    <definedName name="Class2_wo_expt" localSheetId="1">#REF!</definedName>
    <definedName name="Class2_wo_expt">#REF!</definedName>
    <definedName name="Class3_wo_expt" localSheetId="4">#REF!</definedName>
    <definedName name="Class3_wo_expt" localSheetId="3">#REF!</definedName>
    <definedName name="Class3_wo_expt" localSheetId="2">#REF!</definedName>
    <definedName name="Class3_wo_expt" localSheetId="6">#REF!</definedName>
    <definedName name="Class3_wo_expt" localSheetId="1">#REF!</definedName>
    <definedName name="Class3_wo_expt">#REF!</definedName>
    <definedName name="Clist" localSheetId="4">#REF!</definedName>
    <definedName name="Clist" localSheetId="3">#REF!</definedName>
    <definedName name="Clist" localSheetId="2">#REF!</definedName>
    <definedName name="Clist" localSheetId="6">#REF!</definedName>
    <definedName name="Clist" localSheetId="1">#REF!</definedName>
    <definedName name="Clist">#REF!</definedName>
    <definedName name="CODE" localSheetId="4">#REF!</definedName>
    <definedName name="CODE" localSheetId="3">#REF!</definedName>
    <definedName name="CODE" localSheetId="2">#REF!</definedName>
    <definedName name="CODE" localSheetId="6">#REF!</definedName>
    <definedName name="CODE" localSheetId="1">#REF!</definedName>
    <definedName name="CODE">#REF!</definedName>
    <definedName name="Corridor" localSheetId="4">[5]Benefits!$C$13</definedName>
    <definedName name="Corridor">#REF!</definedName>
    <definedName name="Costs">#REF!</definedName>
    <definedName name="Costs2" localSheetId="4">[1]Assumptions!$W$7:$AB$15</definedName>
    <definedName name="Costs2">#REF!</definedName>
    <definedName name="Current_water_shortfall_2B" localSheetId="4">#REF!</definedName>
    <definedName name="Current_water_shortfall_2B" localSheetId="3">#REF!</definedName>
    <definedName name="Current_water_shortfall_2B" localSheetId="2">#REF!</definedName>
    <definedName name="Current_water_shortfall_2B" localSheetId="6">#REF!</definedName>
    <definedName name="Current_water_shortfall_2B" localSheetId="1">#REF!</definedName>
    <definedName name="Current_water_shortfall_2B">#REF!</definedName>
    <definedName name="Current_water_shortfall_2F" localSheetId="4">#REF!</definedName>
    <definedName name="Current_water_shortfall_2F" localSheetId="3">#REF!</definedName>
    <definedName name="Current_water_shortfall_2F" localSheetId="2">#REF!</definedName>
    <definedName name="Current_water_shortfall_2F" localSheetId="6">#REF!</definedName>
    <definedName name="Current_water_shortfall_2F" localSheetId="1">#REF!</definedName>
    <definedName name="Current_water_shortfall_2F">#REF!</definedName>
    <definedName name="data" localSheetId="4">#REF!</definedName>
    <definedName name="data" localSheetId="3">#REF!</definedName>
    <definedName name="data" localSheetId="2">#REF!</definedName>
    <definedName name="data" localSheetId="6">#REF!</definedName>
    <definedName name="data" localSheetId="1">#REF!</definedName>
    <definedName name="data">#REF!</definedName>
    <definedName name="_xlnm.Database" localSheetId="4">#REF!</definedName>
    <definedName name="_xlnm.Database" localSheetId="3">#REF!</definedName>
    <definedName name="_xlnm.Database" localSheetId="2">#REF!</definedName>
    <definedName name="_xlnm.Database" localSheetId="6">#REF!</definedName>
    <definedName name="_xlnm.Database" localSheetId="1">#REF!</definedName>
    <definedName name="_xlnm.Database">#REF!</definedName>
    <definedName name="death_rate_stage_III_T" localSheetId="4">'[6]Diabetes Costs &amp; Benefits'!$C$26</definedName>
    <definedName name="death_rate_stage_III_T">#REF!</definedName>
    <definedName name="death_rate_stage_III_UT" localSheetId="4">'[6]Diabetes Costs &amp; Benefits'!$C$25</definedName>
    <definedName name="death_rate_stage_III_UT">#REF!</definedName>
    <definedName name="death_rate_stage_IV_T" localSheetId="4">'[6]Hypertension Costs &amp; Benefits'!$C$28</definedName>
    <definedName name="death_rate_stage_IV_T">#REF!</definedName>
    <definedName name="death_rate_stage_IV_UT" localSheetId="4">'[6]Hypertension Costs &amp; Benefits'!$C$27</definedName>
    <definedName name="death_rate_stage_IV_UT">#REF!</definedName>
    <definedName name="debt">#REF!</definedName>
    <definedName name="debt_cost" localSheetId="4">#REF!</definedName>
    <definedName name="debt_cost" localSheetId="3">#REF!</definedName>
    <definedName name="debt_cost" localSheetId="2">#REF!</definedName>
    <definedName name="debt_cost" localSheetId="6">#REF!</definedName>
    <definedName name="debt_cost" localSheetId="1">#REF!</definedName>
    <definedName name="debt_cost">#REF!</definedName>
    <definedName name="Demand_per_person_2010_2b" localSheetId="4">#REF!</definedName>
    <definedName name="Demand_per_person_2010_2b" localSheetId="3">#REF!</definedName>
    <definedName name="Demand_per_person_2010_2b" localSheetId="2">#REF!</definedName>
    <definedName name="Demand_per_person_2010_2b" localSheetId="6">#REF!</definedName>
    <definedName name="Demand_per_person_2010_2b" localSheetId="1">#REF!</definedName>
    <definedName name="Demand_per_person_2010_2b">#REF!</definedName>
    <definedName name="Demand_per_person_2010_2f" localSheetId="4">#REF!</definedName>
    <definedName name="Demand_per_person_2010_2f" localSheetId="3">#REF!</definedName>
    <definedName name="Demand_per_person_2010_2f" localSheetId="2">#REF!</definedName>
    <definedName name="Demand_per_person_2010_2f" localSheetId="6">#REF!</definedName>
    <definedName name="Demand_per_person_2010_2f" localSheetId="1">#REF!</definedName>
    <definedName name="Demand_per_person_2010_2f">#REF!</definedName>
    <definedName name="DEP" localSheetId="4">#REF!</definedName>
    <definedName name="DEP" localSheetId="3">#REF!</definedName>
    <definedName name="DEP" localSheetId="2">#REF!</definedName>
    <definedName name="DEP" localSheetId="6">#REF!</definedName>
    <definedName name="DEP" localSheetId="1">#REF!</definedName>
    <definedName name="DEP">#REF!</definedName>
    <definedName name="DI" hidden="1">-1448428185</definedName>
    <definedName name="diesel_price">#REF!</definedName>
    <definedName name="disc" localSheetId="4">#REF!</definedName>
    <definedName name="disc" localSheetId="3">#REF!</definedName>
    <definedName name="disc" localSheetId="2">#REF!</definedName>
    <definedName name="disc" localSheetId="6">#REF!</definedName>
    <definedName name="disc" localSheetId="1">#REF!</definedName>
    <definedName name="disc">#REF!</definedName>
    <definedName name="discount" localSheetId="4">#REF!</definedName>
    <definedName name="discount" localSheetId="3">#REF!</definedName>
    <definedName name="discount" localSheetId="2">#REF!</definedName>
    <definedName name="discount" localSheetId="6">#REF!</definedName>
    <definedName name="discount" localSheetId="1">#REF!</definedName>
    <definedName name="discount">#REF!</definedName>
    <definedName name="disease_cases" localSheetId="4">#REF!</definedName>
    <definedName name="disease_cases" localSheetId="3">#REF!</definedName>
    <definedName name="disease_cases" localSheetId="2">#REF!</definedName>
    <definedName name="disease_cases" localSheetId="6">#REF!</definedName>
    <definedName name="disease_cases" localSheetId="1">#REF!</definedName>
    <definedName name="disease_cases">#REF!</definedName>
    <definedName name="DPY" localSheetId="4">#REF!</definedName>
    <definedName name="DPY" localSheetId="3">#REF!</definedName>
    <definedName name="DPY" localSheetId="2">#REF!</definedName>
    <definedName name="DPY" localSheetId="6">#REF!</definedName>
    <definedName name="DPY" localSheetId="1">#REF!</definedName>
    <definedName name="DPY">#REF!</definedName>
    <definedName name="ECF" localSheetId="4">#REF!</definedName>
    <definedName name="ECF" localSheetId="3">#REF!</definedName>
    <definedName name="ECF" localSheetId="2">#REF!</definedName>
    <definedName name="ECF" localSheetId="6">#REF!</definedName>
    <definedName name="ECF" localSheetId="1">#REF!</definedName>
    <definedName name="ECF">#REF!</definedName>
    <definedName name="ECON" localSheetId="4">#REF!</definedName>
    <definedName name="ECON" localSheetId="3">#REF!</definedName>
    <definedName name="ECON" localSheetId="2">#REF!</definedName>
    <definedName name="ECON" localSheetId="6">#REF!</definedName>
    <definedName name="ECON" localSheetId="1">#REF!</definedName>
    <definedName name="ECON">#REF!</definedName>
    <definedName name="eduwageadd" localSheetId="4">#REF!</definedName>
    <definedName name="eduwageadd" localSheetId="3">#REF!</definedName>
    <definedName name="eduwageadd" localSheetId="2">#REF!</definedName>
    <definedName name="eduwageadd" localSheetId="6">#REF!</definedName>
    <definedName name="eduwageadd" localSheetId="1">#REF!</definedName>
    <definedName name="eduwageadd">#REF!</definedName>
    <definedName name="eduwagenr" localSheetId="4">#REF!</definedName>
    <definedName name="eduwagenr" localSheetId="3">#REF!</definedName>
    <definedName name="eduwagenr" localSheetId="2">#REF!</definedName>
    <definedName name="eduwagenr" localSheetId="6">#REF!</definedName>
    <definedName name="eduwagenr" localSheetId="1">#REF!</definedName>
    <definedName name="eduwagenr">#REF!</definedName>
    <definedName name="elasticity" localSheetId="4">[5]Benefits!$C$12</definedName>
    <definedName name="elasticity">#REF!</definedName>
    <definedName name="equity">#REF!</definedName>
    <definedName name="EU_import_growth" localSheetId="4">'[3]Background Sheet 2'!$C$10</definedName>
    <definedName name="EU_import_growth">#REF!</definedName>
    <definedName name="EU_share" localSheetId="4">'[3]Background Sheet 2'!$C$15</definedName>
    <definedName name="EU_share">#REF!</definedName>
    <definedName name="ex_rate" localSheetId="4">#REF!</definedName>
    <definedName name="ex_rate" localSheetId="3">#REF!</definedName>
    <definedName name="ex_rate" localSheetId="2">#REF!</definedName>
    <definedName name="ex_rate" localSheetId="6">#REF!</definedName>
    <definedName name="ex_rate" localSheetId="1">#REF!</definedName>
    <definedName name="ex_rate">#REF!</definedName>
    <definedName name="exch" localSheetId="4">#REF!</definedName>
    <definedName name="exch" localSheetId="3">#REF!</definedName>
    <definedName name="exch" localSheetId="2">#REF!</definedName>
    <definedName name="exch" localSheetId="6">#REF!</definedName>
    <definedName name="exch" localSheetId="1">#REF!</definedName>
    <definedName name="exch">#REF!</definedName>
    <definedName name="exch2" localSheetId="4">[7]Basics!$G$8</definedName>
    <definedName name="exch2">#REF!</definedName>
    <definedName name="farm_density" localSheetId="4">[5]Benefits!$C$15</definedName>
    <definedName name="farm_density">#REF!</definedName>
    <definedName name="FBO_outgrowers" localSheetId="4">'[3]Background Sheet 2'!$C$18</definedName>
    <definedName name="FBO_outgrowers">#REF!</definedName>
    <definedName name="gasswitch" localSheetId="4">[1]Assumptions!$H$47</definedName>
    <definedName name="gasswitch">#REF!</definedName>
    <definedName name="GBDageD95" localSheetId="4">#REF!</definedName>
    <definedName name="GBDageD95" localSheetId="3">#REF!</definedName>
    <definedName name="GBDageD95" localSheetId="2">#REF!</definedName>
    <definedName name="GBDageD95" localSheetId="6">#REF!</definedName>
    <definedName name="GBDageD95" localSheetId="1">#REF!</definedName>
    <definedName name="GBDageD95">#REF!</definedName>
    <definedName name="GM_param" localSheetId="4">[5]Benefits!#REF!</definedName>
    <definedName name="GM_param" localSheetId="3">#REF!</definedName>
    <definedName name="GM_param" localSheetId="2">#REF!</definedName>
    <definedName name="GM_param" localSheetId="6">#REF!</definedName>
    <definedName name="GM_param" localSheetId="1">#REF!</definedName>
    <definedName name="GM_param">#REF!</definedName>
    <definedName name="grow" localSheetId="4">#REF!</definedName>
    <definedName name="grow" localSheetId="3">#REF!</definedName>
    <definedName name="grow" localSheetId="2">#REF!</definedName>
    <definedName name="grow" localSheetId="6">#REF!</definedName>
    <definedName name="grow" localSheetId="1">#REF!</definedName>
    <definedName name="grow">#REF!</definedName>
    <definedName name="Growth_Rate" localSheetId="4">[5]Benefits!$C$14</definedName>
    <definedName name="Growth_Rate">#REF!</definedName>
    <definedName name="home" localSheetId="4">#REF!</definedName>
    <definedName name="home" localSheetId="3">#REF!</definedName>
    <definedName name="home" localSheetId="2">#REF!</definedName>
    <definedName name="home" localSheetId="6">#REF!</definedName>
    <definedName name="home" localSheetId="1">#REF!</definedName>
    <definedName name="home">#REF!</definedName>
    <definedName name="hydro_cap" localSheetId="4">#REF!</definedName>
    <definedName name="hydro_cap" localSheetId="3">#REF!</definedName>
    <definedName name="hydro_cap" localSheetId="2">#REF!</definedName>
    <definedName name="hydro_cap" localSheetId="6">#REF!</definedName>
    <definedName name="hydro_cap" localSheetId="1">#REF!</definedName>
    <definedName name="hydro_cap">#REF!</definedName>
    <definedName name="hydro_opex" localSheetId="4">#REF!</definedName>
    <definedName name="hydro_opex" localSheetId="3">#REF!</definedName>
    <definedName name="hydro_opex" localSheetId="2">#REF!</definedName>
    <definedName name="hydro_opex" localSheetId="6">#REF!</definedName>
    <definedName name="hydro_opex" localSheetId="1">#REF!</definedName>
    <definedName name="hydro_opex">#REF!</definedName>
    <definedName name="I_to_II_T_W" localSheetId="4">'[6]Hypertension Costs &amp; Benefits'!$J$82</definedName>
    <definedName name="I_to_II_T_W">#REF!</definedName>
    <definedName name="I_to_II_T_WO" localSheetId="4">'[6]Hypertension Costs &amp; Benefits'!$J$32</definedName>
    <definedName name="I_to_II_T_WO">#REF!</definedName>
    <definedName name="I_to_II_UT" localSheetId="4">'[6]Hypertension Costs &amp; Benefits'!$E$32</definedName>
    <definedName name="I_to_II_UT">#REF!</definedName>
    <definedName name="II_t0_III_T_WO" localSheetId="4">'[6]Hypertension Costs &amp; Benefits'!$J$33</definedName>
    <definedName name="II_t0_III_T_WO">#REF!</definedName>
    <definedName name="II_t0_III_UT" localSheetId="4">'[6]Hypertension Costs &amp; Benefits'!$E$33</definedName>
    <definedName name="II_t0_III_UT">#REF!</definedName>
    <definedName name="II_to_III_T_W" localSheetId="4">'[6]Hypertension Costs &amp; Benefits'!$J$83</definedName>
    <definedName name="II_to_III_T_W">#REF!</definedName>
    <definedName name="II_to_III_UT" localSheetId="4">'[6]Diabetes Costs &amp; Benefits'!$E$31</definedName>
    <definedName name="II_to_III_UT">#REF!</definedName>
    <definedName name="III_to_IV_T_W" localSheetId="4">'[6]Hypertension Costs &amp; Benefits'!$J$84</definedName>
    <definedName name="III_to_IV_T_W">#REF!</definedName>
    <definedName name="III_to_IV_T_WO" localSheetId="4">'[6]Hypertension Costs &amp; Benefits'!$J$34</definedName>
    <definedName name="III_to_IV_T_WO">#REF!</definedName>
    <definedName name="III_to_IV_UT" localSheetId="4">'[6]Hypertension Costs &amp; Benefits'!$E$34</definedName>
    <definedName name="III_to_IV_UT">#REF!</definedName>
    <definedName name="improved_outgrower_prod_ha" localSheetId="4">'[3]Background Sheet 2'!$C$17</definedName>
    <definedName name="improved_outgrower_prod_ha">#REF!</definedName>
    <definedName name="Include_Rpymt" localSheetId="4">#REF!</definedName>
    <definedName name="Include_Rpymt" localSheetId="3">#REF!</definedName>
    <definedName name="Include_Rpymt" localSheetId="2">#REF!</definedName>
    <definedName name="Include_Rpymt" localSheetId="6">#REF!</definedName>
    <definedName name="Include_Rpymt" localSheetId="1">#REF!</definedName>
    <definedName name="Include_Rpymt">#REF!</definedName>
    <definedName name="Include_TSB" localSheetId="4">#REF!</definedName>
    <definedName name="Include_TSB" localSheetId="3">#REF!</definedName>
    <definedName name="Include_TSB" localSheetId="2">#REF!</definedName>
    <definedName name="Include_TSB" localSheetId="6">#REF!</definedName>
    <definedName name="Include_TSB" localSheetId="1">#REF!</definedName>
    <definedName name="Include_TSB">#REF!</definedName>
    <definedName name="Include_WLR" localSheetId="4">#REF!</definedName>
    <definedName name="Include_WLR" localSheetId="3">#REF!</definedName>
    <definedName name="Include_WLR" localSheetId="2">#REF!</definedName>
    <definedName name="Include_WLR" localSheetId="6">#REF!</definedName>
    <definedName name="Include_WLR" localSheetId="1">#REF!</definedName>
    <definedName name="Include_WLR">#REF!</definedName>
    <definedName name="income_comm" localSheetId="4">#REF!</definedName>
    <definedName name="income_comm" localSheetId="3">#REF!</definedName>
    <definedName name="income_comm" localSheetId="2">#REF!</definedName>
    <definedName name="income_comm" localSheetId="6">#REF!</definedName>
    <definedName name="income_comm" localSheetId="1">#REF!</definedName>
    <definedName name="income_comm">#REF!</definedName>
    <definedName name="income_dom" localSheetId="4">#REF!</definedName>
    <definedName name="income_dom" localSheetId="3">#REF!</definedName>
    <definedName name="income_dom" localSheetId="2">#REF!</definedName>
    <definedName name="income_dom" localSheetId="6">#REF!</definedName>
    <definedName name="income_dom" localSheetId="1">#REF!</definedName>
    <definedName name="income_dom">#REF!</definedName>
    <definedName name="income_ind" localSheetId="4">#REF!</definedName>
    <definedName name="income_ind" localSheetId="3">#REF!</definedName>
    <definedName name="income_ind" localSheetId="2">#REF!</definedName>
    <definedName name="income_ind" localSheetId="6">#REF!</definedName>
    <definedName name="income_ind" localSheetId="1">#REF!</definedName>
    <definedName name="income_ind">#REF!</definedName>
    <definedName name="income_p" localSheetId="4">'[6]Hypertension Costs &amp; Benefits'!$E$6</definedName>
    <definedName name="income_p">#REF!</definedName>
    <definedName name="income_street">#REF!</definedName>
    <definedName name="incrnetchange" localSheetId="4">#REF!</definedName>
    <definedName name="incrnetchange" localSheetId="3">#REF!</definedName>
    <definedName name="incrnetchange" localSheetId="2">#REF!</definedName>
    <definedName name="incrnetchange" localSheetId="6">#REF!</definedName>
    <definedName name="incrnetchange" localSheetId="1">#REF!</definedName>
    <definedName name="incrnetchange">#REF!</definedName>
    <definedName name="incrswitch" localSheetId="4">#REF!</definedName>
    <definedName name="incrswitch" localSheetId="3">#REF!</definedName>
    <definedName name="incrswitch" localSheetId="2">#REF!</definedName>
    <definedName name="incrswitch" localSheetId="6">#REF!</definedName>
    <definedName name="incrswitch" localSheetId="1">#REF!</definedName>
    <definedName name="incrswitch">#REF!</definedName>
    <definedName name="infl" localSheetId="4">#REF!</definedName>
    <definedName name="infl" localSheetId="3">#REF!</definedName>
    <definedName name="infl" localSheetId="2">#REF!</definedName>
    <definedName name="infl" localSheetId="6">#REF!</definedName>
    <definedName name="infl" localSheetId="1">#REF!</definedName>
    <definedName name="infl">#REF!</definedName>
    <definedName name="inflation" localSheetId="4">#REF!</definedName>
    <definedName name="inflation" localSheetId="3">#REF!</definedName>
    <definedName name="inflation" localSheetId="2">#REF!</definedName>
    <definedName name="inflation" localSheetId="6">#REF!</definedName>
    <definedName name="inflation" localSheetId="1">#REF!</definedName>
    <definedName name="inflation">#REF!</definedName>
    <definedName name="Kanyama" localSheetId="4">#REF!</definedName>
    <definedName name="Kanyama" localSheetId="3">#REF!</definedName>
    <definedName name="Kanyama" localSheetId="2">#REF!</definedName>
    <definedName name="Kanyama" localSheetId="6">#REF!</definedName>
    <definedName name="Kanyama" localSheetId="1">#REF!</definedName>
    <definedName name="Kanyama">#REF!</definedName>
    <definedName name="label" localSheetId="4">#REF!</definedName>
    <definedName name="label" localSheetId="3">#REF!</definedName>
    <definedName name="label" localSheetId="2">#REF!</definedName>
    <definedName name="label" localSheetId="6">#REF!</definedName>
    <definedName name="label" localSheetId="1">#REF!</definedName>
    <definedName name="label">#REF!</definedName>
    <definedName name="LCC" localSheetId="4">#REF!</definedName>
    <definedName name="LCC" localSheetId="3">#REF!</definedName>
    <definedName name="LCC" localSheetId="2">#REF!</definedName>
    <definedName name="LCC" localSheetId="6">#REF!</definedName>
    <definedName name="LCC" localSheetId="1">#REF!</definedName>
    <definedName name="LCC">#REF!</definedName>
    <definedName name="Lessgrow" localSheetId="4">#REF!</definedName>
    <definedName name="Lessgrow" localSheetId="3">#REF!</definedName>
    <definedName name="Lessgrow" localSheetId="2">#REF!</definedName>
    <definedName name="Lessgrow" localSheetId="6">#REF!</definedName>
    <definedName name="Lessgrow" localSheetId="1">#REF!</definedName>
    <definedName name="Lessgrow">#REF!</definedName>
    <definedName name="list" localSheetId="4">#REF!</definedName>
    <definedName name="list" localSheetId="3">#REF!</definedName>
    <definedName name="list" localSheetId="2">#REF!</definedName>
    <definedName name="list" localSheetId="6">#REF!</definedName>
    <definedName name="list" localSheetId="1">#REF!</definedName>
    <definedName name="list">#REF!</definedName>
    <definedName name="listtt" localSheetId="4">#REF!</definedName>
    <definedName name="listtt" localSheetId="3">#REF!</definedName>
    <definedName name="listtt" localSheetId="2">#REF!</definedName>
    <definedName name="listtt" localSheetId="6">#REF!</definedName>
    <definedName name="listtt" localSheetId="1">#REF!</definedName>
    <definedName name="listtt">#REF!</definedName>
    <definedName name="loadshed" localSheetId="4">[1]Assumptions!#REF!</definedName>
    <definedName name="loadshed" localSheetId="3">#REF!</definedName>
    <definedName name="loadshed" localSheetId="2">#REF!</definedName>
    <definedName name="loadshed" localSheetId="6">#REF!</definedName>
    <definedName name="loadshed" localSheetId="1">#REF!</definedName>
    <definedName name="loadshed">#REF!</definedName>
    <definedName name="LOAN" localSheetId="4">#REF!</definedName>
    <definedName name="LOAN" localSheetId="3">#REF!</definedName>
    <definedName name="LOAN" localSheetId="2">#REF!</definedName>
    <definedName name="LOAN" localSheetId="6">#REF!</definedName>
    <definedName name="LOAN" localSheetId="1">#REF!</definedName>
    <definedName name="LOAN">#REF!</definedName>
    <definedName name="loan_period" localSheetId="4">#REF!</definedName>
    <definedName name="loan_period" localSheetId="3">#REF!</definedName>
    <definedName name="loan_period" localSheetId="2">#REF!</definedName>
    <definedName name="loan_period" localSheetId="6">#REF!</definedName>
    <definedName name="loan_period" localSheetId="1">#REF!</definedName>
    <definedName name="loan_period">#REF!</definedName>
    <definedName name="Loss_Rate_Tech_Post" localSheetId="4">#REF!</definedName>
    <definedName name="Loss_Rate_Tech_Post" localSheetId="3">#REF!</definedName>
    <definedName name="Loss_Rate_Tech_Post" localSheetId="2">#REF!</definedName>
    <definedName name="Loss_Rate_Tech_Post" localSheetId="6">#REF!</definedName>
    <definedName name="Loss_Rate_Tech_Post" localSheetId="1">#REF!</definedName>
    <definedName name="Loss_Rate_Tech_Post">#REF!</definedName>
    <definedName name="Loss_Rate_Tech_Pre" localSheetId="4">#REF!</definedName>
    <definedName name="Loss_Rate_Tech_Pre" localSheetId="3">#REF!</definedName>
    <definedName name="Loss_Rate_Tech_Pre" localSheetId="2">#REF!</definedName>
    <definedName name="Loss_Rate_Tech_Pre" localSheetId="6">#REF!</definedName>
    <definedName name="Loss_Rate_Tech_Pre" localSheetId="1">#REF!</definedName>
    <definedName name="Loss_Rate_Tech_Pre">#REF!</definedName>
    <definedName name="lpb" localSheetId="4">#REF!</definedName>
    <definedName name="lpb" localSheetId="3">#REF!</definedName>
    <definedName name="lpb" localSheetId="2">#REF!</definedName>
    <definedName name="lpb" localSheetId="6">#REF!</definedName>
    <definedName name="lpb" localSheetId="1">#REF!</definedName>
    <definedName name="lpb">#REF!</definedName>
    <definedName name="LUsum" localSheetId="4">#REF!</definedName>
    <definedName name="LUsum" localSheetId="3">#REF!</definedName>
    <definedName name="LUsum" localSheetId="2">#REF!</definedName>
    <definedName name="LUsum" localSheetId="6">#REF!</definedName>
    <definedName name="LUsum" localSheetId="1">#REF!</definedName>
    <definedName name="LUsum">#REF!</definedName>
    <definedName name="lva" localSheetId="4">#REF!</definedName>
    <definedName name="lva" localSheetId="3">#REF!</definedName>
    <definedName name="lva" localSheetId="2">#REF!</definedName>
    <definedName name="lva" localSheetId="6">#REF!</definedName>
    <definedName name="lva" localSheetId="1">#REF!</definedName>
    <definedName name="lva">#REF!</definedName>
    <definedName name="major_works_impact" localSheetId="4">[5]Benefits!$C$11</definedName>
    <definedName name="major_works_impact">#REF!</definedName>
    <definedName name="mat_rate" localSheetId="4">[4]Assumptions!$D$125</definedName>
    <definedName name="mat_rate">#REF!</definedName>
    <definedName name="mat_years" localSheetId="4">[4]Assumptions!$D$127</definedName>
    <definedName name="mat_years">#REF!</definedName>
    <definedName name="miniprojrange">#REF!</definedName>
    <definedName name="minor_works_impact" localSheetId="4">[5]Benefits!$C$10</definedName>
    <definedName name="minor_works_impact">#REF!</definedName>
    <definedName name="model_start">#REF!</definedName>
    <definedName name="mvacap" localSheetId="4">[1]Assumptions!$H$31</definedName>
    <definedName name="mvacap">#REF!</definedName>
    <definedName name="nmarkup" localSheetId="4">#REF!</definedName>
    <definedName name="nmarkup" localSheetId="3">#REF!</definedName>
    <definedName name="nmarkup" localSheetId="2">#REF!</definedName>
    <definedName name="nmarkup" localSheetId="6">#REF!</definedName>
    <definedName name="nmarkup" localSheetId="1">#REF!</definedName>
    <definedName name="nmarkup">#REF!</definedName>
    <definedName name="nucleus_growth" localSheetId="4">'[3]Background Sheet 2'!$C$14</definedName>
    <definedName name="nucleus_growth">#REF!</definedName>
    <definedName name="nucleus_prod" localSheetId="4">'[3]Background Sheet 2'!$D$25</definedName>
    <definedName name="nucleus_prod">#REF!</definedName>
    <definedName name="omcost" localSheetId="4">#REF!</definedName>
    <definedName name="omcost" localSheetId="3">#REF!</definedName>
    <definedName name="omcost" localSheetId="2">#REF!</definedName>
    <definedName name="omcost" localSheetId="6">#REF!</definedName>
    <definedName name="omcost" localSheetId="1">#REF!</definedName>
    <definedName name="omcost">#REF!</definedName>
    <definedName name="ops_end" localSheetId="4">#REF!</definedName>
    <definedName name="ops_end" localSheetId="3">#REF!</definedName>
    <definedName name="ops_end" localSheetId="2">#REF!</definedName>
    <definedName name="ops_end" localSheetId="6">#REF!</definedName>
    <definedName name="ops_end" localSheetId="1">#REF!</definedName>
    <definedName name="ops_end">#REF!</definedName>
    <definedName name="ops_start" localSheetId="4">#REF!</definedName>
    <definedName name="ops_start" localSheetId="3">#REF!</definedName>
    <definedName name="ops_start" localSheetId="2">#REF!</definedName>
    <definedName name="ops_start" localSheetId="6">#REF!</definedName>
    <definedName name="ops_start" localSheetId="1">#REF!</definedName>
    <definedName name="ops_start">#REF!</definedName>
    <definedName name="outgrower_growth" localSheetId="4">[8]Sheet1!$C$15</definedName>
    <definedName name="outgrower_growth">#REF!</definedName>
    <definedName name="outgrower_prod_ha" localSheetId="4">'[3]Background Sheet 2'!$D$26</definedName>
    <definedName name="outgrower_prod_ha">#REF!</definedName>
    <definedName name="PA" localSheetId="4">#REF!</definedName>
    <definedName name="PA" localSheetId="3">#REF!</definedName>
    <definedName name="PA" localSheetId="2">#REF!</definedName>
    <definedName name="PA" localSheetId="6">#REF!</definedName>
    <definedName name="PA" localSheetId="1">#REF!</definedName>
    <definedName name="PA">#REF!</definedName>
    <definedName name="PeriodicMain" localSheetId="4">[5]Costs!$C$9</definedName>
    <definedName name="PeriodicMain">#REF!</definedName>
    <definedName name="pfactor" localSheetId="4">[1]Assumptions!$H$13</definedName>
    <definedName name="pfactor">#REF!</definedName>
    <definedName name="Phasing" localSheetId="4">#REF!</definedName>
    <definedName name="Phasing" localSheetId="3">#REF!</definedName>
    <definedName name="Phasing" localSheetId="2">#REF!</definedName>
    <definedName name="Phasing" localSheetId="6">#REF!</definedName>
    <definedName name="Phasing" localSheetId="1">#REF!</definedName>
    <definedName name="Phasing">#REF!</definedName>
    <definedName name="Phasing2" localSheetId="4">[1]Planting!$F$4:$S$10</definedName>
    <definedName name="Phasing2">#REF!</definedName>
    <definedName name="pop" localSheetId="4">#REF!</definedName>
    <definedName name="pop" localSheetId="3">#REF!</definedName>
    <definedName name="pop" localSheetId="2">#REF!</definedName>
    <definedName name="pop" localSheetId="6">#REF!</definedName>
    <definedName name="pop" localSheetId="1">#REF!</definedName>
    <definedName name="pop">#REF!</definedName>
    <definedName name="pop_growth" localSheetId="4">'[6]Hypertension Costs &amp; Benefits'!$C$5</definedName>
    <definedName name="pop_growth">#REF!</definedName>
    <definedName name="pow_importprice" localSheetId="4">[1]Assumptions!$M$8:$O$35</definedName>
    <definedName name="pow_importprice">#REF!</definedName>
    <definedName name="ppatable" localSheetId="4">[1]Assumptions!$L$9:$P$35</definedName>
    <definedName name="ppatable">#REF!</definedName>
    <definedName name="ppp" localSheetId="4">#REF!</definedName>
    <definedName name="ppp" localSheetId="3">#REF!</definedName>
    <definedName name="ppp" localSheetId="2">#REF!</definedName>
    <definedName name="ppp" localSheetId="6">#REF!</definedName>
    <definedName name="ppp" localSheetId="1">#REF!</definedName>
    <definedName name="ppp">#REF!</definedName>
    <definedName name="price_comm" localSheetId="4">#REF!</definedName>
    <definedName name="price_comm" localSheetId="3">#REF!</definedName>
    <definedName name="price_comm" localSheetId="2">#REF!</definedName>
    <definedName name="price_comm" localSheetId="6">#REF!</definedName>
    <definedName name="price_comm" localSheetId="1">#REF!</definedName>
    <definedName name="price_comm">#REF!</definedName>
    <definedName name="price_dom" localSheetId="4">#REF!</definedName>
    <definedName name="price_dom" localSheetId="3">#REF!</definedName>
    <definedName name="price_dom" localSheetId="2">#REF!</definedName>
    <definedName name="price_dom" localSheetId="6">#REF!</definedName>
    <definedName name="price_dom" localSheetId="1">#REF!</definedName>
    <definedName name="price_dom">#REF!</definedName>
    <definedName name="price_ind" localSheetId="4">#REF!+#REF!</definedName>
    <definedName name="price_ind" localSheetId="3">#REF!+#REF!</definedName>
    <definedName name="price_ind" localSheetId="2">#REF!+#REF!</definedName>
    <definedName name="price_ind" localSheetId="6">#REF!+#REF!</definedName>
    <definedName name="price_ind" localSheetId="1">#REF!+#REF!</definedName>
    <definedName name="price_ind">#REF!+#REF!</definedName>
    <definedName name="price_street" localSheetId="4">#REF!</definedName>
    <definedName name="price_street" localSheetId="3">#REF!</definedName>
    <definedName name="price_street" localSheetId="2">#REF!</definedName>
    <definedName name="price_street" localSheetId="6">#REF!</definedName>
    <definedName name="price_street" localSheetId="1">#REF!</definedName>
    <definedName name="price_street">#REF!</definedName>
    <definedName name="_xlnm.Print_Area" localSheetId="4">'CBA Model'!$B$1:$Q$30</definedName>
    <definedName name="_xlnm.Print_Area" localSheetId="3">#REF!</definedName>
    <definedName name="_xlnm.Print_Area" localSheetId="2">#REF!</definedName>
    <definedName name="_xlnm.Print_Area" localSheetId="7">'MCA Report'!$A$1:$J$321</definedName>
    <definedName name="_xlnm.Print_Area" localSheetId="6">#REF!</definedName>
    <definedName name="_xlnm.Print_Area" localSheetId="1">#REF!</definedName>
    <definedName name="_xlnm.Print_Area">#REF!</definedName>
    <definedName name="PrintAr2" localSheetId="4">#REF!</definedName>
    <definedName name="PrintAr2" localSheetId="3">#REF!</definedName>
    <definedName name="PrintAr2" localSheetId="2">#REF!</definedName>
    <definedName name="PrintAr2" localSheetId="6">#REF!</definedName>
    <definedName name="PrintAr2" localSheetId="1">#REF!</definedName>
    <definedName name="PrintAr2">#REF!</definedName>
    <definedName name="prod" localSheetId="4">#REF!</definedName>
    <definedName name="prod" localSheetId="3">#REF!</definedName>
    <definedName name="prod" localSheetId="2">#REF!</definedName>
    <definedName name="prod" localSheetId="6">#REF!</definedName>
    <definedName name="prod" localSheetId="1">#REF!</definedName>
    <definedName name="prod">#REF!</definedName>
    <definedName name="proj_life" localSheetId="4">#REF!</definedName>
    <definedName name="proj_life" localSheetId="3">#REF!</definedName>
    <definedName name="proj_life" localSheetId="2">#REF!</definedName>
    <definedName name="proj_life" localSheetId="6">#REF!</definedName>
    <definedName name="proj_life" localSheetId="1">#REF!</definedName>
    <definedName name="proj_life">#REF!</definedName>
    <definedName name="PROJECT_NAME" localSheetId="4">CONCATENATE('[9]User''s Guide'!$C$12," (", '[9]User''s Guide'!$C$13,")")</definedName>
    <definedName name="PROJECT_NAME">CONCATENATE(#REF!," (",#REF!, ")")</definedName>
    <definedName name="project_switch" localSheetId="4">#REF!</definedName>
    <definedName name="project_switch" localSheetId="3">#REF!</definedName>
    <definedName name="project_switch" localSheetId="2">#REF!</definedName>
    <definedName name="project_switch" localSheetId="6">#REF!</definedName>
    <definedName name="project_switch" localSheetId="1">#REF!</definedName>
    <definedName name="project_switch">#REF!</definedName>
    <definedName name="real_disc_rate" localSheetId="4">#REF!</definedName>
    <definedName name="real_disc_rate" localSheetId="3">#REF!</definedName>
    <definedName name="real_disc_rate" localSheetId="2">#REF!</definedName>
    <definedName name="real_disc_rate" localSheetId="6">#REF!</definedName>
    <definedName name="real_disc_rate" localSheetId="1">#REF!</definedName>
    <definedName name="real_disc_rate">#REF!</definedName>
    <definedName name="regeco98" localSheetId="4">#REF!</definedName>
    <definedName name="regeco98" localSheetId="3">#REF!</definedName>
    <definedName name="regeco98" localSheetId="2">#REF!</definedName>
    <definedName name="regeco98" localSheetId="6">#REF!</definedName>
    <definedName name="regeco98" localSheetId="1">#REF!</definedName>
    <definedName name="regeco98">#REF!</definedName>
    <definedName name="req_ret" localSheetId="4">[4]Assumptions!$D$129</definedName>
    <definedName name="req_ret">#REF!</definedName>
    <definedName name="residcapex" localSheetId="4">[1]Assumptions!$H$49</definedName>
    <definedName name="residcapex">#REF!</definedName>
    <definedName name="RoutineMain" localSheetId="4">[5]Costs!$C$8</definedName>
    <definedName name="RoutineMain">#REF!</definedName>
    <definedName name="Savings_per_m3" localSheetId="4">#REF!</definedName>
    <definedName name="Savings_per_m3" localSheetId="3">#REF!</definedName>
    <definedName name="Savings_per_m3" localSheetId="2">#REF!</definedName>
    <definedName name="Savings_per_m3" localSheetId="6">#REF!</definedName>
    <definedName name="Savings_per_m3" localSheetId="1">#REF!</definedName>
    <definedName name="Savings_per_m3">#REF!</definedName>
    <definedName name="Scale_Benefits" localSheetId="4">#REF!</definedName>
    <definedName name="Scale_Benefits" localSheetId="3">#REF!</definedName>
    <definedName name="Scale_Benefits" localSheetId="2">#REF!</definedName>
    <definedName name="Scale_Benefits" localSheetId="6">#REF!</definedName>
    <definedName name="Scale_Benefits" localSheetId="1">#REF!</definedName>
    <definedName name="Scale_Benefits">#REF!</definedName>
    <definedName name="selected_cap" localSheetId="4">#REF!</definedName>
    <definedName name="selected_cap" localSheetId="3">#REF!</definedName>
    <definedName name="selected_cap" localSheetId="2">#REF!</definedName>
    <definedName name="selected_cap" localSheetId="6">#REF!</definedName>
    <definedName name="selected_cap" localSheetId="1">#REF!</definedName>
    <definedName name="selected_cap">#REF!</definedName>
    <definedName name="SlopeF" localSheetId="4">#REF!</definedName>
    <definedName name="SlopeF" localSheetId="3">#REF!</definedName>
    <definedName name="SlopeF" localSheetId="2">#REF!</definedName>
    <definedName name="SlopeF" localSheetId="6">#REF!</definedName>
    <definedName name="SlopeF" localSheetId="1">#REF!</definedName>
    <definedName name="SlopeF">#REF!</definedName>
    <definedName name="slopeintercept" localSheetId="4">#REF!</definedName>
    <definedName name="slopeintercept" localSheetId="3">#REF!</definedName>
    <definedName name="slopeintercept" localSheetId="2">#REF!</definedName>
    <definedName name="slopeintercept" localSheetId="6">#REF!</definedName>
    <definedName name="slopeintercept" localSheetId="1">#REF!</definedName>
    <definedName name="slopeintercept">#REF!</definedName>
    <definedName name="slopeM" localSheetId="4">#REF!</definedName>
    <definedName name="slopeM" localSheetId="3">#REF!</definedName>
    <definedName name="slopeM" localSheetId="2">#REF!</definedName>
    <definedName name="slopeM" localSheetId="6">#REF!</definedName>
    <definedName name="slopeM" localSheetId="1">#REF!</definedName>
    <definedName name="slopeM">#REF!</definedName>
    <definedName name="sort1" localSheetId="4">#REF!</definedName>
    <definedName name="sort1" localSheetId="3">#REF!</definedName>
    <definedName name="sort1" localSheetId="2">#REF!</definedName>
    <definedName name="sort1" localSheetId="6">#REF!</definedName>
    <definedName name="sort1" localSheetId="1">#REF!</definedName>
    <definedName name="sort1">#REF!</definedName>
    <definedName name="sort2" localSheetId="4">#REF!</definedName>
    <definedName name="sort2" localSheetId="3">#REF!</definedName>
    <definedName name="sort2" localSheetId="2">#REF!</definedName>
    <definedName name="sort2" localSheetId="6">#REF!</definedName>
    <definedName name="sort2" localSheetId="1">#REF!</definedName>
    <definedName name="sort2">#REF!</definedName>
    <definedName name="sort3" localSheetId="4">#REF!</definedName>
    <definedName name="sort3" localSheetId="3">#REF!</definedName>
    <definedName name="sort3" localSheetId="2">#REF!</definedName>
    <definedName name="sort3" localSheetId="6">#REF!</definedName>
    <definedName name="sort3" localSheetId="1">#REF!</definedName>
    <definedName name="sort3">#REF!</definedName>
    <definedName name="sort4" localSheetId="4">#REF!</definedName>
    <definedName name="sort4" localSheetId="3">#REF!</definedName>
    <definedName name="sort4" localSheetId="2">#REF!</definedName>
    <definedName name="sort4" localSheetId="6">#REF!</definedName>
    <definedName name="sort4" localSheetId="1">#REF!</definedName>
    <definedName name="sort4">#REF!</definedName>
    <definedName name="SPSS" localSheetId="4">#REF!</definedName>
    <definedName name="SPSS" localSheetId="3">#REF!</definedName>
    <definedName name="SPSS" localSheetId="2">#REF!</definedName>
    <definedName name="SPSS" localSheetId="6">#REF!</definedName>
    <definedName name="SPSS" localSheetId="1">#REF!</definedName>
    <definedName name="SPSS">#REF!</definedName>
    <definedName name="startyear" localSheetId="4">[1]Assumptions!$H$36</definedName>
    <definedName name="startyear">#REF!</definedName>
    <definedName name="STAT">#N/A</definedName>
    <definedName name="sub_cap">#REF!</definedName>
    <definedName name="SUM" localSheetId="4">#REF!</definedName>
    <definedName name="SUM" localSheetId="3">#REF!</definedName>
    <definedName name="SUM" localSheetId="2">#REF!</definedName>
    <definedName name="SUM" localSheetId="6">#REF!</definedName>
    <definedName name="SUM" localSheetId="1">#REF!</definedName>
    <definedName name="SUM">#REF!</definedName>
    <definedName name="tariff_case" localSheetId="4">#REF!</definedName>
    <definedName name="tariff_case" localSheetId="3">#REF!</definedName>
    <definedName name="tariff_case" localSheetId="2">#REF!</definedName>
    <definedName name="tariff_case" localSheetId="6">#REF!</definedName>
    <definedName name="tariff_case" localSheetId="1">#REF!</definedName>
    <definedName name="tariff_case">#REF!</definedName>
    <definedName name="tax_dep" localSheetId="4">#REF!</definedName>
    <definedName name="tax_dep" localSheetId="3">#REF!</definedName>
    <definedName name="tax_dep" localSheetId="2">#REF!</definedName>
    <definedName name="tax_dep" localSheetId="6">#REF!</definedName>
    <definedName name="tax_dep" localSheetId="1">#REF!</definedName>
    <definedName name="tax_dep">#REF!</definedName>
    <definedName name="tax_rate" localSheetId="4">#REF!</definedName>
    <definedName name="tax_rate" localSheetId="3">#REF!</definedName>
    <definedName name="tax_rate" localSheetId="2">#REF!</definedName>
    <definedName name="tax_rate" localSheetId="6">#REF!</definedName>
    <definedName name="tax_rate" localSheetId="1">#REF!</definedName>
    <definedName name="tax_rate">#REF!</definedName>
    <definedName name="td_cap" localSheetId="4">#REF!</definedName>
    <definedName name="td_cap" localSheetId="3">#REF!</definedName>
    <definedName name="td_cap" localSheetId="2">#REF!</definedName>
    <definedName name="td_cap" localSheetId="6">#REF!</definedName>
    <definedName name="td_cap" localSheetId="1">#REF!</definedName>
    <definedName name="td_cap">#REF!</definedName>
    <definedName name="td_opex" localSheetId="4">#REF!</definedName>
    <definedName name="td_opex" localSheetId="3">#REF!</definedName>
    <definedName name="td_opex" localSheetId="2">#REF!</definedName>
    <definedName name="td_opex" localSheetId="6">#REF!</definedName>
    <definedName name="td_opex" localSheetId="1">#REF!</definedName>
    <definedName name="td_opex">#REF!</definedName>
    <definedName name="unserved" localSheetId="4">[1]Assumptions!$H$35</definedName>
    <definedName name="unserved">#REF!</definedName>
    <definedName name="UWSSA" localSheetId="4">#REF!</definedName>
    <definedName name="UWSSA" localSheetId="3">#REF!</definedName>
    <definedName name="UWSSA" localSheetId="2">#REF!</definedName>
    <definedName name="UWSSA" localSheetId="6">#REF!</definedName>
    <definedName name="UWSSA" localSheetId="1">#REF!</definedName>
    <definedName name="UWSSA">#REF!</definedName>
    <definedName name="voll" localSheetId="4">[1]Assumptions!$H$30</definedName>
    <definedName name="voll">#REF!</definedName>
    <definedName name="year" localSheetId="4">#REF!</definedName>
    <definedName name="year" localSheetId="3">#REF!</definedName>
    <definedName name="year" localSheetId="2">#REF!</definedName>
    <definedName name="year" localSheetId="6">#REF!</definedName>
    <definedName name="year" localSheetId="1">#REF!</definedName>
    <definedName name="year">#REF!</definedName>
    <definedName name="Year1" localSheetId="4">#REF!</definedName>
    <definedName name="Year1" localSheetId="3">#REF!</definedName>
    <definedName name="Year1" localSheetId="2">#REF!</definedName>
    <definedName name="Year1" localSheetId="6">#REF!</definedName>
    <definedName name="Year1" localSheetId="1">#REF!</definedName>
    <definedName name="Year1">#REF!</definedName>
    <definedName name="yll" localSheetId="4">#REF!</definedName>
    <definedName name="yll" localSheetId="3">#REF!</definedName>
    <definedName name="yll" localSheetId="2">#REF!</definedName>
    <definedName name="yll" localSheetId="6">#REF!</definedName>
    <definedName name="yll" localSheetId="1">#REF!</definedName>
    <definedName name="yll">#REF!</definedName>
    <definedName name="yll00" localSheetId="4">#REF!</definedName>
    <definedName name="yll00" localSheetId="3">#REF!</definedName>
    <definedName name="yll00" localSheetId="2">#REF!</definedName>
    <definedName name="yll00" localSheetId="6">#REF!</definedName>
    <definedName name="yll00" localSheetId="1">#REF!</definedName>
    <definedName name="yll00">#REF!</definedName>
    <definedName name="yll13" localSheetId="4">#REF!</definedName>
    <definedName name="yll13" localSheetId="3">#REF!</definedName>
    <definedName name="yll13" localSheetId="2">#REF!</definedName>
    <definedName name="yll13" localSheetId="6">#REF!</definedName>
    <definedName name="yll13" localSheetId="1">#REF!</definedName>
    <definedName name="yll1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7" l="1"/>
  <c r="D16" i="13" s="1"/>
  <c r="L59" i="19" l="1"/>
  <c r="G19" i="18"/>
  <c r="G17" i="18"/>
  <c r="E21" i="17"/>
  <c r="E18" i="17"/>
  <c r="D13" i="19"/>
  <c r="D12" i="19"/>
  <c r="D19" i="19"/>
  <c r="D17" i="19"/>
  <c r="D16" i="19"/>
  <c r="D20" i="36"/>
  <c r="E20" i="36"/>
  <c r="F20" i="36"/>
  <c r="G20" i="36"/>
  <c r="H20" i="36"/>
  <c r="I20" i="36"/>
  <c r="J20" i="36"/>
  <c r="K20" i="36"/>
  <c r="L20" i="36"/>
  <c r="M20" i="36"/>
  <c r="N20" i="36"/>
  <c r="O20" i="36"/>
  <c r="P20" i="36"/>
  <c r="Q20" i="36"/>
  <c r="R20" i="36"/>
  <c r="S20" i="36"/>
  <c r="T20" i="36"/>
  <c r="U20" i="36"/>
  <c r="V20" i="36"/>
  <c r="W20" i="36"/>
  <c r="X20" i="36"/>
  <c r="Y20" i="36"/>
  <c r="Z20" i="36"/>
  <c r="AA20" i="36"/>
  <c r="AB20" i="36"/>
  <c r="AC20" i="36"/>
  <c r="AD20" i="36"/>
  <c r="AE20" i="36"/>
  <c r="AF20" i="36"/>
  <c r="AG20" i="36"/>
  <c r="AH20" i="36"/>
  <c r="AI20" i="36"/>
  <c r="AJ20" i="36"/>
  <c r="AK20" i="36"/>
  <c r="AL20" i="36"/>
  <c r="AM20" i="36"/>
  <c r="AN20" i="36"/>
  <c r="AO20" i="36"/>
  <c r="AP20" i="36"/>
  <c r="AQ20" i="36"/>
  <c r="AR20" i="36"/>
  <c r="AS20" i="36"/>
  <c r="AT20" i="36"/>
  <c r="AU20" i="36"/>
  <c r="AV20" i="36"/>
  <c r="AW20" i="36"/>
  <c r="AX20" i="36"/>
  <c r="AY20" i="36"/>
  <c r="AZ20" i="36"/>
  <c r="BA20" i="36"/>
  <c r="BB20" i="36"/>
  <c r="BC20" i="36"/>
  <c r="BD20" i="36"/>
  <c r="BE20" i="36"/>
  <c r="BF20" i="36"/>
  <c r="D14" i="36"/>
  <c r="E14" i="36"/>
  <c r="F14" i="36"/>
  <c r="G14" i="36"/>
  <c r="H14" i="36"/>
  <c r="I14" i="36"/>
  <c r="J14" i="36"/>
  <c r="K14" i="36"/>
  <c r="L14" i="36"/>
  <c r="M14" i="36"/>
  <c r="N14" i="36"/>
  <c r="O14" i="36"/>
  <c r="P14" i="36"/>
  <c r="Q14" i="36"/>
  <c r="R14" i="36"/>
  <c r="C20" i="36"/>
  <c r="C14" i="36"/>
  <c r="P2" i="34"/>
  <c r="M41" i="22" l="1"/>
  <c r="M42" i="22"/>
  <c r="N43" i="22"/>
  <c r="N44" i="22"/>
  <c r="K50" i="22" l="1"/>
  <c r="E36" i="19"/>
  <c r="F36" i="19"/>
  <c r="G36" i="19"/>
  <c r="H36" i="19"/>
  <c r="D36" i="19"/>
  <c r="D49" i="19" s="1"/>
  <c r="C22" i="36"/>
  <c r="E118" i="21" l="1"/>
  <c r="H51" i="19"/>
  <c r="I51" i="19"/>
  <c r="J51" i="19"/>
  <c r="E50" i="19"/>
  <c r="F50" i="19"/>
  <c r="G50" i="19"/>
  <c r="H50" i="19"/>
  <c r="I50" i="19"/>
  <c r="J50" i="19"/>
  <c r="D50" i="19"/>
  <c r="D16" i="40"/>
  <c r="D17" i="40" s="1"/>
  <c r="D51" i="19" s="1"/>
  <c r="E16" i="40"/>
  <c r="E17" i="40" s="1"/>
  <c r="E51" i="19" s="1"/>
  <c r="F16" i="40"/>
  <c r="F17" i="40" s="1"/>
  <c r="F51" i="19" s="1"/>
  <c r="G16" i="40"/>
  <c r="G17" i="40" s="1"/>
  <c r="G51" i="19" s="1"/>
  <c r="H16" i="40"/>
  <c r="H17" i="40" s="1"/>
  <c r="I16" i="40"/>
  <c r="I17" i="40" s="1"/>
  <c r="C17" i="40"/>
  <c r="C16" i="40"/>
  <c r="AV18" i="36" l="1"/>
  <c r="D37" i="37"/>
  <c r="D36" i="37"/>
  <c r="D35" i="37"/>
  <c r="D34" i="37"/>
  <c r="D33" i="37"/>
  <c r="D32" i="37"/>
  <c r="D31" i="37"/>
  <c r="D30" i="37"/>
  <c r="D29" i="37"/>
  <c r="D28" i="37"/>
  <c r="D27" i="37"/>
  <c r="D26" i="37"/>
  <c r="D25" i="37"/>
  <c r="D24" i="37"/>
  <c r="D23" i="37"/>
  <c r="D22" i="37"/>
  <c r="D21" i="37"/>
  <c r="D20" i="37"/>
  <c r="D19" i="37"/>
  <c r="D18" i="37"/>
  <c r="L13" i="37"/>
  <c r="K13" i="37"/>
  <c r="J13" i="37"/>
  <c r="I13" i="37"/>
  <c r="H13" i="37"/>
  <c r="G13" i="37"/>
  <c r="F13" i="37"/>
  <c r="E13" i="37"/>
  <c r="D13" i="37"/>
  <c r="C13" i="37"/>
  <c r="M13" i="36"/>
  <c r="M13" i="37" l="1"/>
  <c r="N13" i="36"/>
  <c r="AM18" i="36"/>
  <c r="Q18" i="36"/>
  <c r="BA18" i="36"/>
  <c r="AZ18" i="36"/>
  <c r="AO18" i="36"/>
  <c r="AN18" i="36"/>
  <c r="AY18" i="36"/>
  <c r="P18" i="36"/>
  <c r="O18" i="36"/>
  <c r="AA18" i="36"/>
  <c r="AB18" i="36"/>
  <c r="AC18" i="36"/>
  <c r="AD18" i="36"/>
  <c r="BB18" i="36"/>
  <c r="AH18" i="36"/>
  <c r="BF18" i="36"/>
  <c r="AI18" i="36"/>
  <c r="M18" i="36"/>
  <c r="M19" i="36" s="1"/>
  <c r="Y18" i="36"/>
  <c r="AK18" i="36"/>
  <c r="AW18" i="36"/>
  <c r="V18" i="36"/>
  <c r="AT18" i="36"/>
  <c r="W18" i="36"/>
  <c r="N18" i="36"/>
  <c r="Z18" i="36"/>
  <c r="AL18" i="36"/>
  <c r="AX18" i="36"/>
  <c r="R18" i="36"/>
  <c r="AP18" i="36"/>
  <c r="AE18" i="36"/>
  <c r="AQ18" i="36"/>
  <c r="BC18" i="36"/>
  <c r="T18" i="36"/>
  <c r="AF18" i="36"/>
  <c r="AR18" i="36"/>
  <c r="BD18" i="36"/>
  <c r="U18" i="36"/>
  <c r="AG18" i="36"/>
  <c r="AS18" i="36"/>
  <c r="BE18" i="36"/>
  <c r="S18" i="36"/>
  <c r="AU18" i="36"/>
  <c r="X18" i="36"/>
  <c r="AJ18" i="36"/>
  <c r="N13" i="37" l="1"/>
  <c r="O13" i="36"/>
  <c r="N19" i="36"/>
  <c r="P13" i="36"/>
  <c r="O13" i="37" l="1"/>
  <c r="Q13" i="36"/>
  <c r="O19" i="36"/>
  <c r="P13" i="37" l="1"/>
  <c r="P19" i="36"/>
  <c r="R13" i="36"/>
  <c r="Q13" i="37" l="1"/>
  <c r="Q19" i="36"/>
  <c r="R13" i="37" l="1"/>
  <c r="R19" i="36"/>
  <c r="S13" i="37" l="1"/>
  <c r="S19" i="36"/>
  <c r="T13" i="37" l="1"/>
  <c r="T19" i="36"/>
  <c r="U13" i="37" l="1"/>
  <c r="U19" i="36"/>
  <c r="V13" i="37" l="1"/>
  <c r="V19" i="36"/>
  <c r="W13" i="37" l="1"/>
  <c r="W19" i="36"/>
  <c r="X13" i="37" l="1"/>
  <c r="X19" i="36"/>
  <c r="Y13" i="37" l="1"/>
  <c r="Y19" i="36"/>
  <c r="Z13" i="37" l="1"/>
  <c r="Z19" i="36"/>
  <c r="AA13" i="37" l="1"/>
  <c r="AA19" i="36"/>
  <c r="AB13" i="37" l="1"/>
  <c r="AB19" i="36"/>
  <c r="AC19" i="36" l="1"/>
  <c r="AD19" i="36" l="1"/>
  <c r="AE19" i="36" l="1"/>
  <c r="AF19" i="36" l="1"/>
  <c r="AG19" i="36" l="1"/>
  <c r="AH19" i="36" l="1"/>
  <c r="AI19" i="36" l="1"/>
  <c r="AJ19" i="36" l="1"/>
  <c r="AK19" i="36" l="1"/>
  <c r="AL19" i="36" l="1"/>
  <c r="AM19" i="36" l="1"/>
  <c r="AN19" i="36" l="1"/>
  <c r="AO19" i="36" l="1"/>
  <c r="AP19" i="36" l="1"/>
  <c r="AQ19" i="36" l="1"/>
  <c r="AR19" i="36" l="1"/>
  <c r="AS19" i="36" l="1"/>
  <c r="AT19" i="36" l="1"/>
  <c r="AU19" i="36" l="1"/>
  <c r="AV19" i="36" l="1"/>
  <c r="AW19" i="36" l="1"/>
  <c r="AX19" i="36" l="1"/>
  <c r="AY19" i="36" l="1"/>
  <c r="AZ19" i="36" l="1"/>
  <c r="BA19" i="36" l="1"/>
  <c r="BB19" i="36" l="1"/>
  <c r="BC19" i="36" l="1"/>
  <c r="BD19" i="36" l="1"/>
  <c r="BE19" i="36" l="1"/>
  <c r="BF19" i="36" l="1"/>
  <c r="G16" i="18" l="1"/>
  <c r="D17" i="13"/>
  <c r="D11" i="34"/>
  <c r="C11" i="34"/>
  <c r="B11" i="34"/>
  <c r="A11" i="34"/>
  <c r="J49" i="19"/>
  <c r="K49" i="19"/>
  <c r="L49" i="19"/>
  <c r="M49" i="19"/>
  <c r="N49" i="19"/>
  <c r="O49" i="19"/>
  <c r="P49" i="19"/>
  <c r="Q49" i="19"/>
  <c r="R49" i="19"/>
  <c r="S49" i="19"/>
  <c r="T49" i="19"/>
  <c r="U49" i="19"/>
  <c r="V49" i="19"/>
  <c r="W49" i="19"/>
  <c r="X49" i="19"/>
  <c r="D39" i="19" l="1"/>
  <c r="D42" i="19"/>
  <c r="D41" i="19"/>
  <c r="D40" i="19"/>
  <c r="D35" i="33"/>
  <c r="C35" i="33"/>
  <c r="H34" i="33"/>
  <c r="G34" i="33"/>
  <c r="E34" i="33"/>
  <c r="I34" i="33" s="1"/>
  <c r="H33" i="33"/>
  <c r="G33" i="33"/>
  <c r="E33" i="33"/>
  <c r="I33" i="33" s="1"/>
  <c r="H32" i="33"/>
  <c r="G32" i="33"/>
  <c r="E32" i="33"/>
  <c r="I32" i="33" s="1"/>
  <c r="H31" i="33"/>
  <c r="G31" i="33"/>
  <c r="E31" i="33"/>
  <c r="I31" i="33" s="1"/>
  <c r="H30" i="33"/>
  <c r="G30" i="33"/>
  <c r="E30" i="33"/>
  <c r="I30" i="33" s="1"/>
  <c r="H29" i="33"/>
  <c r="G29" i="33"/>
  <c r="E29" i="33"/>
  <c r="I29" i="33" s="1"/>
  <c r="H28" i="33"/>
  <c r="G28" i="33"/>
  <c r="E28" i="33"/>
  <c r="I28" i="33" s="1"/>
  <c r="H27" i="33"/>
  <c r="G27" i="33"/>
  <c r="E27" i="33"/>
  <c r="I27" i="33" s="1"/>
  <c r="H26" i="33"/>
  <c r="G26" i="33"/>
  <c r="E26" i="33"/>
  <c r="I26" i="33" s="1"/>
  <c r="H25" i="33"/>
  <c r="G25" i="33"/>
  <c r="E25" i="33"/>
  <c r="I25" i="33" s="1"/>
  <c r="H24" i="33"/>
  <c r="G24" i="33"/>
  <c r="E24" i="33"/>
  <c r="I24" i="33" s="1"/>
  <c r="H23" i="33"/>
  <c r="G23" i="33"/>
  <c r="E23" i="33"/>
  <c r="I23" i="33" s="1"/>
  <c r="H22" i="33"/>
  <c r="G22" i="33"/>
  <c r="E22" i="33"/>
  <c r="I22" i="33" s="1"/>
  <c r="H21" i="33"/>
  <c r="G21" i="33"/>
  <c r="E21" i="33"/>
  <c r="I21" i="33" s="1"/>
  <c r="H20" i="33"/>
  <c r="G20" i="33"/>
  <c r="E20" i="33"/>
  <c r="I20" i="33" s="1"/>
  <c r="H19" i="33"/>
  <c r="G19" i="33"/>
  <c r="E19" i="33"/>
  <c r="I19" i="33" s="1"/>
  <c r="H18" i="33"/>
  <c r="G18" i="33"/>
  <c r="E18" i="33"/>
  <c r="I18" i="33" s="1"/>
  <c r="H17" i="33"/>
  <c r="G17" i="33"/>
  <c r="E17" i="33"/>
  <c r="I17" i="33" s="1"/>
  <c r="H16" i="33"/>
  <c r="G16" i="33"/>
  <c r="E16" i="33"/>
  <c r="I16" i="33" s="1"/>
  <c r="H14" i="33"/>
  <c r="G14" i="33"/>
  <c r="E14" i="33"/>
  <c r="I14" i="33" s="1"/>
  <c r="H13" i="33"/>
  <c r="G13" i="33"/>
  <c r="E13" i="33"/>
  <c r="I13" i="33" s="1"/>
  <c r="H12" i="33"/>
  <c r="G12" i="33"/>
  <c r="E12" i="33"/>
  <c r="I12" i="33" s="1"/>
  <c r="H11" i="33"/>
  <c r="G11" i="33"/>
  <c r="E11" i="33"/>
  <c r="I11" i="33" s="1"/>
  <c r="H10" i="33"/>
  <c r="G10" i="33"/>
  <c r="E10" i="33"/>
  <c r="I10" i="33" s="1"/>
  <c r="K44" i="22"/>
  <c r="L44" i="22"/>
  <c r="M44" i="22"/>
  <c r="O44" i="22"/>
  <c r="P44" i="22"/>
  <c r="L50" i="22"/>
  <c r="M50" i="22"/>
  <c r="N50" i="22"/>
  <c r="O50" i="22"/>
  <c r="P50" i="22"/>
  <c r="K51" i="22"/>
  <c r="L51" i="22"/>
  <c r="M51" i="22"/>
  <c r="N51" i="22"/>
  <c r="O51" i="22"/>
  <c r="P51" i="22"/>
  <c r="K52" i="22"/>
  <c r="L52" i="22"/>
  <c r="M52" i="22"/>
  <c r="N52" i="22"/>
  <c r="O52" i="22"/>
  <c r="P52" i="22"/>
  <c r="K53" i="22"/>
  <c r="L53" i="22"/>
  <c r="M53" i="22"/>
  <c r="N53" i="22"/>
  <c r="O53" i="22"/>
  <c r="P53" i="22"/>
  <c r="K54" i="22"/>
  <c r="L54" i="22"/>
  <c r="M54" i="22"/>
  <c r="N54" i="22"/>
  <c r="O54" i="22"/>
  <c r="P54" i="22"/>
  <c r="K55" i="22"/>
  <c r="L55" i="22"/>
  <c r="M55" i="22"/>
  <c r="N55" i="22"/>
  <c r="O55" i="22"/>
  <c r="P55" i="22"/>
  <c r="K56" i="22"/>
  <c r="L56" i="22"/>
  <c r="M56" i="22"/>
  <c r="N56" i="22"/>
  <c r="O56" i="22"/>
  <c r="P56" i="22"/>
  <c r="K57" i="22"/>
  <c r="L57" i="22"/>
  <c r="M57" i="22"/>
  <c r="N57" i="22"/>
  <c r="O57" i="22"/>
  <c r="P57" i="22"/>
  <c r="K58" i="22"/>
  <c r="L58" i="22"/>
  <c r="M58" i="22"/>
  <c r="N58" i="22"/>
  <c r="O58" i="22"/>
  <c r="P58" i="22"/>
  <c r="K59" i="22"/>
  <c r="L59" i="22"/>
  <c r="M59" i="22"/>
  <c r="N59" i="22"/>
  <c r="O59" i="22"/>
  <c r="P59" i="22"/>
  <c r="K60" i="22"/>
  <c r="L60" i="22"/>
  <c r="M60" i="22"/>
  <c r="N60" i="22"/>
  <c r="O60" i="22"/>
  <c r="P60" i="22"/>
  <c r="K61" i="22"/>
  <c r="L61" i="22"/>
  <c r="M61" i="22"/>
  <c r="N61" i="22"/>
  <c r="O61" i="22"/>
  <c r="P61" i="22"/>
  <c r="K62" i="22"/>
  <c r="L62" i="22"/>
  <c r="M62" i="22"/>
  <c r="N62" i="22"/>
  <c r="O62" i="22"/>
  <c r="P62" i="22"/>
  <c r="K63" i="22"/>
  <c r="L63" i="22"/>
  <c r="M63" i="22"/>
  <c r="N63" i="22"/>
  <c r="O63" i="22"/>
  <c r="P63" i="22"/>
  <c r="K64" i="22"/>
  <c r="L64" i="22"/>
  <c r="M64" i="22"/>
  <c r="N64" i="22"/>
  <c r="O64" i="22"/>
  <c r="P64" i="22"/>
  <c r="K65" i="22"/>
  <c r="L65" i="22"/>
  <c r="M65" i="22"/>
  <c r="N65" i="22"/>
  <c r="O65" i="22"/>
  <c r="P65" i="22"/>
  <c r="K66" i="22"/>
  <c r="L66" i="22"/>
  <c r="M66" i="22"/>
  <c r="N66" i="22"/>
  <c r="O66" i="22"/>
  <c r="P66" i="22"/>
  <c r="K67" i="22"/>
  <c r="L67" i="22"/>
  <c r="M67" i="22"/>
  <c r="N67" i="22"/>
  <c r="O67" i="22"/>
  <c r="P67" i="22"/>
  <c r="K68" i="22"/>
  <c r="L68" i="22"/>
  <c r="M68" i="22"/>
  <c r="N68" i="22"/>
  <c r="O68" i="22"/>
  <c r="P68" i="22"/>
  <c r="K69" i="22"/>
  <c r="L69" i="22"/>
  <c r="M69" i="22"/>
  <c r="N69" i="22"/>
  <c r="O69" i="22"/>
  <c r="P69" i="22"/>
  <c r="K70" i="22"/>
  <c r="L70" i="22"/>
  <c r="M70" i="22"/>
  <c r="N70" i="22"/>
  <c r="O70" i="22"/>
  <c r="P70" i="22"/>
  <c r="K71" i="22"/>
  <c r="L71" i="22"/>
  <c r="M71" i="22"/>
  <c r="N71" i="22"/>
  <c r="O71" i="22"/>
  <c r="P71" i="22"/>
  <c r="K72" i="22"/>
  <c r="L72" i="22"/>
  <c r="M72" i="22"/>
  <c r="N72" i="22"/>
  <c r="O72" i="22"/>
  <c r="P72" i="22"/>
  <c r="K73" i="22"/>
  <c r="L73" i="22"/>
  <c r="M73" i="22"/>
  <c r="N73" i="22"/>
  <c r="O73" i="22"/>
  <c r="P73" i="22"/>
  <c r="L49" i="22"/>
  <c r="M49" i="22"/>
  <c r="N49" i="22"/>
  <c r="O49" i="22"/>
  <c r="P49" i="22"/>
  <c r="K49" i="22"/>
  <c r="D44" i="22"/>
  <c r="E44" i="22"/>
  <c r="F44" i="22"/>
  <c r="G44" i="22"/>
  <c r="H44" i="22"/>
  <c r="C44" i="22"/>
  <c r="D43" i="19" l="1"/>
  <c r="E35" i="33"/>
  <c r="H35" i="33"/>
  <c r="G35" i="33"/>
  <c r="I35" i="33"/>
  <c r="R44" i="22"/>
  <c r="Q44" i="22"/>
  <c r="D48" i="28"/>
  <c r="D47" i="28"/>
  <c r="K43" i="28"/>
  <c r="J43" i="28"/>
  <c r="I43" i="28"/>
  <c r="H43" i="28"/>
  <c r="G43" i="28"/>
  <c r="F43" i="28"/>
  <c r="E43" i="28"/>
  <c r="K42" i="28"/>
  <c r="J42" i="28"/>
  <c r="I42" i="28"/>
  <c r="H42" i="28"/>
  <c r="G42" i="28"/>
  <c r="F42" i="28"/>
  <c r="E42" i="28"/>
  <c r="K41" i="28"/>
  <c r="J41" i="28"/>
  <c r="I41" i="28"/>
  <c r="H41" i="28"/>
  <c r="G41" i="28"/>
  <c r="F41" i="28"/>
  <c r="E41" i="28"/>
  <c r="K40" i="28"/>
  <c r="J40" i="28"/>
  <c r="I40" i="28"/>
  <c r="H40" i="28"/>
  <c r="G40" i="28"/>
  <c r="F40" i="28"/>
  <c r="E40" i="28"/>
  <c r="K39" i="28"/>
  <c r="J39" i="28"/>
  <c r="I39" i="28"/>
  <c r="H39" i="28"/>
  <c r="G39" i="28"/>
  <c r="F39" i="28"/>
  <c r="E39" i="28"/>
  <c r="K38" i="28"/>
  <c r="J38" i="28"/>
  <c r="I38" i="28"/>
  <c r="H38" i="28"/>
  <c r="G38" i="28"/>
  <c r="F38" i="28"/>
  <c r="E38" i="28"/>
  <c r="C128" i="21"/>
  <c r="L90" i="21"/>
  <c r="K90" i="21"/>
  <c r="J90" i="21"/>
  <c r="I90" i="21"/>
  <c r="O112" i="21" s="1"/>
  <c r="H90" i="21"/>
  <c r="N112" i="21" s="1"/>
  <c r="G90" i="21"/>
  <c r="M112" i="21" s="1"/>
  <c r="F90" i="21"/>
  <c r="E90" i="21"/>
  <c r="D90" i="21"/>
  <c r="L89" i="21"/>
  <c r="K89" i="21"/>
  <c r="J89" i="21"/>
  <c r="I89" i="21"/>
  <c r="O111" i="21" s="1"/>
  <c r="H89" i="21"/>
  <c r="G89" i="21"/>
  <c r="F89" i="21"/>
  <c r="E89" i="21"/>
  <c r="D89" i="21"/>
  <c r="L88" i="21"/>
  <c r="K88" i="21"/>
  <c r="J88" i="21"/>
  <c r="I88" i="21"/>
  <c r="H88" i="21"/>
  <c r="N110" i="21" s="1"/>
  <c r="G88" i="21"/>
  <c r="M110" i="21" s="1"/>
  <c r="F88" i="21"/>
  <c r="E88" i="21"/>
  <c r="D88" i="21"/>
  <c r="L87" i="21"/>
  <c r="K87" i="21"/>
  <c r="J87" i="21"/>
  <c r="I87" i="21"/>
  <c r="O109" i="21" s="1"/>
  <c r="H87" i="21"/>
  <c r="N109" i="21" s="1"/>
  <c r="G87" i="21"/>
  <c r="M109" i="21" s="1"/>
  <c r="F87" i="21"/>
  <c r="E87" i="21"/>
  <c r="D87" i="21"/>
  <c r="L86" i="21"/>
  <c r="K86" i="21"/>
  <c r="J86" i="21"/>
  <c r="I86" i="21"/>
  <c r="O108" i="21" s="1"/>
  <c r="H86" i="21"/>
  <c r="N108" i="21" s="1"/>
  <c r="G86" i="21"/>
  <c r="M108" i="21" s="1"/>
  <c r="F86" i="21"/>
  <c r="E86" i="21"/>
  <c r="D86" i="21"/>
  <c r="L85" i="21"/>
  <c r="K85" i="21"/>
  <c r="J85" i="21"/>
  <c r="I85" i="21"/>
  <c r="O107" i="21" s="1"/>
  <c r="H85" i="21"/>
  <c r="N107" i="21" s="1"/>
  <c r="G85" i="21"/>
  <c r="M107" i="21" s="1"/>
  <c r="F85" i="21"/>
  <c r="E85" i="21"/>
  <c r="D85" i="21"/>
  <c r="D75" i="21"/>
  <c r="E75" i="21"/>
  <c r="F75" i="21"/>
  <c r="G75" i="21"/>
  <c r="J107" i="21" s="1"/>
  <c r="H75" i="21"/>
  <c r="K107" i="21" s="1"/>
  <c r="I75" i="21"/>
  <c r="L107" i="21" s="1"/>
  <c r="J75" i="21"/>
  <c r="K75" i="21"/>
  <c r="L75" i="21"/>
  <c r="D76" i="21"/>
  <c r="E76" i="21"/>
  <c r="F76" i="21"/>
  <c r="G76" i="21"/>
  <c r="J108" i="21" s="1"/>
  <c r="H76" i="21"/>
  <c r="K108" i="21" s="1"/>
  <c r="I76" i="21"/>
  <c r="L108" i="21" s="1"/>
  <c r="J76" i="21"/>
  <c r="K76" i="21"/>
  <c r="L76" i="21"/>
  <c r="D77" i="21"/>
  <c r="E77" i="21"/>
  <c r="F77" i="21"/>
  <c r="G77" i="21"/>
  <c r="J109" i="21" s="1"/>
  <c r="H77" i="21"/>
  <c r="K109" i="21" s="1"/>
  <c r="I77" i="21"/>
  <c r="L109" i="21" s="1"/>
  <c r="J77" i="21"/>
  <c r="K77" i="21"/>
  <c r="L77" i="21"/>
  <c r="D78" i="21"/>
  <c r="E78" i="21"/>
  <c r="F78" i="21"/>
  <c r="G78" i="21"/>
  <c r="J110" i="21" s="1"/>
  <c r="H78" i="21"/>
  <c r="K110" i="21" s="1"/>
  <c r="I78" i="21"/>
  <c r="L110" i="21" s="1"/>
  <c r="J78" i="21"/>
  <c r="K78" i="21"/>
  <c r="L78" i="21"/>
  <c r="D79" i="21"/>
  <c r="E79" i="21"/>
  <c r="F79" i="21"/>
  <c r="G79" i="21"/>
  <c r="J111" i="21" s="1"/>
  <c r="H79" i="21"/>
  <c r="K111" i="21" s="1"/>
  <c r="I79" i="21"/>
  <c r="J79" i="21"/>
  <c r="K79" i="21"/>
  <c r="L79" i="21"/>
  <c r="D80" i="21"/>
  <c r="E80" i="21"/>
  <c r="F80" i="21"/>
  <c r="G80" i="21"/>
  <c r="J112" i="21" s="1"/>
  <c r="H80" i="21"/>
  <c r="I80" i="21"/>
  <c r="J80" i="21"/>
  <c r="K80" i="21"/>
  <c r="L80" i="21"/>
  <c r="O69" i="21"/>
  <c r="N69" i="21"/>
  <c r="M69" i="21"/>
  <c r="O68" i="21"/>
  <c r="N68" i="21"/>
  <c r="M68" i="21"/>
  <c r="O67" i="21"/>
  <c r="N67" i="21"/>
  <c r="M67" i="21"/>
  <c r="O66" i="21"/>
  <c r="N66" i="21"/>
  <c r="M66" i="21"/>
  <c r="O65" i="21"/>
  <c r="N65" i="21"/>
  <c r="M65" i="21"/>
  <c r="O64" i="21"/>
  <c r="N64" i="21"/>
  <c r="M64" i="21"/>
  <c r="O59" i="21"/>
  <c r="N59" i="21"/>
  <c r="M59" i="21"/>
  <c r="O58" i="21"/>
  <c r="N58" i="21"/>
  <c r="M58" i="21"/>
  <c r="O57" i="21"/>
  <c r="N57" i="21"/>
  <c r="M57" i="21"/>
  <c r="O56" i="21"/>
  <c r="N56" i="21"/>
  <c r="M56" i="21"/>
  <c r="O55" i="21"/>
  <c r="N55" i="21"/>
  <c r="M55" i="21"/>
  <c r="O54" i="21"/>
  <c r="N54" i="21"/>
  <c r="M54" i="21"/>
  <c r="O48" i="21"/>
  <c r="N48" i="21"/>
  <c r="M48" i="21"/>
  <c r="O47" i="21"/>
  <c r="N47" i="21"/>
  <c r="M47" i="21"/>
  <c r="O46" i="21"/>
  <c r="N46" i="21"/>
  <c r="M46" i="21"/>
  <c r="O45" i="21"/>
  <c r="N45" i="21"/>
  <c r="M45" i="21"/>
  <c r="O44" i="21"/>
  <c r="N44" i="21"/>
  <c r="M44" i="21"/>
  <c r="O43" i="21"/>
  <c r="N43" i="21"/>
  <c r="M43" i="21"/>
  <c r="O38" i="21"/>
  <c r="N38" i="21"/>
  <c r="M38" i="21"/>
  <c r="O37" i="21"/>
  <c r="N37" i="21"/>
  <c r="M37" i="21"/>
  <c r="O36" i="21"/>
  <c r="N36" i="21"/>
  <c r="M36" i="21"/>
  <c r="O35" i="21"/>
  <c r="N35" i="21"/>
  <c r="M35" i="21"/>
  <c r="O34" i="21"/>
  <c r="N34" i="21"/>
  <c r="M34" i="21"/>
  <c r="O33" i="21"/>
  <c r="N33" i="21"/>
  <c r="M33" i="21"/>
  <c r="O27" i="21"/>
  <c r="N27" i="21"/>
  <c r="M27" i="21"/>
  <c r="O26" i="21"/>
  <c r="N26" i="21"/>
  <c r="M26" i="21"/>
  <c r="O25" i="21"/>
  <c r="N25" i="21"/>
  <c r="M25" i="21"/>
  <c r="O24" i="21"/>
  <c r="N24" i="21"/>
  <c r="M24" i="21"/>
  <c r="O23" i="21"/>
  <c r="N23" i="21"/>
  <c r="M23" i="21"/>
  <c r="O22" i="21"/>
  <c r="N22" i="21"/>
  <c r="M22" i="21"/>
  <c r="O17" i="21"/>
  <c r="N17" i="21"/>
  <c r="M17" i="21"/>
  <c r="O16" i="21"/>
  <c r="N16" i="21"/>
  <c r="M16" i="21"/>
  <c r="O15" i="21"/>
  <c r="N15" i="21"/>
  <c r="M15" i="21"/>
  <c r="O14" i="21"/>
  <c r="N14" i="21"/>
  <c r="M14" i="21"/>
  <c r="O13" i="21"/>
  <c r="N13" i="21"/>
  <c r="M13" i="21"/>
  <c r="O12" i="21"/>
  <c r="N12" i="21"/>
  <c r="M12" i="21"/>
  <c r="C33" i="20"/>
  <c r="D11" i="24"/>
  <c r="D12" i="24"/>
  <c r="D13" i="24"/>
  <c r="D14" i="24"/>
  <c r="D15" i="24"/>
  <c r="D16" i="24"/>
  <c r="D17" i="24"/>
  <c r="D18" i="24"/>
  <c r="D19" i="24"/>
  <c r="D20" i="24"/>
  <c r="D21" i="24"/>
  <c r="D22" i="24"/>
  <c r="D23" i="24"/>
  <c r="D24" i="24"/>
  <c r="D25" i="24"/>
  <c r="D26" i="24"/>
  <c r="D27" i="24"/>
  <c r="D28" i="24"/>
  <c r="D29" i="24"/>
  <c r="D30" i="24"/>
  <c r="D31" i="24"/>
  <c r="D32" i="24"/>
  <c r="D33" i="24"/>
  <c r="D34" i="24"/>
  <c r="D10" i="24"/>
  <c r="F14" i="22"/>
  <c r="D10" i="18"/>
  <c r="E10" i="18" s="1"/>
  <c r="F10" i="18" s="1"/>
  <c r="G10" i="18" s="1"/>
  <c r="H10" i="18" s="1"/>
  <c r="I10" i="18" s="1"/>
  <c r="J10" i="18" s="1"/>
  <c r="K10" i="18" s="1"/>
  <c r="L10" i="18" s="1"/>
  <c r="M10" i="18" s="1"/>
  <c r="N10" i="18" s="1"/>
  <c r="O10" i="18" s="1"/>
  <c r="P10" i="18" s="1"/>
  <c r="Q10" i="18" s="1"/>
  <c r="R10" i="18" s="1"/>
  <c r="S10" i="18" s="1"/>
  <c r="T10" i="18" s="1"/>
  <c r="U10" i="18" s="1"/>
  <c r="V10" i="18" s="1"/>
  <c r="W10" i="18" s="1"/>
  <c r="F26" i="20"/>
  <c r="E26" i="20"/>
  <c r="D26" i="20"/>
  <c r="H16" i="20"/>
  <c r="G16" i="20"/>
  <c r="F16" i="20"/>
  <c r="E16" i="20"/>
  <c r="D16" i="20"/>
  <c r="E48" i="19"/>
  <c r="F48" i="19" s="1"/>
  <c r="G48" i="19" s="1"/>
  <c r="H48" i="19" s="1"/>
  <c r="I48" i="19" s="1"/>
  <c r="J48" i="19" s="1"/>
  <c r="K48" i="19" s="1"/>
  <c r="L48" i="19" s="1"/>
  <c r="M48" i="19" s="1"/>
  <c r="N48" i="19" s="1"/>
  <c r="O48" i="19" s="1"/>
  <c r="P48" i="19" s="1"/>
  <c r="Q48" i="19" s="1"/>
  <c r="R48" i="19" s="1"/>
  <c r="S48" i="19" s="1"/>
  <c r="T48" i="19" s="1"/>
  <c r="U48" i="19" s="1"/>
  <c r="V48" i="19" s="1"/>
  <c r="W48" i="19" s="1"/>
  <c r="X48" i="19" s="1"/>
  <c r="E34" i="19"/>
  <c r="D11" i="19"/>
  <c r="I49" i="19" s="1"/>
  <c r="D10" i="19"/>
  <c r="E37" i="19" l="1"/>
  <c r="E20" i="17"/>
  <c r="F34" i="19"/>
  <c r="E41" i="19"/>
  <c r="E40" i="19"/>
  <c r="E42" i="19"/>
  <c r="E39" i="19"/>
  <c r="C31" i="20"/>
  <c r="F47" i="28"/>
  <c r="G48" i="28"/>
  <c r="G47" i="28"/>
  <c r="H48" i="28"/>
  <c r="E48" i="28"/>
  <c r="K47" i="28"/>
  <c r="E47" i="28"/>
  <c r="J48" i="28"/>
  <c r="F48" i="28"/>
  <c r="H47" i="28"/>
  <c r="I48" i="28"/>
  <c r="I47" i="28"/>
  <c r="J47" i="28"/>
  <c r="K48" i="28"/>
  <c r="D49" i="28"/>
  <c r="F53" i="28" s="1"/>
  <c r="F96" i="21"/>
  <c r="F108" i="21" s="1"/>
  <c r="L98" i="21"/>
  <c r="J100" i="21"/>
  <c r="D98" i="21"/>
  <c r="D110" i="21" s="1"/>
  <c r="K99" i="21"/>
  <c r="E97" i="21"/>
  <c r="E109" i="21" s="1"/>
  <c r="M76" i="21"/>
  <c r="N75" i="21"/>
  <c r="O88" i="21"/>
  <c r="N89" i="21"/>
  <c r="I100" i="21"/>
  <c r="J99" i="21"/>
  <c r="K98" i="21"/>
  <c r="L97" i="21"/>
  <c r="D97" i="21"/>
  <c r="D109" i="21" s="1"/>
  <c r="E96" i="21"/>
  <c r="E108" i="21" s="1"/>
  <c r="F95" i="21"/>
  <c r="O90" i="21"/>
  <c r="M89" i="21"/>
  <c r="N111" i="21"/>
  <c r="N113" i="21" s="1"/>
  <c r="H100" i="21"/>
  <c r="I99" i="21"/>
  <c r="J98" i="21"/>
  <c r="K97" i="21"/>
  <c r="L96" i="21"/>
  <c r="D96" i="21"/>
  <c r="D108" i="21" s="1"/>
  <c r="M111" i="21"/>
  <c r="M113" i="21" s="1"/>
  <c r="L112" i="21"/>
  <c r="K112" i="21"/>
  <c r="K113" i="21" s="1"/>
  <c r="O110" i="21"/>
  <c r="O113" i="21" s="1"/>
  <c r="L111" i="21"/>
  <c r="J113" i="21"/>
  <c r="O89" i="21"/>
  <c r="E95" i="21"/>
  <c r="O79" i="21"/>
  <c r="M90" i="21"/>
  <c r="G95" i="21"/>
  <c r="F100" i="21"/>
  <c r="F112" i="21" s="1"/>
  <c r="H97" i="21"/>
  <c r="D100" i="21"/>
  <c r="D112" i="21" s="1"/>
  <c r="E99" i="21"/>
  <c r="E111" i="21" s="1"/>
  <c r="F98" i="21"/>
  <c r="F110" i="21" s="1"/>
  <c r="G97" i="21"/>
  <c r="H96" i="21"/>
  <c r="I95" i="21"/>
  <c r="D99" i="21"/>
  <c r="D111" i="21" s="1"/>
  <c r="G96" i="21"/>
  <c r="H95" i="21"/>
  <c r="I96" i="21"/>
  <c r="G100" i="21"/>
  <c r="H99" i="21"/>
  <c r="I98" i="21"/>
  <c r="J97" i="21"/>
  <c r="K96" i="21"/>
  <c r="L95" i="21"/>
  <c r="D95" i="21"/>
  <c r="N80" i="21"/>
  <c r="M79" i="21"/>
  <c r="N78" i="21"/>
  <c r="O77" i="21"/>
  <c r="E100" i="21"/>
  <c r="E112" i="21" s="1"/>
  <c r="F99" i="21"/>
  <c r="F111" i="21" s="1"/>
  <c r="M78" i="21"/>
  <c r="N77" i="21"/>
  <c r="O76" i="21"/>
  <c r="J95" i="21"/>
  <c r="N87" i="21"/>
  <c r="M88" i="21"/>
  <c r="N90" i="21"/>
  <c r="M75" i="21"/>
  <c r="O80" i="21"/>
  <c r="O78" i="21"/>
  <c r="K100" i="21"/>
  <c r="L99" i="21"/>
  <c r="E98" i="21"/>
  <c r="E110" i="21" s="1"/>
  <c r="F97" i="21"/>
  <c r="F109" i="21" s="1"/>
  <c r="M85" i="21"/>
  <c r="N79" i="21"/>
  <c r="H98" i="21"/>
  <c r="O75" i="21"/>
  <c r="G99" i="21"/>
  <c r="G98" i="21"/>
  <c r="N76" i="21"/>
  <c r="M80" i="21"/>
  <c r="M77" i="21"/>
  <c r="O87" i="21"/>
  <c r="N88" i="21"/>
  <c r="N86" i="21"/>
  <c r="N85" i="21"/>
  <c r="M86" i="21"/>
  <c r="L100" i="21"/>
  <c r="I97" i="21"/>
  <c r="O86" i="21"/>
  <c r="O85" i="21"/>
  <c r="K95" i="21"/>
  <c r="M87" i="21"/>
  <c r="J96" i="21"/>
  <c r="J16" i="20"/>
  <c r="C30" i="20" s="1"/>
  <c r="C32" i="20" s="1"/>
  <c r="C34" i="20" s="1"/>
  <c r="R37" i="19"/>
  <c r="J37" i="19"/>
  <c r="H49" i="19"/>
  <c r="G49" i="19"/>
  <c r="F49" i="19"/>
  <c r="E49" i="19"/>
  <c r="T37" i="19"/>
  <c r="L37" i="19"/>
  <c r="S37" i="19"/>
  <c r="K37" i="19"/>
  <c r="Q37" i="19"/>
  <c r="I37" i="19"/>
  <c r="D37" i="19"/>
  <c r="P37" i="19"/>
  <c r="H37" i="19"/>
  <c r="O37" i="19"/>
  <c r="G37" i="19"/>
  <c r="N37" i="19"/>
  <c r="F37" i="19"/>
  <c r="U37" i="19"/>
  <c r="M37" i="19"/>
  <c r="M99" i="21" l="1"/>
  <c r="N98" i="21"/>
  <c r="O100" i="21"/>
  <c r="E43" i="19"/>
  <c r="G34" i="19"/>
  <c r="F40" i="19"/>
  <c r="F41" i="19"/>
  <c r="F39" i="19"/>
  <c r="F42" i="19"/>
  <c r="O98" i="21"/>
  <c r="E121" i="21" s="1"/>
  <c r="M100" i="21"/>
  <c r="G112" i="21" s="1"/>
  <c r="H101" i="21"/>
  <c r="L113" i="21"/>
  <c r="F49" i="28"/>
  <c r="G49" i="28"/>
  <c r="I49" i="28"/>
  <c r="J49" i="28"/>
  <c r="H49" i="28"/>
  <c r="K49" i="28"/>
  <c r="E49" i="28"/>
  <c r="F107" i="21"/>
  <c r="F113" i="21" s="1"/>
  <c r="F101" i="21"/>
  <c r="D107" i="21"/>
  <c r="D113" i="21" s="1"/>
  <c r="D101" i="21"/>
  <c r="K101" i="21"/>
  <c r="L101" i="21"/>
  <c r="I101" i="21"/>
  <c r="N99" i="21"/>
  <c r="D122" i="21" s="1"/>
  <c r="G101" i="21"/>
  <c r="J101" i="21"/>
  <c r="E107" i="21"/>
  <c r="E113" i="21" s="1"/>
  <c r="E101" i="21"/>
  <c r="N100" i="21"/>
  <c r="H112" i="21" s="1"/>
  <c r="O97" i="21"/>
  <c r="I109" i="21" s="1"/>
  <c r="N97" i="21"/>
  <c r="H109" i="21" s="1"/>
  <c r="O99" i="21"/>
  <c r="E122" i="21" s="1"/>
  <c r="M98" i="21"/>
  <c r="C121" i="21" s="1"/>
  <c r="O96" i="21"/>
  <c r="E119" i="21" s="1"/>
  <c r="C122" i="21"/>
  <c r="G111" i="21"/>
  <c r="E123" i="21"/>
  <c r="I112" i="21"/>
  <c r="D121" i="21"/>
  <c r="H110" i="21"/>
  <c r="N95" i="21"/>
  <c r="M95" i="21"/>
  <c r="N96" i="21"/>
  <c r="M96" i="21"/>
  <c r="M97" i="21"/>
  <c r="O95" i="21"/>
  <c r="F43" i="19" l="1"/>
  <c r="H34" i="19"/>
  <c r="G40" i="19"/>
  <c r="G42" i="19"/>
  <c r="G41" i="19"/>
  <c r="G39" i="19"/>
  <c r="D123" i="21"/>
  <c r="G123" i="21" s="1"/>
  <c r="C123" i="21"/>
  <c r="F123" i="21" s="1"/>
  <c r="M101" i="21"/>
  <c r="E120" i="21"/>
  <c r="I110" i="21"/>
  <c r="H121" i="21" s="1"/>
  <c r="O101" i="21"/>
  <c r="N101" i="21"/>
  <c r="H111" i="21"/>
  <c r="G122" i="21" s="1"/>
  <c r="C129" i="21"/>
  <c r="D14" i="19" s="1"/>
  <c r="C132" i="21"/>
  <c r="D120" i="21"/>
  <c r="G120" i="21" s="1"/>
  <c r="I108" i="21"/>
  <c r="H119" i="21" s="1"/>
  <c r="G110" i="21"/>
  <c r="F121" i="21" s="1"/>
  <c r="I111" i="21"/>
  <c r="H122" i="21" s="1"/>
  <c r="G121" i="21"/>
  <c r="H123" i="21"/>
  <c r="F122" i="21"/>
  <c r="I107" i="21"/>
  <c r="G108" i="21"/>
  <c r="C119" i="21"/>
  <c r="C120" i="21"/>
  <c r="G109" i="21"/>
  <c r="G107" i="21"/>
  <c r="C118" i="21"/>
  <c r="H108" i="21"/>
  <c r="D119" i="21"/>
  <c r="H107" i="21"/>
  <c r="D118" i="21"/>
  <c r="H120" i="21"/>
  <c r="E19" i="17" l="1"/>
  <c r="I52" i="19"/>
  <c r="G52" i="19"/>
  <c r="H52" i="19"/>
  <c r="U52" i="19"/>
  <c r="S52" i="19"/>
  <c r="F52" i="19"/>
  <c r="X52" i="19"/>
  <c r="T52" i="19"/>
  <c r="R52" i="19"/>
  <c r="V52" i="19"/>
  <c r="W52" i="19"/>
  <c r="E52" i="19"/>
  <c r="D52" i="19"/>
  <c r="E124" i="21"/>
  <c r="G43" i="19"/>
  <c r="I34" i="19"/>
  <c r="H39" i="19"/>
  <c r="H40" i="19"/>
  <c r="H42" i="19"/>
  <c r="H41" i="19"/>
  <c r="D124" i="21"/>
  <c r="F120" i="21"/>
  <c r="C124" i="21"/>
  <c r="I113" i="21"/>
  <c r="H118" i="21"/>
  <c r="H124" i="21" s="1"/>
  <c r="G113" i="21"/>
  <c r="F118" i="21"/>
  <c r="H113" i="21"/>
  <c r="G118" i="21"/>
  <c r="G119" i="21"/>
  <c r="F119" i="21"/>
  <c r="H43" i="19" l="1"/>
  <c r="J34" i="19"/>
  <c r="I41" i="19"/>
  <c r="I42" i="19"/>
  <c r="I39" i="19"/>
  <c r="I40" i="19"/>
  <c r="C131" i="21"/>
  <c r="C133" i="21" s="1"/>
  <c r="C134" i="21"/>
  <c r="C135" i="21" s="1"/>
  <c r="C136" i="21" s="1"/>
  <c r="F124" i="21"/>
  <c r="G124" i="21"/>
  <c r="I43" i="19" l="1"/>
  <c r="I60" i="19" s="1"/>
  <c r="K34" i="19"/>
  <c r="J42" i="19"/>
  <c r="J39" i="19"/>
  <c r="J40" i="19"/>
  <c r="J41" i="19"/>
  <c r="F54" i="19"/>
  <c r="D54" i="19"/>
  <c r="G54" i="19"/>
  <c r="H54" i="19"/>
  <c r="E54" i="19"/>
  <c r="F60" i="19"/>
  <c r="G60" i="19"/>
  <c r="E60" i="19"/>
  <c r="H60" i="19"/>
  <c r="D60" i="19"/>
  <c r="C130" i="21"/>
  <c r="D9" i="18"/>
  <c r="E9" i="18" s="1"/>
  <c r="F9" i="18" s="1"/>
  <c r="G9" i="18" s="1"/>
  <c r="H9" i="18" s="1"/>
  <c r="I9" i="18" s="1"/>
  <c r="J9" i="18" s="1"/>
  <c r="K9" i="18" s="1"/>
  <c r="L9" i="18" s="1"/>
  <c r="M9" i="18" s="1"/>
  <c r="N9" i="18" s="1"/>
  <c r="O9" i="18" s="1"/>
  <c r="P9" i="18" s="1"/>
  <c r="Q9" i="18" s="1"/>
  <c r="R9" i="18" s="1"/>
  <c r="S9" i="18" s="1"/>
  <c r="T9" i="18" s="1"/>
  <c r="U9" i="18" s="1"/>
  <c r="V9" i="18" s="1"/>
  <c r="W9" i="18" s="1"/>
  <c r="E16" i="17"/>
  <c r="E15" i="17"/>
  <c r="I54" i="19" l="1"/>
  <c r="J43" i="19"/>
  <c r="L34" i="19"/>
  <c r="K42" i="19"/>
  <c r="K39" i="19"/>
  <c r="K40" i="19"/>
  <c r="K41" i="19"/>
  <c r="J60" i="19" l="1"/>
  <c r="J54" i="19"/>
  <c r="K43" i="19"/>
  <c r="K60" i="19" s="1"/>
  <c r="M34" i="19"/>
  <c r="L41" i="19"/>
  <c r="L42" i="19"/>
  <c r="L40" i="19"/>
  <c r="L39" i="19"/>
  <c r="K54" i="19" l="1"/>
  <c r="L43" i="19"/>
  <c r="N34" i="19"/>
  <c r="M40" i="19"/>
  <c r="M39" i="19"/>
  <c r="M41" i="19"/>
  <c r="M42" i="19"/>
  <c r="L60" i="19" l="1"/>
  <c r="L53" i="19"/>
  <c r="L54" i="19"/>
  <c r="M43" i="19"/>
  <c r="O34" i="19"/>
  <c r="N40" i="19"/>
  <c r="N41" i="19"/>
  <c r="N39" i="19"/>
  <c r="N42" i="19"/>
  <c r="M54" i="19" l="1"/>
  <c r="M53" i="19"/>
  <c r="N43" i="19"/>
  <c r="M60" i="19"/>
  <c r="P34" i="19"/>
  <c r="O39" i="19"/>
  <c r="O41" i="19"/>
  <c r="O40" i="19"/>
  <c r="O42" i="19"/>
  <c r="N54" i="19" l="1"/>
  <c r="N53" i="19"/>
  <c r="N60" i="19"/>
  <c r="O43" i="19"/>
  <c r="Q34" i="19"/>
  <c r="P39" i="19"/>
  <c r="P40" i="19"/>
  <c r="P41" i="19"/>
  <c r="P42" i="19"/>
  <c r="M40" i="22"/>
  <c r="E99" i="22" s="1"/>
  <c r="M99" i="22" s="1"/>
  <c r="K35" i="22"/>
  <c r="K31" i="22"/>
  <c r="K27" i="22"/>
  <c r="P42" i="22"/>
  <c r="H101" i="22" s="1"/>
  <c r="P101" i="22" s="1"/>
  <c r="N41" i="22"/>
  <c r="F100" i="22" s="1"/>
  <c r="N100" i="22" s="1"/>
  <c r="L40" i="22"/>
  <c r="P38" i="22"/>
  <c r="H97" i="22" s="1"/>
  <c r="P97" i="22" s="1"/>
  <c r="N37" i="22"/>
  <c r="F96" i="22" s="1"/>
  <c r="N96" i="22" s="1"/>
  <c r="L36" i="22"/>
  <c r="P34" i="22"/>
  <c r="H93" i="22" s="1"/>
  <c r="P93" i="22" s="1"/>
  <c r="N33" i="22"/>
  <c r="F92" i="22" s="1"/>
  <c r="N92" i="22" s="1"/>
  <c r="L32" i="22"/>
  <c r="D91" i="22" s="1"/>
  <c r="L91" i="22" s="1"/>
  <c r="P30" i="22"/>
  <c r="H89" i="22" s="1"/>
  <c r="P89" i="22" s="1"/>
  <c r="N29" i="22"/>
  <c r="F88" i="22" s="1"/>
  <c r="N88" i="22" s="1"/>
  <c r="L28" i="22"/>
  <c r="P26" i="22"/>
  <c r="H85" i="22" s="1"/>
  <c r="P85" i="22" s="1"/>
  <c r="N25" i="22"/>
  <c r="F84" i="22" s="1"/>
  <c r="N84" i="22" s="1"/>
  <c r="L24" i="22"/>
  <c r="P22" i="22"/>
  <c r="H81" i="22" s="1"/>
  <c r="P81" i="22" s="1"/>
  <c r="N21" i="22"/>
  <c r="F80" i="22" s="1"/>
  <c r="N80" i="22" s="1"/>
  <c r="L20" i="22"/>
  <c r="O42" i="22"/>
  <c r="G101" i="22" s="1"/>
  <c r="O101" i="22" s="1"/>
  <c r="E100" i="22"/>
  <c r="M100" i="22" s="1"/>
  <c r="K40" i="22"/>
  <c r="O38" i="22"/>
  <c r="G97" i="22" s="1"/>
  <c r="O97" i="22" s="1"/>
  <c r="M37" i="22"/>
  <c r="E96" i="22" s="1"/>
  <c r="M96" i="22" s="1"/>
  <c r="K36" i="22"/>
  <c r="O34" i="22"/>
  <c r="G93" i="22" s="1"/>
  <c r="O93" i="22" s="1"/>
  <c r="M33" i="22"/>
  <c r="E92" i="22" s="1"/>
  <c r="M92" i="22" s="1"/>
  <c r="K32" i="22"/>
  <c r="O30" i="22"/>
  <c r="G89" i="22" s="1"/>
  <c r="O89" i="22" s="1"/>
  <c r="M29" i="22"/>
  <c r="E88" i="22" s="1"/>
  <c r="M88" i="22" s="1"/>
  <c r="K28" i="22"/>
  <c r="O26" i="22"/>
  <c r="G85" i="22" s="1"/>
  <c r="O85" i="22" s="1"/>
  <c r="M25" i="22"/>
  <c r="E84" i="22" s="1"/>
  <c r="M84" i="22" s="1"/>
  <c r="K24" i="22"/>
  <c r="O22" i="22"/>
  <c r="G81" i="22" s="1"/>
  <c r="O81" i="22" s="1"/>
  <c r="M21" i="22"/>
  <c r="E80" i="22" s="1"/>
  <c r="M80" i="22" s="1"/>
  <c r="K20" i="22"/>
  <c r="O41" i="22"/>
  <c r="G100" i="22" s="1"/>
  <c r="O100" i="22" s="1"/>
  <c r="M36" i="22"/>
  <c r="E95" i="22" s="1"/>
  <c r="M95" i="22" s="1"/>
  <c r="M32" i="22"/>
  <c r="E91" i="22" s="1"/>
  <c r="M91" i="22" s="1"/>
  <c r="M28" i="22"/>
  <c r="E87" i="22" s="1"/>
  <c r="M87" i="22" s="1"/>
  <c r="M24" i="22"/>
  <c r="E83" i="22" s="1"/>
  <c r="M83" i="22" s="1"/>
  <c r="M20" i="22"/>
  <c r="E79" i="22" s="1"/>
  <c r="M79" i="22" s="1"/>
  <c r="N42" i="22"/>
  <c r="F101" i="22" s="1"/>
  <c r="N101" i="22" s="1"/>
  <c r="N38" i="22"/>
  <c r="F97" i="22" s="1"/>
  <c r="N97" i="22" s="1"/>
  <c r="P35" i="22"/>
  <c r="H94" i="22" s="1"/>
  <c r="P94" i="22" s="1"/>
  <c r="L33" i="22"/>
  <c r="N30" i="22"/>
  <c r="F89" i="22" s="1"/>
  <c r="N89" i="22" s="1"/>
  <c r="P27" i="22"/>
  <c r="H86" i="22" s="1"/>
  <c r="P86" i="22" s="1"/>
  <c r="L25" i="22"/>
  <c r="N22" i="22"/>
  <c r="F81" i="22" s="1"/>
  <c r="N81" i="22" s="1"/>
  <c r="O43" i="22"/>
  <c r="G102" i="22" s="1"/>
  <c r="O102" i="22" s="1"/>
  <c r="E101" i="22"/>
  <c r="M101" i="22" s="1"/>
  <c r="K41" i="22"/>
  <c r="O39" i="22"/>
  <c r="G98" i="22" s="1"/>
  <c r="O98" i="22" s="1"/>
  <c r="M38" i="22"/>
  <c r="E97" i="22" s="1"/>
  <c r="M97" i="22" s="1"/>
  <c r="K37" i="22"/>
  <c r="O35" i="22"/>
  <c r="G94" i="22" s="1"/>
  <c r="O94" i="22" s="1"/>
  <c r="M34" i="22"/>
  <c r="E93" i="22" s="1"/>
  <c r="M93" i="22" s="1"/>
  <c r="K33" i="22"/>
  <c r="O31" i="22"/>
  <c r="G90" i="22" s="1"/>
  <c r="O90" i="22" s="1"/>
  <c r="M30" i="22"/>
  <c r="E89" i="22" s="1"/>
  <c r="M89" i="22" s="1"/>
  <c r="K29" i="22"/>
  <c r="O27" i="22"/>
  <c r="G86" i="22" s="1"/>
  <c r="O86" i="22" s="1"/>
  <c r="M26" i="22"/>
  <c r="E85" i="22" s="1"/>
  <c r="M85" i="22" s="1"/>
  <c r="K25" i="22"/>
  <c r="O23" i="22"/>
  <c r="G82" i="22" s="1"/>
  <c r="O82" i="22" s="1"/>
  <c r="M22" i="22"/>
  <c r="E81" i="22" s="1"/>
  <c r="M81" i="22" s="1"/>
  <c r="K21" i="22"/>
  <c r="K43" i="22"/>
  <c r="O37" i="22"/>
  <c r="G96" i="22" s="1"/>
  <c r="O96" i="22" s="1"/>
  <c r="O33" i="22"/>
  <c r="G92" i="22" s="1"/>
  <c r="O92" i="22" s="1"/>
  <c r="O29" i="22"/>
  <c r="G88" i="22" s="1"/>
  <c r="O88" i="22" s="1"/>
  <c r="O25" i="22"/>
  <c r="G84" i="22" s="1"/>
  <c r="O84" i="22" s="1"/>
  <c r="K23" i="22"/>
  <c r="O21" i="22"/>
  <c r="G80" i="22" s="1"/>
  <c r="O80" i="22" s="1"/>
  <c r="P43" i="22"/>
  <c r="H102" i="22" s="1"/>
  <c r="P102" i="22" s="1"/>
  <c r="L41" i="22"/>
  <c r="P39" i="22"/>
  <c r="H98" i="22" s="1"/>
  <c r="P98" i="22" s="1"/>
  <c r="L37" i="22"/>
  <c r="N34" i="22"/>
  <c r="F93" i="22" s="1"/>
  <c r="N93" i="22" s="1"/>
  <c r="P31" i="22"/>
  <c r="H90" i="22" s="1"/>
  <c r="P90" i="22" s="1"/>
  <c r="L29" i="22"/>
  <c r="N26" i="22"/>
  <c r="F85" i="22" s="1"/>
  <c r="N85" i="22" s="1"/>
  <c r="P23" i="22"/>
  <c r="H82" i="22" s="1"/>
  <c r="P82" i="22" s="1"/>
  <c r="L21" i="22"/>
  <c r="F102" i="22"/>
  <c r="N102" i="22" s="1"/>
  <c r="L42" i="22"/>
  <c r="P40" i="22"/>
  <c r="H99" i="22" s="1"/>
  <c r="P99" i="22" s="1"/>
  <c r="N39" i="22"/>
  <c r="F98" i="22" s="1"/>
  <c r="N98" i="22" s="1"/>
  <c r="L38" i="22"/>
  <c r="P36" i="22"/>
  <c r="H95" i="22" s="1"/>
  <c r="P95" i="22" s="1"/>
  <c r="N35" i="22"/>
  <c r="F94" i="22" s="1"/>
  <c r="N94" i="22" s="1"/>
  <c r="L34" i="22"/>
  <c r="P32" i="22"/>
  <c r="H91" i="22" s="1"/>
  <c r="P91" i="22" s="1"/>
  <c r="N31" i="22"/>
  <c r="F90" i="22" s="1"/>
  <c r="N90" i="22" s="1"/>
  <c r="L30" i="22"/>
  <c r="P28" i="22"/>
  <c r="H87" i="22" s="1"/>
  <c r="P87" i="22" s="1"/>
  <c r="N27" i="22"/>
  <c r="F86" i="22" s="1"/>
  <c r="N86" i="22" s="1"/>
  <c r="L26" i="22"/>
  <c r="P24" i="22"/>
  <c r="H83" i="22" s="1"/>
  <c r="P83" i="22" s="1"/>
  <c r="N23" i="22"/>
  <c r="F82" i="22" s="1"/>
  <c r="N82" i="22" s="1"/>
  <c r="L22" i="22"/>
  <c r="P20" i="22"/>
  <c r="H79" i="22" s="1"/>
  <c r="P79" i="22" s="1"/>
  <c r="M43" i="22"/>
  <c r="E102" i="22" s="1"/>
  <c r="M102" i="22" s="1"/>
  <c r="K42" i="22"/>
  <c r="O40" i="22"/>
  <c r="G99" i="22" s="1"/>
  <c r="O99" i="22" s="1"/>
  <c r="M39" i="22"/>
  <c r="E98" i="22" s="1"/>
  <c r="M98" i="22" s="1"/>
  <c r="K38" i="22"/>
  <c r="O36" i="22"/>
  <c r="G95" i="22" s="1"/>
  <c r="O95" i="22" s="1"/>
  <c r="M35" i="22"/>
  <c r="E94" i="22" s="1"/>
  <c r="M94" i="22" s="1"/>
  <c r="K34" i="22"/>
  <c r="O32" i="22"/>
  <c r="G91" i="22" s="1"/>
  <c r="O91" i="22" s="1"/>
  <c r="M31" i="22"/>
  <c r="E90" i="22" s="1"/>
  <c r="M90" i="22" s="1"/>
  <c r="K30" i="22"/>
  <c r="O28" i="22"/>
  <c r="G87" i="22" s="1"/>
  <c r="O87" i="22" s="1"/>
  <c r="M27" i="22"/>
  <c r="E86" i="22" s="1"/>
  <c r="M86" i="22" s="1"/>
  <c r="K26" i="22"/>
  <c r="C85" i="22" s="1"/>
  <c r="K85" i="22" s="1"/>
  <c r="O24" i="22"/>
  <c r="G83" i="22" s="1"/>
  <c r="O83" i="22" s="1"/>
  <c r="M19" i="22"/>
  <c r="E78" i="22" s="1"/>
  <c r="M23" i="22"/>
  <c r="E82" i="22" s="1"/>
  <c r="M82" i="22" s="1"/>
  <c r="K22" i="22"/>
  <c r="O20" i="22"/>
  <c r="G79" i="22" s="1"/>
  <c r="O79" i="22" s="1"/>
  <c r="L43" i="22"/>
  <c r="P41" i="22"/>
  <c r="H100" i="22" s="1"/>
  <c r="P100" i="22" s="1"/>
  <c r="N40" i="22"/>
  <c r="F99" i="22" s="1"/>
  <c r="N99" i="22" s="1"/>
  <c r="L39" i="22"/>
  <c r="P37" i="22"/>
  <c r="H96" i="22" s="1"/>
  <c r="P96" i="22" s="1"/>
  <c r="N36" i="22"/>
  <c r="F95" i="22" s="1"/>
  <c r="N95" i="22" s="1"/>
  <c r="L35" i="22"/>
  <c r="P33" i="22"/>
  <c r="H92" i="22" s="1"/>
  <c r="P92" i="22" s="1"/>
  <c r="N32" i="22"/>
  <c r="F91" i="22" s="1"/>
  <c r="N91" i="22" s="1"/>
  <c r="L31" i="22"/>
  <c r="P29" i="22"/>
  <c r="H88" i="22" s="1"/>
  <c r="P88" i="22" s="1"/>
  <c r="N28" i="22"/>
  <c r="F87" i="22" s="1"/>
  <c r="N87" i="22" s="1"/>
  <c r="L27" i="22"/>
  <c r="D86" i="22" s="1"/>
  <c r="L86" i="22" s="1"/>
  <c r="P25" i="22"/>
  <c r="H84" i="22" s="1"/>
  <c r="P84" i="22" s="1"/>
  <c r="N24" i="22"/>
  <c r="F83" i="22" s="1"/>
  <c r="N83" i="22" s="1"/>
  <c r="L19" i="22"/>
  <c r="L23" i="22"/>
  <c r="P19" i="22"/>
  <c r="H78" i="22" s="1"/>
  <c r="P21" i="22"/>
  <c r="H80" i="22" s="1"/>
  <c r="P80" i="22" s="1"/>
  <c r="N19" i="22"/>
  <c r="F78" i="22" s="1"/>
  <c r="N20" i="22"/>
  <c r="F79" i="22" s="1"/>
  <c r="N79" i="22" s="1"/>
  <c r="O19" i="22"/>
  <c r="G78" i="22" s="1"/>
  <c r="K19" i="22"/>
  <c r="K39" i="22"/>
  <c r="O54" i="19" l="1"/>
  <c r="O53" i="19"/>
  <c r="O60" i="19"/>
  <c r="P43" i="19"/>
  <c r="R34" i="19"/>
  <c r="Q39" i="19"/>
  <c r="Q40" i="19"/>
  <c r="Q42" i="19"/>
  <c r="Q41" i="19"/>
  <c r="D82" i="22"/>
  <c r="L82" i="22" s="1"/>
  <c r="R23" i="22"/>
  <c r="D118" i="22" s="1"/>
  <c r="D90" i="22"/>
  <c r="L90" i="22" s="1"/>
  <c r="R31" i="22"/>
  <c r="D126" i="22" s="1"/>
  <c r="C93" i="22"/>
  <c r="K93" i="22" s="1"/>
  <c r="Q34" i="22"/>
  <c r="C129" i="22" s="1"/>
  <c r="D89" i="22"/>
  <c r="L89" i="22" s="1"/>
  <c r="R30" i="22"/>
  <c r="D125" i="22" s="1"/>
  <c r="C96" i="22"/>
  <c r="K96" i="22" s="1"/>
  <c r="Q37" i="22"/>
  <c r="C132" i="22" s="1"/>
  <c r="C95" i="22"/>
  <c r="K95" i="22" s="1"/>
  <c r="Q36" i="22"/>
  <c r="C131" i="22" s="1"/>
  <c r="R32" i="22"/>
  <c r="D127" i="22" s="1"/>
  <c r="C101" i="22"/>
  <c r="K101" i="22" s="1"/>
  <c r="Q42" i="22"/>
  <c r="C137" i="22" s="1"/>
  <c r="D84" i="22"/>
  <c r="L84" i="22" s="1"/>
  <c r="R25" i="22"/>
  <c r="D120" i="22" s="1"/>
  <c r="D78" i="22"/>
  <c r="L78" i="22" s="1"/>
  <c r="R19" i="22"/>
  <c r="D114" i="22" s="1"/>
  <c r="D101" i="22"/>
  <c r="L101" i="22" s="1"/>
  <c r="R42" i="22"/>
  <c r="D137" i="22" s="1"/>
  <c r="C86" i="22"/>
  <c r="K86" i="22" s="1"/>
  <c r="Q86" i="22" s="1"/>
  <c r="Q27" i="22"/>
  <c r="C122" i="22" s="1"/>
  <c r="Q26" i="22"/>
  <c r="C121" i="22" s="1"/>
  <c r="D92" i="22"/>
  <c r="L92" i="22" s="1"/>
  <c r="R33" i="22"/>
  <c r="D128" i="22" s="1"/>
  <c r="C87" i="22"/>
  <c r="K87" i="22" s="1"/>
  <c r="Q28" i="22"/>
  <c r="C123" i="22" s="1"/>
  <c r="C90" i="22"/>
  <c r="K90" i="22" s="1"/>
  <c r="Q31" i="22"/>
  <c r="C126" i="22" s="1"/>
  <c r="D94" i="22"/>
  <c r="L94" i="22" s="1"/>
  <c r="R35" i="22"/>
  <c r="D130" i="22" s="1"/>
  <c r="D102" i="22"/>
  <c r="L102" i="22" s="1"/>
  <c r="R43" i="22"/>
  <c r="D138" i="22" s="1"/>
  <c r="C97" i="22"/>
  <c r="K97" i="22" s="1"/>
  <c r="Q38" i="22"/>
  <c r="C133" i="22" s="1"/>
  <c r="D93" i="22"/>
  <c r="L93" i="22" s="1"/>
  <c r="R34" i="22"/>
  <c r="D129" i="22" s="1"/>
  <c r="D80" i="22"/>
  <c r="L80" i="22" s="1"/>
  <c r="R21" i="22"/>
  <c r="D116" i="22" s="1"/>
  <c r="D100" i="22"/>
  <c r="L100" i="22" s="1"/>
  <c r="R41" i="22"/>
  <c r="D136" i="22" s="1"/>
  <c r="C102" i="22"/>
  <c r="K102" i="22" s="1"/>
  <c r="Q43" i="22"/>
  <c r="C138" i="22" s="1"/>
  <c r="C100" i="22"/>
  <c r="K100" i="22" s="1"/>
  <c r="Q41" i="22"/>
  <c r="C136" i="22" s="1"/>
  <c r="C99" i="22"/>
  <c r="K99" i="22" s="1"/>
  <c r="Q40" i="22"/>
  <c r="C135" i="22" s="1"/>
  <c r="D95" i="22"/>
  <c r="L95" i="22" s="1"/>
  <c r="R36" i="22"/>
  <c r="D131" i="22" s="1"/>
  <c r="C94" i="22"/>
  <c r="K94" i="22" s="1"/>
  <c r="Q35" i="22"/>
  <c r="C130" i="22" s="1"/>
  <c r="C83" i="22"/>
  <c r="K83" i="22" s="1"/>
  <c r="Q24" i="22"/>
  <c r="C119" i="22" s="1"/>
  <c r="D96" i="22"/>
  <c r="L96" i="22" s="1"/>
  <c r="R37" i="22"/>
  <c r="D132" i="22" s="1"/>
  <c r="D83" i="22"/>
  <c r="L83" i="22" s="1"/>
  <c r="R24" i="22"/>
  <c r="D119" i="22" s="1"/>
  <c r="C88" i="22"/>
  <c r="K88" i="22" s="1"/>
  <c r="Q29" i="22"/>
  <c r="C124" i="22" s="1"/>
  <c r="C80" i="22"/>
  <c r="K80" i="22" s="1"/>
  <c r="Q21" i="22"/>
  <c r="C116" i="22" s="1"/>
  <c r="C79" i="22"/>
  <c r="K79" i="22" s="1"/>
  <c r="Q20" i="22"/>
  <c r="C115" i="22" s="1"/>
  <c r="D87" i="22"/>
  <c r="L87" i="22" s="1"/>
  <c r="R28" i="22"/>
  <c r="D123" i="22" s="1"/>
  <c r="D98" i="22"/>
  <c r="L98" i="22" s="1"/>
  <c r="R39" i="22"/>
  <c r="D134" i="22" s="1"/>
  <c r="C84" i="22"/>
  <c r="K84" i="22" s="1"/>
  <c r="Q25" i="22"/>
  <c r="C120" i="22" s="1"/>
  <c r="D81" i="22"/>
  <c r="L81" i="22" s="1"/>
  <c r="R22" i="22"/>
  <c r="D117" i="22" s="1"/>
  <c r="C81" i="22"/>
  <c r="K81" i="22" s="1"/>
  <c r="Q22" i="22"/>
  <c r="C117" i="22" s="1"/>
  <c r="C89" i="22"/>
  <c r="K89" i="22" s="1"/>
  <c r="Q30" i="22"/>
  <c r="C125" i="22" s="1"/>
  <c r="D85" i="22"/>
  <c r="L85" i="22" s="1"/>
  <c r="Q85" i="22" s="1"/>
  <c r="R26" i="22"/>
  <c r="D121" i="22" s="1"/>
  <c r="C92" i="22"/>
  <c r="K92" i="22" s="1"/>
  <c r="Q33" i="22"/>
  <c r="C128" i="22" s="1"/>
  <c r="C91" i="22"/>
  <c r="K91" i="22" s="1"/>
  <c r="Q91" i="22" s="1"/>
  <c r="Q32" i="22"/>
  <c r="C127" i="22" s="1"/>
  <c r="C98" i="22"/>
  <c r="K98" i="22" s="1"/>
  <c r="Q39" i="22"/>
  <c r="C134" i="22" s="1"/>
  <c r="E134" i="22" s="1"/>
  <c r="C78" i="22"/>
  <c r="K78" i="22" s="1"/>
  <c r="Q19" i="22"/>
  <c r="C114" i="22" s="1"/>
  <c r="R27" i="22"/>
  <c r="D122" i="22" s="1"/>
  <c r="D97" i="22"/>
  <c r="L97" i="22" s="1"/>
  <c r="R38" i="22"/>
  <c r="D133" i="22" s="1"/>
  <c r="D88" i="22"/>
  <c r="L88" i="22" s="1"/>
  <c r="R29" i="22"/>
  <c r="D124" i="22" s="1"/>
  <c r="C82" i="22"/>
  <c r="K82" i="22" s="1"/>
  <c r="Q23" i="22"/>
  <c r="C118" i="22" s="1"/>
  <c r="D79" i="22"/>
  <c r="L79" i="22" s="1"/>
  <c r="R20" i="22"/>
  <c r="D115" i="22" s="1"/>
  <c r="D99" i="22"/>
  <c r="L99" i="22" s="1"/>
  <c r="R40" i="22"/>
  <c r="D135" i="22" s="1"/>
  <c r="M78" i="22"/>
  <c r="M103" i="22" s="1"/>
  <c r="E103" i="22"/>
  <c r="F103" i="22"/>
  <c r="N78" i="22"/>
  <c r="N103" i="22" s="1"/>
  <c r="P78" i="22"/>
  <c r="P103" i="22" s="1"/>
  <c r="H103" i="22"/>
  <c r="G103" i="22"/>
  <c r="O78" i="22"/>
  <c r="O103" i="22" s="1"/>
  <c r="P53" i="19" l="1"/>
  <c r="P54" i="19"/>
  <c r="Q98" i="22"/>
  <c r="P60" i="19"/>
  <c r="E118" i="22"/>
  <c r="E138" i="22"/>
  <c r="E124" i="22"/>
  <c r="E128" i="22"/>
  <c r="E119" i="22"/>
  <c r="E136" i="22"/>
  <c r="E126" i="22"/>
  <c r="Q43" i="19"/>
  <c r="S34" i="19"/>
  <c r="R39" i="19"/>
  <c r="R40" i="19"/>
  <c r="R41" i="19"/>
  <c r="R42" i="19"/>
  <c r="Q97" i="22"/>
  <c r="Q90" i="22"/>
  <c r="Q102" i="22"/>
  <c r="E120" i="22"/>
  <c r="E135" i="22"/>
  <c r="E133" i="22"/>
  <c r="E137" i="22"/>
  <c r="E130" i="22"/>
  <c r="E116" i="22"/>
  <c r="E125" i="22"/>
  <c r="E127" i="22"/>
  <c r="E115" i="22"/>
  <c r="E121" i="22"/>
  <c r="E122" i="22"/>
  <c r="E129" i="22"/>
  <c r="E114" i="22"/>
  <c r="C139" i="22"/>
  <c r="E123" i="22"/>
  <c r="E131" i="22"/>
  <c r="D139" i="22"/>
  <c r="E117" i="22"/>
  <c r="E132" i="22"/>
  <c r="Q87" i="22"/>
  <c r="Q92" i="22"/>
  <c r="Q96" i="22"/>
  <c r="Q82" i="22"/>
  <c r="Q95" i="22"/>
  <c r="Q81" i="22"/>
  <c r="Q83" i="22"/>
  <c r="Q100" i="22"/>
  <c r="Q94" i="22"/>
  <c r="Q101" i="22"/>
  <c r="Q79" i="22"/>
  <c r="Q89" i="22"/>
  <c r="Q99" i="22"/>
  <c r="Q84" i="22"/>
  <c r="Q80" i="22"/>
  <c r="Q93" i="22"/>
  <c r="C103" i="22"/>
  <c r="Q88" i="22"/>
  <c r="D103" i="22"/>
  <c r="L103" i="22"/>
  <c r="C108" i="22" s="1"/>
  <c r="K103" i="22"/>
  <c r="C107" i="22" s="1"/>
  <c r="Q78" i="22"/>
  <c r="Q53" i="19" l="1"/>
  <c r="Q54" i="19"/>
  <c r="R43" i="19"/>
  <c r="Q60" i="19"/>
  <c r="T34" i="19"/>
  <c r="S42" i="19"/>
  <c r="S41" i="19"/>
  <c r="S39" i="19"/>
  <c r="S40" i="19"/>
  <c r="E139" i="22"/>
  <c r="C145" i="22" s="1"/>
  <c r="C146" i="22" s="1"/>
  <c r="C147" i="22"/>
  <c r="C148" i="22" s="1"/>
  <c r="D18" i="19" s="1"/>
  <c r="Q103" i="22"/>
  <c r="R53" i="19" l="1"/>
  <c r="R54" i="19"/>
  <c r="D53" i="19"/>
  <c r="E53" i="19"/>
  <c r="E55" i="19" s="1"/>
  <c r="E56" i="19" s="1"/>
  <c r="F53" i="19"/>
  <c r="F55" i="19" s="1"/>
  <c r="F56" i="19" s="1"/>
  <c r="G53" i="19"/>
  <c r="G55" i="19" s="1"/>
  <c r="G56" i="19" s="1"/>
  <c r="H53" i="19"/>
  <c r="H55" i="19" s="1"/>
  <c r="H56" i="19" s="1"/>
  <c r="I53" i="19"/>
  <c r="I55" i="19" s="1"/>
  <c r="I56" i="19" s="1"/>
  <c r="J53" i="19"/>
  <c r="J55" i="19" s="1"/>
  <c r="J56" i="19" s="1"/>
  <c r="K53" i="19"/>
  <c r="K55" i="19" s="1"/>
  <c r="K56" i="19" s="1"/>
  <c r="L55" i="19"/>
  <c r="L56" i="19" s="1"/>
  <c r="M55" i="19"/>
  <c r="M56" i="19" s="1"/>
  <c r="N55" i="19"/>
  <c r="N56" i="19" s="1"/>
  <c r="O55" i="19"/>
  <c r="O56" i="19" s="1"/>
  <c r="P55" i="19"/>
  <c r="P56" i="19" s="1"/>
  <c r="C143" i="22"/>
  <c r="C144" i="22" s="1"/>
  <c r="D15" i="19" s="1"/>
  <c r="Q55" i="19"/>
  <c r="Q56" i="19" s="1"/>
  <c r="R60" i="19"/>
  <c r="S43" i="19"/>
  <c r="U34" i="19"/>
  <c r="T42" i="19"/>
  <c r="T39" i="19"/>
  <c r="T41" i="19"/>
  <c r="T40" i="19"/>
  <c r="I59" i="19"/>
  <c r="I61" i="19" s="1"/>
  <c r="I62" i="19" s="1"/>
  <c r="I63" i="19" s="1"/>
  <c r="J59" i="19"/>
  <c r="J61" i="19" s="1"/>
  <c r="J62" i="19" s="1"/>
  <c r="J63" i="19" s="1"/>
  <c r="R59" i="19"/>
  <c r="K59" i="19"/>
  <c r="K61" i="19" s="1"/>
  <c r="K62" i="19" s="1"/>
  <c r="K63" i="19" s="1"/>
  <c r="L61" i="19"/>
  <c r="L62" i="19" s="1"/>
  <c r="L63" i="19" s="1"/>
  <c r="E59" i="19"/>
  <c r="E61" i="19" s="1"/>
  <c r="E62" i="19" s="1"/>
  <c r="E63" i="19" s="1"/>
  <c r="M59" i="19"/>
  <c r="M61" i="19" s="1"/>
  <c r="M62" i="19" s="1"/>
  <c r="M63" i="19" s="1"/>
  <c r="F59" i="19"/>
  <c r="F61" i="19" s="1"/>
  <c r="F62" i="19" s="1"/>
  <c r="F63" i="19" s="1"/>
  <c r="N59" i="19"/>
  <c r="N61" i="19" s="1"/>
  <c r="N62" i="19" s="1"/>
  <c r="N63" i="19" s="1"/>
  <c r="Q59" i="19"/>
  <c r="Q61" i="19" s="1"/>
  <c r="Q62" i="19" s="1"/>
  <c r="Q63" i="19" s="1"/>
  <c r="G59" i="19"/>
  <c r="G61" i="19" s="1"/>
  <c r="G62" i="19" s="1"/>
  <c r="G63" i="19" s="1"/>
  <c r="O59" i="19"/>
  <c r="O61" i="19" s="1"/>
  <c r="O62" i="19" s="1"/>
  <c r="O63" i="19" s="1"/>
  <c r="H59" i="19"/>
  <c r="H61" i="19" s="1"/>
  <c r="H62" i="19" s="1"/>
  <c r="H63" i="19" s="1"/>
  <c r="P59" i="19"/>
  <c r="P61" i="19" s="1"/>
  <c r="P62" i="19" s="1"/>
  <c r="P63" i="19" s="1"/>
  <c r="D59" i="19"/>
  <c r="D61" i="19" s="1"/>
  <c r="D62" i="19" s="1"/>
  <c r="D63" i="19" s="1"/>
  <c r="S59" i="19" l="1"/>
  <c r="S53" i="19"/>
  <c r="S54" i="19"/>
  <c r="D55" i="19"/>
  <c r="D56" i="19" s="1"/>
  <c r="D64" i="19" s="1"/>
  <c r="R61" i="19"/>
  <c r="R62" i="19" s="1"/>
  <c r="R63" i="19" s="1"/>
  <c r="R55" i="19"/>
  <c r="R56" i="19" s="1"/>
  <c r="L11" i="18"/>
  <c r="M11" i="18"/>
  <c r="P11" i="18"/>
  <c r="D11" i="18"/>
  <c r="E11" i="18"/>
  <c r="K11" i="18"/>
  <c r="J11" i="18"/>
  <c r="C11" i="18"/>
  <c r="F11" i="18"/>
  <c r="O11" i="18"/>
  <c r="I11" i="18"/>
  <c r="N11" i="18"/>
  <c r="G11" i="18"/>
  <c r="H11" i="18"/>
  <c r="S60" i="19"/>
  <c r="T43" i="19"/>
  <c r="V34" i="19"/>
  <c r="U41" i="19"/>
  <c r="U42" i="19"/>
  <c r="U39" i="19"/>
  <c r="U40" i="19"/>
  <c r="S61" i="19" l="1"/>
  <c r="S62" i="19" s="1"/>
  <c r="S63" i="19" s="1"/>
  <c r="R11" i="18" s="1"/>
  <c r="T53" i="19"/>
  <c r="T54" i="19"/>
  <c r="S55" i="19"/>
  <c r="S56" i="19" s="1"/>
  <c r="H12" i="18"/>
  <c r="H13" i="18" s="1"/>
  <c r="P12" i="18"/>
  <c r="P13" i="18" s="1"/>
  <c r="I12" i="18"/>
  <c r="I13" i="18" s="1"/>
  <c r="K12" i="18"/>
  <c r="K13" i="18" s="1"/>
  <c r="Q12" i="18"/>
  <c r="N12" i="18"/>
  <c r="N13" i="18" s="1"/>
  <c r="Q11" i="18"/>
  <c r="J12" i="18"/>
  <c r="J13" i="18" s="1"/>
  <c r="G12" i="18"/>
  <c r="G13" i="18" s="1"/>
  <c r="D12" i="18"/>
  <c r="Q64" i="19"/>
  <c r="O64" i="19"/>
  <c r="H64" i="19"/>
  <c r="C12" i="18"/>
  <c r="C13" i="18" s="1"/>
  <c r="P64" i="19"/>
  <c r="O12" i="18"/>
  <c r="O13" i="18" s="1"/>
  <c r="E64" i="19"/>
  <c r="K64" i="19"/>
  <c r="G64" i="19"/>
  <c r="F12" i="18"/>
  <c r="F13" i="18" s="1"/>
  <c r="F64" i="19"/>
  <c r="E12" i="18"/>
  <c r="E13" i="18" s="1"/>
  <c r="N64" i="19"/>
  <c r="M12" i="18"/>
  <c r="M13" i="18" s="1"/>
  <c r="M64" i="19"/>
  <c r="L12" i="18"/>
  <c r="L13" i="18" s="1"/>
  <c r="I64" i="19"/>
  <c r="L64" i="19"/>
  <c r="J64" i="19"/>
  <c r="R64" i="19"/>
  <c r="T59" i="19"/>
  <c r="T60" i="19"/>
  <c r="U43" i="19"/>
  <c r="W34" i="19"/>
  <c r="V41" i="19"/>
  <c r="V42" i="19"/>
  <c r="V40" i="19"/>
  <c r="V39" i="19"/>
  <c r="T55" i="19" l="1"/>
  <c r="T56" i="19" s="1"/>
  <c r="S12" i="18" s="1"/>
  <c r="U54" i="19"/>
  <c r="U53" i="19"/>
  <c r="T61" i="19"/>
  <c r="T62" i="19" s="1"/>
  <c r="T63" i="19" s="1"/>
  <c r="D13" i="18"/>
  <c r="Q13" i="18"/>
  <c r="R12" i="18"/>
  <c r="R13" i="18" s="1"/>
  <c r="S64" i="19"/>
  <c r="V43" i="19"/>
  <c r="U59" i="19"/>
  <c r="U60" i="19"/>
  <c r="X34" i="19"/>
  <c r="W39" i="19"/>
  <c r="W41" i="19"/>
  <c r="W42" i="19"/>
  <c r="W40" i="19"/>
  <c r="U55" i="19" l="1"/>
  <c r="U56" i="19" s="1"/>
  <c r="T12" i="18" s="1"/>
  <c r="V54" i="19"/>
  <c r="V53" i="19"/>
  <c r="U61" i="19"/>
  <c r="U62" i="19" s="1"/>
  <c r="U63" i="19" s="1"/>
  <c r="S11" i="18"/>
  <c r="T64" i="19"/>
  <c r="V59" i="19"/>
  <c r="V60" i="19"/>
  <c r="W43" i="19"/>
  <c r="X40" i="19"/>
  <c r="X41" i="19"/>
  <c r="X39" i="19"/>
  <c r="X42" i="19"/>
  <c r="W54" i="19" l="1"/>
  <c r="W53" i="19"/>
  <c r="V61" i="19"/>
  <c r="V62" i="19" s="1"/>
  <c r="V63" i="19" s="1"/>
  <c r="V55" i="19"/>
  <c r="V56" i="19" s="1"/>
  <c r="S13" i="18"/>
  <c r="T11" i="18"/>
  <c r="T13" i="18" s="1"/>
  <c r="W60" i="19"/>
  <c r="W59" i="19"/>
  <c r="U64" i="19"/>
  <c r="X43" i="19"/>
  <c r="W61" i="19" l="1"/>
  <c r="W62" i="19" s="1"/>
  <c r="W63" i="19" s="1"/>
  <c r="X59" i="19"/>
  <c r="X53" i="19"/>
  <c r="X54" i="19"/>
  <c r="W55" i="19"/>
  <c r="W56" i="19" s="1"/>
  <c r="U12" i="18"/>
  <c r="U11" i="18"/>
  <c r="V64" i="19"/>
  <c r="X60" i="19"/>
  <c r="X61" i="19" l="1"/>
  <c r="X62" i="19" s="1"/>
  <c r="X63" i="19" s="1"/>
  <c r="W11" i="18" s="1"/>
  <c r="X55" i="19"/>
  <c r="X56" i="19" s="1"/>
  <c r="U13" i="18"/>
  <c r="V11" i="18"/>
  <c r="V12" i="18"/>
  <c r="W64" i="19"/>
  <c r="E20" i="18" l="1"/>
  <c r="V13" i="18"/>
  <c r="W12" i="18"/>
  <c r="E21" i="18" s="1"/>
  <c r="X64" i="19"/>
  <c r="D66" i="19" s="1"/>
  <c r="E27" i="17" s="1"/>
  <c r="W13" i="18" l="1"/>
  <c r="E17" i="18" s="1"/>
  <c r="E19" i="18" l="1"/>
  <c r="D1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Chu, Hannah J (DPE/EE-EA/PSC)</author>
  </authors>
  <commentList>
    <comment ref="E17" authorId="0" shapeId="0" xr:uid="{1B87CC75-BAA5-43FF-9E50-0E03FD4DCC1A}">
      <text>
        <r>
          <rPr>
            <b/>
            <sz val="9"/>
            <color indexed="81"/>
            <rFont val="Tahoma"/>
            <family val="2"/>
          </rPr>
          <t>Forecast</t>
        </r>
        <r>
          <rPr>
            <sz val="9"/>
            <color indexed="81"/>
            <rFont val="Tahoma"/>
            <family val="2"/>
          </rPr>
          <t>: ERR
  Units = %</t>
        </r>
      </text>
    </comment>
    <comment ref="E19" authorId="0" shapeId="0" xr:uid="{E495FF0A-A1F2-4EC7-9434-59D56A42D5FE}">
      <text>
        <r>
          <rPr>
            <b/>
            <sz val="9"/>
            <color indexed="81"/>
            <rFont val="Tahoma"/>
            <family val="2"/>
          </rPr>
          <t>Forecast</t>
        </r>
        <r>
          <rPr>
            <sz val="9"/>
            <color indexed="81"/>
            <rFont val="Tahoma"/>
            <family val="2"/>
          </rPr>
          <t>: NPV of Net Benefits, USD
  Units = $</t>
        </r>
      </text>
    </comment>
    <comment ref="E20" authorId="0" shapeId="0" xr:uid="{76B4B66F-5780-48E8-A254-D514703AC499}">
      <text>
        <r>
          <rPr>
            <b/>
            <sz val="9"/>
            <color indexed="81"/>
            <rFont val="Tahoma"/>
            <family val="2"/>
          </rPr>
          <t>Forecast</t>
        </r>
        <r>
          <rPr>
            <sz val="9"/>
            <color indexed="81"/>
            <rFont val="Tahoma"/>
            <family val="2"/>
          </rPr>
          <t>: Present Value (PV) of Benefits, USD · Base Case
  Units = $</t>
        </r>
      </text>
    </comment>
    <comment ref="E21" authorId="0" shapeId="0" xr:uid="{24482D2D-3220-45DC-82DC-36BBB9C0AB61}">
      <text>
        <r>
          <rPr>
            <b/>
            <sz val="9"/>
            <color indexed="81"/>
            <rFont val="Tahoma"/>
            <family val="2"/>
          </rPr>
          <t>Forecast</t>
        </r>
        <r>
          <rPr>
            <sz val="9"/>
            <color indexed="81"/>
            <rFont val="Tahoma"/>
            <family val="2"/>
          </rPr>
          <t>: Present Value (PV) of Costs, USD · Base Case
  Units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Chu, Hannah J (DPE/EE-EA/PSC)</author>
  </authors>
  <commentList>
    <comment ref="D23" authorId="0" shapeId="0" xr:uid="{2A5DA1D0-9B23-4B03-964E-7C730716FEB7}">
      <text>
        <r>
          <rPr>
            <b/>
            <sz val="9"/>
            <color indexed="81"/>
            <rFont val="Tahoma"/>
            <family val="2"/>
          </rPr>
          <t>Assumption</t>
        </r>
        <r>
          <rPr>
            <sz val="9"/>
            <color indexed="81"/>
            <rFont val="Tahoma"/>
            <family val="2"/>
          </rPr>
          <t>: Project Area Variability Factor
  Uniform distribution
  Minimum = 80%
  Maximum = 120%</t>
        </r>
      </text>
    </comment>
    <comment ref="D24" authorId="0" shapeId="0" xr:uid="{06186755-5F5F-48DC-983B-9D07239A822D}">
      <text>
        <r>
          <rPr>
            <b/>
            <sz val="9"/>
            <color indexed="81"/>
            <rFont val="Tahoma"/>
            <family val="2"/>
          </rPr>
          <t>Assumption</t>
        </r>
        <r>
          <rPr>
            <sz val="9"/>
            <color indexed="81"/>
            <rFont val="Tahoma"/>
            <family val="2"/>
          </rPr>
          <t>: Investment Variability Factor
  Uniform distribution
  Minimum = 80%
  Maximum = 120%</t>
        </r>
      </text>
    </comment>
    <comment ref="D25" authorId="0" shapeId="0" xr:uid="{5A75431E-9D11-42FA-81C0-3F9824F1C438}">
      <text>
        <r>
          <rPr>
            <b/>
            <sz val="9"/>
            <color indexed="81"/>
            <rFont val="Tahoma"/>
            <family val="2"/>
          </rPr>
          <t>Assumption</t>
        </r>
        <r>
          <rPr>
            <sz val="9"/>
            <color indexed="81"/>
            <rFont val="Tahoma"/>
            <family val="2"/>
          </rPr>
          <t>: Price Variability Factor
  Uniform distribution
  Minimum = 80%
  Maximum = 120%</t>
        </r>
      </text>
    </comment>
    <comment ref="D27" authorId="0" shapeId="0" xr:uid="{1ABBF719-05EF-480C-9AA1-14F3EA9B278F}">
      <text>
        <r>
          <rPr>
            <b/>
            <sz val="9"/>
            <color indexed="81"/>
            <rFont val="Tahoma"/>
            <family val="2"/>
          </rPr>
          <t>Assumption</t>
        </r>
        <r>
          <rPr>
            <sz val="9"/>
            <color indexed="81"/>
            <rFont val="Tahoma"/>
            <family val="2"/>
          </rPr>
          <t>: Year Land Development Starts
  Uniform distribution
  Minimum = 2022
  Maximum = 2026</t>
        </r>
      </text>
    </comment>
    <comment ref="D28" authorId="0" shapeId="0" xr:uid="{A2A120F0-BACB-4DD6-8391-AFADCE4F8E4A}">
      <text>
        <r>
          <rPr>
            <b/>
            <sz val="9"/>
            <color indexed="81"/>
            <rFont val="Tahoma"/>
            <family val="2"/>
          </rPr>
          <t>Assumption</t>
        </r>
        <r>
          <rPr>
            <sz val="9"/>
            <color indexed="81"/>
            <rFont val="Tahoma"/>
            <family val="2"/>
          </rPr>
          <t>: Total Costs
  Uniform distribution
  Minimum = 80%
  Maximum = 120%</t>
        </r>
      </text>
    </comment>
    <comment ref="D29" authorId="0" shapeId="0" xr:uid="{5ED7AAB4-EA4D-4AEE-9646-1C8BF052E211}">
      <text>
        <r>
          <rPr>
            <b/>
            <sz val="9"/>
            <color indexed="81"/>
            <rFont val="Tahoma"/>
            <family val="2"/>
          </rPr>
          <t>Assumption</t>
        </r>
        <r>
          <rPr>
            <sz val="9"/>
            <color indexed="81"/>
            <rFont val="Tahoma"/>
            <family val="2"/>
          </rPr>
          <t>: Total Benefits
  Uniform distribution
  Minimum = 80%
  Maximum = 120%</t>
        </r>
      </text>
    </comment>
  </commentList>
</comments>
</file>

<file path=xl/sharedStrings.xml><?xml version="1.0" encoding="utf-8"?>
<sst xmlns="http://schemas.openxmlformats.org/spreadsheetml/2006/main" count="1408" uniqueCount="515">
  <si>
    <t>Morocco II: Land Productivity Project</t>
  </si>
  <si>
    <t>Rural Land Activity</t>
  </si>
  <si>
    <t>Revised CBA Model</t>
  </si>
  <si>
    <t>Table of Contents</t>
  </si>
  <si>
    <t>Intervention Description</t>
  </si>
  <si>
    <t xml:space="preserve">This worksheet provides a summary of the intervention and states the economic rationale underlying the CBA model. This is important for understanding the basic components analyzed and included in the CBA model, and noting how these may change across time.  </t>
  </si>
  <si>
    <t>Cost-Benefit Summary</t>
  </si>
  <si>
    <t>This worksheet presents the aggregated costs and benefits from the project activities year-by-year, calculating a combined ERR.</t>
  </si>
  <si>
    <t>CBA Model</t>
  </si>
  <si>
    <t>This worksheet summarizes ERR calculations.</t>
  </si>
  <si>
    <t>Sensitivity Analysis</t>
  </si>
  <si>
    <t>This worksheet highlights key assumptions and summarizes the impact on the ERR when critical parameter values change, typically related to calculating the costs and benefits.</t>
  </si>
  <si>
    <t>Background Worksheets</t>
  </si>
  <si>
    <t>MCA Report</t>
  </si>
  <si>
    <t>This worksheet provides results from the Monte Carlo Analysis run through Crystal Ball to support the Sensitivity Analysis.</t>
  </si>
  <si>
    <t>Crop Production</t>
  </si>
  <si>
    <t>This worksheet models revenue generated per hectare in the project area, with projected breakdowns by crop projected through a simulation using inputs from survey data collected by the Moroccan Ministry of Agriculture.</t>
  </si>
  <si>
    <t>Crop Prices &amp; Production Costs</t>
  </si>
  <si>
    <t>This worksheet provides price estimates by crop using inputs from household survey data collected by the Moroccan Ministry of Agriculture in May 2015. MCC uses market prices for the calculation of the ERR.</t>
  </si>
  <si>
    <t>By-Product Value</t>
  </si>
  <si>
    <t>This worksheet estimates the value of by-products created in both the melkisation and collection scenarios.</t>
  </si>
  <si>
    <t>Livestock Cattle &amp; Beef Production</t>
  </si>
  <si>
    <t>This worksheet calculates a flow of meat production per hectare of land using inputs from survey data collected by the Moroccan Ministry of Agriculture. 
The calculations are conducted by zone and by melk or collective land status to determine this benefit stream for the model.</t>
  </si>
  <si>
    <t>Cattle Prices</t>
  </si>
  <si>
    <t xml:space="preserve">This worksheet provides background on the cattle prices and breeding costs used in the livestock and meat production valuations. </t>
  </si>
  <si>
    <t>Dairy Production</t>
  </si>
  <si>
    <t>This worksheet calculates the value of milk production per hectare of land using inputs from survey data collected by the Moroccan Ministry of Agriculture. The calculations are conducted by zone and by melk or collective land status to determine this benefit stream for the model.</t>
  </si>
  <si>
    <t>Irrigation Equipment</t>
  </si>
  <si>
    <t>This worksheet provides background information on the marginal value of irrigation materials and equipment required for implementation. 
This is used to determine new on-farm investment values in the melkisation scenario in the CBA Model worksheet.</t>
  </si>
  <si>
    <t>Inflation</t>
  </si>
  <si>
    <t>This worksheet provides inflation estimations utilized in the model.</t>
  </si>
  <si>
    <t>Exchange Rate</t>
  </si>
  <si>
    <t>This worksheet provides exchange rate estimations utilized in the model.</t>
  </si>
  <si>
    <t>Program Costs</t>
  </si>
  <si>
    <t>This worksheet outlines the compact-level budget, including estimated amounts for Monitoring and Evaluation and Program Administration for this activity.</t>
  </si>
  <si>
    <t>Notes</t>
  </si>
  <si>
    <t>CBA Model Version</t>
  </si>
  <si>
    <t>Original CBA Model</t>
  </si>
  <si>
    <t>Date of CBA model</t>
  </si>
  <si>
    <t>Date CBA model was updated for publication</t>
  </si>
  <si>
    <t>N/A</t>
  </si>
  <si>
    <t>Amount of MCC funds</t>
  </si>
  <si>
    <r>
      <t xml:space="preserve">To increase investment in and productivity of collective lands, MCC worked with the Moroccan Government to improve a 1969 policy which allowed tribal members, whose land is situated wholly or partially within an irrigation scheme, to become landowners and have individually titled and registered parcels of 5 hectares or greater. This process is known as </t>
    </r>
    <r>
      <rPr>
        <i/>
        <sz val="10"/>
        <color theme="1" tint="0.499984740745262"/>
        <rFont val="Arial"/>
        <family val="2"/>
      </rPr>
      <t>melkisation</t>
    </r>
    <r>
      <rPr>
        <sz val="10"/>
        <color theme="1" tint="0.499984740745262"/>
        <rFont val="Arial"/>
        <family val="2"/>
      </rPr>
      <t xml:space="preserve"> (“melk” means “title” in Arabic) and is part of the Moroccan Government’s effort to make collective lands a lever of agricultural productivity and rural economic growth.</t>
    </r>
  </si>
  <si>
    <r>
      <t xml:space="preserve">To increase investment in and productivity of collective lands, MCC worked with the Moroccan Government to improve a 1969 policy which allowed tribal members, whose land is situated wholly or partially within an irrigation scheme, to become landowners and have individually titled and registered parcels of 5 hectares or greater. This process is known as </t>
    </r>
    <r>
      <rPr>
        <i/>
        <sz val="10"/>
        <color rgb="FF000000"/>
        <rFont val="Arial"/>
        <family val="2"/>
      </rPr>
      <t>melkisation</t>
    </r>
    <r>
      <rPr>
        <sz val="10"/>
        <color rgb="FF000000"/>
        <rFont val="Arial"/>
        <family val="2"/>
      </rPr>
      <t xml:space="preserve"> (“melk” means “title” in Arabic) and is part of the Moroccan Government’s effort to make collective lands a lever of agricultural productivity and rural economic growth.</t>
    </r>
  </si>
  <si>
    <t>Benefit streams included in CBA Model</t>
  </si>
  <si>
    <t>Increase in gross marginal profits resulting from conversion of land from "collective" to "melk" ownership</t>
  </si>
  <si>
    <t>Costs included in CBA Model (not borne by MCC)</t>
  </si>
  <si>
    <t xml:space="preserve"> On-farm investments and incremental costs of crop and livestock production</t>
  </si>
  <si>
    <t>ERR estimations and time horizon</t>
  </si>
  <si>
    <t>23%,  20-year time horizon</t>
  </si>
  <si>
    <t>Probability ERR is above 10%</t>
  </si>
  <si>
    <t>NPV (uses 10% discount rate)</t>
  </si>
  <si>
    <t>Beneficiary Count</t>
  </si>
  <si>
    <t>Beneficiary Description</t>
  </si>
  <si>
    <t>Households that received a title to convert land they own from "collective" to "melkisation" ownership</t>
  </si>
  <si>
    <t>MCC funds are provided here in nominal USD, excluding the costs for program administration and monitoring and evaluation, which are incorporated into the ERR calculation</t>
  </si>
  <si>
    <t>The revised CBA model reports the mean of forecasted values from Monte Carlo Analysis as official ERR. More details can be found on the MCA Report worksheet.</t>
  </si>
  <si>
    <t>The beneficiary count was calculated by multiplying the expected number of households that converted to melkisation (31,000 households) by the average household size in Morocco (4.4 people)</t>
  </si>
  <si>
    <t>The original ERR and beneficiary count were reported in the Compact signed on November 30, 2015. MCC did not regularly report the NPV at the time, thus it is not reported here.</t>
  </si>
  <si>
    <t>Intervention Objective</t>
  </si>
  <si>
    <t>The Rural Land Activity focused on developing a faster, more efficient and more inclusive, "optimized" process for converting ownership of the country's collective irrigated land into individual ownership by the men and women farmers who currently use the land. More secure, formal rights to land should provide the conditions necessary to enable and incentivize farmer investment and modernization of agricultural activities, in turn boosting agricultural productivity.</t>
  </si>
  <si>
    <t xml:space="preserve">To increase investment in—and productivity of—collective lands, MCC worked with the Moroccan Government to improve a 1969 policy which allowed individual men and women smallholder farmers who are members of the collective (whose land is situated wholly or partially within an irrigation scheme) to become landowners and have individually titled and registered parcels of 5 hectares or greater. This process is known as melkisation (“melk” means “title” in Arabic) and is part of the Moroccan Government’s effort to make collective lands a lever of agricultural productivity and rural economic growth. 
This intervention involved piloting this process over 46,000 hectares in Gharb, a fertile coastal lowland plain. The procedure includes accompanying measures in the form of land legal literacy training, agricultural extension services and improving access to credit to maximize the benefits of land title for communities. </t>
  </si>
  <si>
    <t>Economic Analysis</t>
  </si>
  <si>
    <t>For the Rural Land Activity, the main benefit is the adoption of technology used by owners of “melk” land by owners of collectivized land, after the land is converted from collectivized to “melk” land. A survey was conducted to collect data on the agricultural practices of smallholders on collective land and of owners of “melk” lands in terms of area planted, cropping patterns, agricultural practices used, access to short- and long-term credit and productive assets, and marketing facilities and markets. The survey was used to estimate and compare cropping patterns, crop budgets, fixed and variable costs, and gross marginal profits for the CBA model.
Since the purpose of the intervention was to convert collective land to private land, the agricultural productivity level in collective lands served as the “without project” situation, while that of “melk” land served as the “with project” situation. The difference between the average gross marginal profits generated by the two types of farmers and MCC investment costs were used to estimate the benefits. The CBA model assumes it takes 6 years for farmers with newly converted land to change from technology used by farmers on collectivized land to that of farmers on melk land.</t>
  </si>
  <si>
    <t>Changes in Economic Model</t>
  </si>
  <si>
    <t>Minor model adjustments were made including correcting timing assumptions and incorporating inflation adjustments.</t>
  </si>
  <si>
    <t>This worksheet presents the aggregated costs and benefits from the Morocco II Land Productivity Project's Rural Land Activity year-by-year, calculating a combined ERR.</t>
  </si>
  <si>
    <t>Compact Implementation Period</t>
  </si>
  <si>
    <t xml:space="preserve">Post-Compact Period </t>
  </si>
  <si>
    <t xml:space="preserve">Compact Year </t>
  </si>
  <si>
    <t xml:space="preserve">Calendar Year </t>
  </si>
  <si>
    <t xml:space="preserve">Total Benefits </t>
  </si>
  <si>
    <t xml:space="preserve">Total Costs </t>
  </si>
  <si>
    <t xml:space="preserve">Net Benefits </t>
  </si>
  <si>
    <t>Base Case</t>
  </si>
  <si>
    <t xml:space="preserve">Discount Rate </t>
  </si>
  <si>
    <t xml:space="preserve">ERR </t>
  </si>
  <si>
    <t>Probability ERR is greater than 10%</t>
  </si>
  <si>
    <t>NPV of Net Benefits, USD</t>
  </si>
  <si>
    <t>Present Value (PV) of Benefits, USD</t>
  </si>
  <si>
    <t>Present Value (PV) of Costs, USD</t>
  </si>
  <si>
    <t>This model assumes that benefits begin accruing six years after the land title is received, which is why benefits are projected to begin in 2024. Different specifications are tested out in the Sensitivity Analysis.</t>
  </si>
  <si>
    <t>Mean of forecasted values from Monte Carlo Analysis reported as official ERR. More details can be found on the MCA Report worksheet.</t>
  </si>
  <si>
    <t>Table of Parameters</t>
  </si>
  <si>
    <t>Model Assumptions</t>
  </si>
  <si>
    <t>Project Area (ha)</t>
  </si>
  <si>
    <t>MCC Investment (USD)</t>
  </si>
  <si>
    <t>On-Farm Livestock Investment (MAD/ha)</t>
  </si>
  <si>
    <t>On-Farm Irrigation Equipment Investment (MAD/ha)</t>
  </si>
  <si>
    <t>Total On-Farm Average Investment (MAD/ha)</t>
  </si>
  <si>
    <t>Average Crop and Livestock Incremental Benefit (MAD/ha)</t>
  </si>
  <si>
    <t>Cost per ha for Crop Production (MAD)</t>
  </si>
  <si>
    <t>Cost per ha for Livestock and Dairy Production (MAD)</t>
  </si>
  <si>
    <t>Benefit per ha for Crop Production (MAD)</t>
  </si>
  <si>
    <t>Benefit per ha of Livestock and Dairy Production (MAD)</t>
  </si>
  <si>
    <t>Factors Used for Sensitivity Analysis</t>
  </si>
  <si>
    <t>MCC Investment Variability Factor</t>
  </si>
  <si>
    <t>Project Area Variability Factor</t>
  </si>
  <si>
    <t>Investment Variability Factor</t>
  </si>
  <si>
    <t>Price Variability Factor</t>
  </si>
  <si>
    <t>Yields Variability Factor</t>
  </si>
  <si>
    <t>Year Land Development Starts</t>
  </si>
  <si>
    <t>Total Costs</t>
  </si>
  <si>
    <t>Total Benefits</t>
  </si>
  <si>
    <t>Implementation Assumptions</t>
  </si>
  <si>
    <t>Project Implementation Rate (%)</t>
  </si>
  <si>
    <t>MCC Disbursement (USD)</t>
  </si>
  <si>
    <t>Land Area Titled (ha)</t>
  </si>
  <si>
    <t>Cropped Area Titled and Developed</t>
  </si>
  <si>
    <t>Total Cropped Area Titled and Developed</t>
  </si>
  <si>
    <t>Projected Economic Cost with Incremental Costs (USD)</t>
  </si>
  <si>
    <t>Monitoring and Evaluation Costs</t>
  </si>
  <si>
    <t>Program Administration and Oversight Costs</t>
  </si>
  <si>
    <t>On-Farm Investment (USD)</t>
  </si>
  <si>
    <t>Incremental Cost of Crop Production</t>
  </si>
  <si>
    <t>Incremental Cost of Livestock Production</t>
  </si>
  <si>
    <t>Total Costs (USD), Nominal</t>
  </si>
  <si>
    <t>Total Costs (USD), Real</t>
  </si>
  <si>
    <t>Projected Incremental Benefits (USD)</t>
  </si>
  <si>
    <t>Incremental Benefit of Crop Production (MAD)</t>
  </si>
  <si>
    <t>Incremental Benefit of Livestock Production (MAD)</t>
  </si>
  <si>
    <t xml:space="preserve">  Total Incremental Benefits (MAD), Nominal</t>
  </si>
  <si>
    <t xml:space="preserve">  Total Incremental Benefits (USD), Nominal</t>
  </si>
  <si>
    <t>Total Incremental Benefits (USD), Real</t>
  </si>
  <si>
    <t>Net Benefits (USD), Real</t>
  </si>
  <si>
    <t>ERR</t>
  </si>
  <si>
    <t>Source: Livestock Cattle and Meat Production worksheet.</t>
  </si>
  <si>
    <t>Source: Irrigation Equipment worksheet.</t>
  </si>
  <si>
    <t>Sources: Crop Production and Livestock Cattle and Beef Production worksheets.</t>
  </si>
  <si>
    <t>Source: Crop Production worksheet.</t>
  </si>
  <si>
    <t>Sources: Livestock &amp; Meat Production and Dairy Production worksheets.</t>
  </si>
  <si>
    <t>New irrigation equipment and livestock investments will be needed beginning in 2030 based on the assumption of a 12-year equipment lifecycle. Those expenses are distributed across four years at a time based on the timing of the initial investment.</t>
  </si>
  <si>
    <t>Crystal Ball Data</t>
  </si>
  <si>
    <t>Workbook Variables</t>
  </si>
  <si>
    <t>Last Var Column</t>
  </si>
  <si>
    <t xml:space="preserve">    Name:</t>
  </si>
  <si>
    <t xml:space="preserve">    Value:</t>
  </si>
  <si>
    <t>Worksheet Data</t>
  </si>
  <si>
    <t>Last Data Column Used</t>
  </si>
  <si>
    <t>Sheet Ref</t>
  </si>
  <si>
    <t>Sheet Guid</t>
  </si>
  <si>
    <t>7272f04e-df4b-4e7e-8ffd-01487e2bc888</t>
  </si>
  <si>
    <t>25c594a4-0d7a-4e55-9820-bf0d3a77f1b3</t>
  </si>
  <si>
    <t>1aabb667-2df6-4e49-b191-6aa2a3e91982</t>
  </si>
  <si>
    <t>79ef2879-9f48-423a-a525-1de97ced1457</t>
  </si>
  <si>
    <t>Deleted sheet count</t>
  </si>
  <si>
    <t>Last row used</t>
  </si>
  <si>
    <t>Data blocks</t>
  </si>
  <si>
    <t>CB_Block_0</t>
  </si>
  <si>
    <t>CB_Block_7.0.0.0:1</t>
  </si>
  <si>
    <t>㜸〱敤㕣㕢㙣ㅣ搵ㄹ摥ㄹ敦慥㜷搶㜶㙣攲㕣㐸㠰㘰敥ㄷ㐷㑢ㅣㄲ〲愵㘹昰㈵ㄷ㐳㉥㑥散㠴㈲㑡㤷昱敥ㄹ㝢攲㥤㔹㘷㘶搶㠹㘹㕡㐲㑢愱昴愲ち晡搰㐲㘹㐱愸㐲敤㑢㈵晡㠰愰愵て㤵㉡戵慡愰攵〱㈱昵愱ㄲ愵㔵晢搰慡㡡搴ㄷㅥ㤰攸昷㥤㤹搹㥤㕤㝢挷捥〶㕡愷昲㈴晢攷捣戹㥦昳㕦捦晦㥦㐹㐲㐹㈴ㄲㅦ攱攱扦㝣㤲㑣㕣㌹㍥敦㝡挲捡つ㤷㑢㈵㔱昰捣戲敤收〶ㅤ㐷㥦㍦㘸扡㕥ㅢ㉡愴昳㈶捡摤㔴摥㌵ㅦㄱ㤹晣㥣㜰㕣㔴㑡㈵ㄲ㤹㡣愶愲㥣㥤昰搷ㄳ扥㘸㙣搵㤹〴㤸ㄸㅥ㍡㌲㜹ㄲ扤㡥㝢㘵㐷㙣敤㍢攱户摤㍤㌰㤰ㅢ挸敤搸㌵㜰㐷㙥摢搶扥攱㑡挹慢㌸㘲户㉤㉡㥥愳㤷戶昶㡤㔵㈶㑢㘶攱㍥㌱㍦㔱㥥ㄱ昶㙥㌱戹敤昶㐹㝤挷㥤〳㍢㜶敥㌴敥扡敢捥㑥っ㥤㌸㍣㍣㌴收〸挳晤㤸晡㑣㜱捡㍢㐶㐴挱攴摡㠴㜰㑣㝢㉡㌷㍣㠴扦㤱昹攳㙤㔷㙥㝣㕡〸㡦㐳ぢ㐷搸〵攱㙡㘸搸㘱つ扡㙥挵㥡攵收㘹搶㍥㉣戵愰扢㕥捡ㅡㄶ愵㤲㘶㠵扤㘶慣㈳搸扢㤲㍥摦㘹㡤ぢ摢㌵㍤㜳捥昴收搳搶〴㍡㉡㜶㔹挷㕤㜱㑣户愷挴㘱摤ㄲ㈹㙢㝦挵㉣㈶晤㈷搱㜶㔳搸㐵㜴㘲㜲昹戹㐱搷ㅡ㥥搶ㅤ㌹㈳㤷ㅢㄳ㔳㜷㥦㔳愸慦㝢㕤昳㝥㌹㜵㌹〲晢扣愱㜹㍤㤴㥣搰㥤㙡捤晥收㌵㠳挵搷捦攰戶收昵㈳㝢㔴摦收㤶收㙤攴㔶搶搷㔶㍡〲晡㤶㍢㡡挵㘸㘹㠲㜶㠲っ〱ㄱ愸㘵〹㍡〸㍡〱㤴攴扦挱㈵搱㠶㉣㔲昳扡㥡㥦㔴昳〵㌵㕦㔴昳㐲捤ㅢ㙡㝥㑡捤㑦慢㜹㔳捤㥦㔴昳㌳愸ㄳ㍥㤹昶㜶㌵㜸㕥搸㌸㌳昸㠷戹扦ㅣ㜸晣敤㍤敦㝥昰敡慥㡦㍡搷愰搲搱㘰㔲㈳㡥㝥ㅡ愴㔶愳攲敤戹㙤晣戳㌴㔷㠰㈹㡣㥤挶㉥㘳㘰愰戸㜳㥢㝥扢㥥攲戲㘲㤰㕦㐷㈸㍤愸摢㘹摣㙦摡挵昲㘹㠹扢㉢㠷㜴㔷搴㌶慥㍦㈸ㅢ㉡㔷散愲㝢挵攲㠵攳㥥敥㠹捤㡤㘵戵㑥ㄶ㌴ㅢ〷㕢〹㔷㡥户愵戱搹〹扤㔴ㄱ㠳㘷㑣扦昸慡㠶㘲㙢捣㈹㑦㌶㉦摤攷㠸㔳搵搲〵㌳ㅡ㠴㔰㥢㤳㝤㉦㔸愵㕦攴捦慢㙦㜸扡散ち㕢㑥慦摦ㅡ㌳ぢ㌳挲ㄹㄷㄴ㠹愲㈸㤷扡㥥㐵〱搷昷ㅦ戱戱㔰㜰㙢昱摡㘸慥戱昷㡣〷㘶ㄶ㐵捣㜷㔶㌸摥晣㠴㍥㔹ㄲㅢ敡慡昸㘳愲㘰㔳㕤昶扥㜲愱攲づ㤷㙤捦㈹㤷敡㑢〶㡢㜳㍡㈴㑤昱㔰戹㈸㤲挹㠴ㄴち㄰戸㙤㙤㡡㤲戸戵㌹㉦㐸㐴㐴㔰㑣㐶扥扣㥥散㜲挷戰㍡慣愲㈴㐸㤳敡昵㑢㜴挶昹㑡ㄹㄳ挳㠱㤱㌵㔱㝦㜰搰㥢㤷攸戶㡡戹㑦戶戲慡昶〶慢摦㍢㈷㙣敦㠰㙥ㄷ㑢挲㠹搵㝥ち㘷愴㜵〳愴捥㐳㈰㌴摤㍤慡㍡攵㡣㌲㥦㍡㙤ㄶ扤改昴戴㌰愷愶㍤攴㐱㐳㘶㌲摣摡〵㡦㜶ㄹ戲戴戵〴扤〰搹㙣㈲扤㡥㤵搲㔹㍣㠹ㄴ愵㔳っ㉦搷〹㜲戶慢攳攵㑥㘳㥦㔹昲㠴㉦㤴扢つ㘰挴搷㙡ㄲ㝤㕤㈴㔱㐷㉦昸ち㘳㥤㌱っ㉡搵㑤摢㥢慦昱敤〲㉥昱㠹㘸㔵ㄶ慣㌸㔹㐰㔱㔰㉦て㘲㜸つ㐴搳㈰つ攲㉢㐷㠸㠸㙣㄰愳搹搱㜳㍤㤱戱㝥㡣㡣㐰晤㈸ㄱ戲昶戶收㌲㠲挴扥㤰㐸搹愸㈹㍦慥㑡戳挵㙣㜹㕦㥡慤挷挶㘹ㅢ〸㌶ㄲ㕣㑥戰〹㐰昹ㅢ㈴ㅣ愵ㅣ搲昵㡦㜶〵摥戵㉢〹慥〲㠰㝣搲㈸㜳〲㔱㐵ㅢ㙡㌹㜶㈴敢㜵挱㑥㤶㐶戱㉦㡡㘸ㄹ㔷敤捣㉥㑢㈲㍡戰㍡㔷㠶慥㑤㑡ㅤ㝢㘳㜳摡㡣㉥㠷ㄴㄹ㔳㌵扡搶㈵慡㐶㌷㠲㔵㕢搴㕢㔷愳愹搶㐷㜰つ㠰慦㔸㘸散㉥捦㥡愷㌹㜹㐹㤸㐴扥㈱搴愲㜲て㠸㤸收㝦㡣㠰㕢㜰㜴㔹戵㥦㘹ち昶ㅢ㤷扣晤扣戵㌹㙦〷㐸㙦搰㤹慢㍡㠷扥愲ぢ戴愰慦〵㝢㈹㝦㙡慡㕦慥㐷戱㜶〳挱㡤〰つ晡㠵㈷敦ぢ昵ㄲ㐸㤳搸㡡㘰㙥㉤㍤㉥搲挲㥤㤸㥦ㄵ㔲晢㜴ㅡㄳ扡㌳㈵㍣㜸㉦㐶㐷㘰〷㤷ㅤ㐷㤴㜰愰㉤捡っ㥥㕤㌶搶㘷扡晢㥣戲挵晣㔵晢搸扤㈴ㄴ㐳㌲愹戶㈵ㅡ散攳ㄸ㍢㌳攲㙦㡡㔰づ昵敦敤捤㠵㐴愴㔱㍤㜹戱㕤晣搹㜲㔵㤲戴㈰㐹㙥挶戶㙡户〰㐰㑡㈸敦㌶㤵㈸晤慣戶㔵㔶慢户㔶改摤㡢㌹㤹㌴昸てㄷ挸㤱づ摦㔹㍢〴摦㠱摢㘵㡤㥢㔶㔵㔸㜴㔸㘳挲㈹挰慦㘰㤶㐴搶㜷挹㔲搴慣捡㡡㑢㐴㔶戴戵㉤㌸㑢挷昸搶㈴㥤㌴㐸㠹㔸㙥㡦㉤㡣㌹㠷搷㠸㡡㉥㐸ち㤵ㄸ户㔰㔵〲㤱昲㔸㜷㔵挴戴㈰㘲㜲搸㌸敤㌶㠲㙤〴〳〰愹摦㐳搲㉣㜷攳ㄹち㙢㥦愳㍢㍢㥦㑦㘴㠸〶改ㅥ㝣慢愹戰摡挱㘱㜶ㄲ摣〱搰㘰晥搰昹ㄸ㐳㠸ㄲ攵ㄱ㐲愴戵愴ㄹ㈷㑣㜱㥡㌴戰挶㐰㔰㘹戸攲㝡㘵㡢㔱愵㉥㘳愴㝣戸散㡤㤸敥㉣愲㔰扤㐶㤰戸㝦㕡搸愰㉥〷戶㑦㐳㕥㜹㜶㔶ㄴ㌵㘳扣㕣㠱㘸ㅢㅤ㔹〹㠷㜲慣て戶愴㍣㤷慢ち㥥搶捥挶攸㐲㤱㈷㘲昸㕡改㠹㕤㤶攷㥢㠷扥敥摡㡥㑥㤸㕥㐹㜴ㄸ㍥搳㌱㥤㌱戰㡢㠸ㅡㄴ摢㡤㠹㘹㐷㠸㤱㉥㘳扦㘳ㄶ㑢愶㉤㠸っ搸㤸っ搴ㅤㄴ㔳㠸㄰㡣㤵ㄹ晦㉢摢㕤挶㠴愳摢敥慣捥㘰攲晣摡扡㌷ㄹㄲ㐹ㄹ㐳愶敤㘲ㄸ㠹㐵愶扢㡤昱改昲㘹㐴㙢㉢㤶扤㕦㥦㜵㔷〴㔶㐸昴晥㈳㔱愳愸㡡慡㉡ㄹ㌵搳㉡㝥㜸㈰㑦㈴戶攳㤷㈴㤰戸㑡愴攸㉦㡦搱摥戴敢㠳昸っ敤㜴捥愹ㄳ㤱愳㙡㘶㕢慣ㄴ㈶愷㙡㜷戲捤㕤〰昷敥㍦㍥㕡㡢捡㕤㔴扣㍡㐵て㝦㡣㡣㤷㘴㔱つ㠲搰㍦户挶㈷ㄵ收㤱㜲挰㠱挰㌸摦ㅡ挹㉦㙢挸㍡愴扥㌵戵攴㍥㐴㤱㍡㡤㠳晡愴㈸㈱ㄶ㙤改摥ㅡ晦㠵㘶慣愵㤷摣愰㙣戸㙣㔹㍡㐹㡢㘴㌹㕥搰㐹挱㠳ㄵ慦㝣挸戴㌵〳㐰搲㕦㤰愵㥦㐱㤶㝥㐶㘶㜵ㅡ挷ㄸㄶ㤴㘹昶㔵㥥搲ㅤ搳㥢戶捣㐲㠶㉦っ摤慤〸㥡〴㤳㔳昲㠶㑦㈸㌳晡ㅡ慣昹攳㌰搹摣ㅣ搰㥤㠳ㅣ攵搶ㄱ晤愰㕣㔵㐹攳㡦搲愲㘳〹〲㐶㝡㐹戵扢搱㕢㑡摥㡣㠰挸㤱捦昹昰晥挵昹㐷㤱攳晢攵㠸昵ㄸㄲ㠱㐷㌰㈲攴改摥㑥ㅢ挷㙤搳〳昶㠸戱㝤愶㌷攲〲攵〰㐸捡攳敤㘶㠹搵㐸愳晥慡㔶戸㝡㘱㔱㥤㥡搸戲戰㍣慡㌷慥㕦愴搸搷㈸ㄱ㐵戲㔴㈵愹㔹ㄶ㤹攳㑡㔲㌵㡡㔴摣愱戶㔱攲摣愶戵㝤愷ㄴ戹〸挵㈴㘹㈶愱敤㤶㠴㠲㈰㉦愹〳㍡㡡晥晡㜸昲㠸㐴㙢㘸〳㘴愹愷晣扣慥㈰ㅣ㌸㡡㉢㈷㐵㤱つ摥挰摦㙢㠲攴㤱㡡㔷㔷愲㥦改つ㑡〶㑢愵㈳㌶慣㠴㠲敥ㄴ㔷〸㑢㘳㙤扥㠶㤱摣搹慡昶昷户㌷挲㠸〱ㅢ㌲㈴ㄲ攳〷〶ㅢ㠲戹㈲搱㔴㕡㘷㕤摣敡㙡㜶㠶㙦㠷㠴㙥㑢っ㡣㝢挵ㄱ㌱㈷捤戰㥡㈵摦㉢ㅢ㔴㑦㡢㔲㡥㙡挶攰愴ぢ㤵敥㔱㡥〷㈹挹攰㥡㜱㡣㙥㈹㕣㘰㠰搸つ㔲㘳〵て㘱摤㙡〷㍣ㄹ慣ㅣ散㘰㐷晣戰〹慤㌳㑡搰㜴っ攱搶㉦㠲扣搳㈲㐶㈱㐸つ昹晣㙢㡦昲摣戳㝣㝥戲㈷ㄱ㈶〲㈶㘲愸㉢挶㝡〰㜲愳㔱㐹㜲㔱㙦ㄸ㉣昷㈵㥢ㄴ㕡㥤㘱ㅥ㑤㡣㉥㥡㝣㡥㠷ㅢ㍣㡣㘳㜵㤳㙤㑡戸攳收㤹搰愶愵昹㌵挶愸㕤㈸㔵㡡㐲慡攲㔰㔶㑢㡤扣㈲昰㈵慦晦昹摣ㄴ戳㉦挱愶㡣攲㈸挵㈵ㄳ㐹慤摢摤摡㘷搰㕣ち㌹昴攱换㌶〶ㅦ㘳摣㜲㌲ㄸ戶攰㡥〲敤挳戵戵换ぢ昲攲ㅣ㐴摡㠲㉣捡戲㠳戸㡢㔷㡤㈰㑢㙥㡢㔴㍢㔸㍥㔸愶捤ㅥ挹㍡㘰晡㔹㉢〲㐷㔸愷㉦昰搲㘹ㄸ㈳㉤㜲〷㍢㐹㥣て㈲扢攷ㅦ㤵慦㠹昳㝢〲攳㐳㘱㝣㤷愷愰〴㜶ㄵ㡣㐴㠳㕢慤㔹摤ち㈳扦戴扣戵㝢〰ㄴ㠶㠰㘹搰愲愶㙦攰っ㈱扤戴㠱挳㘰㘴㑣㜴㌴ㅡ㐸㘵㡣戲ㄷづ㝢㈰つ摣挴㠳昴㐴ㄹ㑡挸㕢㈷㉦㠵㠵昷ㄲ晢㉤ㅣ㠱捡捥㠶㠶捣㌱摤挳搵ㄷ㝢㔳㐳昶㘰戱㐸㜳ㄷ晥戹ㄵ㠱㔵㕣摢昰捤搱㜵つㄷ戲攴㥡㘸摦㕤搷㔰㄰㕣ㄴ摣㍥㤲㍢愰㝢㠵改㜱㙦摥扦戴搵㉡㐹愴㝥〹㝦挴愲愳搳㘶㑥摡扣㠴㍡挷扤捦捥搸攵搳戶㥣㔷捡攵㡤㍦㕡戱㕡㝢㍢㈷㤹㑤㝣㠴㍦昲㔱ㄳ愹㌷搰攳㜲愶捤づ㙡づㄲ昶㈳敦㕣晡搲愰て慦㌱㜴〲摢扤㝡㘳㠰㜴戲慥㠱㑥愴㈰㔸㈵ㄴ㝢敡㘳㈳ㄴ攵ㄷ㐰㉢㠹挵㍦㤲㘳捦㕦〶敢㉢㍦㐷づㄱ捥㙢ㅤ㠱㈰扦㈶ㅥ㜵㔲㤰〷搷㍢搸敡晦〷㑢㈱㌷㉦捡㑥晦〵㘶㔶㕥㙦㐴搱ㄶ愲攸戵〰㐵扣㑣ㄸ愰㠸㠱搸ぢち㜹㜳昶慢㐷捤㑦晣㕡敦晦昰愸㜹㉦㌰捣㐷㔲〸㠲㙡っ挶㔷㡤㠱戶〵挶挰つ㈸㤶挶挰㝤㙣挳㜸扤㙦っ〴摥㡥㐳挸㔸摡ㄸ㘰ㄴ㉦挶攴㡢〴㔵㈳づっ㥥戵㌶㔸昴㠴ㅤ挰昵㕡攱㈲㜲て昵攴づ挳昷戴㜱㘱昶㤸敥攸搶㈶㤹扦摦ㄱ㔰㕢捥〴敥㙢换㈶㙣戱㜹搱ㄲ搹㘸ㄱ慦㐴攸㑦㕦昵㥣㉣敦㤶㍡㌰攵㍦扥愳㕥挹㈸改㡢昰㠹㈸㍣㈱㈴扥戰敥愷晢晦晣挸攳㝢㜸㉦㉤愰搵ㄴ〳挱慤〴攷㘹㌹㈰㝣ㅢ戹ㄲ戲㥥㥦摦ㅣ挲㠷㐸收㙣㐹っ改㡥戴㜷㕣捤ち㤳㍥攱㐵〸搳㈷扥㤵㘰㑣攲㠶㠳㙦㑣收ㅡㅣ㥢昲昳㈵改っ捣㐵㈶㉥扤㜷㘱㠰㔰㘹慡戲㕡戴㉢㔳㍦㠳搲戹挰㠹搴摢㠳㍣㕦昲㔱㤴㔷ㅡ戵摡㑥㙡㌵㘹㈶㉡晤愸ㄱ㑡㈹㐴ㅡ㐸㈱搱㈳ぢ㐳晦㔲㑡㡤㈱㤱捡〱挴挴搰ㅡ㠳戹㍣昹慦ち〱㔱扤摥搷攲愷㉡搸㐵㘰㌱昴扡户㝡㜶愵搵ㄹ慡㈶〶㘵攵改攳㈸ㄲ昲㤸挲っ㐶㘹㘵敥㌱㈴挲㈷㌵㠰搴戲ㅤ㑦ㅣ愴换昲㐳㙣㍥㘳愷㉣㝡搵戲搶㕥扢㠲㍢ㅥ搰㌳㘹愹㌰散戵捣挶搱㔳㐶攳晣慡㔹㍦㡢戰摢㑦㔶ㅢ㜵〴㐵搰㔹昶㈶㥣㍦ㄱ收攳昷㐰㉣敦慦㜵扤扥戱㠴㍡捥㙥挷〲昹㠳晤戵㈵㠶戱㌱㉡㌹〶ㄲ㜶㔹戵㌲晥㈵昰㜱㌴㤱昶扣愲搵㤲ㅣ㑢㔱ㄸ㡤づ㌹慢㑤㕤愰晦ㄹ愷㤶㥣㌵挱摡っ㔸搷改晦ㄳ挸㔸㔲晦㉢㡣戲㐹㤴摤ㅦ㈴昸㤲㘲愴㘴挹攰っ㜷〴㍥㙣㠴㘹攴ㄱ㔸㤳㐹〶户晤搴㌸㍥㔱昵㡢愵〴㠷㠷㉢搹㜸〹愲摡㤶戶㙤㐷㔳〱挸㈸㔰敡挷㄰㐱㑤摢㜳搲昵攷㔸㘴㈴搲て〰慣㍢㘴ㄶ㥣戲㕢㌶扣扥㜱㠴㜷晢昸㠵㤹〱㥢㘷㔰㜹戹㔱愸㕤㠷㥤攸㝣㄰㙤づㅦ㠱挰㍥㉣扣㡦㉢敡挸ㄸ挲昲㘲ㄶ㍣㈰昴㐴〲㐹搴づ敥㘵挶搱㡡㕥挲〷慡㐷攰搵昴㤸戵㈲㤴㥤敦㕢㙥扣㡢挱慤挳㙤慣晢攰昹ㄱ愵ㅣ挲㘰㜲〹て㍥挴㝤㙤摣㠳晡扡挱摡㕣搶㙣捤扢㤶㑤晤〸㌸㕤摥㈸昵㈴挳㌱昹摤㜱㔶㝢㠸㄰㜱ㅥ㝡㐷㤷敦㡡㘵㙦扤愰昳攰戳㙤扡扣晡㑢㜰㤴㉤㈳捥晤㜹㌴㔵敥㈱挰㑦换〷〹扥㈸昴攷摤捤挴㡢㔸ㄶㄹ〰改㐴㕡〷㘸㑥搵㍦㕣㡣慡ㄵㅥ㉤㐸㠵㔹攵〷㈸攷㉥昹慢㉤㌲て㐷つ㜹㠴㐰㕡㡢㑡㙥㠵㐷〸㌹晥㜳㘸㔰ㅤ㝦ち戹捤挷晦摥愲攳㔳昹换昵㐵晢敦〹㤵㠷㜶㤲㐳捦㄰㤴〸㉣㠰㥥戰㘶㌷挵㈲㘵㑤摡て㈲扣扥〷㘹㍣㙦〷晦扥户攷慤㌷昹晣㜳㡦㈲〵㈱㡡敡㔷㐱㐱㈸㔷昱㜴㜴ㄵ戳挸㙤扥㡡㙦㉦戶㡡ㅥ捡㐸捥㐴㜳〰扡摡ㄴ搲㡡㕣㤵㡢〴㌷㤴㍦㐵㈲ㄴ㠹扡㔹昴㄰戱戲㙤〵〹戴攵捥换戶㜳㐸㠴㙤㔳摣㠸㤸㑦㜸愴㝤挴㉢㡦昴摡愴㝤户㙢摡搷㡡ㄹ㉢昰户慥〸搹㠰㈵昱㥢搸愶㈲㍤摤㘲㉣㕦㜹㉡㐴捣㠱〳攱昷㔱㙡㄰㕤〲㘱昸ㄶ㈹〹㠹ㅢ愹㝣㉤慣晣捡慢㌵攷㈸ち昰㠰㝡晣捡㈴㌸㔹昹挹戰昲㜶㝣㝢㈵敢㈴㜸㔷㠰捦㝢㘱㘵ㄲ愶慣晣㐴㔸昹ㅦ摢㌷㔵㉢㠷㜴攸昷㥣㈲㤱挴搸扡搲晡㡦㝣㠷捤㐳㜵捡愰晥散㌰晣㙣㑡㑥ㄹ㈴㉥㐹つ摡㠹㙢ㅦづ扥㠴㍥㠸㕢㑣戸散〱㈱敢晦㠷〸愳戸摤㌴愲㝢㍡㍥㜴㥥㐳㔸搹搱攴ㅢㅢ愷㡤㈳づ㌲摡㡤㔱ㄷ㘷慡攲㡡㈲ㄱ㤸〳㐹㝦㝦㤷㜰扦挷㤸㡥戵晤〸挳㘱㉡㙦㡢戴愶㍣㘴〸㈵愹㍣ㅥ㘲㌶㜱慥㐶㌳摡ㄷ㠱ㅣ㠸㐹㐰㈶戴㉦〱晡㈱㤷㜵捣攸㈱晦㑢收㍥㠷㠴昶ㄸ挱㤷〱戲ち㤹㥤㜴㤰晥ち㐰㜷昸摦㔱昴捤㐹㝦㠹慡㥣つ〷㡢㤲㤱昶㔵㌶㜸〲愰つ㡥㕡㈵㈰挲慣昶㈴㜲愲㠳㔲㜰挸㐱㥦㘲挱搷〹扥〱㤰㑤㜱戲换摥㌵慥愹㐵捤昵㑤㌴㔵戸ㄵ㔲㡥㝤㉢㐸昰㈵㜵づ攰敥收戶㌲㡦挲攱攷晢〸㙡搶㝤愷扦ㄷ摦摤捦㜳搱㙤昸㙦㐷㔲搲戰㑦慡㥦㙡慤㉦㌲〱㙤㜲昹㜳戰搹ㄷ搱て搷㔵戳㌱搹攳愷昱换愸㘹攵㌱晣㝢づ㍦攵ㄴ㐶攰㈸搴戴ㄹ戸㔹㐸〳戲㘰㌶㈸愰捡搲㥥〶㔰㠸㘳攲㐹㝢㠶㙦㐴㉤晢搷扥ㄳ㈴昸愲㄰慦攷㤸㈸〵捤挳〱㠹㙢㔹㌰搳㌰㈰昱㉦ぢ㑥㐶〷晣㉥㜲ㄵ㠹㉣㈴敡戵ㄲ㤱㤶㘴敥戳〰㕤㙤摤㥣ㅢ戵㥣㝡㐶㈹㍣㕣㝣昸攱て扡㤳㝤㥢㤳㥦扤愷昳搹昷㝥昷晥㌳敦㝣㙥昷摦㍦㝣晥昹㜷晥晡捣㥢ㅦ扥㌱戹晢㌷㉦扤昴敢㝢㕦㜸昳晤戵挶㡢敡慢ㅦㅣ㝣昱散挰捣搹㔳挶昱㕢昷㥦㝤攰攴搱㠱戱换晡摢摡摡摢㙦敡晤敤攵㌷昷㥣㍢昵㥡昲慢㍦㙥戴ㄵ戹㕣づ㜸っ㈰㝣㝡戸㙣㌹㡤敦㈳㠱㘹㜰挶㥦攸㌴戸摣㜳昸㈹挵㘰愳㠶昰㤲㠱㑦㠳ㄳ㤰〵㠵晡㠲㡥晦〰搲㤰戳㤸</t>
  </si>
  <si>
    <t>㜸〱捤㕢つ㜰㕣搵㜵摥扢搲慥昶慥㈴㙢㌱〶㙣㌰㔸晣〵戰ㅣ搵昲㝦㐲ㅤ慣ㅦ晦〸㡣晣㈳搹㈶㤳愴摢㈷敤㕢㘹敤晤㤱摦㕢挹ㄲ愵㘰㈷㘹〸搳㤹っ㤸っ㠵㄰挲㈴改て㤰〴挶㜵ぢ㤳〴愸㠱晣攱㔰ㄲ㈷っ愱っ〹㤰㈶㌴㄰㤲扡㑤㥢㘹摡㈶昴晢捥㝢㑦㝡晢昶慤㉣㌹㜴㠶㙢敤搹㜳捦㍤昷摣㝢捥扤敦摣㜳敥㕢㐷㔴㈴ㄲ㜹ぢ㠵摦㉣昵㐴ㄶ昷㑦摡㘵戳搰摥㕤捡攷捤愱㜲慥㔴戴摢㍢㉤换㤸摣㥡戳换㜵㘰㠸愷㜳㘸户㘳㘹㍢㜷扤㤹㐸㡦㥢㤶つ愶㔸㈴㤲㐸攸㈸摢摤㑦捡慢㘸昶搲昵〴攰㡡㘸㌲攸〶㠲〴㐰㤳〶ㄸ攸敥摡㌶戸ㄷ挳昵㤷㑢㤶戹慣㜵户㈳㜴㝤㐷㐷㝢㐷晢慡戵ㅤ㙢摡㤷㉦㙢敤ㅥ换㤷挷㉣㜳㝤搱ㅣ㉢㕢㐶㝥㔹敢昶戱挱㝣㙥攸ㅡ㜳㜲愰戴捦㉣慥㌷〷㤷慦ㅣ㌴㔶慤敢㔸戵㝡㜵昶㍤敦㔹搷㤴㠴攴扥敥慥敤㤶㤹戵摦㉥㤹㡤㤴戹慤扢慢扤捦㉣扦㕤㌲㥢㈰ㄳ㈲㝢㑡〵㈳㔷㝣㥢㠴挶㘸昴搵㍤收㔰㡥慢㘳㥡㔶慥㌸摣㡥㘹㔷ㄸㅡ戵戵敤㥤戶㍤㔶ㄸ攵㐲㜷㥢昹晣㑥㌳换㔵搱㠵ㅥ扢扣摤戰ち㜶㔳㠱昶㌳㉤戳㌸㘴摡昳ちㅢ㈷㠶捣扣换㘸㈷ち扢つ慢捦㈸㤸昵㐴㕡ち捥ㅡ昶㘶捣㘲㌹㔷㥥㙣㉥散戲捤㥤㐶㜱搸㈴㑢慣戰㜹㉣㤷㔱昵昵昸㡢搴㕤ㄶ㌶㌳㔹㈸捣愷搰㍤㘲㔸㘵愹㜱〹㍢挲㜸㝤摢㐵戴愸㤸ㄷ户㔴㙢愰ㄷ搷慣㍦㔷戸挶戴㡡㘶㥥㠳㜰㈵摢〲㑣㘲㈰㘷ㅤ愶㉣攵愹挳㔵㔲㡤敥搳㐱㕤㌸㑡扣ㄹ攰㥣㕤挵㕣戶㘴ㄵ㤶㕤㥢㉢慥㕦摥扥㙥搹戵挶挴晡㡥昶ㄵ㝡ㅥㅡ㜵ぢ搹㔲〰昳〶㑡㘵㈳摦摡㘵ㄶ捤㙣慥㙣敢㌳搸㍡ㅦ㐰搵晦〲㑦愱㕦㌴攷ㄶ㑤ㅢ搱昴㘰㌴㍤ㄴ㑤㘷愲㘹㌳㥡捥㐶搳挳搱昴㐸㌴㥤㡢愶昷㐶搳晢挰攳㤵㐴㐳㐳搴㉤㑦敥㜹昲换て㘷晢戶摣㤶晡㤰晤搱敦㥦户㔴昱挱㤳攷㜶〱㤰㥡㔳㍤ぢ㡤晡㙣㠰昸㌹〰㑢戶㕢㈵㍥㡥慤㥤㤶㘹戴㘲㙤㜳挶㘰㉥㡦㌵㙤摤㘴っ攱ㄱ搵ぢ挹扥〸㐰愹搷㌰㜷捥㝦㕢戴㙦攵挹戳昶㙦㜸攴㡥㠳㕢㍦昶捦ㅦ㝣㔶昱㘱㤷㠱捦〳㔲㜳攰挵㤴㜴㍥㐰晣〲㠰㠵摢慤摣㤰ㄹ㌶攲ㄲ昲戵〲㈸昵戲㍢攲㠳㑢㙥㜹散搱㠵㡤ㅢて㌶挵ち㕦㍤㜴摦㌲㐵捦㈲㈳㕥〴㘴㤱㝦㔵㔶㉣㕦戱㐲㤶〵挸ㅡ㝤㌱㥡昵㈵〰昱㑢〱ㄶ扦摦㌴慣搶慤㐶㌱㠳㍤㌳㙥收㑢愳〵㙣攰搶晥㌲㌶愱慤摦㐵摥换〰㤴㝡挱ㅤ㔷㕤晥摡晣㉢敥昸㙣搷㤱㤳攷㥥戰ㄷ㕤昹㉥㐵㘷㈶攳㕥〱愴愶愶㑢㈹愹つ㈰扥っ愰搱搹つ摤㈵ㅢ㠳扣㥢㑤敤〰㑡㥤㜰〷㌹昸搳摦㕣㜱昸愶ㄳ㕢㙥㕤昳㝡换摤搷敤㕣愹昸㔸捡㈰换㠱搴ㅣ愴㠳㤲㔶〰挴㔷〲㥣摦㕢ㅣ㌷敤戲攸ㄳ戲㡡慢挸扣ㅡ㐰愹攳敥戰捦晤昸ㄳ捦㡦晣敤㕦昶㝤攵攱㔷㜷㡤㕢㐷㔳㑤㙢搱扣挳摤昵㍤㤶㜱〰㝥㘴摡㐵慤㘸㕦捥㝦愷昶捤㜰捤搹搵搹戵搹㡥㡥捣敡攵挶㑡㈳挶㐷㘳戶㑥㠰て㑦㔳㜶㑦慥㤸㈹ㅤ㄰慦戰戸换戰捤㘹㈷搱收戶㜵㤵挶㡡ㄹ晢扣昰㐶㉣㘷搹㍣㌷搸㌶㉤愴慡㕢㍦㝣愶㘹换㜸ㄷ〴扢敤㌶昲㘳㘶攷㐴捥㘹㍥㍦搰っ㡦㔹ㅡ慣摤扡挹㌲昷㑦戵㔶捤愸ㄳ㘷敥戸挸慥搲搲㘹㜲收搵摡㍤㔲戲捤愲㑣慦慤戰㍤㌷戴捦戴晡㑤㥥搸㘶㐶㔴㍤㡢㑤慥摢㙥摢㔶㠴愲㜰挴㤹㡢晣搴散挶㠹戲㔹捣㤸ㄹ捣㜷搴戴捡㤳〳挶㘰摥㍣扢㠲挵ㄹㄳつ㡢㉡挸㥢㑡㐳㘳㜶㜷愹㔸戶㑡昹捡㤶捥捣戸㠱愳㈲㜳㙤㈹㘳挲搳搷戳㐴㔴愴慥㑥愹挸搲㌰㜷㑢戹㜶扢㉣㠴㙦㠹改昸ㄷ㔶㙥扢昶㥤搰づ㕡攴㑤敥挹攸㈵愷㄰㈶㜲㈹收㡡摡㡣㍥㥤ㄸ摥㤰晢昲摡摣㌲挷愹㤵晢晦㘵㡥㐶捦㜴戵摦㌸づ㙦戴〵摥㈹㙦㕡㌳〶㘷㡡㌳搲敢〰㘲摦挴搳㕣搳㝡㍣㄰搴㠴㥡㡣ㅤ挸㘵捡㈳昱ㄱ㌳㌷㍣㔲〶つ〱㕣㈲㐱搳㔶ㄵ晤㕥㤰昴㤵〴㝦〸㤰㑣㐶攲敢挹ㄴ㑦敡昷㌹昵ㄸ㑦戹戹ㅦ搴っㄱ戵〴〶㠸攲散㔸㘱㔳挹戲敢敡挲戴摣㘲搸㈳㘵㙥捦ㄹㅢ㜹㈴敢慢〸㌶〰挴㜸挲㥥㌲づ攰捣敢ㄹ敥㌴ㄷ㝡捣慣㠱㈰㔳㥥㙥㘵挴ち㑥摣搲㘳摡㐳㥡〱㑥㉦㥥㤵㠹㌸㌰㍣晣㑤〵敥㝥㜳愲摣㘳㤴㡤㠶〲㐲㈵慣㤲〶㔳㥢昴㜲㌰昶㙣ㄶ㥡搷㍢改搶㈰㈱㈵愸㑦㑡愳㄰ㅣ㐹㜸㜰昰扣㐴敡㕣㌸戳ㄲ㤸㍢〳㠶㜸㜰愳㔷㠶㍣㠸挴㌲㥢捤攲挰攴愸㘹㤳㍤ㄱ㥦搱㤴挱挷㡢挲戶つつ敥㉡攷昲㜶㍢㘶扡搹㉡㡤㡤扥㥤㜲㈸㑢㜷〲㜸㈵昶㌸㜶昱散㜵㘲昲搲㌰捥戵㐹愷㈳〹㑡㈳㐵昳昰搰摣慤㄰昶ㄶ扥愴攸㡤昸㑡捥搴ㄶ㘳㘰㌶㤷昰㤰搱㑥㔳〱ㄶㅡ戰㑣〹㜸ㄳ㔲㠱戵㥢ぢ㝢㑡搶扥挱㔲㘹ㅦ昷搳㍣愹搹㈳愶㔹㘶㄰搹攸〶捤ㄲㅣ㉢㔵㔷㔷ㄱ〶晡愲㑤㠶㥦昱㕥㠰收捥㝣扥搵㤳㘸挷慦〶愹づ攱㙣晣ㅡ㈰㤷㡦慦㐹ㄷ㠶㠶搲愶㘵愵ぢ㠸摡㜲㘹㙢っ愹㔲㍡㡦戵㑦㕢收㜸捥㌶㌳敤ㄳ㜹㝢㐲晤ㅤ慣挱愸㙤昸攱㉦㥣晢敢㜷昷昶ㅤ戹㙤敦攷㍥晦晡愲て慢愳㙥㐳㔵ㅣ挹〸㔱〲摡㍥㈰敡〸搸攸㘵㠰㔷ㄶ扤ㅤ㜵扤㠳㘰㈷〰㝣㠵㔸ㅦ慥㘲挰愹㉡㐶㤹㝣攸昴㉥㠲摤〰㡡攱愴㠴挳㝢㠰㜸㐵摤〷昹摣〳戲㡥攷㠰㕣扤㡥ㅦ〰㌵愹㘷㘸㔳っ㔲戹㤶㥡戶搳戴㤶愶愵搴㘷㈰㌸搴〰昷戸つ㔵昱㉣㈳㔵㌱㐰㠶晤敦〶㕢戸〱戲ㅣ㘳㤸㘰〴挰㘷㠰扤㑥㔵㌱摡ㄵ〳散㈳㔳ㅥ㐰㌱扡ㄵ〳ㄴ㠰㜸㐵ㅤ挶ㄸ㔳〶㘰㜸㕣㙤㠰晤愰㈶昵っ㙤慡ㄵㅣ㘱〶昸㜸㉤〳摣散㌶㔴㠵搷っ㥢挵〰搷〳㔱㝦㔶搳〰㌷愰㔹晦㈹挱㡤〰㍥〳ㅣ㜴慡㡡愱户ㄸ攰㄰㄰晤㘱〰挵㌰㕢っ昰ㄱ㈰㕥㔱㌷昸つ挰㔸扤摡〰㌷㠳㥡搴㌳戴㈹〶敦㘱〶戰㙡ㄹ㘰扦摢㔰ㄵ攷㉦㠵㈴㌱挰慤㐰㔴愹愶〱づ愳㔹摦㑥昰㐹〰㥦〱敥㜰慡慡つ摦㘲㠰扦㈰搳㥤〰㡡㈹㠰ㄸ攰㉥㈰㕥㔱㔹扦〱㤸㌶㔴ㅢ攰ㅥ㔰㤳㝡㠶㌶搵づ㡥㌰〳㝣戰㤶〱㍥攰㌶㔴攵㈰ㅤ㤰㈴〶昸㙢㈰敡晤㌵つ㜰ㅦ㥡昵晤〴て〰昸っ昰㐵愷慡㔶攰㕢っ昰㈵㌲㍤〸愰㤸㡣㠸〱ㅥ〲攲ㄵ戵摤㙦〰愶㌴搵〶㌸ち㙡㔲捦搰愶㤸攲㠴ㄹ㘰㔳㉤〳㙣㜴ㅢ㠲搹㔰㡣搱搵ㅣ愲搸㐶㑥㌸扢㍢㘷ㅥ攰戱㍢㉦㡢ぢ㤱敥㌱扢㕣㤲ㄸ愱㌹摢㔳敡㉢㤵㝢㜲昶㘸摥㤸㍣㌳敢㈲㝢㐶捣愲攴㥥㘶㈶㐰㉢㡤㡥㥡ㄹ㥤敤㉦㡤㔹㐳㘶㙦捦㍢㈱挲㠷㝥㔸㍡〹敥愳ち攵昴㠲㔶攴㥦ち扢〴㈵ㄲ㘳愸ㄹ㡣㍤攴㕡挶㤷㈷〸捡㠳扤㘵摡愲〳戹㜲摥㙣捣㑡㡣㉥㜸㈲ぢ㉢㈲㉤捡㌴㘴〷㐶㜰㈶昷㌴㘷㌷㕢戹㑣㍥㔷㌴戹ㄸぢㅣ搶慤收㌰㔲愰敤㈵㍢挷ㅢ戰收散㠰㘵ㄴ敤㔱㐶㜳㐳㤳昳㉢㙡ㄲ昶挵戲㕤戹愲㡤㘱㘴ㄵ㠹户㘴晢㐷㑡〷㜰㕢㍡㔶㈸㙥㌶㐶敤㜷挴慡昰挴㜴㡡㉣㡤㡡慡㘸㔴㈵愲㠹搳㕤㥦昸愳㤰戶挰扤㔰㘹挵㐶㉤㕢戹挱㌱㕡㑣㐶攱搳㕣㑦㈰㡢ㄸ㠹㌱㔳〸〶㙥扥㌵っ㘴㕤㥣㙣挵㉤㘳㘸〲㌰㜵〷㥤〴扢㝥㡣㝤ㅥ〷戸㝡昳慥摥改晢㠸摦敢扥㌸挶摣㘶搶改㥦㠴㐳捥ㅥ㘲㑡挸㉤㠵㐷ㄳ㕢㠱戵攰扥㑣㘶㠵㠷㕢㜴摥㌴扡〹ㄹ㐴㔳㜶慢㌱㘸收㤱昸ㄴ㡣昲㍣愷挲っ戴㘰攴㙤户慤扢㔴㈸ㄸ摣㜳扣ㄵ敤ㅦ㌲昲㘶㈲摢㌹㔶㉥攱戶㔱㘷〱㘴㘳扡㈴㘳〲㈴㘳挲㐹㔱戲㍢㜹㈱㈲㌸㘵㤵㠶ㄱㄱ㤶㐷ち戹愱〴㉢扣戴㜸㐷㙣㔶㌸㄰愶愴㕥昱㥣㐹㌰攷㜱㌲て㉣㜷㍢慥〹㘸㍡㉥㍦戶㜴㔴挵昱㑦㥤㘶扥っ搷㈳㈷㡡㍥〶㘹㌱收愳昴㐵㔲㑥㝡㉦㐶㑥摥〴㡡㜸㈷昵㍥㌲攰愳㥦㜰ㄱ㔶敡㤹㜱捥㤸㑣昱㠲㌰戹戵㘴㘴㥣敢搳〶昷晤㐶〲㑢㑢㕦㘳愵㤸摥㜶攳挶〴㌷㌱攳戹㡣㘹㈵㐸攸挷ぢ㤶㝡㈶挶㜱㘷つㄱ攸搷㐵㘲戱挶㐴搸㔸扤㥥慣㑢摣愴挱晦〲愷户㑡晥㥢㍢搶㜱搶㔰㡢㜷㡡晡㐹㠲愷〰搴〶〰戶〴ㄸ扥〶㤲晥㍡㐰慣ㄳ㈰戸㌶㤵㤹㈶昲㔱㈶攲昵昲㘶㠰㌹㜰〲昹愲㈴捦㌱㔱愴搱㤷昴挶㥤㝣㌷攱扤㙥㠸昷㘳㤷㥢㤹愴攳㘰㤹㕣㜳㌹愲搱㝡㉣㜵㍣㜸㘱㔸㌵㉣㠴ㄵ晡㑤挹㠶ㄵ捦摥昸㌷〰捥收挳〲昹㘹敥昸搶㙥㠲㈷ㅦ㘹㕤㔷ㄵ㐸㈴㤳晡㕢㘰㡦㈴搵㐶㐰捦〶搴㈴㤹攴〲敡愷〹㡥〳愸㍥〰㠶〲扥㠳㑢㌱敦攱攱ㄵ㠹㝦ㅢ㘰搶捥㔲敤〰户㕣慤㍣〳㐴敤〴愰ㅦ㥡摡㤷捦〲㍦昵扥㘴㙥挵慤愸扦攳㈲慣㈸㈶㔸㥥ㅥ㐰扤挵晥㉥㔰㝤〲㐰㌱昹ち㘱昸ㅥㄹ扥㑦〶收㘳㕣昰昸㜳〰攱㠶㕣ㄱ㘶挸攷挱づ㐳㌲㍤昳攴晢っ昹〳㤰昵ぢ〰㡡愹㔴搰㤰捣㥦ㅣ㐳晥ㄳ戰搹ㅢ㜲ㄸ摣㘲挸ㄷ㠱㈸收㕥ㄵ㠶㝣〹㠴㔳ㅢ㜲㉦晢攲愳㝦攸㈲㘲挸㝤愸㜸㝡〰昵っ昹㈳愰晡㘵〰㤵〷〸㘱㜸㠵っ慦㤲㠱㜹㥤ㄸ昲挷㐰挲つ戹㉡捣㤰㍦〱㍢っ戹ㅦ搰㤳敦㌳攴㑦㐱搶慦〱愸敢〱㠲㠶扣〱㌴挷㤰晦〲㙣昶㠶㘴敡㈶㠶晣ㄹ㄰㜵㈳㐰㠵㈱摦〰攱搴㠶㍣挸扥昸攸㥦扢㠸ㄸ昲㄰㉡㥥ㅥ㐰㍤㐳扥〹㔴晦〲㐰㌱ㄹっ㘱昸㈵ㄹ晥㤵っ捣て挵㤰㈷㠱㠴ㅢ㜲㑤㤸㈱晦ㅤ散㌰攴捤㠰㥥㝣㥦㈱㝦〵戲晥て〰㜵㉢㐰搰㤰㠷㐱㜳っ昹㥦挰㘶㙦挸摢挱㉤㠶晣㌵㄰昵㐹㠰ち㐳晥ㄷ〸愷㌶㈴㜳㐶㌱攴㙦㕣㐴っ挹挴搱搳〳愸㘷挸晦〶慡晦〷㐰摤〹㄰挲昰扦㘴昸㉤ㄹ㤸㘷㡡㈱㝦〷㈴摣㤰㙢挳っ㈹㤳㐹慡㝢搰换㤳捦㤰捣昵㤱昴搶㍡ち愰㤸㈲〶つ挹扣搰㌱㘴ㅤ㔸㘶㙦挸晢搱㑦っ挹㥦㈸愸〷㔰慢㌰㘴ㅣ搴㔳ㅢ㤲戹㈷ㄸ昱摢〳ち㜱㉢㡡〹愸愷〷㔰捦㤰〹㌰㘸㑤挶〷挳ㄹ㤲㘴㘸㈴〳昳搵㑥㝣攲㑤愸㠵ㅢ㜲㘵㤸㈱攷㠱ㅤ㍢昲愸㑦扥㙦㐷戶愰㔵愷〰搴㘳㘰㈰慢㍥㠳㌵㈰㍣戱㘳挷〰㠲挷㜰㔵㠸挴戸㉡㤹㘵戰搴㕦㥥捣㈳㐰㈵捡㘳搹挱ㄸ㘰㌸捤〸ㄶ㑡ㄶ㡣㕢ㅦ㝣㙢㌰搵㜷㉤㐴㌵㉥〸扣㤱㤱㙥㙣㜹ㅣ㥦搸㉦㝦㔷晤搶㘱慡㍦㈷㍥㝤㍤换㍥㉣昱㌳㐱㕦㜰㙤㙥挸㉡搹愵㉣㕥扡㈲晢㙡攵ㅢ㉥ㅣ〲换㍢㘳㙦㐲㘲攸㤸㔴慣扥挸㥦ㄵ㡣昳挶㌷戹慦㔸㍡㔰㤴搹挴㙣扥攸攳㘸扡愱㠱挳㜰㜳㑡戹ㄸ挶㑢㍤〱㤴㥤昵㔹㘰㘹慥㑢㌱昰㘱㐹㍤攵㝣㐷㔲㕦昳㄰㐶㍢㉣㌱㐶〵戳つ㍤㈸㕢つ慡㈱㤵㔱㘶㝤㐳㠳扡㌴昰㍡愹㉡㘴㤹扡㡦㡦挷ㄹ戱挴摥㠰捡戳敢㐴ㅤ愷㉤捡捥愲昵㌹㠰㝡㈱㐰㌲昵㌴㘸㥣㔰㝣ㄱ慡昳扢扢搲戸㈷昶㙥㡥戹ぢ攲攷㠲摥〴扡㠴㘵昸改㠷ㅤ㍦て㤴㌳㐰愹晣㈹㐷㝣㌱挸昳㐰昶愵㙥愹攳慥㜴戹㑦㤵㥦㌹攸㈵㘰㤳㕦㍤㈸〹㘶挰愰㉦〴〹㝦戲㘹ㄵ㠳㤹㘳昸愸ㅦ㐱㑢㙥ㄷ攰ㄱ捤㍤挰攵㔶㉦㠱挲㈵慦㕣㌲㠶㌴戲㘴㤷㠲て㑢挶昰㠵㈵挵㄰㠶㈵挵㜸㠵㈵挵㤸㠵㐵㌱晥攰戲愹ㄷ㈱㡥㈶攵㄰晡㌲㐰㝤㌹㐰㌲昵〳搴㐵㈸㑤愳㘹〷㑤搵㌵ㄵ㑤扤攰㌵㕥挳㕥㘷ㄳ晣〱ㅢ㤹昳愹ㄷ〹㐸敡〰㈴挲挷㔱扤〴㜰㡣挸戳ㄸ慣㕡戳㘷㐰慤搶散㠷攸㈰㤳㔸つ㌹搰㡣昱〴㑢敡㘵攷㍢㤲㝡挵㐳㕥㜵ㄱ昵ㄳ㈰愲搹㜱扦㘶㙢㈱㐰慦〳㐸愶ㄸㄳ搴搴散㌵慦㔱㌴㍢ㅦ㌵㝤ㄵ扢㉥〶愶㝥㐶㐰㔲㈷㈰ㄱ搱散つ㈰挷昰㔱㡦㠷㙡昶㘸愸㘶㍦㐷〷㤹挴㐶挸㠱㘶㍣攰㔹㔲㍣攴㔹㔲㍣搱㔹㔲㍣搵㔹ㄴ㑦㘸搱散㉢㝥捤㌶㐳㠰摥〲㤰㑣昱㤰慥愹ㄹて㙦㘹ㄴ捤㉥㐱㑤㙦㘳搷㡢㠱㈹㌹㝦㐹摡〱ㄲ晥ㅣ捤㜸晥ㅥ挳㐷㍤ㄸ慡搹ㄷ㐳㌵攳㈹㉣攳散㠲ㅣ㘸挶ㄳ㤷㈵挵㔳㤷㈵挵㈳㤶㈵昵㕢攷ㅢ〳㠲㔵㌴㝢挰慦搹ㅥ㔰昵㜵〰挹ㄴ㑦捤㥡㥡昱㌴㥤搶慣つ㐲㜵㥡㕤㤷〲㔳㜲㈰㤲㘴㠰㠴㍦㐷㌳ㅥ㠸挷搸晣㤹㔰捤㍥ㅤ慡ㄹ㡦㐵ㄹ㠷摥ㄳ㥡昱〸㘴㐹昱ㄸㄴ㠴㘷㥥㈰㍣昷㔸ㄴ捦㌰搱散㔳㝥捤㠶㐱搵㈳〰挹ㄴ㡦戱㥡㥡昱㜸㥢搶㙣〵〴敡ㄲ扢㜶〰㑢昱戴㤳挶晤㐰㥡敢㘲㜴搸㔷〶扣㘹昸愵㔲㕢昰㜷つㅢ昱㍢㠵挹㈸㠴搶㈱㥢㜶㜲搰晡攸㝢㑦㑦ㄶ晤㌵晤ㄳ㍦戱㑦㐰敢摦㐳づ㌴昲㜹㜰㑡㕣㠲㡦戶㐱㙦愱ㅢ㡦愱ㄶ挷挷㔷㑥㌲㔶㘱搹㈰㌰㤲㜰扦㔳ㅢ㕡攸昳愵挷㠷搴㠵㠷㍢㘳慦摣㜴敦扦㍤㜰攵愵昷㍣昴㤶晢㝤搳愷敥㘲㜹晤慡㤵㔲㝥㜵㤵愲扢㥥て㌹挱㜷㘳户㐰慤搰㜷㘳ㅦ㜷ㅢ㠲㉦〷㔳昴昲戲㔸㤳㐰㥡敢ㄴ㕤㌵ㄷ㑣㝤っ㍤㘸㈵㔱散㑦㐰㘹愱ㄳ㥥㥢㘲昴搸㜳㔳㡣摥㍡㑣戱㐳戵ㄴ㍢攸㌶〴㕦晡愵攸攴㐵戱㐳㐰愰ㄸ㍤戵㈸㜶愳㕦戱㡦㠰摡㐲ㅦ㍣㌷挵攸戰攷愶ㄸ㥤㜵㤸㘲㤳戵ㄴ㥢㜰ㅢ㠲㉦昳㔲㥤㤰㈴㡡摤〲〴㡡搱㔱㡢㘲攳㝥挵晥ㅣ搴ㄶ扡攰戹㈹㐶㝦㍤愳㘲戲㜹敦扣搷搹扣昷摤扢㐱搱㔷㠷㈹戶扦㤶㘲愳㙥㐳昰㈵㕤㡡㉥㕥ㄴ扢つ〸ㄴ摢㠵㉦㔱慣攸㔷散㜶㔰㕢攸㠱攷愶ㄸ摤昵㡣㡡㔵㍤㘳㜴搵㘱㡡攵㙡㈹㌶攲㌶〴㕦扥愵攸攱㐵戱扢㠰㐰㌱扡㘹㔱㉣敢㔷散㙥㔰㕢攸㠰攷愶ㄸ扤昵摣ㄴ愳愷づ㔳捣愸愵搸ㅦ扢つ㔵㉦搵攸攰㑦昵㔲捤昷㙢扣ㄶ㙣㥥㔸㤶昱㙢㘳搶㈱㡢㑦捥㙥捡攵昳㤲〲㌴攱ち摣挲敦攱戶攲㔵て㉥扥昱慢㕦㌷㥡挵㉢㈰摥㈸㝡㤷慣㕡㙡散ㅣ捦㙥戳㜰敢摡㤰敤戵昱㡡㉥㤳挰敦㜹捡㘵晣㔲昸㥤㜰㍦㡥愴慣㥥㘷ㄷ㑥㉦晥㠶㉥ㅡ㥡て㌱搱㤹攱搵挵戴㍤扣㥦戹㐵㜹㜳㝥㝡㙦敢攲㥦挵㝡㑤攵敥ㄹ摦换愰㝡昵㐷㔸㘳㈷捥㍤ㄸ㜹㑢㈶ㅤ㠹㐶昴攷搱㐱㝥㝡㈱ㄱち㐰㔲晦ㄵ㐹敢挱㈱㈰ㄲ攳㤹ㄷ搴㡣改改㈶慡ㅥ昸愵㕡㘳㈳搵昵㡡攲㤱挳㉤ㄴ晦ㅢ捡昰㕥㔲㔵捥敢扡搰㜹摤㡦づ㠱㜹㝤㠱愴改㜹㈹ㅥ㔹㥣㥢㔷搴㈱㔴㘴戴㉦〱愹㌱摡捥搰搱ㅥ㐲㠷挰㘸㐷㐸昲㡤挶㜳愴㘲㌴㍡㘷ㄹ敤㈸㤰ㅡ愳㙤つㅤ敤敦㈹晡㙡㑥ㅢ〸㐱㔲㍦㐲㤲㙦㌴㍡昷㡡搱㙥〳㐱㐶晢㌲㤰ㅡ愳㙤ちㅤ敤慢ㄴ㕤㌹摡㘳㈴昹㐶扢ㅤ昵㡡搱攸挶㘴戴㝦〰㔲㘳戴つ愱愳㍤㐱搱㤵愳㍤㐵㤲㙦㌴扡㐱晦㘸㌱敥挱㔹㍦㈱攰㡤㥣〹㕦攲晥てㄸ扥㌸㘸换昳晦扦㠴扤㜹愹㝣㌳昹㜵昴㔵摣摤㤴愱扦攱㈲慣㈸㙥㌷㜹ㄴ扥㐹㉡㜷ㅡ挹晡㕢㉥挲㡡攲㈶ㄱ㥥愷㐹㍤攲㌶改攳㉥㠲慦㠸攲搲ち捦户㐹攵慡㤲慣㥦㜱ㄱ㔶ㄴㄷ㐴㜸晥㤱㔴慥〵挹晡㔹ㄷ㘱㐵搱㡣挲昳ㅤ㔲㥦㜲㥢昴㜷㕤〴㕦ㄱ㈵敡戰攷〹㔶摤㤲愲㕡㜲ㄴ㝤て〸㡥㈲㔱〸㡤㤵㕣㔴㑣戸㥥㜳戸㐴愵㉡㉥慡㈶㕣捦㍢㕣愲㔴ㄵㄷ㤵ㄳ慥ㄷㅣ㉥㔱慢㡡㡢敡〹搷㡢づ㤷㈸㔶挵㐵〵㠵敢㈵攱㑡㜹慡㈹㙡㈳㈷敡挵搸㜶㡣㕡扢搰㌷㠱昴㡤ち㐸挳㐵㠱〶捥㔹ㅡ㉥っ㌴㜰㥡搲搰ㅡ㘸攰捣愴㘱㐹愰㠱㤳㤱㠶ぢ㉡ㅢㅡ晦て㌱昵㥤ぢ</t>
  </si>
  <si>
    <t>㜸〱捤㕢つ㜴ㅣ搵㜵㥥户搲慥昶慤晥搶㌶㝦㈶㘰㤴㘰㠳㠳㐰戵昸て攰㘳愴㤵㝦ㄴ㘴㕢戶㙣㔳㑡挸㌲摡㥤戵搶摥摤ㄱ㍢戳戲㤴㤰ㄸ㔲㥡㜰搲㠶㈴晣ㄵ昳ㄳ㍢㄰㑥攲搰收㡦㈶㤰㤴㠶晦〴〸㘹㑥ち㈵愱つ㐹ㅡ㐸㤳㌶〵摣挳㘹㡥捦㈹㡤晢㝤㜷㘶晦㜷㘵愳搸攷㜸慣扤昳摥㝤昷扤㜷摦扤昷摤戹敦捥搸㔰㠶㘱ㅣ挰挵㍢慦㔶ㄶ㑥ㅡ㥢㜱㕣㉢摢ㄷ戳㌳ㄹ㉢攱愶敤㥣搳㌷㤰捦㥢㌳㈳㘹挷㙤〱㐱㈸㥥㐶扢ㄳ㡣㍢改て㔹攱昸㤴㤵㜷㐰ㄴ㌴㡣㜰㔸〷㌸㡡晦㡢ㄶ㉢㥡扤㌴搱ㅡ㔴㠶づ〱㜴戴〱㙣㡡つ慥ㅦ摦㠶㐹挶㕣㍢㙦㥤搹戳挵ㅢ㙡㜹㝦㝦㕦㝦摦戹ㄷ昴㥦摦户散捣㥥㔸㈱攳ㄶ昲搶昲㥣㔵㜰昳㘶收捣㥥搱挲㜸㈶㥤戸捣㥡搹㘴㙦户㜲换慤昱㘵攷㡣㥢攷㕥搸㝦敥㜹攷愵摥昷扥ぢ㍢挲ㄸ㜹㕤㙣㜰㌴㙦愵㥣挳㌵愶收㤸敢㘳㠳㝤敢㉣昷㜰㡤ㄹ挱㤸ㄸ㜲挸捥㥡改摣㘱ㅡ㌴㐸㔱㥦㌳㘴㈵搲搴㠹㘵攵搳戹慤㝤㘰扢㑡搰愸㕤搰户ちㄲ㑦㤸㡥ㅢ戳㌲㤹㡤㔶㡡敡攸挸㔲㘶㔶摥捡㈵㉣愷㉢扢㜲㍡㘱㘵晣㘶㈷㥣摤㘲收搷㤹㔹慢㤵㠵敥慣愷户攱愴㤵㜳搳敥㑣㘷㜶戳㘳㙤㌴㜳㕢㉤㤲〴戳慢ぢ改㘴㙢慢㙡㙤㌵㕡㑥㙦挴㡣攸愶㙦㔵㍥ㄱ㥢㌰昳慥搴愸戵晥㐶戴ㄵㄶ㈲㡣㔷戱㐵戶㝢㙡㝡㔱㑤㘳改散㘵㔶㍥㘷㘵㌸〹㤵搷㕢㐳㈴㌲昱㐴㕦ㄲ㑥㜱㌵㔴㡣㙡昷户〱㤷挲㔹㜴㍢㐱〷㐰愸ㄳ攰㠴㜵愳㕢㝡散㔴て散愱㘷搰捡㔹愹戴ぢ㘳摢㍣㌶愴扢㐸搷つ愰㕡昷㘱㙦㔵㡥挳㈱〲㜱㌳㄰ㅦて挴ㄳ㠱㜸㌲㄰户〲昱㔴㈰扥㌵㄰㥦〸挴搳㠱昸戶㐰㝣㍢㘸㡡㔷戸慤㉤攰㕦㌷㡣㕤摡扦昸㡡㡦挶扥晣挰㠶昶〷摦昸攰㐲挵敤㈴晢㙡ㅥち㝡㍥㐰㘸〱㔱㉢㌷㙥搴挷㄰㜵㉣㠰㔲晦〹ㄶ挸挶㥥㠷㕥㜹昳㘷㈷㕤㌰戴攷㉢ㅢ敦扡敥晣扦户ㄵ㜷愲昴㍦㥥挴㈷〰㠴ㄶ〲㉣㠳㌲ㅣ㈸戵㘷㡢㤹㈹㔸㍤㑢㐷户扣㤷换慣㕡㘲捦ㄳて昵っ㥡㡥搵ㄳ〳搰㈷戲晦扢〰㤴㝡捤㥦㙣捤昱捦㝣㜷换改捦慦扥昵㠶㤷㠶㈳摤扦摣慢戸攳㘵戲㤳㐹扣〸㈰㜴ち挰㔹㡤㈷㡢搹㡥㉦捣敡㤹㝡搸昹摤〰㑡晤摣㥦改㝦㙥㕢攸㍣㜸昶㈷㘳㜷㠴㥥㥤晦搶㑢攳㝢㍢㑥㐵昳〶㕦㜵㐳㜹㜳〷散扦扣戵捥敥㕢挶㝦〷昷㈹㜰㈹愹昳㔲ㄷ愴晡晢㤳攷㉤㌳捦㌱㠳搴摣愱㕡㌲愵摦㤱扡㍣㥤㑢摡㍢挴戴㍢㔲慢搲ㄹ搷捡㑢愵㍢㠵㥢户㍤愵摥㤹㕡㌹つ扦㤶昰㜶挱㌱愹㤸㤵㜷攱て摣㤹昲搶㌸㠹挲㉥㔷㝢晤戱〷敤㐲㉥改扣慢㜱攳㤸㙢扡搶㠹戵㙤攵㐱敡扡㡤挱㔷㔸㡥戰戴愸戶㥢搸挲挰㜴摡㙢㍥戹愶ㄹ㕥挳ㅥ㙦摥扡㉡㙦㕤㔳㙡慤攳㘸〰㑦㤸㈹㡢敤㜵慢昴㥡㍣扥㝡㘲ㄳ㌶捣㔲搸敢捤㡥愶ㄳ摢慤晣㤸挵攷㤳㤵㤴愵ㅥ换㈶摦㜵昵慥捦㘱愱㜰㐶挹昷㔴㘲㈹㘸㉢㤷戴㤲攰㜷ㄲ㔲㥥搹㘴㡥㘷慣攳慡㐸扣㌹搱戰戰ち扤捡㑥ㄴ㥣㤸㥤㜳昳㜶愶扡㘵㈰㌹㘵挲㕤㈶搷摡㐹慢㔵㉥挳㠳捡㘸㘹㔱捡㔸摡挸敦㜰㙣㠷㥥愹挲㐸攸晦㘶㈷慥㌰㈲ㄲ㌷昴㘸愵㤱㔱愸㌰㌲搲扦㜷㔶㑥㉡㡤㤰搴换㘶愵㙥㘰愴散㜴㐲昵挶敢摢〸晤㐰てㄹ㡢扢㌲戰戸昹㤰㘵扢㍣〸愷ㄵ㕡㘱㌸㐲敡㔹㠴㈶挳㤶㙣敦挸ㄲ〷〲ぢ晣搵慦㥣㠲晦㕣㘳收㤲ㄹ㉢㍦㙢㌰愵挸㤱㕥㑣戰㠴攰㌴㠲搳〹㤶〲〴㝦〲ㅦ搷㔴愲㜴晦㙡㕡捤〴㜷愴㤳敥㐴㘸挲㑡㙦㥤㜰㠱㐳㄰ㄶづ㔳摣户㈲㤶㑢扣㝤攰挰㘹愰㝣㠹㤱㤸㍥㠳愰㤷攰㑣㠰㐸挴〸㥤㠵扢ㄱ㡡攸㍥摥晥〴愰扢ㄸㄵ昴㜸㤶ㄹ㔱㐱㍥昱摥昹㜳㔹㈶㤴㌰〰㜱㥡ㄳ捣㘲㕣愷愵愵㤱㌴搶㤸捥㠴换㡤㌸㙢愳㍣㠱㤷㠱ㄵ摤て搰㜱㌶挰扡㌵㔶〶摢昸㜰㠵㜸㐱㍥户てㅡ㑡昰㌹㝢㕣㜶㙣㈶㤷㤸挸摢㌹挴扦㐳愶㙢づ㈴㄰㉦㌹捡っ㘵㐷散㔸挱つ㘵搷愴㜱敢挸㙥戴㈶㉤搳㡤挱㑤扢㥤搹ㄱ挴㕡攲㐷㠷㤳搳挱慣ㄷ㈶つ㔹㑥㐲㌳㥥ㅡ㠶㕢㥡づ愱㠴㘷㙥㐷㤶㡥挶㥡㜶㌹㜴㕢㜶搴㐴㍣收㙡㄰昵㑡㉦慦挴㥥㥤㠲㉢昶㡥昸㌵㡣㄰㤵㘲挵㈸敤㠲昰㐶㤲昰ㅣ㑦㔰㍣㤰㕢㝤㔸扢㠳㌶扢改㡣搳攷㡢户㙦挸㐶扣㙤挹〹㠰㘲て㠵㘰㘰愱㔹㤵㔵扢搱ㄹ㤰慤㑦㡣㝢挳㠲㤵搵㜹扢㌰挹愰散㜰㡤挳戱っ㝤づ挰敥晦晥昲挵㑢敥昹敡〱晦扥ㄳ㕢㐸㉥捤㤸㑤搳摥㔹挵㑤㉥㝤㍥㙥㤱搹摡㠲っ攴ㅡ㝡摡㈶戱㈳挳慡㡥㉣㔶扢㈹㙦㐹㌰ㅣ㤶捡捣愴搵㤹扤摣捥㙦ㅦ户敤敤㔴㝥㤷搴㥣〹换㜲ㄹ㘱戶晢〱㌵换㑡愹㤶㤶慡戰戱㈲ㄴ㘵㙣ㅡ扡〸愰㜳㈰㤳改㈹㡥攸㠴㉥〶慡〵㑦㤴搰㈵㈸㉣㥤㍡㍦㥥㑤㈴攲㔶㍥ㅦ捦㥡昹㜴㍡㥥㉦攰攸ㄴ捦挰㈹挵昳搶㔴摡戱㤲㝤搳ㄹ㘷㕡㍤〹㘹㌰㍣㥣㔹晡收捣㥡摤ㄷつ摥扦攴攴晦戸昶昵㘳㉥㔷㑦昸つ㜵㜱㈷挳㑤㐶㐳㝡〵挱愵〴〳〴㠳〴㌱〰昵〸扡搲㜷摤〷㈷昰㤷㔵ㅥ㘸㈵㘹㔶ㄱ慣〶㠰〷ㄲ㡤挰〱つㄳ㐷〷ㄴ㔱㡡㕢㡣㑥㐷㕦㐶㌰〲愰ㄸ㔱㜱㝢ㅡ㝡㉤㐰㔳ㅤ㌳晥慤搷昱㈸戰ㄱ㍤㑢㥢㘲愴㑣㍤㙢捡㔵㔳㤲㥡㔲㔴㝢㝤ㄹ搴〹攷㑢㝥㐳㕤㔰捤㔸㕡㠴㜳〵〷昹㌳㠲㉢〹㍥㐰㜰ㄵ㠰扡搷ㄷ捥ㄸ㌶攰扦㐰㌸㥦㠷㝢晥戵㜸换㌸㘹慥㈶㌰〱㉡㠴㤳㈰捥ㄷづ攳㜴ㄱ㡥㐵㘴ち㐰㌱晥昶㠴戳ㄵ愵愶挲㘱㜰㕦㉦㥣㙤挰㐶昴㉣㙤㡡㤱㝤㈳攱㝣扡㤹㜰㙥昲ㅢ敡づ〱㡣晤㐵㌸づ㔹攱挳㑡ㄷ〸愶〸㜶〰愸ㅢ㝤攱晣ㅥ㤵搷慢㠴㌳㐳㥡てㄱ㝣ㄸ愰㐲㌸ㅦ㈱捥ㄷづ捦ㄵ㈲㥣㥤㐴㕥〷愰㝡〰㍣攱㕣㡦㔲㔳攱㥣㠲挶㝡攱摣〰㙣㐴捦搲愶摥つ㡡㐶挲㈹㌴ㄳ㡥敢㌷搴㥥㕢㠲㡢㌱㔲慤ㅦ㤶㌳㙡㈹愲慢㠸ㄵ戹愲㔰㙡㜳づ㘷捥昶搴㐰挱戵㔷愵摤㈱挷敤㐸〱愰㈸㕤㑥㤴攰愷愲㔳㙦㙡㑢摡摡戱〹㥥攸㤴晡㈶ㅣ摦㘳〵挷戵攵ㄱ戳愸扥㝤挸㕥㘷扢㐳㘹㘷㌲㘳捥㉣㙥搰散戵㕣㍥㘱攵㄰㡤攷ㄱ㤴ㅦ㡣挸㥥㥣戴㤲つ㜸ㅣ戳ぢ昹㠴㌵㍣㜴㌴挴昳捡㝢㔶ㅡ㜰挷㜸㔲慡㈵捤攳搷ち戹㌳愶ぢ挰㠵慢戹㠵㠳愱㑦愱扦㕡㙣攸㥢㜰㌷㌰㉢㡣㕤㝦ㅡ㐵搸㝣㤰㔱攲散㐶㔲㜱㐶攰㔶㡢愴愰㔸て搷改ㅦ㐲㠷㜳㑥㍡㘹㐵晣摡摡㜴慥换㉦慥㉦戸㔵㉤收昴〲扦〵㑦㥡昵㌹㈸㍦㘱收㤳㐷㠳㕥戰㌰㕣㥥㔲㔴〸晦收㈶㙡㙦ㄸ挳搸㔷捣㝦敥摢㠹敤晥ㄹ愰㈹㙢〶攳つㅦ晣愵つ㠹㐲挵ㄱ㡢㙥愰㤳攲㉥愱挳慣慤戵捣㥣㘸㘱捣㑤づ㔹㔳㕤㐲㘱挱挴㤱㌷换㔸ぢ慡慢ㄲ晦改搴挰戸㘳㘷ち慥搵㔵㉡挹㔶搷愹㡤㔶挶攴㜱戹愳㔴ㅡ㑤戸㐸㈸㤴挶攳㔱昸攸搱㄰㈴搲敡㙢㐹㠹㥥㐲戳ㄸ㙦昵㈲戸㡢收愸㔵㍣㔸㔳㜲扤戱㐲摤戹㡢搷摥ㄵ㐶戱㄰攱㘵〴㜹挸㍡昴昳㌰㜷搲㠲㘲㥡挶昳㜱攲扥㍡㡡㌸ㅥ㐵㍢㔳攲昹㤰㙦㘲捡戴㥢㕢㈷㠳㝣戶㥢㑥㤸㤹捣㑣㔷㙡㌸㤷挸ㄴ㤲搶㠸㌹㙥㘵㡡㕥摢捥㘷㡦ㄲ㝤㐹收摦搳搵㉣㜲昱㤳〴挳㐸晦ㄷ㑦摦㜳㜶㜴㠶晥㉣挴㉡て㕤㡣ㄱ搱户愰㐶搵昰攸晢㡥㤳て㡣㡡攷㤷㔳㘷㤲㠹㠶㙢慢㐳搱愷昱㈰㔶捡㕦挸㡥慢㈰ㅢ戱㐷㙣攴㤶㤲ㄵ愸㌵㘹て㜵搴散㉢㔱㔳㈸ㄴ㥡敢㈳〶戲挲戵敦㠰㝦㘷戰㠴㙢摦ち捡㥦ㅡ㌸〳戵摡㈳㕣㐵㈸㈲㑦㝦㜱㠲㔱㄰㜶搳㠳㜹愱挳愶戴㥢戱摡㔳搲㉥攵㌰户〴愵搹㤶摡㌴㠱攳搰㔰㘷㙡㜵㍥㥤捣愴㜳ㄶ挳㄰攴㍡㤹晤ㅦ戱戶㈲㉢㌷㙡㍢㘹扥㙢敡㑣㙤捡㥢㌹㘷㤲愷摥挴捣晣慡㥡㈸㉢㤸ㅡ㑣攷戰㠱扣㌹㔹敥㑥㡤㑤搸㍢昰扡慡㤰捤慤㌶㈷㥤愳㐲㔱昰㐲晥攵敤慡㠰ち〴㔴㌸㄰㥥敢戳㑡づ愹っ〸っㅥ挲〳〴扥扡㝡㔱㥡㘵捦㔲㔳㝥㕥㤴㝢㤶㝣㔵扤攷㘹㤸㤴㈹扤敦愳ㅦ搶户戱捦敤〰敦㕦扤㜹戸㥣㑤晦愳摥搲〵捦挴㜸戳㍣づ挴㌴㑡愹㍢㥥搰扡㍣㜳㈱㡥搶愳㐵敢慣搵㥡㘰㈴㈵㌴戴㐶㍣㐱㐹捥攲㉡㈴㔵㍡戰昹攱㝥㤱㡣㠲摦敤昲㉡っ敡戲㘶挶昱摢㘲㜶㌶㙢搲扣㘸㥡㘳昰摤㔶㔸㈲㙣㜸ㄳ㥤〲㄰ㅢ昴㔱收㌴㔰收戴愰昰㐸㘶㍡㕥捡ㅣ换摥㡡㜳户㍢㤱㑤㈷挲慣㌰㘵㝥㔴搸㈵㑣〸㈷捥搲㈵挶㠹㜰戵㌶昱攵攵㙡愰敥㍥㥣㈰㈸㍡慡ㅦ搶ㅢ㤰攷戸㥡㘳慥ㄳ收慢ㄹ摦敡㍢〰㠲㍣昵挲昵〳攲慡〸挲㠰ㄱ㐷愴晡㠰㘷戳摥攵ㄷ㔸㘹㘵ㄶ㜰搶昴ㄳ㜳㠵㤱ㄱ摢㑣慥挲㕢ㄵ㍢摦收扦㔵づ㐳戵㜴㉢昹㈸㔳㡥㌱攴敢昱ㅥ㘰ち戱㜰㍥㑣挴ㄸ㤲㜹慤㑣㔶㠶㍣ㅤ㌲挰㌴㠲挱昶㜰愳戹㠶㡢㘳㉤昶㔳㌳㤵㉦换㠷敢挶晦慦つㄷ挲扢㜲㔹㉤㠰晡㑥㠲扢〰ㄴ㤳㤹㕣㑦つ挱摤㈴戸〷㈰㜸づ㐰敤㉥㘹㥡㥥攳攰挱㉣搳㠶攱㉣㤷㠳㤰㈳㠴㘴㈲搲㡦㄰㐹愸㍤㑣愷愱㍦〷昰挳攷㥦㕦㡥㥢愱捥〷㈸捥捦慤ㅥ㠹㔰㜸㝡㌷挱ㅥ〰㐵戶㜹㌴つ㝤㥥戵㈵㠶扥ㄷ㜷㈸㐵㡥㈵昷愱㠸〷㠶扡ㄴ㜷ㅥ㑤㡡㔷㠵㉥ㄱ㔰㝦〱㘸㔲つ攰捥愰㥡㉡㍤㔸㠰愶〶㐱挷㈰捤搰昷ㄳ㥣〵㈰㔱挲ㄷ㔱攰㘰㌱摣ㄹ㈹㜸㜱摤户㐵扡㌰愲㥤挷摥昸㡤㘷晦搱㝤㜳〵昹㈳摤㑡搰昰㜹㘶㐸〲㐸收慥昱㥦㡡昹㈸晡㔰扤ㄷ㐰慤〶愰㙢〲㤷㥡㙢搶て〰ㅣ摣㔴㤹挰挲扡っ晤㌷㝥㠱ㄵ㜵ㄹ㐰㔱扣㈸㠲㈷慡㐸晦㉤挱㔷〰搴〸㐰〳㠲慦㤲攰㙢㈴㔸ぢ㐰ㅢ搰㕦〷㈸愹㙤ㄴ㤵㘲㌷㉡捣㔷摢㌷㐸昸㈰㠰扡〲㐰搴昶㜷慣攱㌴昹㑤摣挱愰愸敤㕢㈸㔲㌶㑣㑦㌵㔷摢㐳㍥ㄵ昳㔷㠷慣㌶收戹㍣戵㍤㡣㔲㔹㙤摦昱〷扢ち㜷慡捤扢㥡㠶㈰㉡づ〲㑦㙤㑣㑤㤱昳摡挷㥥扡ㅡ㘸㔱摢㈳㙣㌷〱㡡㙡攳㥡昵㜷〱づ慥戶〴晢㤲晣㔱扦㈰㙡戳㔰㈹㡡ㄷ挵愲摡ㅥ㐳㔱㍦づ愰㔲〰つ〸㥥㈰挱㤳㈴搸ち㈰㙡㝢ち㠵㤲摡戶愱㔲散ㄶ㐴搹㔷摢搳㈸敡敦〱㈸〷㐰搴昶㝤搶愰戶㘷㜰㉦慡敤㔹ㄴ愹㌶㈶捥㥡慢敤㌹㥦㡡㤹戵㐳㔶摢ㄴ㠸㍤戵晤〰愵戲摡㝥攸て挶攴摣愱愸㡤㔹㍡㑦㙤愷愰㐴捥敢搴挶ㅣ㥥愸敤㐷㙣㘷㌲慦愸㌶慥㔹晦ㄸ攰攰㙡㘳搲㑦搴昶㑦㝥㐱搴戶ㄳ㤵愲㜸㔱㉣慡敤〵ㄴ昵㡢〰敡㍡㠰〶〴晦㑣㠲㤷㐸㜰㍤㠰愸敤㈷㈸㤴搴㜶〳㉡挵㙥ㄵ㙡晢㈹搰晡㘵㠰㈰㔳㌵㠷㤶ㅣ㙡〳㘵戴㈲㘳挷㐰挶㤹㤷摡㔰㌰㌳昸㡡㘶㍤づ㡤㉥㔱㐷㐳愴搰敡ㅤ摤㙢㍦㝡愸晥戸〶㜹㉦㔹挲㤵㔷改〶㌲愸愶昵搷收㤰㜲㙥㐷晢㐸昰㌴愴㑦㙢㈵摤㜸ㄶ㕡㐴摢ㄴ摦愷挵攳㐶㤸㜳搲昵㐶昴扦ㄲ㘲ㄷ㌱愵㈶㈶昴㌳ㄴ㡡㤷晡っ㑡㜵搸㈰て慡戳㐴搸㌵愷㘲昶㕦㔰㡥〷ㄸ昹昵㘶昸改㕣愳㐰愲㍡搰㝥㠵搳摦搲㠸〷㜵㕢ㄱ晢ぢ扦挰攵〴ㄹ㐷ㅤ㌴㜴㙢〵ㄱ昲㝤〸攲挶摣㤹っ〲㘷ㄶ昹づ捡㉢㌱㔲昰㥡挱戴㥤㐷㈶愰戵昶慤㜳愹敦愹ㄸ慡晤㤸㥡户晣搲㡤㉤户攳ㄷ散㠱㡡㥡昶慦搶ち晢昰ち晤ㅢ挰㌱㙢搳㠹扣敤搸㈹户㘷っ〷挰ㅥ㝥昷〱㍦扢㙣㈰戸〸㈳㌶㥣㤳ぢ㙢捤昱㠳㌳㔱㜴㘴㝢捥摥㤱ㄳ㙥㠲づ㍦㝦ㄱ㑤戶戵㜱㥡〸㝥㜲㥤ち晤㐶㜷愱挸捥晡㔵㠰捥㤶㈸〳㌲㕥㔱〶㘵扣愲㡣挰㜸㐵敦昱敥㐶㌷攳㈶㡥ㄲ昲ㄱ㠷敤ㄶ摤㡤愱㕡㌸昲㙢〰ㅤ戱挱戸〴愰ㅢ昱㠹㐸攸搷挰捣〳愶晡㙢扢搰扦〳摤〵㜴挵搹㉥扡〷㌸㡥㈲㥦愸改摦戲搴づ愰ㄸ戰搱㐱㐵搴㜱㤰㈳㌷㄰愹㈲晡㜷㠴搸〸昷攱㉥㠲慡摡〸㕦㘸㠸扤ㅦ㔸㙥〶晤㍡㥢扦搸㤰㘶㙦ㄱ晢愶㕦攰㜴敡〱〰ㅡ慢㡡㠲〱㥡〸捡㠶愶摥愹㘲搵〵っ搵㕣慤㈶挶㔲愲愶户㔰㠰㥡ㄸ㌷昱㡡㌲㜶攲ㄵ㘵愰挴㉢晡㌵敦㙥㜴㌳㑥㍡㌲㙡㘲㜴㈵〲愶㥡㌴㌵愳愹㠷攸㠳㐵晣㝣愲昶ㄳ捣〳㔰摦〴昰〴ㅦ挲捡捡㠲晦㕦攰㈹㜸㠶㘱㈲昸户㔱㈸㕥㡡㘱㔷㍤昶㘱㘰㐵昰晦挷㘶㐶㔳昵㌴㡦ㄴ戱㤴㉤㥢㐵昰㡣㠳㐴昰㝣昱㕤ㄴ㍣㔲㐷戳㙣㌸昵㠷㍦㌴搲挶愳ㄸ㐹戴搱㠲捥搰挶㘳愸昳㡡㍥敥摤㡤㈸攳ㅦ㕥搱㈷扤扢搱晤ㄴち㐷㐶ㅢ㑦㘳㘴㉥㌰挴捣㘵昵愶〹〲搳㘰搳㠴㠰慥摤㌴摦昳㐷㤱敦ㅦ㜵ㄸㄴ晡㜸愰ㄴ攳㉥㑦㜷扦㠷㉣捡扡㙢〷〵㜵昷㉣㠹昰搳㔵扡㝢慥㈱昶〷挰㡡敥㍡搱㐳㌱愴慡敦㈹挱㄰挷敢㈶つち愲扢ㅦ愳㈰扡摢〷㈶㡡扡搳摥㠹ㄹ㥢收㡤㠶㙡㘲㐸㈴㙡㕡㠰㜱愰愶ㄷ㔰攷ㄵ㘵〸挴㉢捡㜸㠷㔷㤴㌱て慦㙥㠶㍢㐷㐶㑤㍦挵挸㕣㡢愶㥡㌴㌵愳愹㠷㈸攳㈶挱㉦㘲攳〹挴㥦㡣㤲攲攳ㄹㄵ㐳㥦〸㐸〲晥愲㐵搷愴攴〱挹收㈲㈶挰收㕦〰挸㤲㑦㐲愷捥㤶攰慢愸㕦摣晣㘵㕤㠵搷散挵戳扢敡㤳挰㤵昸挴㙦㠶㠳戶㈰ㄵ㄰ㄴ㐷摣ㅡ戸㘸㙥㘳㌱㌲ち㘳㈸晥㠲慦㐲㔹㝦挴㌸㤴㐹㌹㥣攱㠸愷攰愷ㄷ〱慦㝥㡢㔲㌷㙢ㄷㄱ㕣㑣㜰〹㠰晡㌹愶㙣昸㙤挷㉢㝥㐳摤户ㅤ㝣㈶㜰㈶扤ㄸ戰㈸㝤㈵捥㥥搸㉡愱搳扤㡢搰㑦〳㙤㘷㡢愲㡦愶攰搵换ㄸ㥤慢ㄵ〶㤷㤲挱晤㐰㌷㘲昰挵㘶っ扥攰㌷搴㝤㕦㐱摦㈹っ昶㔵㌰ㄸ㝤ㅢ㔸㕥㑡扣㈳ち愵㙤㐹摡攸〱〰攱㜴ㄹ慡攰㤴晥㑢㌸晤㔱㈵愷㘷〳慢攸〱ㅡ㜱晡㕣㌳㑥㥦昵ㅢ敡㍥㜶愰愷挰㥦愱㉦〴㉣㠹㔲㕣㐰ㅤ㠳摣昴挲攰㐵㈸㠰㐱敥㕣㘱昰改㑡〶㉦〱㔶㜱愷㌴㘲昰戱㘶っ㍥敡㌷搴㝥㜰㄰攵〶㤳㐹〷㔱搰㌱㠲㈱㠰㐸㤰㥢攸㡣收ㄶ敦㈵㐶换ㅦぢ㤳㥢㘰㡡攱㘴㝢捡晢㔶㤷㜶㉦敦㤷㌳ㄲ㡢㜵㈰㐷㥡挷攷扡㈳㐸晢㈳㌳㡡㉦昳晤㘸〶慦〳㤸慢㉡㘶攱戴搴搸㌹㤴㕡㥦㐷㕡慥㉤㌵散攰攵㐲㌲㡣㙦攰㕣㝣㍥㥤㍢ㅡ㡥㐵㠸㡥㕢改ㅦ愰㔴㝥ㄴ㄰㘸ㄸ㤸㥥㡡收摡慣㕤挵ㅢ㤴戲㍣㡡㙦搱〲㑣慤捥敤㔰ㄴ㕡〹㝤㤵扦摢㤴㐸搸〹愸敦㐰敦㡢ㄸ㔱晤敥散㠵摣〰戸〲昸散㡡㙡愶㠷㔰戲〶愴㠳昴㌰㔱㘷〱㈵挰〸搲愵搴㉥㡡㐷㠴㔵散㔱昳戵㘹㝢㍢㔷㙡扣搵㍥㘰晣收晥㠱㈸扤㠶㤸搴㘵ㅣ㜳㠴㘰㉤㐰㐴搱㐵搰慣㌴㜹つ愸慦㌷攴㙤㤴〴搵扣㙤㈴慡捣㥢愲㌷㈱㝦愵ㄹ改〶㘴挶㑤愴摣㑣戰〵㈰愲戸搵㉢㘶晣㔲挳ㄹ慦㈰㝤昵㡣㔷ㄲ㔵㌱㈳扤㐲搵㡣摣捥㌲攳㔵愴晣㈰㐱ㅣ㈰愲戸㜷㉢㘶摣摤㜰挶㜱搲㔷捦㤸㈴慡㘲挶㑢㔰慦㥣㔱㜱㝦㡡㌷戸ㄳ㐳搲戱搲戹㠷〳㈱挵㍤㉢つ扢晣㠶攵搲愰ㄴ昷戱㌴摣攱㌷慣㐰㠳㑥〳ㅢ愴〱ㅣ戲㘵㠲㜶慥㈷搹㙤攸慢㘸㕡ㅣ㐳㙦昷ぢ慣㈸ㅡ㠷㜰㜷㙢捤㝡㘸㌰搲㜰㑢捤㝡㘸㐴搲㜰㜳攵㝡㙣㘰ㄵ㡤㐶㡣㝡㤲㌵摡ぢ晥っ㝤㡤㕦㘰㐵搱㌶愴晢㑤㌵ㄳ搲㕥愴攱㔳㌵ㄳ搲㠶愴攱慦㉡㈷㉣〰慢㘸㌳㌲攱ㄴ㙢㌴ㄷ晣攱昳㌵㐰㙥㄰晥ㄴ㑤㐳扡摦㔸㌳㈱捤㐵ㅡ㍥㔱㌳㈱㑤㐸ㅡ㍥㕥㌹攱㠷㠱㔵㌴ㄹ㤹昰㕡搶㘸㉤昸㌳昴㐷〰㡢ㄳ㜶㔳戵㤷㜳昶㘹㤵戸㍡㜹昵搵晢扢㕢㝢㑥㙣晤搳㑢㍢㜶晤昲戹㕦摤晣攲〷㤶晦收敤扢敦㝥昱戵㥢㥦㝦晢㤱昱攵摦扦昷摥愷摥扦晢昹㕦捤㑦敤〹㝣㙢晦挸㥥㙢晢户㕦㝢㑤㙡昳ㄹ慢慦扤㘲摢㠶晥搱㜹扤㉤㉤㙤㙤愷㉦㜸收㠴愵搱敢慥㜹㔸㍤晥昲昱㌹㈵敡攴戴ㅦ昵攷晦〷㔴愲㔴慢散㠵㥤㈸㜴戶㜴㔳㈳㐷㤴つ㔱㌲搹戸捥㘷攳摢㘴㠳捡ㄶ㌶慥昷搸愰㥥㡥㈸ㅢ愲㝡戲昱㌱捣挴㡢戳㐷㘹〲挲挶㥦愳愰㙦〰攸っ㜴㔳㠵㐷㤴ㄷ戱ち㑣慦晦〲㌳昱ㄲ㕥㘸ㅤ挲换挷㔱搰㥦〰攸っ㐴愹㍢㐱摥挸㝡㡢愲搶挴攸㜶昸㐶㌷㠸敥㘱愵愲㤴慥㄰㝥搲㈳愴㕣㠵戰㔰㐳挸昵㤳戰戳㔵㜱搱㐲攳㔶搱ㄸ㡡㠲㤰〶挷㙦㠸愲㠳扥〹搸㈸㔹昶扢㤳㑦愱扡愶愶㍢㜹㤷㠶挹捡敥㥦〵㌶挸㘵捣昲㥤㐲昹㈹换㜰㔹㘷昹㙤ㄴ㥦户㤱散捡㕣挱晢搴㍥㤴攵㤷〳戹㜹㝥〶慦户㐴㌳扦㠴㈹搱㜶㤵㔰搲㘷愱昷〶㤰晦㜱㠱㈴扤攵㐱㡦慤㙤ㄱ㝡慣㤳㑢㌵摥搳㍣戲㉡㌲㐸㜶挳敡㤰〹挳摥㝦㈳戹ㄹ搲㘰㑦愵㑢㈵愹㉡㉡㤱愲搲户㤴㈸㑡㈵㡦㠲捡㄰ㄷ挳晦㌳愲㈸㕢愹摤㠶㐲㤰㠳ㅤ〲㉢愰㥡敢愳攲㜶昴㔵攴㠸㔳改扦㘶㑤昸挰㠸愵㌸ㅥ㘵㐳㤱ㅦ晣搵㘰愵㍢戱扢晣㘶㤲㈸ㄹ㠶搸㍢㉢戰㔱㤲㔰ぢ晡㉥ㄴ㤸昷㉢搶敦㤶㝡㤰攸戳㥡㉢愸昴搵㤰㝣㕦攴㔰㕦㍣㌵㜷㘶扤㙦㔱攴戴㠸晦敢㈲昸戲㍤昸㐶㌶㥦攸摥㉡搲㠸㠷㈲散昶㡡㈵㙢㙢昷㥢㘸㥥敦搴搴摡戰㐴晥㤰ㅣ㔹搴㝣㌱㥣挰戳戴㐳愳昲捤散ㅥ㠸㠸㡢㠶㥤㤵㡢㔲㔷ㄴ㈲㈵愸㍦㔷愶㈹ㄷ㠵愶㥢㝤昸搸昲戳愸晢晤搰㜴晦㠱㙥㔲㑡㑢昵㉢摤晤〷摡晦ㅦ愸摣扢ㅡ</t>
  </si>
  <si>
    <t>Decisioneering:7.0.0.0</t>
  </si>
  <si>
    <t>㜸〱敤㕣㕢㙣ㅣ㔷ㄹ摥ㄹ敦慥㜷搶㜶散挶戹㌴改捤扤㕦ㅣ㙤攳㌴㘹ㅢ㑡㐸㝤挹戵㐹散挴㑥㑡㔵捡㜶扣㝢挶㥥㘴㘷搶㤹㤹㜵攲ㄲ㘸ち愵愵ㄴ㠴㕡ㅥ愰愵㤴慡㐲〵ㅥ㐰㉡て㔵ぢ敤〳ㄲㄲ〸戵〸愴ち㠹〷愴㔲㈱㜸㈸慡㠲㜸改㐳愵昲㝤㘷㘶㜶㘷搷摥戱戳㘹挱㐱㥥㘴晦㥣㌹昷㜳晥敢昹晦㌳㐹㈸㠹㐴攲㈳㍣晣㤷㑦㤲㠹换挷攷㕣㑦㔸戹攱㜲愹㈴ち㥥㔹戶摤摣愰攳攸㜳〷㑣搷㙢㐳㠵㜴摥㐴戹㥢捡扢收㐳㈲㤳㥦ㄵ㡥㡢㑡愹㐴㈲㤳搱㔴㤴戳ㄳ晥㝡挲ㄷ㡤慤㍡㤳〰ㄳ挳㐳愳㤳挷搱敢戸㔷㜶挴愶扥㘳㝥摢ㅤ〳〳戹㠱摣搶㍢〶㙥捦㙤摥搴㌷㕣㈹㜹ㄵ㐷散戰㐵挵㜳昴搲愶扥戱捡㘴挹㉣摣㈳收㈶捡㈷㠴扤㐳㑣㙥扥㙤㔲摦㝡攷挰搶㙤摢㡣敤摢敦散挴搰㠹㐳挳㐳㘳㡥㌰摣㡦愹捦ㄴ愷扣㜵㐴ㄴ㑣慥㑤〸挷戴愷㜲挳㐳昸ㅢ㤹㍦摥敥挸㡤㑦ぢ攱㜱㘸攱〸扢㈰㕣つつ㍢慣㐱搷慤㔸㌳摣㍣捤摡㡤愵ㄶ㜴搷㑢㔹挳愲㔴搲慣戰搷㡣㌵㡡扤㉢改㜳㥤搶戸戰㕤搳㌳㘷㑤㙦㉥㙤㑤愰愳㘲㤷㜵搴ㄵ㐷㜴㝢㑡ㅣ搲㉤㤱戲昶㔴捣㘲搲㝦ㄲ㙤㌷㠶㕤㐴㈷㈶㤷㥦ㅢ㜴慤攱㘹摤㤱㌳㜲戹㌱㌱㜵㜷㍢㠵晡扡搷㌶敦㤷㔳㤷㈳戰捦敢㥢搷㐳挹㌱摤愹搶散㙦㕥㌳㔸㝣晤っ㙥㙤㕥㍦戲㐷昵㙤㙥㙥摥㐶㙥㘵㝤㙤愵㈳愰㙦戹愳㔸㡣㤶㈶㘸㈷挸㄰㄰㠱㕡㤶愰㠳愰ㄳ㐰㐹晥ㅢ㕣ㄲ㙤挸㈲㌵慦慢昹㐹㌵㕦㔰昳㐵㌵㉦搴扣愱收愷搴晣戴㥡㌷搵晣㜱㌵㝦〲㜵挲㈷搳摥慥〶捦ㅦ㥦㉦晥攸扤㝦㙤摦晦挶㡥昷㥦㉤㝡㍦㝤戲㜳ㄵ㉡ㅤづ㈶㌵攲攸愷㐰㙡㌵㉡摥㤲摢捣㍦㡢㜳〵㤸挲搸㘶摣㘱っっㄴ户㙤搶㙦搳㔳㕣㔶っ昲敢〸愵〷㜵㍢㡤㝢㑤扢㔸㍥㈵㜱㜷昹㤰敥㡡摡挶昵〷㘵㐳攵㡡㕤㜴㉦㕢戸㜰摣搳㍤戱戱戱慣搶挹扣㘶攳㘰㉢攱捡昱慥㙣㙣㜶㑣㉦㔵挴攰㘹搳㉦扥愲愱搸ㅡ㜳捡㤳捤㑢㜷㍢攲㘴戵㜴摥㡣〶㈱搴㘶㘵摦昳㔶改ㄷ昹昳敡ㅢ㥥㉥扢挲㤶搳敢户挶捣挲〹攱㡣ぢ㡡㐴㔱㤴㑢㕤换愲㠰敢晢㐷㙤㉣ㄴ摣㕡扣㈶㥡㙢散㍡敤㠱㤹㐵ㄱ昳㥤ㄱ㡥㌷㌷愱㑦㤶挴扡扡㉡晥㤸㈸搸㔰㤷扤扢㕣愸戸挳㘵摢㜳捡愵晡㤲挱攲慣づ㐹㔳㍣㔸㉥㡡㘴㌲㈱㠵〲〴㙥㕢㥢愲㈴㙥㘹捥ぢㄲㄱㄱㄴ㤳㤱㉦慤㈷扢摣ㄱ慣づ慢㈸〹搲愴㝡摤㈲㥤㜱扥㔲挶挴㜰㘰㘴㑤搴ㅦㅣ昴愶㐵扡慤㘲敥㤳慤慣慡扤挱敡㜷捤ち摢摢慢摢挵㤲㜰㘲戵㥦挲ㄹ㘹摤〰愹㜳㄰〸㑤㜷㡦慡㑥㌹慤捣愵㑥㤹㐵㙦㍡㍤㉤捣愹㘹て㜹搰㤰㤹っ户㜶摥愳㕤㠲㉣㙤㌵㐱㉦㐰㌶㥢㐸慦㘱愵㜴ㄶ㑦㈲㐵改ㄴ挳换㜵㠲㥣敤敡㜸戹搳搸㙤㤶㍣攱ぢ攵㙥〳ㄸ昱戵㥡㐴㕦ㄷ㐹搴搱ぢ扥挲㔸㘳っ㠳㑡㜵搳昶收㙡㝣㍢㡦㑢㝣㈲㕡㤱〵换㑥ㄶ㔰ㄴ搴换㠳ㄸ㕥〳搱㌴㐸㠳昸捡ㄱ㈲㈲ㅢ挴㘸㜶昴㕣㑦㘴慣ㅦ㈳㈳㔰㍦㑡㠴慣扤戹戹㡣㈰戱捦㈷㔲㌶㙡捡㡦㉢搲㙣㈱㕢摥㤷㘶㙢戱㜱摡㍡㠲昵〴㤷ㄲ㙣〰㔰晥づ〹㐷㈹㠷㜴晤愳㕤㠶㜷敤㜲㠲㉢〰㈰㥦㌴捡㥣㐰㔴搱㠶㕡㡡ㅤ挹㝡㕤戰㤳愵㔱散㡢㈲㕡挶㔵㍢戳换㤲㠸づ慣捥攵愱㙢㤳㔲挷摥搰㥣㌶愳换㈱㐵挶㔴㡤慥㜵㤱慡搱㡤㘰搵ㄶ昵搶㔵㘸慡昵ㄱ㕣つ攰㉢ㄶㅡ扢㑢戳收㘹㑥㕥ㄴ㈶㤱㙦〸戵愸摣〳㈲愶昹ㅦ㈳攰收ㅤ㕤㔶散㘷㥡㠲晤挶㐵㙦㍦㙦㙡捥摢〱搲ㅢ㜴收㡡捥愱慦攸㍣㉤攸㙢挰㕥捡㕦㥡敡㤷敢㔰慣㕤㑦㜰〳㐰㠳㝥攱挹晢㝣扤〴搲㈴戶㈲㤸㕢㑤㡦㡢戴㜰㈷收㘶㠴搴㍥㥤挶㠴敥㑣〹て摥㡢㝤㈳戰㠳换㡥㈳㑡㌸搰ㄶ㘵〶捦㉥敢敢㌳摤摤㑥搹㘲晥㡡㝤散㕥ㄴ㡡㈱㤹㔴摢ㄲつ昶㜱㡣㥤ㄹ昱㌷㐵㈸㠷晡昷戶收㐲㈲搲愸㥥扣搸㉥晥㙣戹㈲㐹㕡㤰㈴㌷㘱㕢戵㥢〱㈰㈵㤴㍦㌵㤵㈸晤慣戶㐹㔶慢户㔶改摤㡢㌹㤹㌴昸て攷挹㤱づ摦㔹㍢〴摦㠱摢㘵㡤㥢㔶㔵㔸㜴㔸㘳挲㈹挰慦㘰㤶㐴搶㜷挹㔲搴慣挸㡡㡢㐴㔶戴戵捤㍢㑢挷昸搶㈴㥤㌴㐸㠹㔸㙥㡦㉤㡣㌹㠷搷㠸㡡㉥㐸ち㤵ㄸ户㔰㔵〲㤱昲㔸㜷㐵挴戴㈰㘲㜲搸㌸敤㔶㠲捤〴〳〰愹摦㐳搲㉣㜵攳ㄹち㙢㥦愵㍢㍢㥦㑦㘴㠸〶改ㅥ㝣慢愹戰摡捡㘱戶ㄱ摣づ搰㘰晥搰昹ㄸ㐳㠸ㄲ攵ㄱ㐲愴戵愴ㄹ挷㑣㜱㡡㌴戰捡㐰㔰㘹戸攲㝡㘵㡢㔱愵㉥㘳愴㝣愸散㡤㤸敥っ愲㔰扤㐶㤰戸㜷㕡搸愰㉥〷戶㑦㐳㕥㜹㘶㐶ㄴ㌵㘳扣㕣㠱㘸摢㌷戲ㅣづ攵㔸ㅦ㙣㐹㜹㉥㔷ㄵ㍣慤㥤㡤搱㠵㈲㑦挴昰戵搲ㄳ扢㈴捦㌷て㝤摤戵ㅤ㥤㌰扤㤲攸㌰㝣愶㘳㍡㘳㘰ㄷㄱ㌵㈸戶ㅢㄳ搳㡥㄰㈳㕤挶ㅥ挷㉣㤶㑣㕢㄰ㄹ戰㌱ㄹ愸㍢㈰愶㄰㈱ㄸ㉢㌳晥㔷戶扢㡣〹㐷户摤ㄹ㥤挱挴戹搵㜵㙦㌲㈴㤲㌲㠶㑣摢挵㌰ㄲ㡢㑣㜷ㅢ攳搳攵㔳㠸搶㔶㉣㝢㡦㍥攳㉥ぢ慣㤰攸晤㐷愲㐶㔱ㄵ㔵㔵㌲㙡愶㔵晣昰㐰㥥㐸㙣挱㉦㐹㈰㜱㤵㐸搱㕦ㅥ愳扤㘹搷〷昱ㄹ摡改㥣㔳㈷㈲㐷搵捣戶㔸㈹㑣㑥搵敥㘴㥢敤〰晢昷ㅣ摤㔷㡢捡㕤㔰扣㍡㐵て㝦㡣㡣㤷㘴㔱つ㠲搰㍦户捡㈷ㄵ收㤱㜲挰㠱挰㌸摦ㅡ挹㉦㙢挸㍡愴扥㔵戵攴㙥㐴㤱㍡㡤〳晡愴㈸㈱ㄶ㙤改摥㉡晦㠵㘶慣愵㤷摣愰㙣戸㙣㔹㍡㐹㡢㘴㌹㕥搰㐹挱㠳ㄵ慦㝣搰戴㌵〳㐰搲㕦㤰愵㥦㐶㤶㝥㕡㘶㜵ㅡ㐷ㄸㄶ㤴㘹昶㔵㥥搲ㅤ搳㥢戶捣㐲㠶㉦っ摤㉤ぢ㥡〴㤳㔳昲㠶㑦㈸㌳晡ㅡ慣昹愳㌰搹摣ㅣ搰㥤㠳ㅣ攵搶ㄱ晤愰㕣㔵㐹攳㡦搲愲㘳〹〲㐶㝡㐹戵扢搰㕢㑡摥㡣㠰挸㤱捦戹昰晥挵戹㠷㤱攳晢攵㠸昵ㄸㄲ㠱㐷㌰㈲攴改摥㑥ㅢ㐷㙤搳〳昶㠸戱摤愶㌷攲〲攵〰㐸捡攳敤㐶㠹搵㐸愳晥慡㔶戸㙡㝥㔱㥤㥡戸㜲㝥㜹㔴㙦㕣户㐰戱慦㔱㈲㡡㘴戱㑡㔲戳㉣㌰挷攵愴㙡ㄴ愹戸㐳㙤愳挴戹㑤㙢晢㑥㈹㜲〱㡡㐹搲㑣㐲摢㈱〹〵㐱㕥㔲〷㜴ㄴ晤昵昱攴ㄱ㠹搶搰〶挸㔲㑦昹㜹㕤㐱㌸㜰ㅦ慥㥣ㄴ㐵㌶㜸〳㝦慦ち㤲愳ㄵ慦慥㐴㍦摤ㅢ㤴っ㤶㑡愳㌶慣㠴㠲敥ㄴ㤷〹㑢㘳㙤扥㠶㤱摣搹慡昶昷户㌷挲㠸〱ㅢ㌲㈴ㄲ攳〷〶ㅢ㠲戹㈲搱㔴㕡㘷㕤摣敡㙡㜶㠶㙦〷㠵㙥㑢っ㡣㝢挵ㄱ㌱㉢捤戰㥡㈵摦㉢ㅢ㔴㑦㡢㔲㡥㙡挶攰愴ぢ㤵敥㔱㡥〷㈹挹攰㥡㜱㠴㙥㈹㕣㘰㠰搸つ㔲㘳〵て㘱摤㙡〷㍣ㄹ㉣ㅦ散㘰㐷晣戰〹慤㌳㑡搰㜴っ攱搶㉦㠲扣搳㈲㐶㈱㐸つ昹扣扦㔳㜹昶ㄹ㍥㍦搹㤹〸ㄳ〱ㄳ㌱搴ㄵ㘳㍤〰戹搱愸㈴戹愸㌷っ㤶晢㤲㑤ち慤捥㌰㡦㈶㐶ㄷ㑤㍥挷挳つㅥ挶戱扡挹㌶㈵摣㜱昳㑣㘸搳搲摣㉡㘳㥦㕤㈸㔵㡡㐲慡攲㔰㔶㑢㡤扣㉣昰㈵慦晦昹摣ㄴ戳㉦挱愶散挳㔱㡡㑢㈶㤲㕡户扢戵捦愰戹ㄴ㜲攸挳㤷㙤っ㍥挶戸攵㘴㌰㙣摥ㅤ〵摡㠷慢㙢㤷ㄷ攴挵㌹㠸戴㜹㔹㤴㘵〷㜰ㄷ慦ㅡ㐱㤶摣ㄶ愹㜶愰㝣愰㑣㥢㍤㤲戵搷昴戳㤶〵㡥戰㑥㕦攰愵搳㌰㐶㕡攴づ㜶㤲㌸ㄷ㐴㜶捦㍤㉣㕦ㄳ攷㜶〶挶㠷挲昸㉥㑦㐱〹散㉡ㄸ㠹〶户㕡戳扡ㄵ㐶㝥㘹㜹㙢㜷〳㈸っ〱搳愰㐵㑤摦挰ㄹ㐲㝡㜱〳㠷挱挸㤸攸㘸㌴㤰捡ㄸ㘵㉦ㅣ昶㐰ㅡ戸㠹〷改㠹㌲㤴㤰户㐶㕥ちぢ敦㈵昶㕢㌸〲㤵㥤㜵つ㤹㘳扡㠷慢㉦昶㠶㠶散挱㘲㤱收㉥晣㜳换〲慢戸戶攱㥢愳㙢ㅡ㉥㘴挹㌵搱扥扢戶愱㈰戸㈸戸㘵㈴户㔷昷ち搳攳摥㥣㝦㘹慢㔵㤲㐸扤〱㝦挴㠲愳搳㘶㑥摡扣㠴㍡换扤捦㥥戰换愷㙣㌹慦㤴换ㅢ㝦戴㘲戵昶㜶㑥㌲㥢昸〸㝦攴愳㈶㔲慦愳挷愵㑣㥢ㅤ搴ㅣ㈴散㐷摥戹昴愵㐱ㅦ㕥㘳攸〴戶㝢昵挶〰改㘴㑤〳㥤㐸㐱戰㐲㈸昶搴挷㐶㈸捡㉦㠱㔶ㄲ㡢㝦㈴挷㥥扦〴搶㔷㝥㠱ㅣ㈲㥣搷㍡〲㐱㝥㜵㍣敡愴㈰て慥㜷戰搵晦て㤶㐲㙥㕥㤰㥤晥ぢ捣慣扣搶㠸愲㉢㠹愲㔷〳ㄴ昱㌲㘱㠰㈲〶㘲捦㉢攴捤搹慦ㅣ㌵㍦昱㙢扤晦挳愳收㝥㘰㤸㡦愴㄰〴搵ㄸ㡣慦ㅡ〳㙤昳㡣㠱敢㔱㉣㡤㠱㝢搸㠶昱㝡摦ㄸ〸扣ㅤ〷㤱戱戸㌱挰㈸㕥㡣挹ㄷ〹慡㐶ㅣㄸ㍣㙢慤戳攸〹摢㡢敢戵挲㐵攴ㅥ敡挹ㅤ㠶敦㘹晤晣散㌱摤搱慤つ㌲㝦㡦㈳愰戶㥣〹摣搷㤶㑤搸㘲攳㠲㈵戲搱〲㕥㠹搰㥦扥攲㌹㔹摡㉤㜵㘰捡㝦㝣㐷扤㤲㔱搲ㄷ攰ㄳ㔱㜸㐲㐸㝣㘱捤捦昶晣昵愱㐷㜷昲㕥㕡㐰慢㈹〶㠲㕢〹捥搳㜲㐰昸㌶㜲㈵㘴㉤㍦扦㌹㠸て㤱捣㤹㤲ㄸ搲ㅤ㘹敦戸㥡ㄵ㈶㝤挲㡢㄰愶㑦㝣换挱㤸挴つ〷摦㤸捣㌵㌸㌶攵攷㑢搲ㄹ㤸㡢㑣㕣㝡敦挲〰愱搲㔴㘵戵㘸㔷愶㝥づ愵㜳㥥ㄳ愹户〷㜹扥攴愳㈸㉦㌷㙡戵㙤搴㙡搲㑣㔴晡㔱㈳㤴㔲㠸㌴㤰㐲愲㐷ㄶ㠶晥愵㤴ㅡ㐳㈲㤵〳㠸㠹愱㌵〶㜳㜹昲㕦ㄱ〲愲㝡扤慦挵㑦㔵戰㡢挰㘲攸㜵㙦昵散㑡慢㌳㔴㑤っ捡捡搳挷㘱㈴攴㌱㠵ㄹ㡣搲捡摣㈳㐸㠴㑦㙡〰愹㈵㍢㥥㌸㐸㤷攵㠷搸㝣挶㑥㔹昴慡㘵慤㕤㜶〵㜷㍣愰㘷搲㔲㘱搸慢㤹㡤愳愷㡣挶昹㔵戳㝥ㄶ㘱户㥦慣㌶敡〸㡡愰戳散つ㌸㝦㈲捣挷敦㠱㔸摥㕦敢㝡㙤㘳〹㜵㥣摤㡥〵昲〷晢敢捡ㄸ挶挶愸攴ㄸ㐸搸㈵搵捡昸㤷挰挷搱㐴摡昳㡡㔶㑢㜲㉣㐵㘱㌴㍡攴慣㌶㜵㥥晥㘷㥣㕡㜲搶〴㙢㌳㘰㕤愷晦㡦㈱㘳㔱晤慦㌰捡㈶㔱㜶㙦㤰攰㑢㡡㤱㤲㐵㠳㌳摣ㄱ昸戰ㄱ愶㤱㐷㘰㑤㈶ㄹ摣昶㔳攳昸㐴搵㉦㤶ㄲㅣㅥ慥㘴攳㈵㠸㙡㕢摡戶ㅤ㑤〵㈰愳㐰愹ㅦ㐳〴㌵㙤捦㐹搷㥦㘳㤱㤱㐸摦〷戰收愰㔹㜰捡㙥搹昰晡挶ㄱ摥敤攳ㄷ㘶〶㙣㥥㐱攵愵㐶愱㜶㉤㜶愲昳㝥戴㌹㌴ち㠱㝤㐸㜸ㅦ㔷搴㤱㌱㠴愵挵㉣㜸㐰攸㠹〴㤲愸ㅤ摣㑢㡣挳ㄵ扤㠴て㔴㐷攱搵昴㤸戵㉣㤴㥤敦㕢㙥扣㡢挱慤挳㙤慣㝢攰昹ㄱ愵ㅣ挲㘰㜲〹昷㍦挰㝤㙤摣㠳晡扡挱摡㕣搶㙣捤扢㤶㑤晤㄰㌸㕤摡㈸昵㈴挳㌱昹摤㜱㔶㝢㠰㄰㜱ㅥ㝡㐷㤷敥㡡㘵㙦扤愰昳攰戳㙤扡扣晡㑢㜰㤴㉤㈱捥晤㜹㌴㔵敥㈶挰㑦换〷〹扥㈸昴攷摤挵挴ぢ㔸ㄶㄹ〰改㐴㕡〷㘸㑥搵捦㉦㐴搵ち㡦ㄶ愴挲慣昲㝤㤴㜳㤷晣搵ㄶ㤹㠷愳㠶㍣㐲㈰慤㐵㈵户挲㈳㠴ㅣ晦㔹㌴愸㡥㍦㠵摣收攳㝦㜷挱昱愹晣攵晡愲晤昷㠴捡㐳㍢捥愱㑦㄰㤴〸㉣㠰㥥戰㘶㌷挵㈲㘵㑤摡て㈲扣戶ㄳ㘹㍣㝦〸晥㝤㘷攷㕢㙦昲昹攷㑥㐵ち㐲ㄴ搵慦㠲㠲㔰慥攲愹攸㉡㘶㤰摢㝣ㄵ摦㕡㘸ㄵ㍤㤴㤱㥣㠹收〰㜴戵㈹愴ㄵ戹㉡ㄷ〹㙥㈸㝦㡡㐴㈸ㄲ㜵戳攸㈱㘲㘵摢ちㄲ㘸换㥤㤷㙤㘷㤱〸摢愶戸ㄱ㌱㥦昰㐸晢㠸㔷ㅥ改戵㐹晢㙥搷戴慦ㄵ㌳㔶攰㙦㕤ㄶ戲〱㑢攲㌷戱㑤㐵㝡扡挵㔸扥昲㐴㠸㤸扤㝢挳敦愳搴㈰扡〴挲昰㉤㔲ㄲㄲ㌷㔲昹㕡㔸昹攵㔷㙡捥㔱ㄴ攰〱昵昸㤵㐹㜰戲昲攳㘱攵㉤昸昶㑡搶㐹昰慥〰㥦㜷挲捡㈴㑣㔹昹戱戰昲㝢㕢㌶㔴㉢㠷㜴攸昷㥣㈲㤱挴搸扡搲晡㡦㝣㠷捤㐳㜵捡愰晥散㌰晣㙣㑡㑥ㄹ㈴㉥㐹つ摡㠹㙢ㅦづ扥㠴㍥㠰㕢㑣戸散〱㈱敢晦㠷〸晢㜰扢㘹㐴昷㜴㝣攸㍣㡢戰戲愳挹㌷㌶㑥ㅢ愳づ㌲摡㡤㝤㉥捥㔴挵㘵㐵㈲㌰〷㤲晥晥㉥攲㝥㡦㌱ㅤ㙢晢ㄱ㠶挳㔴摥ㄶ㘹㑤㜹挸㄰㑡㔲㜹㌴挴㙣攲㙣㡤㘶戴㉦〲㌹㄰㤳㠰㑣㘸㕦〲昴㐳㉥㙢㤸搱㐳晥㤷捣㝤ㄶ〹敤ㄱ㠲㉦〳㘴ㄵ㌲㍢改㈰晤ㄵ㠰敥昰扦愳攸㥢㤵晥ㄲ㔵㌹ㄳづㄶ㈵㈳敤慢㙣昰ㄸ㐰ㅢㅣ戵㑡㐰㠴㔹敤㜱攴㐴〷愵攰㤰㠳㍥挱㠲慦ㄳ㍣〹㤰㑤㜱戲㑢摥㌵慥愹㐵捤昵つ㌴㔵戸ㄵ㔲㡥㝤㌳㐸昰㈵㜵ㄶ攰慥收戶㌲㡦挲攱攷晢〸㙡搶㝤愷扦ぢ摦摤捦㜱搱㙤昸㙦㐷㔲搲戰㑦慡㥦㙡慤㉦㌲〱㙤㜲昹㜳戰搹ㄷ搰て搷㔵戳㌱搹攳愷昱换愸㘹攵ㄱ晣㝢ㄶ㍦攵㈴㐶攰㈸搴戴ㄹ戸㔹㐸〳戲㘰㈶㈸愰捡搲㥥〲㔰㠸㘳攲㐹㝢㥡㙦㐴㉤晢搷扥ㅤ㈴昸愲㄰慦㘷㤹㈸〵捤挳〱㠹㙢㔹㜰愲㘱㐰攲㕦ㄶㅣ㡦づ昸ㅤ攴㉡ㄲ㔹㐸搴㙢㈵㈲㉤挹摣㘷〰扡摡扡㌹㌷㙡㌹昵戴㔲㜸戰昸攰㠳ㅦ㜴㈷晢㌶㈶㍦㝢㜷攷㌳敦晣敥摤愷摦晥摣㡥㝦㝣昸摣㜳㙦晦敤改㌷㍦㝣㝤㜲挷㙦㕥㝣昱搷晢㝦昰收扢慢㡤ㄷ搴㔷㍥㌸昰挲㤹㠱ㄳ㘷㑥ㅡ㐷㙦搹㜳收扥攳㠷〷挶㉥改㙦㙢㙢㙦扦戱昷户㤷摥搴㜳昶攴慢捡慦晥扣摥㔶攴㜲㌹攰ㄱ㠰昰改攱戲攵㌴扥㠷〴愶挱ㄹ㝦愲搳攰㜲捦攲愷ㄴ㠳㡤ㅡ挲㑢〶㍥つ㑥㐰ㄶㄴ敡ぢ㍡晥〳ㅥ捡戳攴</t>
  </si>
  <si>
    <t>㜸〱敤㕣㕢㙣ㅣ㔷ㄹ摥ㄹ敦慥㜷搶㜶散挶戹㌴㘹㥢扡昷㡢愳㙤㥣㈶扤㔰㐲敡㑢㥣㑢㥤挴㠹㥤㠴慡㤴敤㜸昷㡣㍤挹捥慣㌳㌳敢挴㈵㐰ち愵愵㕣㠴㕡㤰愰愵搰慡㐲㔵㜹㐱㉡て㔵ぢ攵〱〹〹㠴㕡挴㐳㠵挴〳㔲愹㄰㐸㠰㔰㈴㕥晡㔰愹㝣摦㤹㤹摤搹戵㜷散㙣㕡㜰㤰㈷搹㍦㘷捥晤㥣晦㝡晥晦㑣ㄲ㑡㈲㤱昸㄰て晦攵㤳㘴攲敡㠹㜹搷ㄳ㔶㙥戸㕣㉡㠹㠲㘷㤶㙤㌷㌷攸㌸晡晣㤸改㝡㙤愸㤰捥㥢㈸㜷㔳㜹搷㝣㔴㘴昲㜳挲㜱㔱㈹㤵㐸㘴㌲㥡㡡㜲㜶挲㕦㑦昸愲戱㔵㘷ㄲ㘰㜲㜸攸昰搴㐹昴㍡攱㤵ㅤ戱戵敦戸摦㜶搷挰㐰㙥㈰户攳敥㠱扢㜲摢戶昶つ㔷㑡㕥挵ㄱ扢㙣㔱昱ㅣ扤戴戵㙦扣㌲㔵㌲ぢて㠸昹挹昲㈹㘱敦ㄲ㔳摢敥㥣搲㜷摣㌳戰㘳攷㑥攳摥㝢敦改挴搰㠹㐳挳㐳攳㡥㌰摣㡦愸捦ㄴ愷扣㘳㐴ㄴ㑣慥㑤〸挷戴愷㜳挳㐳昸ㅢ㤹㍦摥敥捥㑤捣〸攱㜱㘸攱〸扢㈰㕣つつ㍢慣㐱搷慤㔸戳摣㍣捤ㅡ挵㔲ぢ扡敢愵慣㘱㔱㉡㘹㔶搸㙢挶㍡㡣扤㉢改昳㥤搶㠴戰㕤搳㌳攷㑣㙦㍥㙤㑤愲愳㘲㤷㜵捣ㄵ㐷㜵㝢㕡ㅣ搲㉤㤱戲昶㔶捣㘲搲㝦ㄲ㙤户㠴㕤㐴㈷㈶㤷㥦ㅢ㜴慤攱ㄹ摤㤱㌳㜲戹㌱㌱㜵㐷㥤㐲㝤摤ㅢ㥡昷换愹换ㄱ搸攷㑤捤敢愱攴戸敥㔴㙢昶㌷慦ㄹ㉣扥㝥〶㜷㌴慦ㅦ搹愳晡㌶户㌵㙦㈳户戲扥戶搲ㄱ搰户摣㔱㉣㐶㑢ㄳ戴ㄳ㘴〸㠸㐰㉤㑢搰㐱搰〹愰㈴晦つ㉥㠹㌶㘴㤱㥡搷搵晣㤴㥡㉦愸昹愲㥡ㄷ㙡摥㔰昳搳㙡㝥㐶捤㥢㙡晥愴㥡㍦㠵㍡攱㤳㘹㙦㔷㠳㐷㝢攱㠵㐳㝦ㅦ改ㅤ㝢挵㝡敤昸㠹〳摦㌹摡戹〶㤵㡥〴㤳ㅡ㜱昴㌳㈰戵ㅡㄵ㙦捦㙤攳㥦愵戹〲㑣㘱散㌴敥㌶〶〶㡡㍢户改㜷敡㈹㉥㉢〶昹㜵㠴搲㠳扡㥤挶〹搳㉥㤶捦㐸摣㕤㍤愴扢愲戶㜱晤㐱搹㔰戹㘲ㄷ摤慢ㄶ㉦㥣昰㜴㑦㙣㙥㉣慢㜵戲愰搹〴搸㑡戸㜲扣㉤㡤捤㡥敢愵㡡ㄸ㍣㙢晡挵搷㌴ㄴ㕢攳㑥㜹慡㜹改愸㈳㑥㔷㑢ㄷ捣㘸㄰㐲㙤㑥昶扤㘰㤵㝥㤱㍦慦扥攱㤹戲㉢㙣㌹扤㝥㙢摣㉣㥣ㄲ捥㠴愰㐸ㄴ㐵戹搴昵㉣ち戸扥晦戰㡤㠵㠲㕢㡢搷㐷㜳㡤㍤㘷㍤㌰戳㈸㘲扥戳挲昱收㈷昵愹㤲搸㔰㔷挵ㅦㄳ〵㥢敡戲㐷换㠵㡡㍢㕣戶㍤愷㕣慡㉦ㄹ㉣捥改㤰㌴挵㠳攵愲㐸㈶ㄳ㔲㈸㐰攰戶戵㈹㑡攲昶收扣㈰ㄱㄱ㐱㌱ㄹ昹捡㝡戲换ㅤ挵敡戰㡡㤲㈰㑤慡㌷㉥搱ㄹ攷㉢㘵㑣っ〷㐶搶㐴晤挱㐱㙦㕤愲摢㉡收㍥摥捡慡摡ㅢ慣㝥捦㥣戰扤㝤扡㕤㉣〹㈷㔶晢㈹㥣㤱搶つ㤰扡〰㠱搰㜴昷愸敡㤴戳捡㝣敡㡣㔹昴㘶搲㌳挲㥣㥥昱㤰〷つ㤹挹㜰㙢ㄷ㍣摡ㄵ挸搲搶ㄲ昴〲㘴戳㠹昴㍡㔶㑡㘷昱㈴㔲㤴㑥㌱扣㕣㈷挸搹慥㡥㤷㍢㡤㔱戳攴〹㕦㈸㜷ㅢ挰㠸慦搵㈴晡扡㐸愲㡥㕥昰ㄵ挶㍡㘳ㄸ㔴慡㥢戶㌷㕦攳摢〵㕣攲ㄳ搱慡㉣㔸㜱戲㠰愲愰㕥ㅥ挴昰ㅡ㠸愶㐱ㅡ挴㔷㡥㄰ㄱ搹㈰㐶戳愳攷㝡㈲㘳晤ㄸㄹ㠱晡㔱㈲㘴敤㙤捤㘵〴㠹㝤㈱㤱戲㔱㔳㝥㕣㤵㘶㡢搹昲扥㌴㕢㡦㡤搳㌶㄰㙣㈴戸㤲㘰ㄳ㠰昲㔷㐸㌸㑡㌹愴敢ㅦ敤㉡扣㙢㔷ㄳ㕣〳〰昹愴㔱收〴愲㡡㌶搴㜲散㐸搶敢㠲㥤㉣㡤㘲㕦ㄴ搱㌲慥摡㤹㕤㤶㐴㜴㘰㜵慥っ㕤㥢㤴㍡昶收收戴ㄹ㕤づ㈹㌲愶㙡㜴慤㑢㔴㡤㙥〴慢戶愸户慥㐵㔳慤㡦攰㍡〰㕦戱搰搸㕤㥥㌵㑦㜳昲戲㌰㠹㝣㐳愸㐵攵ㅥ㄰㌱捤晦ㄸ〱户攰攸戲㙡㍦搳ㄴ散㌷㉥㝢晢㜹㙢㜳摥づ㤰摥愰㌳㔷㜵づ㝤㐵ㄷ㘹㐱㕦て昶㔲晥搴㔴扦摣㠸㘲敤㈶㠲㥢〱ㅡ昴ぢ㑦摥ㄷ敢㈵㤰㈶戱ㄵ挱摣㕡㝡㕣愴㠵㍢㌹㍦㉢愴昶改㌴㈶㜵㘷㕡㜸昰㕥散ㅦ㠱ㅤ㕣㜶ㅣ㔱挲㠱戶㈸㌳㜸㜶搹㔸㥦改㡥㍡㘵㡢昹慢昶戱㝢㔹㈸㠶㘴㔲㙤㑢㌴搸挷㌱㜶㘶挴摦ㄴ愱ㅣ敡摦㍢㥢ぢ㠹㐸愳㝡昲㘲扢昸戳攵慡㈴㘹㐱㤲摣㡡㙤搵㙥〳㠰㤴㔰晥搰㔴愲昴戳摡㔶㔹慤摥㕡愵㜷㉦收㘴搲攰㍦㕣㈰㐷㍡㝣㘷敤㄰㝣〷㙥㤷㌵㘱㕡㔵㘱搱㘱㡤ぢ愷〰扦㠲㔹ㄲ㔹摦㈵㑢㔱戳㉡㉢㉥ㄳ㔹搱搶戶攰㉣ㅤ攳㕢㤳㜴搲㈰㈵㘲戹㍤戶㌰收ㅣ㕥㈳㉡扡㈰㈹㔴㘲摣㐲㔵〹㐴捡㘳摤㔵ㄱ搳㠲㠸挹㘱攳戴㍢〸戶ㄱっ〰愴㝥〷㐹戳摣㡤㘷㈸慣㝤㡥敥散㝣㍥㤱㈱ㅡ愴㝢昰敤愶挲㙡〷㠷搹㐹㜰ㄷ㐰㠳昹㐳攷㘳っ㈱㑡㤴㐷〸㤱搶㤲㘶ㅣ㌷挵ㄹ搲挰ㅡ〳㐱愵攱㡡敢㤵㉤㐶㤵扡㡣㤱昲愱戲㌷㘲扡戳㠸㐲昵ㅡ㐱攲挴㡣戰㐱㕤づ㙣㥦㠶扣昲散慣㈸㙡挶㐴戹〲搱戶㝦㘴㈵ㅣ捡戱㍥搸㤲昲㕣慥㉡㜸㕡㍢ㅢ愳ぢ㐵㥥㠸攱㙢愵㈷㜶㔹㥥㙦ㅥ晡扡㙢㍢㍡㘹㝡㈵搱㘱昸㑣挷㜴挶挰㉥㈲㙡㔰㙣㌷㈶㘷ㅣ㈱㐶扡㡣扤㡥㔹㉣㤹戶㈰㌲㘰㘳㌲㔰㌷㈶愶ㄱ㈱ㄸ㉦㌳晥㔷戶扢㡣㐹㐷户摤㔹㥤挱挴昹戵㜵㙦㌲㈴㤲㌲㠶㑣摢挵㌰ㄲ㡢㑣㜷ㅢㄳ㌳攵㌳㠸搶㔶㉣㝢慦㍥敢慥〸慣㤰攸晤㐷愲㐶㔱ㄵ㔵㔵㌲㙡愶㔵晣昰㐰㥥㐸㙣挷㉦㐹㈰㜱㤵㐸搱㕦ㅥ愳扤㘹搷〷昱ㄹ摡改㥣㔳㈷㈲㐷搵捣戶㔸㈹㑣㑥搵敥㘱㥢㝢〱づ散㍤戶扦ㄶ㤵扢愴㜸㜵㡡ㅥ晥ㄸㄹ㉦挹愲ㅡ〴愱㝦㙥㡤㑦㉡捣㈳攵㠰〳㠱㜱扥㌵㤲㕦搶㤰㜵㐸㝤㙢㙡挹㔱㐴㤱㍡㡤㌱㝤㑡㤴㄰㡢戶㜴㙦㡤晦㐲㌳搶搲㑢㙥㔰㌶㕣戶㉣㥤愴㐵戲㥣㈸攸愴攰挱㡡㔷㍥㘸摡㥡〱㈰改㉦挸搲捦㈲㑢㍦㉢戳㍡㡤愳っぢ捡㌴晢㉡㑦敢㡥改捤㔸㘶㈱挳ㄷ㠶敥㔶〴㑤㠲挹㈹㜹挳㈷㤴ㄹ㝤つ搶晣㌱㤸㙣㙥づ攸捥㐱㡥㜲敢㠸㝥㔰慥慡愴昱㐷㘹搱戱〴〱㈳扤愴摡㝤攸㉤㈵㙦㐶㐰攴挸攷㐲㜸晦攲挲ㄷ㤱攳晢攵㠸昵ㄸㄲ㠱㐷㌰㈲攴改摥㑥ㅢ挷㙣搳〳昶㠸戱㔱搳ㅢ㜱㠱㜲〰㈴攵昱㜶戳挴㙡愴㔱㝦㔵㉢㕣扢戰愸㑥㑤㙣㔹㔸ㅥ搵ㅢ㌷㉥㔲散㙢㤴㠸㈲㔹慡㤲搴㉣㡢捣㜱㈵愹ㅡ㐵㉡敥㔰摢㈸㜱㙥搳摡扥㔳㡡㕣㠲㘲㤲㌴㤳搰㜶㐹㐲㐱㤰㤷搴〱ㅤ㐵㝦㝤㍣㜹㐴愲㌵戴〱戲搴㔳㝥㕥㔷㄰づ摣㡦㉢㈷㐵㤱つ摥挰摦㙢㠲攴攱㡡㔷㔷愲㥦敤つ㑡〶㑢愵挳㌶慣㠴㠲敥ㄴ㔷〸㑢㘳㙤扥㠶㤱摣搹慡昶昷户㌷挲㠸〱ㅢ㌲㈴ㄲ攳〷〶ㅢ㠲戹㈲搱㔴㕡㘷㕤摣敡㙡㜶㠶㙦〷㠵㙥㑢っ㑣㜸挵ㄱ㌱㈷捤戰㥡㈵摦㉢ㅢ㔴㑦㡢㔲㡥㙡挶攰㤴ぢ㤵敥㔱㡥〷㈹挹攰㥡㜱㤴㙥㈹㕣㘰㠰搸つ㔲攳〵て㘱摤㙡〷㍣ㄹ慣ㅣ散㘰㐷晣戰〹慤㌳㑡搰㜴っ攱搶㉦㠲扣搳㈲㐶㈱㐸つ昹晣㙢户昲摣戳㝣㝥扣㍢ㄱ㈶〲㈶㘲愸㉢挶㝡〰㜲愳㔱㐹㜲㔱㙦ㄸ㉣昷㈵㥢ㄴ㕡㥤㘱ㅥ㑤㡣㉥㥡㝣㡥㠷ㅢ㍣㡣㘳㜵㤳㙤㑡戸攳收㤹搰愶愵昹㌵挶㝥扢㔰慡ㄴ㠵㔴挵愱慣㤶ㅡ㜹㐵攰㑢㕥晦昳戹㈹㘶㕦㠲㑤搹㡦愳ㄴ㤷㑣㈴戵㙥㜷㙢㥦㐲㜳㈹攴搰㠷㉦摢ㄸ㝣㡣㜱换挹㘰搸㠲㍢ち戴て搷搶㉥㉦挸㡢㜳㄰㘹ぢ戲㈸换挶㜰ㄷ慦ㅡ㐱㤶摣ㄶ愹㌶㔶ㅥ㉢搳㘶㡦㘴敤㌳晤慣ㄵ㠱㈳慣搳ㄷ㜸改㌴㡣㤱ㄶ戹㠳㥤㈴㉥〴㤱摤ぢ㕦㤴慦㠹ぢ扢〳攳㐳㘱㝣㤷愷愰〴㜶ㄵ㡣㐴㠳㕢慤㔹摤ち㈳扦戴扣戵晢〱ㄴ㠶㠰㘹搰愲愶㙦攰っ㈱扤戴㠱挳㘰㘴㑣㜴㌴ㅡ㐸㘵㡣戲ㄷづ㝢㈰つ摣挴㠳昴㘴ㄹ㑡挸㕢㈷㉦㠵㠵昷ㄲ晢㉤ㅣ㠱捡捥㠶㠶捣㜱摤挳搵ㄷ㝢㔳㐳昶㘰戱㐸㜳ㄷ晥戹ㄵ㠱㔵㕣摢昰捤搱㜵つㄷ戲攴㥡㘸摦摤搰㔰㄰㕣ㄴ摣㍥㤲摢愷㝢㠵㤹〹㙦摥扦戴搵㉡㐹愴㝥〱㝦挴愲愳搳㘶㑥摡扣㠴㍡挷扤捦㥥戲换㘷㙣㌹慦㤴换ㅢ㝦戴㘲戵昶㜶㑥㌲㥢昸㄰㝦攴愳㈶㔲㙦愲挷攵㑣㥢ㅤ搴ㅣ㈴散㐷摥戹昴愵㐱ㅦ㕥㘳攸〴戶㝢昵挶〰改㘴㕤〳㥤㐸㐱戰㑡㈸昶昴㐷㐶㈸捡捦㠱㔶ㄲ㡢㝦㈴挷㥥扦っ搶㔷㝥㠶ㅣ㈲㥣搷㍡〲㐱㝥㕤㍣敡愴㈰て慥㜷戰搵晦て㤶㐲㙥㕥㤴㥤晥ぢ捣慣扣搱㠸愲㉤㐴搱敢〱㡡㜸㤹㌰㐰ㄱ〳戱ㄷㄵ昲收散㔷㡦㥡ㅦ晢戵摥晦攱㔱昳〰㌰捣㐷㔲〸㠲㙡っ挶㔷㡤㠱戶〵挶挰㑤㈸㤶挶挰〳㙣挳㜸扤㙦っ〴摥㡥㠳挸㔸摡ㄸ㘰ㄴ㉦挶攴㡢〴㔵㈳づっ㥥戵㌶㔸昴㠴敤挳昵㕡攱㈲㜲て昵攴づ挳昷戴㜱㘱昶戸敥攸搶㈶㤹扦搷ㄱ㔰㕢捥㈴敥㙢换㈶㙣戱㜹搱ㄲ搹㘸ㄱ慦㐴攸㑦㕦昵㥣㉣敦㤶㍡㌰攵㍦扥愳㕥挹㈸改㑢昰㠹㈸㍣㈱㈴㍥户敥㈷㝢晦晣攸攳扢㜹㉦㉤愰搵ㄴ〳挱慤〴攷㘹㌹㈰㝣ㅢ戹ㄲ戲㥥㥦摦ㅣ挴㠷㐸收㙣㐹っ改㡥戴㜷㕣捤ち㤳㍥攱㐵〸搳㈷扥㤵㘰㑣攲㠶㠳㙦㑣收ㅡㅣ㥢昲昳㈵改っ捣㐵㈶㉥扤㜷㘱㠰㔰㘹慡戲㕡戴㉢㔳㍦㠵搲戹挸㠹搴摢㠳㍣㕦昲㔱㤴㔷ㅢ戵摡㑥㙡㌵㘹㈶㉡晤愸ㄱ㑡㈹㐴ㅡ㐸㈱搱㈳ぢ㐳晦㔲㑡㡤㈳㤱捡〱挴挴搰ㅡ㠳戹㍣昹慦ち〱㔱扤摥搷攲愷㉡搸㐵㘰㌱昴扡户㝡㜶愵搵ㄹ慡㈶〶㘵攵改攳〸ㄲ昲㤸挲っ㐶㘹㘵敥㔱㈴挲㈷㌵㠰搴戲ㅤ㑦ㅣ愴换昲㐳㙣㍥㘳愷㉣㝡搵戲搶ㅥ扢㠲㍢ㅥ搰㌳㘹愹㌰散戵捣挶搱㔳㐶攳晣慡㔹㍦㡢戰摢㑦㔶ㅢ㜵〴㐵搰㔹昶㈶㥣㍦ㄱ收攳昷㐰㉣敦慦㜵扤扥戱㠴㍡捥㙥挷〲昹㠳晤戵㈵㠶戱㌱㉡㌹〶ㄲ㜶㔹戵㌲晥㈵昰〹㌴㤱昶扣愲搵㤲ㅣ㑢㔱ㄸ㡤づ㌹慢㑤㕤愰晦ㄹ愷㤶㥣㌵挹摡っ㔸搷改晦攳挸㔸㔲晦㉢㡣戲㐹㤴㥤〸ㄲ㝣㐹㌱㔲戲㘴㜰㠶㍢〲ㅦ㌶挲㌴昲〸慣挹㈴㠳摢㝥㙡〲㥦愸晡挵㔲㠲挳挳㤵㙣扣〴㔱㙤㑢摢戶愳愹〰㘴ㄴ㈸昵ち㐴㔰搳昶㥣㜴晤㌹ㄶㄹ㠹昴㠳〰敢づ㥡〵愷散㤶つ慦㙦〲攱摤㍥㝥㘱㘶挰收ㄹ㔴㕥㙥ㄴ㙡㌷㘰㈷㍡ㅦ㐲㥢㐳㠷㈱戰て〹敦愳㡡㍡㌲㠶戰扣㤸〵て〸㍤㤱㐰ㄲ戵㠳㝢㠵㜱愴愲㤷昰㠱敡㘱㜸㌵㍤㘶慤〸㘵攷晢㤶ㅢ敦㘲㜰敢㜰ㅢ敢〱㜸㝥㐴㈹㠷㌰㤸㕣挲㐳て㜳㕦ㅢ昷愰扥㙥戰㌶㤷㌵㕢昳慥㘵㔳㍦〲㑥㤷㌷㑡㍤挹㜰㑣㝥㜷㥣搵ㅥ㈶㐴㥣㠷摥搱攵扢㘲搹㕢㉦攸㍣昸㙣㥢㉥慦晥ㄲㅣ㘵换㠸㜳㝦ㄶ㑤㤵晢〹昰搳昲㐱㠲㉦ち晤㜹昷㌱昱㈲㤶㐵〶㐰㍡㤱搶〱㥡㔳昵てㄷ愳㙡㠵㐷ぢ㔲㘱㔶昹〱捡戹㑢晥㙡㡢捣挳㔱㐳ㅥ㈱㤰搶愲㤲㕢攱ㄱ㐲㡥晦ㅣㅡ㔴挷㥦㐶㙥昳昱扦户攸昸㔴晥㜲㝤搱晥㝢㐲攵愱㥤攴搰愷〸㑡〴ㄶ㐰㑦㔸戳㥢㘲㤱戲㈶敤〷ㄱ摥搸㡤㌴㥥摦〷晦扥扢晢敤户昸晣㜳户㈲〵㈱㡡敡㔷㐱㐱㈸㔷昱㜴㜴ㄵ戳挸㙤扥㡡㙦㉤戶㡡ㅥ捡㐸捥㐴㜳〰扡摡ㄴ搲㡡㕣㤵㡢〴㌷㤴㍦㐵㈲ㄴ㠹扡㔹昴㄰戱戲㙤〵〹戴攵捥换戶㜳㐸㠴㙤㔳摣㠸㤸㑦㜸愴㝤挴㉢㡦昴摡愴㝤户㙢摡搷㡡ㄹ㉢昰户慥〸搹㠰㈵昱㥢搸愶㈲㍤摤㘲㉣㕦㜹㉡㐴捣扥㝤攱昷㔱㙡㄰㕤〲㘱昸ㄶ㈹〹㠹ㅢ愹㝣㌵慣晣敡㙢㌵攷㈸ち昰㠰㝡晣捡㈴㌸㔹昹挹戰昲㜶㝣㝢㈵敢㈴㜸㔷㠰捦扢㘱㘵ㄲ愶慣晣㐴㔸昹ㅦ摢㌷㔵㉢㠷㜴攸昷㥣㈲㤱挴搸扡搲晡㡦㝣㠷捤㐳㜵捡愰晥散㌰晣㙣㑡㑥ㄹ㈴㉥㐹つ摡㠹㙢ㅦづ扥㠴ㅥ挳㉤㈶㕣昶㠰㤰昵晦㐳㠴晤戸摤㌴愲㝢㍡㍥㜴㥥㐳㔸搹搱攴ㅢㅢ愷㡤挳づ㌲摡㡤晤㉥捥㔴挵ㄵ㐵㈲㌰〷㤲晥晥㉥攱㝥㡦㌱ㅤ㙢晢ㄱ㠶挳㔴摥ㄶ㘹㑤㜹挸㄰㑡㔲㜹㍣挴㙣攲㝣㡤㘶戴捦〳㌹㄰㤳㠰㑣㘸㕦〰昴㐳㉥敢㤸搱㐳晥㤷捣㝤ㅥ〹敤㌱㠲㉦〱㘴ㄵ㌲㍢改㈰晤㘵㠰敥昰扦愳攸㥢㤳晥ㄲ㔵㌹ㄷづㄶ㈵㈳敤㉢㙣昰〴㐰ㅢㅣ戵㑡㐰㠴㔹敤㐹攴㐴〷愵攰㤰㠳㍥挵㠲慦ㄱ㝣ㅤ㈰㥢攲㘴㤷扤㙢㕣㔳㡢㥡敢ㅢ㘸慡㜰㉢愴ㅣ晢㘶㤰攰㑢敡㍣挰㝤捤㙤㘵ㅥ㠵挳捦昷ㄱ搴慣晢㑥㝦て扥扢㥦攷愲摢昰摦㡥愴愴㘱㥦㔴㍦搱㕡㕦㘴〲摡攴昲攷㘰戳㉦愱ㅦ慥慢㘶㘳戲挷㑦攲㤷㔱搳捡㘳昸昷㍣㝥捡㘹㡣挰㔱愸㘹㌳㜰戳㤰〶㘴挱㙣㔰㐰㤵愵㍤つ愰㄰挷挴㤳昶っ摦㠸㕡昶慦㝤㍢㐸昰㐵㈱㕥捦㌳㔱ち㥡㠷〳ㄲ搷戲攰㔴挳㠰挴扦㉣㌸ㄹㅤ昰扢挸㔵㈴戲㤰愸搷㑡㐴㕡㤲戹捦〲㜴戵㜵㜳㙥搴㜲敡㔹愵昰㐸昱㤱㐷摥敦㑥昶㙤㑥㝥晡晥捥㘷摦晤敤㝢捦扣昳㤹㕤㝦晢攰昹攷摦昹换㌳㙦㝤昰收搴慥㕦扦昴搲慦づ扣昰搶㝢㙢㡤ㄷ搵搷摥ㅦ㝢昱摣挰愹㜳愷㡤㘳户敦㍤昷攰挹㈳〳攳㔷昴户戵戵户摦搲晢㥢㉢㙦敤㌹㝦晡㜵攵㤷㝦摣㘸㉢㜲戹ㅣ昰㈸㐰昸昴㜰搹㜲ㅡ摦㐷〲搳攰㡣㍦搶㘹㜰戹攷昱㔳㡡挱㐶つ攱㈵〳㥦〶㈷㈰ぢち昵〵ㅤ晦〱挲搸戱㐳</t>
  </si>
  <si>
    <t>Description</t>
  </si>
  <si>
    <t>This worksheet includes a one-at-a-time sensitivity analysis, summarized in Table 1: Critical Variables. This table illustrates the impact on the ERR if changes occur to one key variable while holding all other variables constant at their base value, i.e., the value used in the CBA model. The table begins by listing aggregate variables for total costs and total benefits and continues with parameters at their lowest level of detail to better understand how the ERR would be impacted if that specific parameter changed.  Column 4 provides the parameter value used in the CBA model (base value), followed by the plausible range for that parameter in Column 5. The results of the sensitivity analysis are provided in Columns 6 - 10.  Column 6 shows the critical value for each parameter beyond which the ERR would fall below the 10% hurdle rate. The columns that follow report the value of a parameter and the related ERR estimate if the parameter value was decreased by 20% (Columns 7 and 8) or increased by 20% (Columns 9 and 10) in comparison to its base value.  A footnote will be provided if the analysis in Columns 6-10 needs to be adjusted for a specific parameter, particularly if the 20% change in either direction is not within the plausible range of the parameter</t>
  </si>
  <si>
    <t>Table 1: Critical Variables Analysis</t>
  </si>
  <si>
    <t>Parameter type</t>
  </si>
  <si>
    <t>Key parameters</t>
  </si>
  <si>
    <t>Parameter values &amp; Sensitivity Analysis Results</t>
  </si>
  <si>
    <t>Used in Model (base value)</t>
  </si>
  <si>
    <t>Plausible Range</t>
  </si>
  <si>
    <t>Parameter value when ERR becomes &lt; 10%</t>
  </si>
  <si>
    <t>ERR when parameter is at bottom of plausible range</t>
  </si>
  <si>
    <t>ERR when parameter is at top of plausible range</t>
  </si>
  <si>
    <t xml:space="preserve">Value            </t>
  </si>
  <si>
    <t>Value</t>
  </si>
  <si>
    <t>Aggregate</t>
  </si>
  <si>
    <t>Cost</t>
  </si>
  <si>
    <r>
      <rPr>
        <b/>
        <sz val="11"/>
        <rFont val="Arial"/>
        <family val="2"/>
      </rPr>
      <t>Total actual costs</t>
    </r>
    <r>
      <rPr>
        <sz val="11"/>
        <rFont val="Arial"/>
        <family val="2"/>
      </rPr>
      <t>, as percentage of estimated costs</t>
    </r>
  </si>
  <si>
    <t>80%-120%</t>
  </si>
  <si>
    <t>Benefit</t>
  </si>
  <si>
    <r>
      <rPr>
        <b/>
        <sz val="11"/>
        <rFont val="Arial"/>
        <family val="2"/>
      </rPr>
      <t>Total actual benefits</t>
    </r>
    <r>
      <rPr>
        <sz val="11"/>
        <rFont val="Arial"/>
        <family val="2"/>
      </rPr>
      <t>, as a percentage of estimated benefits</t>
    </r>
  </si>
  <si>
    <t>Specific</t>
  </si>
  <si>
    <t>Crop price variability factor</t>
  </si>
  <si>
    <t>Average on-farm investment</t>
  </si>
  <si>
    <t>Project area</t>
  </si>
  <si>
    <t>80%-100%</t>
  </si>
  <si>
    <t>Benefits begin to accrue</t>
  </si>
  <si>
    <t>2022, 2026</t>
  </si>
  <si>
    <t>2030</t>
  </si>
  <si>
    <t>Table 2: Scenario Analysis Results</t>
  </si>
  <si>
    <t>CBA Model, ERR Estimate</t>
  </si>
  <si>
    <t>Revised CBA Model: Official ERR</t>
  </si>
  <si>
    <t xml:space="preserve">Revised CBA Model: Base Case </t>
  </si>
  <si>
    <t>Crystal Ball Report - Full</t>
  </si>
  <si>
    <t>Simulation started on 11/26/2024 at 9:59 AM</t>
  </si>
  <si>
    <t>Simulation stopped on 11/26/2024 at 10:02 AM</t>
  </si>
  <si>
    <t>Run preferences:</t>
  </si>
  <si>
    <t>Number of trials run</t>
  </si>
  <si>
    <t>Monte Carlo</t>
  </si>
  <si>
    <t>Random seed</t>
  </si>
  <si>
    <t>Precision control on</t>
  </si>
  <si>
    <t xml:space="preserve">   Confidence level</t>
  </si>
  <si>
    <t>Run statistics:</t>
  </si>
  <si>
    <t>Total running time (sec)</t>
  </si>
  <si>
    <t>Trials/second (average)</t>
  </si>
  <si>
    <t>Random numbers per sec</t>
  </si>
  <si>
    <t>Crystal Ball data:</t>
  </si>
  <si>
    <t>Assumptions</t>
  </si>
  <si>
    <t xml:space="preserve">   Correlations</t>
  </si>
  <si>
    <t xml:space="preserve">   Correlation matrices</t>
  </si>
  <si>
    <t>Decision variables</t>
  </si>
  <si>
    <t>Forecasts</t>
  </si>
  <si>
    <t>Note: Mean of forecasted values reported as official ERR</t>
  </si>
  <si>
    <t>Worksheet: [v6_mcc_err_marii_rural_land_revised.xlsx]Cost-Benefit Summary</t>
  </si>
  <si>
    <t>Forecast: ERR</t>
  </si>
  <si>
    <t>Cell: E17</t>
  </si>
  <si>
    <t>Summary:</t>
  </si>
  <si>
    <t>Certainty level is 98.301%</t>
  </si>
  <si>
    <t>Certainty range is from 10.0% to ∞</t>
  </si>
  <si>
    <t>Entire range is from 5.4% to 33.0%</t>
  </si>
  <si>
    <t>Base case is 18.2%</t>
  </si>
  <si>
    <t>After 20,000 trials, the std. error of the mean is 0.0%</t>
  </si>
  <si>
    <t>Forecast: ERR (cont'd)</t>
  </si>
  <si>
    <t>Statistics:</t>
  </si>
  <si>
    <t>Forecast values</t>
  </si>
  <si>
    <t>Trials</t>
  </si>
  <si>
    <t>Mean</t>
  </si>
  <si>
    <t>Median</t>
  </si>
  <si>
    <t>Mode</t>
  </si>
  <si>
    <t>---</t>
  </si>
  <si>
    <t>Standard Deviation</t>
  </si>
  <si>
    <t>Variance</t>
  </si>
  <si>
    <t>Skewness</t>
  </si>
  <si>
    <t>Kurtosis</t>
  </si>
  <si>
    <t>Coeff. of Variation</t>
  </si>
  <si>
    <t>Minimum</t>
  </si>
  <si>
    <t>Maximum</t>
  </si>
  <si>
    <t>Range Width</t>
  </si>
  <si>
    <t>Mean Std. Error</t>
  </si>
  <si>
    <t>Percentiles:</t>
  </si>
  <si>
    <t>0%</t>
  </si>
  <si>
    <t>10%</t>
  </si>
  <si>
    <t>20%</t>
  </si>
  <si>
    <t>30%</t>
  </si>
  <si>
    <t>40%</t>
  </si>
  <si>
    <t>50%</t>
  </si>
  <si>
    <t>60%</t>
  </si>
  <si>
    <t>70%</t>
  </si>
  <si>
    <t>80%</t>
  </si>
  <si>
    <t>90%</t>
  </si>
  <si>
    <t>100%</t>
  </si>
  <si>
    <t>Forecast: NPV of Net Benefits, USD</t>
  </si>
  <si>
    <t>Cell: E19</t>
  </si>
  <si>
    <t>Entire range is from ($30,231,423) to $256,486,735</t>
  </si>
  <si>
    <t>Base case is $67,532,613</t>
  </si>
  <si>
    <t>After 20,000 trials, the std. error of the mean is $280,562</t>
  </si>
  <si>
    <t>Forecast: NPV of Net Benefits, USD (cont'd)</t>
  </si>
  <si>
    <t>Forecast: Present Value (PV) of Benefits, USD · Base Case</t>
  </si>
  <si>
    <t>Cell: E20</t>
  </si>
  <si>
    <t>Entire range is from $79,016,096 to $384,651,803</t>
  </si>
  <si>
    <t>Base case is $182,691,910</t>
  </si>
  <si>
    <t>After 20,000 trials, the std. error of the mean is $343,657</t>
  </si>
  <si>
    <t>Forecast: Present Value (PV) of Benefits, USD · Base Case (cont'd)</t>
  </si>
  <si>
    <t>Forecast: Present Value (PV) of Costs, USD · Base Case</t>
  </si>
  <si>
    <t>Cell: E21</t>
  </si>
  <si>
    <t>Entire range is from ($203,521,190) to ($66,627,603)</t>
  </si>
  <si>
    <t>Base case is ($115,159,297)</t>
  </si>
  <si>
    <t>After 20,000 trials, the std. error of the mean is $159,294</t>
  </si>
  <si>
    <t>Forecast: Present Value (PV) of Costs, USD · Base Case (cont'd)</t>
  </si>
  <si>
    <t>End of Forecasts</t>
  </si>
  <si>
    <t>Worksheet: [v6_mcc_err_marii_rural_land_revised.xlsx]CBA Model</t>
  </si>
  <si>
    <t>Assumption: Investment Variability Factor</t>
  </si>
  <si>
    <t>Cell: D24</t>
  </si>
  <si>
    <t>Uniform distribution with parameters:</t>
  </si>
  <si>
    <t>Assumption: Price Variability Factor</t>
  </si>
  <si>
    <t>Cell: D25</t>
  </si>
  <si>
    <t>Assumption: Project Area Variability Factor</t>
  </si>
  <si>
    <t>Cell: D23</t>
  </si>
  <si>
    <t>Assumption: Total Benefits</t>
  </si>
  <si>
    <t>Cell: D29</t>
  </si>
  <si>
    <t>Assumption: Total Costs</t>
  </si>
  <si>
    <t>Cell: D28</t>
  </si>
  <si>
    <t>Assumption: Year Land Development Starts</t>
  </si>
  <si>
    <t>Cell: D27</t>
  </si>
  <si>
    <t>End of Assumptions</t>
  </si>
  <si>
    <t>Crop Prices and Production Costs</t>
  </si>
  <si>
    <t>Table 1. Average Crop Prices by Quintal</t>
  </si>
  <si>
    <t>1, 2, 3</t>
  </si>
  <si>
    <t>Main Crops</t>
  </si>
  <si>
    <t>Average Financial Prices (MAD/Quintal)</t>
  </si>
  <si>
    <t>Average Economic Prices (MAD/Quintal)</t>
  </si>
  <si>
    <t>Artichokes</t>
  </si>
  <si>
    <t>Berseem</t>
  </si>
  <si>
    <t>Sugar Beets</t>
  </si>
  <si>
    <t>Durum Wheat</t>
  </si>
  <si>
    <t>Soft Wheat</t>
  </si>
  <si>
    <t>Sugarcane</t>
  </si>
  <si>
    <t>Cardoon</t>
  </si>
  <si>
    <t>Carrots and Turnips</t>
  </si>
  <si>
    <t>Coriander</t>
  </si>
  <si>
    <t>Field Beans</t>
  </si>
  <si>
    <t>Fava Beans</t>
  </si>
  <si>
    <t>Dry Beans</t>
  </si>
  <si>
    <t>Lentils</t>
  </si>
  <si>
    <t>Alfalfa</t>
  </si>
  <si>
    <t>Maize</t>
  </si>
  <si>
    <t>Forage Maize</t>
  </si>
  <si>
    <t>Melon</t>
  </si>
  <si>
    <t>Onions</t>
  </si>
  <si>
    <t>Barley</t>
  </si>
  <si>
    <t>Forage Barley</t>
  </si>
  <si>
    <t>Pea</t>
  </si>
  <si>
    <t>Chickpeas</t>
  </si>
  <si>
    <t>Tobacco</t>
  </si>
  <si>
    <t>Tomatoes</t>
  </si>
  <si>
    <t>Sunflowers</t>
  </si>
  <si>
    <t>Table 2. Total Cost of Crop Production by Scenario</t>
  </si>
  <si>
    <t>Melkisation</t>
  </si>
  <si>
    <t>Collective</t>
  </si>
  <si>
    <t>Crop prices are reported in MAD per quintal, which is a unit of mass equal to 100 kilograms.</t>
  </si>
  <si>
    <t>Economic prices are calculated by applying MCC's price variability factor to the financial prices obtained from survey data. This factor is controlled on the CBA Model worksheet.</t>
  </si>
  <si>
    <t>Source: Survey data collected by the Moroccan Ministry of Agriculture.</t>
  </si>
  <si>
    <t>This worksheet models revenue generated per hectare in the project area, with projections by crop using a simulation based on inputs from survey data collected by the Moroccan Ministry of Agriculture.</t>
  </si>
  <si>
    <t>Table 1. Project Land Area by Agro-Climatic Zone</t>
  </si>
  <si>
    <t>Zone</t>
  </si>
  <si>
    <t>Areas Included</t>
  </si>
  <si>
    <t>Size of Land Area in Simulation (ha)</t>
  </si>
  <si>
    <t>Sloped Zone (ha)</t>
  </si>
  <si>
    <t>Bab Tiouka and Zirara</t>
  </si>
  <si>
    <t>Flat Zone (ha)</t>
  </si>
  <si>
    <t>Amer Chamalia</t>
  </si>
  <si>
    <t>Irrigated Zone (ha)</t>
  </si>
  <si>
    <t>Chbanate, Boumaiz, and Sfafaa</t>
  </si>
  <si>
    <t>Total Land Area in Simulation (ha)</t>
  </si>
  <si>
    <t>Table 2. Survey-Based Results of Crop Rotation by Agro-Climatic Zone and by Land Tenure Status</t>
  </si>
  <si>
    <t>Table 3. Survey Results from Table 2 Scaled Up by Simulation Areas Provided in Table 1</t>
  </si>
  <si>
    <t>Sloped Zone</t>
  </si>
  <si>
    <t>Flat Zone</t>
  </si>
  <si>
    <t>Irrigated Zone</t>
  </si>
  <si>
    <t>All Zones</t>
  </si>
  <si>
    <t>Melkisation (ha)</t>
  </si>
  <si>
    <t>Collective 
(ha)</t>
  </si>
  <si>
    <t>Peas</t>
  </si>
  <si>
    <t>Total</t>
  </si>
  <si>
    <t>Table 4. Simulated Yields as Reported in the Sample Survey (Qx/ha)</t>
  </si>
  <si>
    <t>Table 5. Table 4 Yields Multiplied by Yield Factor</t>
  </si>
  <si>
    <t>Table 6. Total Simulated Production of the Project Area (Qx)</t>
  </si>
  <si>
    <t>2,3</t>
  </si>
  <si>
    <t>Table 7. Simulated Total Revenue of the Project Area  (MAD)</t>
  </si>
  <si>
    <t>Total Incremental Revenue (MAD)</t>
  </si>
  <si>
    <t>Table 8. Total Projected Revenue by Land Tenure Status</t>
  </si>
  <si>
    <t>Legal Status</t>
  </si>
  <si>
    <t>Total Projected Revenue (MAD)</t>
  </si>
  <si>
    <t>Table 9. Incremental Cost of Production</t>
  </si>
  <si>
    <t>Total Cost of Production</t>
  </si>
  <si>
    <t>2, 4</t>
  </si>
  <si>
    <t>Incremental</t>
  </si>
  <si>
    <t>Table 10. Summary of Costs and Benefits Overall and by Hectare</t>
  </si>
  <si>
    <t>Total Net Benefit (MAD)</t>
  </si>
  <si>
    <t>Net Benefit by ha (MAD/ha)</t>
  </si>
  <si>
    <t>Cost of Production (MAD)</t>
  </si>
  <si>
    <t>Cost per ha (MAD)</t>
  </si>
  <si>
    <t>Total Revenue (MAD)</t>
  </si>
  <si>
    <t>Revenue per ha (MAD)</t>
  </si>
  <si>
    <t>Source: Author's calculation.</t>
  </si>
  <si>
    <t>Source: 2014 prices provided on the Crop Prices worksheet.</t>
  </si>
  <si>
    <t>Source: Crop Prices worksheet.</t>
  </si>
  <si>
    <t>The incremental value of associated by-products is calculated on the By-Product Value worksheet.</t>
  </si>
  <si>
    <t>1, 2</t>
  </si>
  <si>
    <t>Crops</t>
  </si>
  <si>
    <t>Melkisation Byproducts  Production (Qx)</t>
  </si>
  <si>
    <t>Collective Byproducts  Production (Qx)</t>
  </si>
  <si>
    <t>Incremental production of  by-product (Qx)</t>
  </si>
  <si>
    <t>Price/Ql</t>
  </si>
  <si>
    <t>Melk</t>
  </si>
  <si>
    <t>Incremental Value of by-products (MAD)</t>
  </si>
  <si>
    <t>Source: Household Survey May 2015: Land Productivity and Governance Improvement Project</t>
  </si>
  <si>
    <t>By-products are secondary products created during the process of producing primary agricultural products.</t>
  </si>
  <si>
    <t>Livestock Cattle and Meat Production</t>
  </si>
  <si>
    <t xml:space="preserve">Sloped Zone Cattle </t>
  </si>
  <si>
    <t>Utilized Agricultural Area (ha)</t>
  </si>
  <si>
    <t>Current Stock</t>
  </si>
  <si>
    <t>Sales</t>
  </si>
  <si>
    <t>Purchases</t>
  </si>
  <si>
    <t>Net Sales</t>
  </si>
  <si>
    <t>Cattle</t>
  </si>
  <si>
    <t>Local Cattle</t>
  </si>
  <si>
    <t>Crossbred Cattle</t>
  </si>
  <si>
    <t>Purebred Cattle</t>
  </si>
  <si>
    <t>Cow</t>
  </si>
  <si>
    <t>Heifer (female bovine aged over 6 months who has not calved)</t>
  </si>
  <si>
    <t>Calf (male/female bovine less than 6 months old)</t>
  </si>
  <si>
    <t>Bull (male bovine aged 6 to 24 months)</t>
  </si>
  <si>
    <t>Bull (adult male over 24 months old) not castrated</t>
  </si>
  <si>
    <t>Ox (adult male over 24 months castrated)</t>
  </si>
  <si>
    <t xml:space="preserve">Flat Zone Cattle </t>
  </si>
  <si>
    <t xml:space="preserve">Irrigated Zone Cattle </t>
  </si>
  <si>
    <t xml:space="preserve">Cattle Across Zones, Aggregated </t>
  </si>
  <si>
    <t>Aggregate Melkisation Net Sales</t>
  </si>
  <si>
    <t>Aggregate Collective Net Sales</t>
  </si>
  <si>
    <t>Incremental (Melkisation - Collective), Aggregate</t>
  </si>
  <si>
    <t>Aggregate Incremental Sales</t>
  </si>
  <si>
    <t>Valuation of Production</t>
  </si>
  <si>
    <t>Value of Production</t>
  </si>
  <si>
    <t>Value of Incremental Stock (MAD)</t>
  </si>
  <si>
    <t>Value of Incremental Sales                     (Gross Income in MAD)</t>
  </si>
  <si>
    <t>Value of Incremental Stock - Melkisation (MAD)</t>
  </si>
  <si>
    <t>Value of Incremental Stock - Collective (MAD)</t>
  </si>
  <si>
    <t>Heifer (female bovine aged over 6 months who has not calved</t>
  </si>
  <si>
    <t>Cost of Production and Net Benefits</t>
  </si>
  <si>
    <t>Cost of Incremental Sales (MAD)</t>
  </si>
  <si>
    <t>Net Incremental Benefit</t>
  </si>
  <si>
    <t>Summary</t>
  </si>
  <si>
    <t>Incremental Area (ha)</t>
  </si>
  <si>
    <t>Total Value of Livestock per Hectare (MAD/ha)</t>
  </si>
  <si>
    <t>Total Incremental Benefit (MAD/ha)</t>
  </si>
  <si>
    <t>Cost per cattle</t>
  </si>
  <si>
    <t>Cattle per ha</t>
  </si>
  <si>
    <t>Cost per ha</t>
  </si>
  <si>
    <t>Benefit per cattle</t>
  </si>
  <si>
    <t>Benefit per hectare excluding milk</t>
  </si>
  <si>
    <t>Benefit per hectare including milk</t>
  </si>
  <si>
    <t>Cattle prices are provided in the Cattle Prices worksheet.</t>
  </si>
  <si>
    <t>Cattle costs are provided in the Cattle Prices worksheet.</t>
  </si>
  <si>
    <t>Dairy benefits are calculated on the Dairy Production worksheet.</t>
  </si>
  <si>
    <t>Shaded cells indicate negative values and benefits.</t>
  </si>
  <si>
    <t>Cattle Prices and Breeding Costs</t>
  </si>
  <si>
    <t>Prices (MAD)</t>
  </si>
  <si>
    <t>Breeding Cost (MAD)</t>
  </si>
  <si>
    <t>Source: Estimates provided by the Moroccan Ministry of Agriculture.</t>
  </si>
  <si>
    <t>This worksheet calculates the value of milk production per hectare of land using inputs from survey data collected by the Moroccan Ministry of Agriculture.
The calculations are conducted by zone and by melk or collective land status to determine this benefit stream for the model.</t>
  </si>
  <si>
    <t>Agro-ecological Zone</t>
  </si>
  <si>
    <t>Number of Dairy Cows</t>
  </si>
  <si>
    <t>Average lactation duration in months</t>
  </si>
  <si>
    <t>Quantity of milk per lactation</t>
  </si>
  <si>
    <t>Quantity of milk sold per lactation</t>
  </si>
  <si>
    <t>Quantity of milk self-consumed per lactation</t>
  </si>
  <si>
    <t xml:space="preserve">Quantity processed in Kg
</t>
  </si>
  <si>
    <t>Quantity of whey transformed in liters</t>
  </si>
  <si>
    <t>Sloped Zone (Bab Tiouka and Zirara)</t>
  </si>
  <si>
    <t>Flat Zone (Amer Chamalia)</t>
  </si>
  <si>
    <t>Irrigated Zone (Chbanate, Boumaiz, and Sfafaa)</t>
  </si>
  <si>
    <t>All Cattle</t>
  </si>
  <si>
    <t>Aggregated Zones</t>
  </si>
  <si>
    <t>Incremental Values for Use in CBA Model Worksheet</t>
  </si>
  <si>
    <t>2, 3</t>
  </si>
  <si>
    <t>Incremental Value of Milk Produced (MAD)</t>
  </si>
  <si>
    <t>Incremental Value of Milk Produced per ha (MAD/ha)</t>
  </si>
  <si>
    <t>Source: Prices provided by the Moroccan Ministry of Agriculture.</t>
  </si>
  <si>
    <t>Value of milk production was estimated using survey-indicated quantities and milk prices in 2015.</t>
  </si>
  <si>
    <t>Irrigation Materials and Equipment</t>
  </si>
  <si>
    <t xml:space="preserve">
This worksheet provides background information on the marginal value of irrigation materials and equipment required for implementation. 
This is used to determine new on-farm investment values in the melkisation scenario in the CBA Model worksheet.</t>
  </si>
  <si>
    <t>Total Incremental Value of Irrigation Equipment</t>
  </si>
  <si>
    <t>Motor Pump (MAD)</t>
  </si>
  <si>
    <t>Electrical Pump (MAD)</t>
  </si>
  <si>
    <t>Basins (MAD)</t>
  </si>
  <si>
    <t>Wells (MAD)</t>
  </si>
  <si>
    <t>Boreholes (MAD)</t>
  </si>
  <si>
    <t>Other Irrigation Equipment (MAD)</t>
  </si>
  <si>
    <t>Total (MAD)</t>
  </si>
  <si>
    <t>Incremental Value</t>
  </si>
  <si>
    <t>Incremental Irrigated Area (Equipped)</t>
  </si>
  <si>
    <t>Drip irrigation</t>
  </si>
  <si>
    <t>Sprinkler Irrigation</t>
  </si>
  <si>
    <t>Gravity-Fed Irrigation</t>
  </si>
  <si>
    <t>Total Incremental Value of Irrigation Equipment (Moroccan Dirhams (MAD))</t>
  </si>
  <si>
    <t>Average Value of Irrigation Equipment (MAD/ha) for Sample Size</t>
  </si>
  <si>
    <t>Sample Size Adjustment</t>
  </si>
  <si>
    <t>Average Value of Irrigation Equipment (MAD/ha)</t>
  </si>
  <si>
    <t>Data provided through expert consultations on the value of irrigation equipment in Morocco in 2015.</t>
  </si>
  <si>
    <t>Estimate scaled down for 9,200 ha irrigated zone included in project area.</t>
  </si>
  <si>
    <t>Morocco</t>
  </si>
  <si>
    <t>Inflation rate, average consumer prices (Annual percent change)</t>
  </si>
  <si>
    <t>Inflation rate, end of period consumer prices (Annual percent change)</t>
  </si>
  <si>
    <t>Consumer price index (2010 = 100)</t>
  </si>
  <si>
    <t>Base year as 2017</t>
  </si>
  <si>
    <t>United States</t>
  </si>
  <si>
    <t>Inflation, consumer prices (annual %)</t>
  </si>
  <si>
    <t>Average inflation value for projection (2016 - 2019)</t>
  </si>
  <si>
    <t>Source: IMF, 2021. Shaded cells indicate estimates/forecasts rather than actual values at the time of modeling.</t>
  </si>
  <si>
    <t>Source: WDI, 2021 Shaded cells indicate that values reflect MCC economists' estimations.</t>
  </si>
  <si>
    <t>MCC economists' calculations.</t>
  </si>
  <si>
    <t>Table 1. Exchange Rate: 1 USD = X MAD</t>
  </si>
  <si>
    <t>Annual Exchange Rate Averages Actuals</t>
  </si>
  <si>
    <t xml:space="preserve">MAD to USD </t>
  </si>
  <si>
    <t>MAD to USD, exchange rate</t>
  </si>
  <si>
    <t>Year</t>
  </si>
  <si>
    <t>Annual Averages</t>
  </si>
  <si>
    <t>Change (%)</t>
  </si>
  <si>
    <t>2021 and on</t>
  </si>
  <si>
    <t>Notes:</t>
  </si>
  <si>
    <t>The original CBA model prepared for the IM assumed an exchange rate of 8.4 MAD/USD, consistent with 2014 figures. Over the course of Compact implementation, exchange rate fluctuations relative to the US Dollar resulted in realized exchange rate risks that have increased the USD cost of contracts awarded in MAD and have budget and CBA implications. The revised CBA model will take these more recent exchange rates into account.</t>
  </si>
  <si>
    <t xml:space="preserve"> Source: World Bank, using IMF International Finance Statistics (2021). https://data.worldbank.org/indicator/PA.NUS.FCRF?contextual=default&amp;end=2020&amp;locations=MA&amp;start=1960&amp;view=chart </t>
  </si>
  <si>
    <t>Costs</t>
  </si>
  <si>
    <t>This worksheet provides the Multi-Year Financial Plan Summary provided in Annex II of the Morocco Employability and Land Compact.</t>
  </si>
  <si>
    <t>Component</t>
  </si>
  <si>
    <t>CIF</t>
  </si>
  <si>
    <t>Year 1</t>
  </si>
  <si>
    <t>Year 2</t>
  </si>
  <si>
    <t>Year 3</t>
  </si>
  <si>
    <t>Year 4</t>
  </si>
  <si>
    <t>Year 5</t>
  </si>
  <si>
    <t>1.  Education and Training for Employability Project</t>
  </si>
  <si>
    <t>1.1 Secondary Education Activity</t>
  </si>
  <si>
    <t>1.2 Workforce Development Activity</t>
  </si>
  <si>
    <t>Subtotal</t>
  </si>
  <si>
    <t>2. Land Productivity Project</t>
  </si>
  <si>
    <t>2.1  Governance Activity</t>
  </si>
  <si>
    <t>2.2. Rural Land Activity</t>
  </si>
  <si>
    <t>Rural Land Activity - Estimated M&amp;E Costs</t>
  </si>
  <si>
    <t>Rural Land Activity - Estimated Program Administration Costs</t>
  </si>
  <si>
    <t>2.3  Industrial Land Activity</t>
  </si>
  <si>
    <t>3. Monitoring &amp; Evaluation</t>
  </si>
  <si>
    <t>3.1 Monitoring and Evaluation (M&amp;E)</t>
  </si>
  <si>
    <t>4.  Program Administration and Oversight</t>
  </si>
  <si>
    <t>4.1  MCA-Morocco II Program Administration</t>
  </si>
  <si>
    <t>4.2  Fiscal and Procurement Agents</t>
  </si>
  <si>
    <t>4.3  Audits and Compliance</t>
  </si>
  <si>
    <t>TOTAL MCC FUNDING</t>
  </si>
  <si>
    <t>Minimum Government Contribution</t>
  </si>
  <si>
    <t>Activity-level program administration and monitoring and evaluation costs are estimated using pro-rated amounts of the overall compact level budget for these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</si>
</sst>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7" formatCode="&quot;$&quot;#,##0.00_);\(&quot;$&quot;#,##0.00\)"/>
    <numFmt numFmtId="44" formatCode="_(&quot;$&quot;* #,##0.00_);_(&quot;$&quot;* \(#,##0.00\);_(&quot;$&quot;* &quot;-&quot;??_);_(@_)"/>
    <numFmt numFmtId="43" formatCode="_(* #,##0.00_);_(* \(#,##0.00\);_(* &quot;-&quot;??_);_(@_)"/>
    <numFmt numFmtId="164" formatCode="_-* #,##0.00\ _€_-;\-* #,##0.00\ _€_-;_-* &quot;-&quot;??\ _€_-;_-@_-"/>
    <numFmt numFmtId="165" formatCode="_-* #,##0.0\ _€_-;\-* #,##0.0\ _€_-;_-* &quot;-&quot;??\ _€_-;_-@_-"/>
    <numFmt numFmtId="166" formatCode="_-* #,##0\ _€_-;\-* #,##0\ _€_-;_-* &quot;-&quot;??\ _€_-;_-@_-"/>
    <numFmt numFmtId="167" formatCode="0.0%"/>
    <numFmt numFmtId="168" formatCode="_(&quot;$&quot;* #,##0_);_(&quot;$&quot;* \(#,##0\);_(&quot;$&quot;* &quot;-&quot;??_);_(@_)"/>
    <numFmt numFmtId="169" formatCode="_(&quot;$&quot;* #,##0.0_);_(&quot;$&quot;* \(#,##0.0\);_(&quot;$&quot;* &quot;-&quot;??_);_(@_)"/>
    <numFmt numFmtId="170" formatCode="#,###"/>
    <numFmt numFmtId="171" formatCode="0.0000"/>
    <numFmt numFmtId="172" formatCode="&quot;$&quot;#,##0;\(&quot;$&quot;#,##0\)"/>
    <numFmt numFmtId="173" formatCode="&quot;$&quot;#,##0"/>
    <numFmt numFmtId="174" formatCode="0.0"/>
    <numFmt numFmtId="175" formatCode="&quot;$&quot;#,##0.00"/>
    <numFmt numFmtId="176" formatCode="0.000"/>
  </numFmts>
  <fonts count="88"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sz val="8"/>
      <color indexed="17"/>
      <name val="Arial"/>
      <family val="2"/>
    </font>
    <font>
      <b/>
      <sz val="10"/>
      <name val="Arial"/>
      <family val="2"/>
    </font>
    <font>
      <sz val="10"/>
      <color theme="1"/>
      <name val="Arial"/>
      <family val="2"/>
    </font>
    <font>
      <sz val="10"/>
      <name val="Times New Roman"/>
      <family val="1"/>
    </font>
    <font>
      <u/>
      <sz val="10"/>
      <color theme="10"/>
      <name val="Arial"/>
      <family val="2"/>
    </font>
    <font>
      <sz val="14"/>
      <name val="Arial"/>
      <family val="2"/>
    </font>
    <font>
      <u/>
      <sz val="10"/>
      <name val="Arial"/>
      <family val="2"/>
    </font>
    <font>
      <sz val="10"/>
      <color rgb="FFFF0000"/>
      <name val="Arial"/>
      <family val="2"/>
    </font>
    <font>
      <b/>
      <u/>
      <sz val="10"/>
      <name val="Arial"/>
      <family val="2"/>
    </font>
    <font>
      <sz val="10"/>
      <color rgb="FF000000"/>
      <name val="Arial"/>
      <family val="2"/>
    </font>
    <font>
      <sz val="10"/>
      <color rgb="FF000000"/>
      <name val="Times New Roman"/>
      <family val="1"/>
    </font>
    <font>
      <sz val="11"/>
      <color theme="1"/>
      <name val="Arial"/>
      <family val="2"/>
    </font>
    <font>
      <b/>
      <sz val="11"/>
      <color theme="1"/>
      <name val="Arial"/>
      <family val="2"/>
    </font>
    <font>
      <sz val="8"/>
      <color rgb="FF008000"/>
      <name val="Arial"/>
      <family val="2"/>
    </font>
    <font>
      <b/>
      <sz val="16"/>
      <name val="Arial"/>
      <family val="2"/>
    </font>
    <font>
      <b/>
      <sz val="14"/>
      <name val="Arial"/>
      <family val="2"/>
    </font>
    <font>
      <b/>
      <i/>
      <sz val="10"/>
      <name val="Arial"/>
      <family val="2"/>
    </font>
    <font>
      <i/>
      <sz val="10"/>
      <name val="Arial"/>
      <family val="2"/>
    </font>
    <font>
      <i/>
      <sz val="10"/>
      <color rgb="FF000000"/>
      <name val="Arial"/>
      <family val="2"/>
    </font>
    <font>
      <b/>
      <i/>
      <sz val="10"/>
      <color theme="1"/>
      <name val="Arial"/>
      <family val="2"/>
    </font>
    <font>
      <i/>
      <sz val="12"/>
      <name val="Arial"/>
      <family val="2"/>
    </font>
    <font>
      <sz val="11"/>
      <color rgb="FF000000"/>
      <name val="Arial"/>
      <family val="2"/>
    </font>
    <font>
      <b/>
      <i/>
      <sz val="11"/>
      <name val="Arial"/>
      <family val="2"/>
    </font>
    <font>
      <b/>
      <u/>
      <sz val="11"/>
      <color theme="1"/>
      <name val="Arial"/>
      <family val="2"/>
    </font>
    <font>
      <b/>
      <i/>
      <sz val="11"/>
      <color theme="1"/>
      <name val="Arial"/>
      <family val="2"/>
    </font>
    <font>
      <i/>
      <sz val="11"/>
      <color theme="1"/>
      <name val="Arial"/>
      <family val="2"/>
    </font>
    <font>
      <b/>
      <sz val="14"/>
      <color theme="0"/>
      <name val="Arial"/>
      <family val="2"/>
    </font>
    <font>
      <sz val="10"/>
      <color rgb="FFC00000"/>
      <name val="Arial"/>
      <family val="2"/>
    </font>
    <font>
      <b/>
      <sz val="10"/>
      <color rgb="FF000000"/>
      <name val="Arial"/>
      <family val="2"/>
    </font>
    <font>
      <b/>
      <sz val="10"/>
      <color theme="1"/>
      <name val="Arial"/>
      <family val="2"/>
    </font>
    <font>
      <b/>
      <sz val="12"/>
      <name val="Arial"/>
      <family val="2"/>
    </font>
    <font>
      <b/>
      <u/>
      <sz val="12"/>
      <name val="Arial"/>
      <family val="2"/>
    </font>
    <font>
      <sz val="12"/>
      <name val="Arial"/>
      <family val="2"/>
    </font>
    <font>
      <b/>
      <sz val="11"/>
      <color theme="0"/>
      <name val="Arial"/>
      <family val="2"/>
    </font>
    <font>
      <sz val="10"/>
      <color indexed="23"/>
      <name val="Arial"/>
      <family val="2"/>
    </font>
    <font>
      <b/>
      <sz val="11"/>
      <name val="Arial"/>
      <family val="2"/>
    </font>
    <font>
      <sz val="11"/>
      <name val="Arial"/>
      <family val="2"/>
    </font>
    <font>
      <b/>
      <sz val="11"/>
      <color rgb="FF002060"/>
      <name val="Arial"/>
      <family val="2"/>
    </font>
    <font>
      <i/>
      <sz val="11"/>
      <name val="Arial"/>
      <family val="2"/>
    </font>
    <font>
      <b/>
      <sz val="10"/>
      <color indexed="55"/>
      <name val="Arial"/>
      <family val="2"/>
    </font>
    <font>
      <sz val="9"/>
      <color indexed="55"/>
      <name val="Arial"/>
      <family val="2"/>
    </font>
    <font>
      <sz val="12"/>
      <color theme="1"/>
      <name val="Arial"/>
      <family val="2"/>
    </font>
    <font>
      <b/>
      <sz val="11"/>
      <color rgb="FFFFFFFF"/>
      <name val="Arial"/>
      <family val="2"/>
    </font>
    <font>
      <b/>
      <i/>
      <sz val="10"/>
      <color rgb="FF000000"/>
      <name val="Arial"/>
      <family val="2"/>
    </font>
    <font>
      <sz val="11"/>
      <color rgb="FFFF0000"/>
      <name val="Arial"/>
      <family val="2"/>
    </font>
    <font>
      <sz val="10"/>
      <name val="Arial"/>
      <family val="2"/>
    </font>
    <font>
      <b/>
      <sz val="11"/>
      <color rgb="FF000000"/>
      <name val="Arial"/>
      <family val="2"/>
    </font>
    <font>
      <i/>
      <sz val="10"/>
      <color theme="1"/>
      <name val="Arial"/>
      <family val="2"/>
    </font>
    <font>
      <i/>
      <sz val="11"/>
      <color theme="1"/>
      <name val="Calibri"/>
      <family val="2"/>
      <scheme val="minor"/>
    </font>
    <font>
      <u/>
      <sz val="11"/>
      <color theme="10"/>
      <name val="Calibri"/>
      <family val="2"/>
      <scheme val="minor"/>
    </font>
    <font>
      <sz val="12"/>
      <color rgb="FFFF0000"/>
      <name val="Arial"/>
      <family val="2"/>
    </font>
    <font>
      <b/>
      <sz val="10"/>
      <color rgb="FFFF0000"/>
      <name val="Arial"/>
      <family val="2"/>
    </font>
    <font>
      <b/>
      <sz val="11"/>
      <color theme="1"/>
      <name val="Calibri"/>
      <family val="2"/>
      <scheme val="minor"/>
    </font>
    <font>
      <b/>
      <sz val="12"/>
      <color rgb="FFFFFFFF"/>
      <name val="Arial"/>
      <family val="2"/>
    </font>
    <font>
      <b/>
      <sz val="10"/>
      <name val="MS Sans Serif"/>
    </font>
    <font>
      <sz val="10"/>
      <name val="MS Sans Serif"/>
    </font>
    <font>
      <i/>
      <sz val="11"/>
      <color theme="0"/>
      <name val="Arial"/>
      <family val="2"/>
    </font>
    <font>
      <sz val="10"/>
      <name val="Arial"/>
      <family val="2"/>
    </font>
    <font>
      <b/>
      <sz val="10"/>
      <color theme="0"/>
      <name val="Arial"/>
      <family val="2"/>
    </font>
    <font>
      <b/>
      <sz val="10"/>
      <color theme="0" tint="-0.499984740745262"/>
      <name val="Arial"/>
      <family val="2"/>
    </font>
    <font>
      <u/>
      <sz val="10"/>
      <color indexed="12"/>
      <name val="Arial"/>
      <family val="2"/>
    </font>
    <font>
      <u/>
      <sz val="11"/>
      <color theme="10"/>
      <name val="Arial"/>
      <family val="2"/>
    </font>
    <font>
      <u/>
      <sz val="11"/>
      <color indexed="12"/>
      <name val="Arial"/>
      <family val="2"/>
    </font>
    <font>
      <sz val="10"/>
      <color theme="1"/>
      <name val="Calibri"/>
      <family val="2"/>
      <scheme val="minor"/>
    </font>
    <font>
      <i/>
      <sz val="10"/>
      <color theme="1"/>
      <name val="Calibri"/>
      <family val="2"/>
      <scheme val="minor"/>
    </font>
    <font>
      <sz val="11"/>
      <name val="Calibri"/>
      <family val="2"/>
      <scheme val="minor"/>
    </font>
    <font>
      <b/>
      <i/>
      <sz val="11"/>
      <color theme="1"/>
      <name val="Calibri"/>
      <family val="2"/>
      <scheme val="minor"/>
    </font>
    <font>
      <b/>
      <sz val="7"/>
      <color rgb="FF505050"/>
      <name val="Arial"/>
      <family val="2"/>
    </font>
    <font>
      <b/>
      <sz val="16"/>
      <color rgb="FFFF0000"/>
      <name val="Arial"/>
      <family val="2"/>
    </font>
    <font>
      <sz val="10"/>
      <color theme="1" tint="0.499984740745262"/>
      <name val="Arial"/>
      <family val="2"/>
    </font>
    <font>
      <i/>
      <sz val="10"/>
      <color theme="1" tint="0.499984740745262"/>
      <name val="Arial"/>
      <family val="2"/>
    </font>
    <font>
      <b/>
      <sz val="11"/>
      <color rgb="FFFF0000"/>
      <name val="Calibri"/>
      <family val="2"/>
      <scheme val="minor"/>
    </font>
    <font>
      <i/>
      <sz val="9"/>
      <name val="Arial"/>
      <family val="2"/>
    </font>
    <font>
      <b/>
      <i/>
      <sz val="10"/>
      <color theme="1"/>
      <name val="Calibri"/>
      <family val="2"/>
      <scheme val="minor"/>
    </font>
    <font>
      <b/>
      <sz val="11"/>
      <color theme="0"/>
      <name val="Calibri"/>
      <family val="2"/>
      <scheme val="minor"/>
    </font>
    <font>
      <b/>
      <sz val="14"/>
      <color theme="1"/>
      <name val="Calibri"/>
      <family val="2"/>
      <scheme val="minor"/>
    </font>
    <font>
      <sz val="10"/>
      <name val="Calibri"/>
      <family val="2"/>
      <scheme val="minor"/>
    </font>
    <font>
      <b/>
      <sz val="16"/>
      <name val="Calibri"/>
      <family val="2"/>
      <scheme val="minor"/>
    </font>
    <font>
      <b/>
      <sz val="14"/>
      <name val="Calibri"/>
      <family val="2"/>
      <scheme val="minor"/>
    </font>
    <font>
      <i/>
      <sz val="12"/>
      <name val="Calibri"/>
      <family val="2"/>
      <scheme val="minor"/>
    </font>
    <font>
      <b/>
      <i/>
      <sz val="10"/>
      <name val="Calibri"/>
      <family val="2"/>
      <scheme val="minor"/>
    </font>
    <font>
      <sz val="9"/>
      <color indexed="81"/>
      <name val="Tahoma"/>
      <family val="2"/>
    </font>
    <font>
      <b/>
      <sz val="9"/>
      <color indexed="81"/>
      <name val="Tahoma"/>
      <family val="2"/>
    </font>
    <font>
      <b/>
      <sz val="14"/>
      <color rgb="FF0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rgb="FF8EA9DB"/>
        <bgColor indexed="64"/>
      </patternFill>
    </fill>
    <fill>
      <patternFill patternType="solid">
        <fgColor rgb="FFD9E1F2"/>
        <bgColor indexed="64"/>
      </patternFill>
    </fill>
    <fill>
      <patternFill patternType="solid">
        <fgColor rgb="FF002563"/>
        <bgColor rgb="FF000000"/>
      </patternFill>
    </fill>
    <fill>
      <patternFill patternType="solid">
        <fgColor rgb="FF002060"/>
        <bgColor rgb="FF000000"/>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rgb="FF000000"/>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thin">
        <color theme="0" tint="-0.249977111117893"/>
      </bottom>
      <diagonal/>
    </border>
    <border>
      <left/>
      <right/>
      <top style="thin">
        <color theme="0" tint="-0.249977111117893"/>
      </top>
      <bottom style="thin">
        <color theme="0" tint="-0.249977111117893"/>
      </bottom>
      <diagonal/>
    </border>
    <border>
      <left/>
      <right style="double">
        <color indexed="9"/>
      </right>
      <top style="double">
        <color indexed="9"/>
      </top>
      <bottom style="double">
        <color indexed="9"/>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rgb="FFD3D3D3"/>
      </left>
      <right style="thin">
        <color rgb="FFD3D3D3"/>
      </right>
      <top style="thin">
        <color rgb="FFD3D3D3"/>
      </top>
      <bottom style="thin">
        <color rgb="FFD3D3D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theme="0" tint="-0.34998626667073579"/>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bottom style="thin">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indexed="64"/>
      </bottom>
      <diagonal/>
    </border>
    <border>
      <left style="thin">
        <color theme="0"/>
      </left>
      <right/>
      <top style="medium">
        <color indexed="64"/>
      </top>
      <bottom style="thin">
        <color theme="0"/>
      </bottom>
      <diagonal/>
    </border>
    <border>
      <left style="thin">
        <color theme="0"/>
      </left>
      <right/>
      <top style="medium">
        <color indexed="64"/>
      </top>
      <bottom/>
      <diagonal/>
    </border>
    <border>
      <left style="thin">
        <color theme="0"/>
      </left>
      <right style="thin">
        <color theme="0"/>
      </right>
      <top style="medium">
        <color indexed="64"/>
      </top>
      <bottom style="medium">
        <color theme="0"/>
      </bottom>
      <diagonal/>
    </border>
    <border>
      <left style="thin">
        <color theme="0"/>
      </left>
      <right/>
      <top style="medium">
        <color indexed="64"/>
      </top>
      <bottom style="medium">
        <color theme="0"/>
      </bottom>
      <diagonal/>
    </border>
    <border>
      <left/>
      <right/>
      <top style="medium">
        <color indexed="64"/>
      </top>
      <bottom style="medium">
        <color theme="0"/>
      </bottom>
      <diagonal/>
    </border>
    <border>
      <left style="thin">
        <color theme="0"/>
      </left>
      <right style="medium">
        <color indexed="64"/>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style="thin">
        <color theme="0"/>
      </right>
      <top/>
      <bottom style="medium">
        <color indexed="64"/>
      </bottom>
      <diagonal/>
    </border>
    <border>
      <left style="thin">
        <color theme="0"/>
      </left>
      <right style="medium">
        <color indexed="64"/>
      </right>
      <top style="medium">
        <color theme="0"/>
      </top>
      <bottom style="medium">
        <color indexed="64"/>
      </bottom>
      <diagonal/>
    </border>
    <border>
      <left style="thin">
        <color theme="0"/>
      </left>
      <right style="thin">
        <color theme="0"/>
      </right>
      <top style="medium">
        <color theme="0"/>
      </top>
      <bottom style="medium">
        <color indexed="64"/>
      </bottom>
      <diagonal/>
    </border>
    <border>
      <left/>
      <right style="thin">
        <color theme="0"/>
      </right>
      <top style="medium">
        <color theme="0"/>
      </top>
      <bottom style="medium">
        <color indexed="64"/>
      </bottom>
      <diagonal/>
    </border>
    <border>
      <left/>
      <right/>
      <top style="medium">
        <color theme="0"/>
      </top>
      <bottom style="medium">
        <color indexed="64"/>
      </bottom>
      <diagonal/>
    </border>
    <border>
      <left style="thin">
        <color theme="0"/>
      </left>
      <right/>
      <top style="medium">
        <color theme="0"/>
      </top>
      <bottom style="medium">
        <color indexed="64"/>
      </bottom>
      <diagonal/>
    </border>
    <border>
      <left/>
      <right style="medium">
        <color indexed="64"/>
      </right>
      <top style="medium">
        <color theme="0"/>
      </top>
      <bottom style="medium">
        <color indexed="64"/>
      </bottom>
      <diagonal/>
    </border>
    <border>
      <left style="thin">
        <color theme="0"/>
      </left>
      <right/>
      <top style="thin">
        <color theme="0"/>
      </top>
      <bottom style="thin">
        <color indexed="64"/>
      </bottom>
      <diagonal/>
    </border>
    <border>
      <left style="thin">
        <color theme="0"/>
      </left>
      <right/>
      <top/>
      <bottom style="thin">
        <color indexed="64"/>
      </bottom>
      <diagonal/>
    </border>
    <border>
      <left style="medium">
        <color theme="1"/>
      </left>
      <right style="thin">
        <color theme="0"/>
      </right>
      <top style="medium">
        <color theme="1"/>
      </top>
      <bottom/>
      <diagonal/>
    </border>
    <border>
      <left style="medium">
        <color theme="1"/>
      </left>
      <right style="thin">
        <color theme="0"/>
      </right>
      <top/>
      <bottom style="medium">
        <color theme="1"/>
      </bottom>
      <diagonal/>
    </border>
    <border>
      <left style="thin">
        <color theme="0"/>
      </left>
      <right style="thin">
        <color theme="0"/>
      </right>
      <top style="medium">
        <color indexed="64"/>
      </top>
      <bottom style="thin">
        <color indexed="64"/>
      </bottom>
      <diagonal/>
    </border>
    <border>
      <left style="medium">
        <color indexed="64"/>
      </left>
      <right/>
      <top style="thin">
        <color theme="0"/>
      </top>
      <bottom style="thin">
        <color indexed="64"/>
      </bottom>
      <diagonal/>
    </border>
    <border>
      <left style="thin">
        <color theme="0"/>
      </left>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style="thin">
        <color rgb="FF000000"/>
      </left>
      <right/>
      <top/>
      <bottom style="thin">
        <color rgb="FF000000"/>
      </bottom>
      <diagonal/>
    </border>
    <border>
      <left style="thin">
        <color rgb="FF000000"/>
      </left>
      <right style="medium">
        <color indexed="64"/>
      </right>
      <top/>
      <bottom style="thin">
        <color rgb="FF000000"/>
      </bottom>
      <diagonal/>
    </border>
    <border>
      <left/>
      <right/>
      <top style="thin">
        <color theme="0" tint="-0.14999847407452621"/>
      </top>
      <bottom/>
      <diagonal/>
    </border>
    <border>
      <left/>
      <right/>
      <top style="thin">
        <color theme="0" tint="-0.14999847407452621"/>
      </top>
      <bottom style="thin">
        <color theme="0" tint="-0.14999847407452621"/>
      </bottom>
      <diagonal/>
    </border>
  </borders>
  <cellStyleXfs count="20">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44" fontId="1" fillId="0" borderId="0" applyFont="0" applyFill="0" applyBorder="0" applyAlignment="0" applyProtection="0"/>
    <xf numFmtId="0" fontId="2" fillId="0" borderId="0"/>
    <xf numFmtId="0" fontId="7" fillId="0" borderId="0"/>
    <xf numFmtId="0" fontId="8" fillId="0" borderId="0" applyNumberFormat="0" applyFill="0" applyBorder="0" applyAlignment="0" applyProtection="0"/>
    <xf numFmtId="0" fontId="14" fillId="0" borderId="0"/>
    <xf numFmtId="0" fontId="3" fillId="0" borderId="0"/>
    <xf numFmtId="0" fontId="3" fillId="0" borderId="0"/>
    <xf numFmtId="43" fontId="1"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1" fillId="0" borderId="0" applyFont="0" applyFill="0" applyBorder="0" applyAlignment="0" applyProtection="0"/>
    <xf numFmtId="0" fontId="53" fillId="0" borderId="0" applyNumberFormat="0" applyFill="0" applyBorder="0" applyAlignment="0" applyProtection="0"/>
    <xf numFmtId="0" fontId="59" fillId="0" borderId="0"/>
    <xf numFmtId="0" fontId="2" fillId="0" borderId="0"/>
  </cellStyleXfs>
  <cellXfs count="778">
    <xf numFmtId="0" fontId="0" fillId="0" borderId="0" xfId="0"/>
    <xf numFmtId="0" fontId="5" fillId="0" borderId="0" xfId="3" applyFont="1" applyAlignment="1">
      <alignment vertical="center"/>
    </xf>
    <xf numFmtId="0" fontId="9" fillId="0" borderId="0" xfId="3" applyFont="1"/>
    <xf numFmtId="0" fontId="10" fillId="0" borderId="0" xfId="3" applyFont="1" applyAlignment="1">
      <alignment vertical="center"/>
    </xf>
    <xf numFmtId="0" fontId="5" fillId="0" borderId="0" xfId="3" applyFont="1" applyAlignment="1">
      <alignment horizontal="left" vertical="center" wrapText="1"/>
    </xf>
    <xf numFmtId="0" fontId="12" fillId="0" borderId="0" xfId="3" applyFont="1" applyAlignment="1">
      <alignment horizontal="justify" vertical="top" wrapText="1"/>
    </xf>
    <xf numFmtId="0" fontId="13" fillId="0" borderId="0" xfId="0" applyFont="1" applyAlignment="1">
      <alignment vertical="top" wrapText="1"/>
    </xf>
    <xf numFmtId="14" fontId="4" fillId="0" borderId="0" xfId="3" applyNumberFormat="1" applyFont="1" applyAlignment="1">
      <alignment horizontal="right" vertical="top"/>
    </xf>
    <xf numFmtId="0" fontId="15" fillId="0" borderId="0" xfId="0" applyFont="1"/>
    <xf numFmtId="0" fontId="16" fillId="0" borderId="0" xfId="0" applyFont="1"/>
    <xf numFmtId="0" fontId="3" fillId="0" borderId="0" xfId="3"/>
    <xf numFmtId="0" fontId="4" fillId="0" borderId="0" xfId="3" applyFont="1"/>
    <xf numFmtId="0" fontId="17" fillId="0" borderId="0" xfId="3" applyFont="1" applyAlignment="1">
      <alignment horizontal="left"/>
    </xf>
    <xf numFmtId="0" fontId="20" fillId="0" borderId="0" xfId="6" applyFont="1"/>
    <xf numFmtId="0" fontId="6" fillId="0" borderId="0" xfId="0" applyFont="1"/>
    <xf numFmtId="0" fontId="3" fillId="0" borderId="0" xfId="3" applyAlignment="1">
      <alignment vertical="center"/>
    </xf>
    <xf numFmtId="0" fontId="18" fillId="0" borderId="0" xfId="3" applyFont="1"/>
    <xf numFmtId="0" fontId="19" fillId="0" borderId="0" xfId="3" applyFont="1" applyAlignment="1">
      <alignment horizontal="left"/>
    </xf>
    <xf numFmtId="0" fontId="9" fillId="0" borderId="0" xfId="3" applyFont="1" applyAlignment="1">
      <alignment horizontal="left"/>
    </xf>
    <xf numFmtId="0" fontId="24" fillId="0" borderId="0" xfId="3" applyFont="1" applyAlignment="1">
      <alignment wrapText="1"/>
    </xf>
    <xf numFmtId="0" fontId="5" fillId="0" borderId="0" xfId="3" applyFont="1" applyAlignment="1">
      <alignment vertical="center" wrapText="1"/>
    </xf>
    <xf numFmtId="0" fontId="15" fillId="0" borderId="0" xfId="0" applyFont="1" applyAlignment="1">
      <alignment vertical="center" wrapText="1"/>
    </xf>
    <xf numFmtId="0" fontId="3" fillId="0" borderId="0" xfId="3" applyAlignment="1">
      <alignment vertical="top"/>
    </xf>
    <xf numFmtId="0" fontId="3" fillId="0" borderId="0" xfId="3" applyAlignment="1">
      <alignment horizontal="justify" vertical="top" wrapText="1"/>
    </xf>
    <xf numFmtId="0" fontId="3" fillId="0" borderId="0" xfId="3" applyAlignment="1">
      <alignment horizontal="left" vertical="center"/>
    </xf>
    <xf numFmtId="0" fontId="3" fillId="0" borderId="0" xfId="3" applyAlignment="1">
      <alignment horizontal="justify" vertical="center" wrapText="1"/>
    </xf>
    <xf numFmtId="0" fontId="13" fillId="0" borderId="0" xfId="0" applyFont="1" applyAlignment="1">
      <alignment wrapText="1"/>
    </xf>
    <xf numFmtId="0" fontId="3" fillId="4" borderId="1" xfId="3" applyFill="1" applyBorder="1" applyAlignment="1">
      <alignment horizontal="left" vertical="center" wrapText="1" indent="3"/>
    </xf>
    <xf numFmtId="0" fontId="5" fillId="7" borderId="1" xfId="3" applyFont="1" applyFill="1" applyBorder="1" applyAlignment="1">
      <alignment horizontal="left" vertical="center" wrapText="1" indent="3"/>
    </xf>
    <xf numFmtId="0" fontId="3" fillId="4" borderId="0" xfId="3" applyFill="1"/>
    <xf numFmtId="0" fontId="15" fillId="4" borderId="0" xfId="0" applyFont="1" applyFill="1"/>
    <xf numFmtId="0" fontId="18" fillId="4" borderId="0" xfId="3" applyFont="1" applyFill="1"/>
    <xf numFmtId="0" fontId="19" fillId="4" borderId="0" xfId="3" applyFont="1" applyFill="1" applyAlignment="1">
      <alignment horizontal="left"/>
    </xf>
    <xf numFmtId="0" fontId="17" fillId="4" borderId="0" xfId="3" applyFont="1" applyFill="1"/>
    <xf numFmtId="0" fontId="19" fillId="4" borderId="0" xfId="10" applyFont="1" applyFill="1"/>
    <xf numFmtId="0" fontId="24" fillId="4" borderId="0" xfId="11" applyFont="1" applyFill="1"/>
    <xf numFmtId="0" fontId="16" fillId="4" borderId="0" xfId="0" applyFont="1" applyFill="1"/>
    <xf numFmtId="0" fontId="26" fillId="4" borderId="0" xfId="0" applyFont="1" applyFill="1"/>
    <xf numFmtId="0" fontId="27" fillId="4" borderId="0" xfId="0" applyFont="1" applyFill="1" applyAlignment="1">
      <alignment horizontal="left"/>
    </xf>
    <xf numFmtId="0" fontId="26" fillId="6" borderId="0" xfId="0" applyFont="1" applyFill="1"/>
    <xf numFmtId="0" fontId="15" fillId="6" borderId="0" xfId="0" applyFont="1" applyFill="1"/>
    <xf numFmtId="0" fontId="15" fillId="4" borderId="0" xfId="0" applyFont="1" applyFill="1" applyAlignment="1">
      <alignment horizontal="left"/>
    </xf>
    <xf numFmtId="0" fontId="15" fillId="4" borderId="12" xfId="0" applyFont="1" applyFill="1" applyBorder="1"/>
    <xf numFmtId="168" fontId="15" fillId="4" borderId="13" xfId="16" applyNumberFormat="1" applyFont="1" applyFill="1" applyBorder="1"/>
    <xf numFmtId="0" fontId="10" fillId="4" borderId="0" xfId="3" applyFont="1" applyFill="1" applyAlignment="1">
      <alignment vertical="center"/>
    </xf>
    <xf numFmtId="168" fontId="15" fillId="4" borderId="14" xfId="0" applyNumberFormat="1" applyFont="1" applyFill="1" applyBorder="1"/>
    <xf numFmtId="168" fontId="15" fillId="4" borderId="0" xfId="0" applyNumberFormat="1" applyFont="1" applyFill="1"/>
    <xf numFmtId="0" fontId="3" fillId="4" borderId="0" xfId="3" applyFill="1" applyAlignment="1">
      <alignment horizontal="left" vertical="center"/>
    </xf>
    <xf numFmtId="0" fontId="20" fillId="4" borderId="0" xfId="6" applyFont="1" applyFill="1"/>
    <xf numFmtId="2" fontId="30" fillId="5" borderId="0" xfId="0" applyNumberFormat="1" applyFont="1" applyFill="1"/>
    <xf numFmtId="0" fontId="30" fillId="5" borderId="0" xfId="0" applyFont="1" applyFill="1"/>
    <xf numFmtId="0" fontId="6" fillId="4" borderId="0" xfId="0" applyFont="1" applyFill="1"/>
    <xf numFmtId="0" fontId="5" fillId="7" borderId="12" xfId="6" applyFont="1" applyFill="1" applyBorder="1"/>
    <xf numFmtId="0" fontId="13" fillId="4" borderId="0" xfId="6" applyFont="1" applyFill="1" applyAlignment="1">
      <alignment vertical="top" wrapText="1" readingOrder="1"/>
    </xf>
    <xf numFmtId="166" fontId="6" fillId="4" borderId="0" xfId="1" applyNumberFormat="1" applyFont="1" applyFill="1" applyBorder="1"/>
    <xf numFmtId="0" fontId="31" fillId="4" borderId="0" xfId="0" applyFont="1" applyFill="1"/>
    <xf numFmtId="166" fontId="6" fillId="4" borderId="0" xfId="1" applyNumberFormat="1" applyFont="1" applyFill="1" applyBorder="1" applyAlignment="1">
      <alignment horizontal="right"/>
    </xf>
    <xf numFmtId="0" fontId="6" fillId="4" borderId="0" xfId="0" quotePrefix="1" applyFont="1" applyFill="1"/>
    <xf numFmtId="166" fontId="6" fillId="4" borderId="0" xfId="0" applyNumberFormat="1" applyFont="1" applyFill="1"/>
    <xf numFmtId="9" fontId="6" fillId="4" borderId="0" xfId="2" applyFont="1" applyFill="1" applyBorder="1"/>
    <xf numFmtId="2" fontId="6" fillId="4" borderId="0" xfId="16" applyNumberFormat="1" applyFont="1" applyFill="1"/>
    <xf numFmtId="168" fontId="6" fillId="4" borderId="0" xfId="16" applyNumberFormat="1" applyFont="1" applyFill="1"/>
    <xf numFmtId="0" fontId="32" fillId="8" borderId="40" xfId="6" applyFont="1" applyFill="1" applyBorder="1" applyAlignment="1">
      <alignment vertical="top" wrapText="1" readingOrder="1"/>
    </xf>
    <xf numFmtId="1" fontId="32" fillId="8" borderId="40" xfId="6" applyNumberFormat="1" applyFont="1" applyFill="1" applyBorder="1" applyAlignment="1">
      <alignment vertical="top" wrapText="1" readingOrder="1"/>
    </xf>
    <xf numFmtId="168" fontId="15" fillId="4" borderId="0" xfId="16" applyNumberFormat="1" applyFont="1" applyFill="1"/>
    <xf numFmtId="168" fontId="11" fillId="4" borderId="0" xfId="16" applyNumberFormat="1" applyFont="1" applyFill="1"/>
    <xf numFmtId="169" fontId="5" fillId="8" borderId="12" xfId="16" applyNumberFormat="1" applyFont="1" applyFill="1" applyBorder="1"/>
    <xf numFmtId="168" fontId="5" fillId="8" borderId="12" xfId="16" applyNumberFormat="1" applyFont="1" applyFill="1" applyBorder="1"/>
    <xf numFmtId="169" fontId="5" fillId="7" borderId="12" xfId="16" applyNumberFormat="1" applyFont="1" applyFill="1" applyBorder="1"/>
    <xf numFmtId="166" fontId="6" fillId="4" borderId="0" xfId="1" applyNumberFormat="1" applyFont="1" applyFill="1"/>
    <xf numFmtId="0" fontId="32" fillId="4" borderId="1" xfId="6" applyFont="1" applyFill="1" applyBorder="1" applyAlignment="1">
      <alignment vertical="top" wrapText="1" readingOrder="1"/>
    </xf>
    <xf numFmtId="168" fontId="15" fillId="4" borderId="0" xfId="5" applyNumberFormat="1" applyFont="1" applyFill="1"/>
    <xf numFmtId="168" fontId="6" fillId="4" borderId="0" xfId="5" applyNumberFormat="1" applyFont="1" applyFill="1"/>
    <xf numFmtId="168" fontId="5" fillId="8" borderId="12" xfId="5" applyNumberFormat="1" applyFont="1" applyFill="1" applyBorder="1"/>
    <xf numFmtId="168" fontId="5" fillId="7" borderId="12" xfId="5" applyNumberFormat="1" applyFont="1" applyFill="1" applyBorder="1"/>
    <xf numFmtId="0" fontId="15" fillId="0" borderId="0" xfId="0" applyFont="1" applyAlignment="1">
      <alignment horizontal="right"/>
    </xf>
    <xf numFmtId="0" fontId="3" fillId="0" borderId="0" xfId="10"/>
    <xf numFmtId="0" fontId="3" fillId="0" borderId="0" xfId="11"/>
    <xf numFmtId="0" fontId="19" fillId="0" borderId="0" xfId="10" applyFont="1"/>
    <xf numFmtId="0" fontId="24" fillId="0" borderId="0" xfId="11" applyFont="1"/>
    <xf numFmtId="0" fontId="34" fillId="0" borderId="0" xfId="11" applyFont="1"/>
    <xf numFmtId="0" fontId="35" fillId="0" borderId="0" xfId="11" applyFont="1"/>
    <xf numFmtId="0" fontId="3" fillId="0" borderId="0" xfId="11" applyAlignment="1">
      <alignment wrapText="1"/>
    </xf>
    <xf numFmtId="0" fontId="38" fillId="0" borderId="0" xfId="11" applyFont="1" applyAlignment="1">
      <alignment horizontal="center" vertical="center" wrapText="1"/>
    </xf>
    <xf numFmtId="0" fontId="39" fillId="7" borderId="26" xfId="11" applyFont="1" applyFill="1" applyBorder="1" applyAlignment="1">
      <alignment horizontal="center" vertical="center"/>
    </xf>
    <xf numFmtId="0" fontId="39" fillId="7" borderId="27" xfId="11" applyFont="1" applyFill="1" applyBorder="1" applyAlignment="1">
      <alignment horizontal="center" vertical="center"/>
    </xf>
    <xf numFmtId="0" fontId="39" fillId="7" borderId="28" xfId="11" applyFont="1" applyFill="1" applyBorder="1" applyAlignment="1">
      <alignment horizontal="center" vertical="center" wrapText="1"/>
    </xf>
    <xf numFmtId="0" fontId="39" fillId="7" borderId="29" xfId="11" applyFont="1" applyFill="1" applyBorder="1" applyAlignment="1">
      <alignment horizontal="center" vertical="center" wrapText="1"/>
    </xf>
    <xf numFmtId="0" fontId="39" fillId="7" borderId="32" xfId="11" applyFont="1" applyFill="1" applyBorder="1" applyAlignment="1">
      <alignment horizontal="center" vertical="center" wrapText="1"/>
    </xf>
    <xf numFmtId="0" fontId="6" fillId="0" borderId="0" xfId="11" applyFont="1" applyAlignment="1">
      <alignment horizontal="left" vertical="center" wrapText="1"/>
    </xf>
    <xf numFmtId="0" fontId="39" fillId="0" borderId="34" xfId="11" applyFont="1" applyBorder="1" applyAlignment="1">
      <alignment vertical="center"/>
    </xf>
    <xf numFmtId="0" fontId="39" fillId="0" borderId="17" xfId="11" applyFont="1" applyBorder="1" applyAlignment="1">
      <alignment vertical="center"/>
    </xf>
    <xf numFmtId="0" fontId="40" fillId="0" borderId="17" xfId="11" applyFont="1" applyBorder="1" applyAlignment="1">
      <alignment vertical="center" wrapText="1"/>
    </xf>
    <xf numFmtId="9" fontId="41" fillId="0" borderId="17" xfId="11" applyNumberFormat="1" applyFont="1" applyBorder="1" applyAlignment="1">
      <alignment horizontal="center" vertical="center"/>
    </xf>
    <xf numFmtId="9" fontId="15" fillId="0" borderId="10" xfId="13" applyFont="1" applyFill="1" applyBorder="1" applyAlignment="1">
      <alignment horizontal="center" vertical="center"/>
    </xf>
    <xf numFmtId="9" fontId="29" fillId="0" borderId="16" xfId="13" applyFont="1" applyFill="1" applyBorder="1" applyAlignment="1">
      <alignment horizontal="center" vertical="center"/>
    </xf>
    <xf numFmtId="0" fontId="6" fillId="0" borderId="0" xfId="11" applyFont="1" applyAlignment="1">
      <alignment vertical="center"/>
    </xf>
    <xf numFmtId="0" fontId="39" fillId="0" borderId="36" xfId="11" applyFont="1" applyBorder="1" applyAlignment="1">
      <alignment vertical="center"/>
    </xf>
    <xf numFmtId="0" fontId="39" fillId="0" borderId="2" xfId="11" applyFont="1" applyBorder="1" applyAlignment="1">
      <alignment vertical="center"/>
    </xf>
    <xf numFmtId="0" fontId="40" fillId="0" borderId="2" xfId="11" applyFont="1" applyBorder="1" applyAlignment="1">
      <alignment vertical="center" wrapText="1"/>
    </xf>
    <xf numFmtId="9" fontId="41" fillId="0" borderId="2" xfId="11" applyNumberFormat="1" applyFont="1" applyBorder="1" applyAlignment="1">
      <alignment horizontal="center" vertical="center"/>
    </xf>
    <xf numFmtId="9" fontId="29" fillId="0" borderId="38" xfId="13" applyFont="1" applyFill="1" applyBorder="1" applyAlignment="1">
      <alignment horizontal="center" vertical="center"/>
    </xf>
    <xf numFmtId="0" fontId="39" fillId="0" borderId="24" xfId="11" applyFont="1" applyBorder="1" applyAlignment="1">
      <alignment vertical="center" wrapText="1"/>
    </xf>
    <xf numFmtId="0" fontId="39" fillId="0" borderId="6" xfId="11" applyFont="1" applyBorder="1" applyAlignment="1">
      <alignment vertical="center" wrapText="1"/>
    </xf>
    <xf numFmtId="0" fontId="39" fillId="0" borderId="9" xfId="11" applyFont="1" applyBorder="1" applyAlignment="1">
      <alignment vertical="center" wrapText="1"/>
    </xf>
    <xf numFmtId="0" fontId="39" fillId="0" borderId="6" xfId="11" applyFont="1" applyBorder="1" applyAlignment="1">
      <alignment horizontal="center" vertical="center" wrapText="1"/>
    </xf>
    <xf numFmtId="0" fontId="39" fillId="0" borderId="5" xfId="11" applyFont="1" applyBorder="1" applyAlignment="1">
      <alignment vertical="center"/>
    </xf>
    <xf numFmtId="0" fontId="39" fillId="0" borderId="26" xfId="11" applyFont="1" applyBorder="1" applyAlignment="1">
      <alignment vertical="center"/>
    </xf>
    <xf numFmtId="0" fontId="39" fillId="0" borderId="28" xfId="11" applyFont="1" applyBorder="1" applyAlignment="1">
      <alignment vertical="center"/>
    </xf>
    <xf numFmtId="0" fontId="43" fillId="0" borderId="0" xfId="11" applyFont="1" applyAlignment="1">
      <alignment horizontal="center" vertical="center" wrapText="1"/>
    </xf>
    <xf numFmtId="0" fontId="3" fillId="0" borderId="0" xfId="11" applyAlignment="1">
      <alignment horizontal="left" vertical="top"/>
    </xf>
    <xf numFmtId="2" fontId="3" fillId="0" borderId="0" xfId="11" applyNumberFormat="1" applyAlignment="1">
      <alignment horizontal="center" vertical="top"/>
    </xf>
    <xf numFmtId="0" fontId="3" fillId="0" borderId="0" xfId="11" applyAlignment="1">
      <alignment horizontal="left"/>
    </xf>
    <xf numFmtId="0" fontId="3" fillId="0" borderId="0" xfId="11" applyAlignment="1">
      <alignment horizontal="center"/>
    </xf>
    <xf numFmtId="0" fontId="44" fillId="0" borderId="0" xfId="11" applyFont="1" applyAlignment="1">
      <alignment horizontal="center" vertical="center" wrapText="1"/>
    </xf>
    <xf numFmtId="0" fontId="45" fillId="0" borderId="0" xfId="0" applyFont="1"/>
    <xf numFmtId="0" fontId="15" fillId="4" borderId="0" xfId="0" applyFont="1" applyFill="1" applyAlignment="1">
      <alignment wrapText="1"/>
    </xf>
    <xf numFmtId="0" fontId="3" fillId="4" borderId="0" xfId="10" applyFill="1"/>
    <xf numFmtId="0" fontId="3" fillId="4" borderId="0" xfId="11" applyFill="1"/>
    <xf numFmtId="0" fontId="22" fillId="4" borderId="0" xfId="0" applyFont="1" applyFill="1"/>
    <xf numFmtId="0" fontId="47" fillId="4" borderId="12" xfId="0" applyFont="1" applyFill="1" applyBorder="1"/>
    <xf numFmtId="0" fontId="15" fillId="4" borderId="0" xfId="0" applyFont="1" applyFill="1" applyAlignment="1">
      <alignment horizontal="right"/>
    </xf>
    <xf numFmtId="0" fontId="4" fillId="4" borderId="0" xfId="3" applyFont="1" applyFill="1" applyAlignment="1">
      <alignment wrapText="1"/>
    </xf>
    <xf numFmtId="0" fontId="3" fillId="4" borderId="0" xfId="3" applyFill="1" applyAlignment="1">
      <alignment wrapText="1"/>
    </xf>
    <xf numFmtId="0" fontId="3" fillId="4" borderId="0" xfId="10" applyFill="1" applyAlignment="1">
      <alignment wrapText="1"/>
    </xf>
    <xf numFmtId="0" fontId="34" fillId="4" borderId="0" xfId="11" applyFont="1" applyFill="1" applyAlignment="1">
      <alignment wrapText="1"/>
    </xf>
    <xf numFmtId="0" fontId="3" fillId="4" borderId="0" xfId="11" applyFill="1" applyAlignment="1">
      <alignment wrapText="1"/>
    </xf>
    <xf numFmtId="0" fontId="17" fillId="4" borderId="0" xfId="3" applyFont="1" applyFill="1" applyAlignment="1">
      <alignment horizontal="left"/>
    </xf>
    <xf numFmtId="0" fontId="25" fillId="4" borderId="12" xfId="0" applyFont="1" applyFill="1" applyBorder="1"/>
    <xf numFmtId="0" fontId="46" fillId="9" borderId="16" xfId="0" applyFont="1" applyFill="1" applyBorder="1" applyAlignment="1">
      <alignment vertical="center" wrapText="1"/>
    </xf>
    <xf numFmtId="0" fontId="46" fillId="9" borderId="18" xfId="0" applyFont="1" applyFill="1" applyBorder="1" applyAlignment="1">
      <alignment vertical="center" wrapText="1"/>
    </xf>
    <xf numFmtId="0" fontId="46" fillId="9" borderId="35" xfId="0" applyFont="1" applyFill="1" applyBorder="1" applyAlignment="1">
      <alignment vertical="center" wrapText="1"/>
    </xf>
    <xf numFmtId="0" fontId="46" fillId="9" borderId="11" xfId="0" applyFont="1" applyFill="1" applyBorder="1" applyAlignment="1">
      <alignment vertical="center" wrapText="1"/>
    </xf>
    <xf numFmtId="0" fontId="49" fillId="4" borderId="0" xfId="3" applyFont="1" applyFill="1"/>
    <xf numFmtId="0" fontId="49" fillId="4" borderId="0" xfId="11" applyFont="1" applyFill="1"/>
    <xf numFmtId="0" fontId="23" fillId="4" borderId="0" xfId="0" applyFont="1" applyFill="1"/>
    <xf numFmtId="0" fontId="3" fillId="4" borderId="0" xfId="3" applyFill="1" applyAlignment="1">
      <alignment horizontal="left" vertical="top"/>
    </xf>
    <xf numFmtId="0" fontId="48" fillId="4" borderId="0" xfId="0" applyFont="1" applyFill="1" applyAlignment="1">
      <alignment wrapText="1"/>
    </xf>
    <xf numFmtId="0" fontId="0" fillId="4" borderId="0" xfId="0" applyFill="1"/>
    <xf numFmtId="0" fontId="25" fillId="0" borderId="41" xfId="0" applyFont="1" applyBorder="1"/>
    <xf numFmtId="0" fontId="47" fillId="4" borderId="0" xfId="0" applyFont="1" applyFill="1"/>
    <xf numFmtId="0" fontId="51" fillId="4" borderId="0" xfId="0" applyFont="1" applyFill="1"/>
    <xf numFmtId="1" fontId="25" fillId="0" borderId="3" xfId="0" applyNumberFormat="1" applyFont="1" applyBorder="1" applyAlignment="1">
      <alignment horizontal="center" vertical="center"/>
    </xf>
    <xf numFmtId="1" fontId="25" fillId="0" borderId="46" xfId="0" applyNumberFormat="1" applyFont="1" applyBorder="1" applyAlignment="1">
      <alignment horizontal="center" vertical="center"/>
    </xf>
    <xf numFmtId="1" fontId="25" fillId="0" borderId="1" xfId="0" applyNumberFormat="1" applyFont="1" applyBorder="1" applyAlignment="1">
      <alignment horizontal="center" vertical="center"/>
    </xf>
    <xf numFmtId="1" fontId="25" fillId="0" borderId="42" xfId="0" applyNumberFormat="1" applyFont="1" applyBorder="1" applyAlignment="1">
      <alignment horizontal="center" vertical="center"/>
    </xf>
    <xf numFmtId="1" fontId="25" fillId="0" borderId="1" xfId="0" applyNumberFormat="1" applyFont="1" applyBorder="1" applyAlignment="1">
      <alignment horizontal="center" vertical="center" wrapText="1"/>
    </xf>
    <xf numFmtId="1" fontId="25" fillId="0" borderId="42" xfId="0" applyNumberFormat="1" applyFont="1" applyBorder="1" applyAlignment="1">
      <alignment horizontal="center" vertical="center" wrapText="1"/>
    </xf>
    <xf numFmtId="1" fontId="25" fillId="0" borderId="7" xfId="0" applyNumberFormat="1" applyFont="1" applyBorder="1" applyAlignment="1">
      <alignment horizontal="center" vertical="center" wrapText="1"/>
    </xf>
    <xf numFmtId="1" fontId="25" fillId="0" borderId="47" xfId="0" applyNumberFormat="1" applyFont="1" applyBorder="1" applyAlignment="1">
      <alignment horizontal="center" vertical="center" wrapText="1"/>
    </xf>
    <xf numFmtId="1" fontId="25" fillId="0" borderId="49" xfId="0" applyNumberFormat="1" applyFont="1" applyBorder="1" applyAlignment="1">
      <alignment horizontal="center" vertical="center"/>
    </xf>
    <xf numFmtId="1" fontId="25" fillId="0" borderId="44" xfId="0" applyNumberFormat="1" applyFont="1" applyBorder="1" applyAlignment="1">
      <alignment horizontal="center" vertical="center"/>
    </xf>
    <xf numFmtId="0" fontId="45" fillId="4" borderId="0" xfId="0" applyFont="1" applyFill="1" applyAlignment="1">
      <alignment horizontal="center" vertical="center"/>
    </xf>
    <xf numFmtId="0" fontId="45" fillId="4" borderId="0" xfId="0" applyFont="1" applyFill="1"/>
    <xf numFmtId="165" fontId="45" fillId="4" borderId="0" xfId="1" applyNumberFormat="1" applyFont="1" applyFill="1" applyBorder="1"/>
    <xf numFmtId="166" fontId="45" fillId="4" borderId="0" xfId="1" applyNumberFormat="1" applyFont="1" applyFill="1" applyBorder="1"/>
    <xf numFmtId="0" fontId="25" fillId="4" borderId="0" xfId="0" applyFont="1" applyFill="1"/>
    <xf numFmtId="166" fontId="54" fillId="4" borderId="0" xfId="1" applyNumberFormat="1" applyFont="1" applyFill="1" applyBorder="1"/>
    <xf numFmtId="0" fontId="29" fillId="4" borderId="0" xfId="0" applyFont="1" applyFill="1"/>
    <xf numFmtId="0" fontId="39" fillId="7" borderId="3" xfId="6" applyFont="1" applyFill="1" applyBorder="1" applyAlignment="1">
      <alignment horizontal="center" vertical="center" wrapText="1"/>
    </xf>
    <xf numFmtId="0" fontId="39" fillId="7" borderId="46" xfId="6" applyFont="1" applyFill="1" applyBorder="1" applyAlignment="1">
      <alignment horizontal="center" vertical="center" wrapText="1"/>
    </xf>
    <xf numFmtId="2" fontId="30" fillId="5" borderId="16" xfId="0" applyNumberFormat="1" applyFont="1" applyFill="1" applyBorder="1"/>
    <xf numFmtId="0" fontId="30" fillId="5" borderId="18" xfId="0" applyFont="1" applyFill="1" applyBorder="1"/>
    <xf numFmtId="0" fontId="30" fillId="5" borderId="35" xfId="0" applyFont="1" applyFill="1" applyBorder="1"/>
    <xf numFmtId="0" fontId="52" fillId="4" borderId="0" xfId="0" applyFont="1" applyFill="1"/>
    <xf numFmtId="1" fontId="25" fillId="0" borderId="9" xfId="0" applyNumberFormat="1" applyFont="1" applyBorder="1" applyAlignment="1">
      <alignment horizontal="center" vertical="center" wrapText="1"/>
    </xf>
    <xf numFmtId="1" fontId="25" fillId="0" borderId="23" xfId="0" applyNumberFormat="1" applyFont="1" applyBorder="1" applyAlignment="1">
      <alignment horizontal="center" vertical="center" wrapText="1"/>
    </xf>
    <xf numFmtId="0" fontId="25" fillId="0" borderId="4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5" fillId="7" borderId="41" xfId="6" applyFont="1" applyFill="1" applyBorder="1" applyAlignment="1">
      <alignment vertical="center" wrapText="1"/>
    </xf>
    <xf numFmtId="166" fontId="25" fillId="0" borderId="52" xfId="1" applyNumberFormat="1" applyFont="1" applyBorder="1" applyAlignment="1">
      <alignment horizontal="center" vertical="center" wrapText="1"/>
    </xf>
    <xf numFmtId="166" fontId="25" fillId="0" borderId="33" xfId="1" applyNumberFormat="1" applyFont="1" applyBorder="1" applyAlignment="1">
      <alignment horizontal="center" vertical="center" wrapText="1"/>
    </xf>
    <xf numFmtId="0" fontId="25" fillId="0" borderId="4" xfId="0" applyFont="1" applyBorder="1" applyAlignment="1">
      <alignment horizontal="center" vertical="center" wrapText="1"/>
    </xf>
    <xf numFmtId="0" fontId="25" fillId="0" borderId="27" xfId="0" applyFont="1" applyBorder="1" applyAlignment="1">
      <alignment horizontal="center" vertical="center" wrapText="1"/>
    </xf>
    <xf numFmtId="0" fontId="5" fillId="5" borderId="18" xfId="6" applyFont="1" applyFill="1" applyBorder="1"/>
    <xf numFmtId="0" fontId="5" fillId="5" borderId="35" xfId="6" applyFont="1" applyFill="1" applyBorder="1"/>
    <xf numFmtId="0" fontId="37" fillId="5" borderId="16" xfId="6" applyFont="1" applyFill="1" applyBorder="1"/>
    <xf numFmtId="0" fontId="37" fillId="5" borderId="0" xfId="6" applyFont="1" applyFill="1"/>
    <xf numFmtId="0" fontId="5" fillId="5" borderId="0" xfId="6" applyFont="1" applyFill="1"/>
    <xf numFmtId="0" fontId="37" fillId="5" borderId="38" xfId="6" applyFont="1" applyFill="1" applyBorder="1"/>
    <xf numFmtId="0" fontId="5" fillId="5" borderId="21" xfId="6" applyFont="1" applyFill="1" applyBorder="1"/>
    <xf numFmtId="0" fontId="21" fillId="4" borderId="0" xfId="3" applyFont="1" applyFill="1"/>
    <xf numFmtId="0" fontId="21" fillId="4" borderId="0" xfId="10" applyFont="1" applyFill="1"/>
    <xf numFmtId="0" fontId="21" fillId="4" borderId="0" xfId="11" applyFont="1" applyFill="1"/>
    <xf numFmtId="0" fontId="25" fillId="4" borderId="41" xfId="0" applyFont="1" applyFill="1" applyBorder="1" applyAlignment="1">
      <alignment vertical="center" wrapText="1"/>
    </xf>
    <xf numFmtId="0" fontId="33" fillId="0" borderId="1" xfId="0" applyFont="1" applyBorder="1"/>
    <xf numFmtId="0" fontId="33" fillId="0" borderId="49" xfId="0" applyFont="1" applyBorder="1"/>
    <xf numFmtId="0" fontId="46" fillId="9" borderId="16" xfId="0" applyFont="1" applyFill="1" applyBorder="1"/>
    <xf numFmtId="166" fontId="46" fillId="9" borderId="0" xfId="1" applyNumberFormat="1" applyFont="1" applyFill="1" applyBorder="1" applyAlignment="1">
      <alignment horizontal="center" vertical="center" wrapText="1"/>
    </xf>
    <xf numFmtId="166" fontId="46" fillId="9" borderId="21" xfId="1" applyNumberFormat="1" applyFont="1" applyFill="1" applyBorder="1" applyAlignment="1">
      <alignment horizontal="center" vertical="center" wrapText="1"/>
    </xf>
    <xf numFmtId="0" fontId="46" fillId="9" borderId="38" xfId="0" applyFont="1" applyFill="1" applyBorder="1" applyAlignment="1">
      <alignment horizontal="center" vertical="center"/>
    </xf>
    <xf numFmtId="166" fontId="25" fillId="0" borderId="42" xfId="1" applyNumberFormat="1" applyFont="1" applyBorder="1" applyAlignment="1">
      <alignment vertical="center"/>
    </xf>
    <xf numFmtId="166" fontId="25" fillId="0" borderId="44" xfId="1" applyNumberFormat="1" applyFont="1" applyBorder="1" applyAlignment="1">
      <alignment vertical="center"/>
    </xf>
    <xf numFmtId="0" fontId="25" fillId="0" borderId="41" xfId="0" applyFont="1" applyBorder="1" applyAlignment="1">
      <alignment horizontal="center" vertical="center"/>
    </xf>
    <xf numFmtId="0" fontId="25" fillId="0" borderId="22" xfId="0" applyFont="1" applyBorder="1" applyAlignment="1">
      <alignment horizontal="center" vertical="center"/>
    </xf>
    <xf numFmtId="0" fontId="25" fillId="0" borderId="43" xfId="0" applyFont="1" applyBorder="1" applyAlignment="1">
      <alignment horizontal="center" vertical="center"/>
    </xf>
    <xf numFmtId="0" fontId="40" fillId="4" borderId="0" xfId="0" applyFont="1" applyFill="1"/>
    <xf numFmtId="166" fontId="40" fillId="4" borderId="0" xfId="1" applyNumberFormat="1" applyFont="1" applyFill="1" applyBorder="1" applyAlignment="1">
      <alignment horizontal="center" vertical="center"/>
    </xf>
    <xf numFmtId="0" fontId="55" fillId="4" borderId="0" xfId="10" applyFont="1" applyFill="1" applyAlignment="1">
      <alignment wrapText="1"/>
    </xf>
    <xf numFmtId="1" fontId="25" fillId="4" borderId="0" xfId="0" applyNumberFormat="1" applyFont="1" applyFill="1" applyAlignment="1">
      <alignment horizontal="center" vertical="center"/>
    </xf>
    <xf numFmtId="0" fontId="37" fillId="5" borderId="16" xfId="0" applyFont="1" applyFill="1" applyBorder="1"/>
    <xf numFmtId="1" fontId="37" fillId="5" borderId="18" xfId="0" applyNumberFormat="1" applyFont="1" applyFill="1" applyBorder="1" applyAlignment="1">
      <alignment horizontal="center" vertical="center"/>
    </xf>
    <xf numFmtId="1" fontId="37" fillId="5" borderId="35" xfId="0" applyNumberFormat="1" applyFont="1" applyFill="1" applyBorder="1" applyAlignment="1">
      <alignment horizontal="center" vertical="center"/>
    </xf>
    <xf numFmtId="166" fontId="46" fillId="9" borderId="35" xfId="1" applyNumberFormat="1" applyFont="1" applyFill="1" applyBorder="1" applyAlignment="1">
      <alignment vertical="center" wrapText="1"/>
    </xf>
    <xf numFmtId="0" fontId="51" fillId="4" borderId="0" xfId="0" applyFont="1" applyFill="1" applyAlignment="1">
      <alignment horizontal="right"/>
    </xf>
    <xf numFmtId="0" fontId="39" fillId="7" borderId="36" xfId="11" applyFont="1" applyFill="1" applyBorder="1" applyAlignment="1">
      <alignment horizontal="center" vertical="center"/>
    </xf>
    <xf numFmtId="0" fontId="39" fillId="7" borderId="5" xfId="11" applyFont="1" applyFill="1" applyBorder="1" applyAlignment="1">
      <alignment horizontal="center" vertical="center"/>
    </xf>
    <xf numFmtId="0" fontId="39" fillId="7" borderId="2" xfId="11" applyFont="1" applyFill="1" applyBorder="1" applyAlignment="1">
      <alignment horizontal="center" vertical="center" wrapText="1"/>
    </xf>
    <xf numFmtId="0" fontId="39" fillId="7" borderId="10" xfId="11" applyFont="1" applyFill="1" applyBorder="1" applyAlignment="1">
      <alignment horizontal="center" vertical="center" wrapText="1"/>
    </xf>
    <xf numFmtId="0" fontId="24" fillId="0" borderId="0" xfId="11" applyFont="1" applyAlignment="1">
      <alignment wrapText="1"/>
    </xf>
    <xf numFmtId="166" fontId="33" fillId="4" borderId="0" xfId="0" applyNumberFormat="1" applyFont="1" applyFill="1"/>
    <xf numFmtId="166" fontId="15" fillId="4" borderId="0" xfId="1" applyNumberFormat="1" applyFont="1" applyFill="1" applyAlignment="1">
      <alignment horizontal="center" vertical="center"/>
    </xf>
    <xf numFmtId="0" fontId="15" fillId="4" borderId="0" xfId="0" applyFont="1" applyFill="1" applyAlignment="1">
      <alignment horizontal="center" vertical="center"/>
    </xf>
    <xf numFmtId="0" fontId="34" fillId="4" borderId="0" xfId="11" applyFont="1" applyFill="1"/>
    <xf numFmtId="0" fontId="42" fillId="4" borderId="0" xfId="0" applyFont="1" applyFill="1"/>
    <xf numFmtId="170" fontId="25" fillId="0" borderId="1" xfId="1" applyNumberFormat="1" applyFont="1" applyBorder="1" applyAlignment="1">
      <alignment horizontal="center" vertical="center"/>
    </xf>
    <xf numFmtId="170" fontId="25" fillId="0" borderId="42" xfId="1" applyNumberFormat="1" applyFont="1" applyBorder="1" applyAlignment="1">
      <alignment horizontal="center" vertical="center"/>
    </xf>
    <xf numFmtId="170" fontId="25" fillId="0" borderId="49" xfId="1" applyNumberFormat="1" applyFont="1" applyBorder="1" applyAlignment="1">
      <alignment horizontal="center" vertical="center"/>
    </xf>
    <xf numFmtId="170" fontId="25" fillId="0" borderId="44" xfId="1" applyNumberFormat="1" applyFont="1" applyBorder="1" applyAlignment="1">
      <alignment horizontal="center" vertical="center"/>
    </xf>
    <xf numFmtId="0" fontId="46" fillId="9" borderId="0" xfId="0" applyFont="1" applyFill="1" applyAlignment="1">
      <alignment horizontal="center" vertical="center" wrapText="1"/>
    </xf>
    <xf numFmtId="0" fontId="29" fillId="4" borderId="0" xfId="0" applyFont="1" applyFill="1" applyAlignment="1">
      <alignment horizontal="right"/>
    </xf>
    <xf numFmtId="9" fontId="15" fillId="0" borderId="0" xfId="13" applyFont="1" applyFill="1" applyBorder="1" applyAlignment="1">
      <alignment horizontal="center" vertical="center"/>
    </xf>
    <xf numFmtId="0" fontId="39" fillId="0" borderId="12" xfId="14" applyFont="1" applyBorder="1" applyAlignment="1">
      <alignment vertical="center" wrapText="1"/>
    </xf>
    <xf numFmtId="9" fontId="42" fillId="0" borderId="12" xfId="13" applyFont="1" applyFill="1" applyBorder="1" applyAlignment="1">
      <alignment horizontal="center" vertical="center"/>
    </xf>
    <xf numFmtId="9" fontId="41" fillId="0" borderId="7" xfId="11" applyNumberFormat="1" applyFont="1" applyBorder="1" applyAlignment="1">
      <alignment horizontal="center" vertical="center"/>
    </xf>
    <xf numFmtId="9" fontId="15" fillId="0" borderId="56" xfId="13" applyFont="1" applyFill="1" applyBorder="1" applyAlignment="1">
      <alignment horizontal="center" vertical="center"/>
    </xf>
    <xf numFmtId="170" fontId="41" fillId="0" borderId="2" xfId="1" applyNumberFormat="1" applyFont="1" applyFill="1" applyBorder="1" applyAlignment="1">
      <alignment horizontal="center" vertical="center"/>
    </xf>
    <xf numFmtId="1" fontId="42" fillId="0" borderId="12" xfId="13" applyNumberFormat="1" applyFont="1" applyFill="1" applyBorder="1" applyAlignment="1">
      <alignment horizontal="center" vertical="center"/>
    </xf>
    <xf numFmtId="170" fontId="25" fillId="0" borderId="1" xfId="1" applyNumberFormat="1" applyFont="1" applyBorder="1" applyAlignment="1">
      <alignment horizontal="center" vertical="center" wrapText="1"/>
    </xf>
    <xf numFmtId="170" fontId="25" fillId="0" borderId="42" xfId="1" applyNumberFormat="1" applyFont="1" applyBorder="1" applyAlignment="1">
      <alignment horizontal="center" vertical="center" wrapText="1"/>
    </xf>
    <xf numFmtId="170" fontId="25" fillId="0" borderId="7" xfId="1" applyNumberFormat="1" applyFont="1" applyBorder="1" applyAlignment="1">
      <alignment horizontal="center" vertical="center" wrapText="1"/>
    </xf>
    <xf numFmtId="170" fontId="25" fillId="0" borderId="47" xfId="1" applyNumberFormat="1" applyFont="1" applyBorder="1" applyAlignment="1">
      <alignment horizontal="center" vertical="center" wrapText="1"/>
    </xf>
    <xf numFmtId="170" fontId="25" fillId="0" borderId="3" xfId="1" applyNumberFormat="1" applyFont="1" applyBorder="1" applyAlignment="1">
      <alignment horizontal="center" vertical="center"/>
    </xf>
    <xf numFmtId="170" fontId="25" fillId="0" borderId="46" xfId="1" applyNumberFormat="1" applyFont="1" applyBorder="1" applyAlignment="1">
      <alignment horizontal="center" vertical="center"/>
    </xf>
    <xf numFmtId="170" fontId="25" fillId="0" borderId="28" xfId="1" applyNumberFormat="1" applyFont="1" applyBorder="1" applyAlignment="1">
      <alignment horizontal="center" vertical="center"/>
    </xf>
    <xf numFmtId="170" fontId="25" fillId="0" borderId="51" xfId="1" applyNumberFormat="1" applyFont="1" applyBorder="1" applyAlignment="1">
      <alignment horizontal="center" vertical="center"/>
    </xf>
    <xf numFmtId="170" fontId="6" fillId="0" borderId="1" xfId="1" applyNumberFormat="1" applyFont="1" applyBorder="1" applyAlignment="1">
      <alignment horizontal="center" vertical="center"/>
    </xf>
    <xf numFmtId="170" fontId="6" fillId="0" borderId="42" xfId="1" applyNumberFormat="1" applyFont="1" applyBorder="1" applyAlignment="1">
      <alignment horizontal="center" vertical="center"/>
    </xf>
    <xf numFmtId="170" fontId="6" fillId="0" borderId="49" xfId="1" applyNumberFormat="1" applyFont="1" applyBorder="1" applyAlignment="1">
      <alignment horizontal="center" vertical="center"/>
    </xf>
    <xf numFmtId="170" fontId="6" fillId="0" borderId="44" xfId="1" applyNumberFormat="1" applyFont="1" applyBorder="1" applyAlignment="1">
      <alignment horizontal="center" vertical="center"/>
    </xf>
    <xf numFmtId="170" fontId="15" fillId="0" borderId="0" xfId="1" applyNumberFormat="1" applyFont="1" applyBorder="1" applyAlignment="1">
      <alignment horizontal="center" vertical="center" wrapText="1"/>
    </xf>
    <xf numFmtId="170" fontId="15" fillId="0" borderId="0" xfId="1" applyNumberFormat="1" applyFont="1" applyBorder="1" applyAlignment="1">
      <alignment horizontal="center" vertical="center"/>
    </xf>
    <xf numFmtId="170" fontId="15" fillId="0" borderId="21" xfId="1" applyNumberFormat="1" applyFont="1" applyBorder="1" applyAlignment="1">
      <alignment horizontal="center" vertical="center"/>
    </xf>
    <xf numFmtId="170" fontId="16" fillId="0" borderId="12" xfId="1" applyNumberFormat="1" applyFont="1" applyBorder="1" applyAlignment="1">
      <alignment horizontal="center" vertical="center" wrapText="1"/>
    </xf>
    <xf numFmtId="170" fontId="16" fillId="0" borderId="12" xfId="1" applyNumberFormat="1" applyFont="1" applyBorder="1" applyAlignment="1">
      <alignment horizontal="center" vertical="center"/>
    </xf>
    <xf numFmtId="170" fontId="15" fillId="0" borderId="12" xfId="1" applyNumberFormat="1" applyFont="1" applyBorder="1" applyAlignment="1">
      <alignment horizontal="center" vertical="center"/>
    </xf>
    <xf numFmtId="170" fontId="16" fillId="0" borderId="33" xfId="1" applyNumberFormat="1" applyFont="1" applyBorder="1" applyAlignment="1">
      <alignment horizontal="center" vertical="center"/>
    </xf>
    <xf numFmtId="170" fontId="15" fillId="0" borderId="33" xfId="1" applyNumberFormat="1" applyFont="1" applyBorder="1" applyAlignment="1">
      <alignment horizontal="center" vertical="center"/>
    </xf>
    <xf numFmtId="0" fontId="50" fillId="0" borderId="0" xfId="0" applyFont="1" applyAlignment="1">
      <alignment horizontal="center" vertical="center" wrapText="1"/>
    </xf>
    <xf numFmtId="0" fontId="16" fillId="0" borderId="39" xfId="0" applyFont="1" applyBorder="1" applyAlignment="1">
      <alignment horizontal="center" vertical="center"/>
    </xf>
    <xf numFmtId="0" fontId="50" fillId="0" borderId="12" xfId="0" applyFont="1" applyBorder="1" applyAlignment="1">
      <alignment horizontal="center" vertical="center" wrapText="1"/>
    </xf>
    <xf numFmtId="3" fontId="16" fillId="0" borderId="58" xfId="0" applyNumberFormat="1" applyFont="1" applyBorder="1" applyAlignment="1">
      <alignment horizontal="center" vertical="center"/>
    </xf>
    <xf numFmtId="3" fontId="16" fillId="0" borderId="42" xfId="0" applyNumberFormat="1" applyFont="1" applyBorder="1" applyAlignment="1">
      <alignment horizontal="center" vertical="center"/>
    </xf>
    <xf numFmtId="4" fontId="39" fillId="4" borderId="42" xfId="0" applyNumberFormat="1" applyFont="1" applyFill="1" applyBorder="1" applyAlignment="1">
      <alignment horizontal="center" vertical="center"/>
    </xf>
    <xf numFmtId="3" fontId="16" fillId="4" borderId="44" xfId="0" applyNumberFormat="1" applyFont="1" applyFill="1" applyBorder="1" applyAlignment="1">
      <alignment horizontal="center" vertical="center"/>
    </xf>
    <xf numFmtId="9" fontId="15" fillId="0" borderId="59" xfId="13" applyFont="1" applyFill="1" applyBorder="1" applyAlignment="1">
      <alignment horizontal="center" vertical="center"/>
    </xf>
    <xf numFmtId="1" fontId="42" fillId="0" borderId="39" xfId="13" applyNumberFormat="1" applyFont="1" applyFill="1" applyBorder="1" applyAlignment="1">
      <alignment horizontal="center" vertical="center"/>
    </xf>
    <xf numFmtId="0" fontId="16" fillId="0" borderId="0" xfId="0" applyFont="1" applyAlignment="1">
      <alignment vertical="center"/>
    </xf>
    <xf numFmtId="0" fontId="39" fillId="0" borderId="0" xfId="14" applyFont="1" applyAlignment="1">
      <alignment vertical="center" wrapText="1"/>
    </xf>
    <xf numFmtId="0" fontId="39" fillId="7" borderId="20" xfId="11" applyFont="1" applyFill="1" applyBorder="1" applyAlignment="1">
      <alignment horizontal="center" vertical="center" wrapText="1"/>
    </xf>
    <xf numFmtId="0" fontId="39" fillId="7" borderId="60" xfId="11" applyFont="1" applyFill="1" applyBorder="1" applyAlignment="1">
      <alignment horizontal="center" vertical="center" wrapText="1"/>
    </xf>
    <xf numFmtId="9" fontId="29" fillId="0" borderId="0" xfId="13" applyFont="1" applyFill="1" applyBorder="1" applyAlignment="1">
      <alignment horizontal="center" vertical="center"/>
    </xf>
    <xf numFmtId="9" fontId="29" fillId="0" borderId="47" xfId="13" applyFont="1" applyFill="1" applyBorder="1" applyAlignment="1">
      <alignment horizontal="center" vertical="center"/>
    </xf>
    <xf numFmtId="9" fontId="29" fillId="0" borderId="37" xfId="13" applyFont="1" applyFill="1" applyBorder="1" applyAlignment="1">
      <alignment horizontal="center" vertical="center"/>
    </xf>
    <xf numFmtId="9" fontId="42" fillId="0" borderId="51" xfId="13" applyFont="1" applyFill="1" applyBorder="1" applyAlignment="1">
      <alignment horizontal="center" vertical="center"/>
    </xf>
    <xf numFmtId="0" fontId="56" fillId="0" borderId="0" xfId="0" applyFont="1"/>
    <xf numFmtId="0" fontId="0" fillId="0" borderId="0" xfId="0" quotePrefix="1"/>
    <xf numFmtId="0" fontId="57" fillId="10" borderId="58" xfId="0" applyFont="1" applyFill="1" applyBorder="1" applyAlignment="1">
      <alignment vertical="center" wrapText="1"/>
    </xf>
    <xf numFmtId="10" fontId="3" fillId="0" borderId="44" xfId="11" applyNumberFormat="1" applyBorder="1"/>
    <xf numFmtId="10" fontId="3" fillId="0" borderId="42" xfId="11" applyNumberFormat="1" applyBorder="1"/>
    <xf numFmtId="0" fontId="22" fillId="0" borderId="0" xfId="0" applyFont="1"/>
    <xf numFmtId="10" fontId="6" fillId="0" borderId="1" xfId="2" applyNumberFormat="1" applyFont="1" applyFill="1" applyBorder="1"/>
    <xf numFmtId="0" fontId="59" fillId="0" borderId="0" xfId="18"/>
    <xf numFmtId="0" fontId="59" fillId="0" borderId="0" xfId="18" applyAlignment="1">
      <alignment horizontal="right" vertical="top"/>
    </xf>
    <xf numFmtId="0" fontId="59" fillId="0" borderId="0" xfId="18" applyAlignment="1">
      <alignment horizontal="center"/>
    </xf>
    <xf numFmtId="0" fontId="59" fillId="0" borderId="0" xfId="18" applyAlignment="1">
      <alignment horizontal="right"/>
    </xf>
    <xf numFmtId="9" fontId="59" fillId="0" borderId="0" xfId="18" applyNumberFormat="1" applyAlignment="1">
      <alignment horizontal="right"/>
    </xf>
    <xf numFmtId="0" fontId="58" fillId="0" borderId="0" xfId="18" applyFont="1" applyAlignment="1">
      <alignment horizontal="right" vertical="top"/>
    </xf>
    <xf numFmtId="0" fontId="58" fillId="0" borderId="0" xfId="18" applyFont="1"/>
    <xf numFmtId="0" fontId="58" fillId="0" borderId="0" xfId="18" applyFont="1" applyAlignment="1">
      <alignment horizontal="center"/>
    </xf>
    <xf numFmtId="1" fontId="59" fillId="0" borderId="0" xfId="18" applyNumberFormat="1" applyAlignment="1">
      <alignment horizontal="right"/>
    </xf>
    <xf numFmtId="172" fontId="59" fillId="0" borderId="0" xfId="18" applyNumberFormat="1"/>
    <xf numFmtId="171" fontId="59" fillId="0" borderId="0" xfId="18" applyNumberFormat="1"/>
    <xf numFmtId="4" fontId="59" fillId="0" borderId="0" xfId="18" applyNumberFormat="1"/>
    <xf numFmtId="172" fontId="59" fillId="0" borderId="0" xfId="18" applyNumberFormat="1" applyAlignment="1">
      <alignment horizontal="right"/>
    </xf>
    <xf numFmtId="3" fontId="59" fillId="0" borderId="0" xfId="18" applyNumberFormat="1"/>
    <xf numFmtId="2" fontId="59" fillId="0" borderId="0" xfId="18" applyNumberFormat="1"/>
    <xf numFmtId="167" fontId="59" fillId="0" borderId="0" xfId="18" applyNumberFormat="1"/>
    <xf numFmtId="167" fontId="59" fillId="0" borderId="0" xfId="18" applyNumberFormat="1" applyAlignment="1">
      <alignment horizontal="right"/>
    </xf>
    <xf numFmtId="10" fontId="59" fillId="0" borderId="0" xfId="18" applyNumberFormat="1"/>
    <xf numFmtId="7" fontId="59" fillId="0" borderId="0" xfId="18" applyNumberFormat="1"/>
    <xf numFmtId="167" fontId="59" fillId="2" borderId="0" xfId="18" applyNumberFormat="1" applyFill="1"/>
    <xf numFmtId="172" fontId="59" fillId="2" borderId="0" xfId="18" applyNumberFormat="1" applyFill="1"/>
    <xf numFmtId="0" fontId="3" fillId="4" borderId="0" xfId="3" applyFill="1" applyAlignment="1">
      <alignment vertical="top"/>
    </xf>
    <xf numFmtId="0" fontId="21" fillId="4" borderId="0" xfId="3" applyFont="1" applyFill="1" applyAlignment="1">
      <alignment vertical="top"/>
    </xf>
    <xf numFmtId="0" fontId="61" fillId="0" borderId="0" xfId="3" applyFont="1"/>
    <xf numFmtId="0" fontId="63" fillId="0" borderId="0" xfId="0" applyFont="1"/>
    <xf numFmtId="0" fontId="61" fillId="0" borderId="0" xfId="3" applyFont="1" applyAlignment="1">
      <alignment vertical="center"/>
    </xf>
    <xf numFmtId="0" fontId="61" fillId="0" borderId="0" xfId="3" applyFont="1" applyAlignment="1">
      <alignment wrapText="1"/>
    </xf>
    <xf numFmtId="0" fontId="64" fillId="0" borderId="0" xfId="8" applyFont="1" applyBorder="1" applyAlignment="1" applyProtection="1">
      <alignment horizontal="left" wrapText="1"/>
    </xf>
    <xf numFmtId="0" fontId="25" fillId="0" borderId="41" xfId="0" applyFont="1" applyBorder="1" applyAlignment="1">
      <alignment horizontal="left" vertical="center"/>
    </xf>
    <xf numFmtId="0" fontId="25" fillId="0" borderId="22" xfId="0" applyFont="1" applyBorder="1" applyAlignment="1">
      <alignment horizontal="left" vertical="center"/>
    </xf>
    <xf numFmtId="0" fontId="25" fillId="0" borderId="43" xfId="0" applyFont="1" applyBorder="1" applyAlignment="1">
      <alignment horizontal="left" vertical="center"/>
    </xf>
    <xf numFmtId="0" fontId="50" fillId="0" borderId="43" xfId="0" applyFont="1" applyBorder="1" applyAlignment="1">
      <alignment horizontal="left" vertical="center"/>
    </xf>
    <xf numFmtId="170" fontId="50" fillId="0" borderId="49" xfId="1" applyNumberFormat="1" applyFont="1" applyBorder="1" applyAlignment="1">
      <alignment horizontal="center" vertical="center"/>
    </xf>
    <xf numFmtId="170" fontId="50" fillId="0" borderId="44" xfId="1" applyNumberFormat="1" applyFont="1" applyBorder="1" applyAlignment="1">
      <alignment horizontal="center" vertical="center"/>
    </xf>
    <xf numFmtId="0" fontId="50" fillId="0" borderId="26" xfId="0" applyFont="1" applyBorder="1" applyAlignment="1">
      <alignment horizontal="left" vertical="center"/>
    </xf>
    <xf numFmtId="170" fontId="50" fillId="0" borderId="28" xfId="1" applyNumberFormat="1" applyFont="1" applyBorder="1" applyAlignment="1">
      <alignment horizontal="center" vertical="center"/>
    </xf>
    <xf numFmtId="170" fontId="50" fillId="0" borderId="51" xfId="1" applyNumberFormat="1" applyFont="1" applyBorder="1" applyAlignment="1">
      <alignment horizontal="center" vertical="center"/>
    </xf>
    <xf numFmtId="0" fontId="46" fillId="9" borderId="68" xfId="0" applyFont="1" applyFill="1" applyBorder="1"/>
    <xf numFmtId="0" fontId="25" fillId="0" borderId="45" xfId="0" applyFont="1" applyBorder="1" applyAlignment="1">
      <alignment horizontal="left" vertical="center"/>
    </xf>
    <xf numFmtId="166" fontId="46" fillId="9" borderId="79" xfId="1" applyNumberFormat="1" applyFont="1" applyFill="1" applyBorder="1" applyAlignment="1">
      <alignment horizontal="center" vertical="center" wrapText="1"/>
    </xf>
    <xf numFmtId="166" fontId="46" fillId="9" borderId="81" xfId="1" applyNumberFormat="1" applyFont="1" applyFill="1" applyBorder="1" applyAlignment="1">
      <alignment horizontal="center" vertical="center" wrapText="1"/>
    </xf>
    <xf numFmtId="166" fontId="46" fillId="9" borderId="82" xfId="1" applyNumberFormat="1" applyFont="1" applyFill="1" applyBorder="1" applyAlignment="1">
      <alignment horizontal="center" vertical="center" wrapText="1"/>
    </xf>
    <xf numFmtId="166" fontId="46" fillId="9" borderId="83" xfId="1" applyNumberFormat="1" applyFont="1" applyFill="1" applyBorder="1" applyAlignment="1">
      <alignment horizontal="center" vertical="center" wrapText="1"/>
    </xf>
    <xf numFmtId="166" fontId="46" fillId="9" borderId="65" xfId="1" applyNumberFormat="1" applyFont="1" applyFill="1" applyBorder="1" applyAlignment="1">
      <alignment horizontal="center" vertical="center" wrapText="1"/>
    </xf>
    <xf numFmtId="166" fontId="46" fillId="9" borderId="84" xfId="1" applyNumberFormat="1" applyFont="1" applyFill="1" applyBorder="1" applyAlignment="1">
      <alignment horizontal="center" vertical="center" wrapText="1"/>
    </xf>
    <xf numFmtId="0" fontId="46" fillId="9" borderId="69" xfId="0" applyFont="1" applyFill="1" applyBorder="1"/>
    <xf numFmtId="166" fontId="46" fillId="9" borderId="85" xfId="1" applyNumberFormat="1" applyFont="1" applyFill="1" applyBorder="1" applyAlignment="1">
      <alignment horizontal="center" vertical="center" wrapText="1"/>
    </xf>
    <xf numFmtId="166" fontId="46" fillId="9" borderId="67" xfId="1" applyNumberFormat="1" applyFont="1" applyFill="1" applyBorder="1" applyAlignment="1">
      <alignment horizontal="center" vertical="center" wrapText="1"/>
    </xf>
    <xf numFmtId="166" fontId="46" fillId="9" borderId="53" xfId="1" applyNumberFormat="1" applyFont="1" applyFill="1" applyBorder="1" applyAlignment="1">
      <alignment horizontal="center" vertical="center" wrapText="1"/>
    </xf>
    <xf numFmtId="166" fontId="46" fillId="9" borderId="80" xfId="1" applyNumberFormat="1" applyFont="1" applyFill="1" applyBorder="1" applyAlignment="1">
      <alignment horizontal="center" vertical="center" wrapText="1"/>
    </xf>
    <xf numFmtId="0" fontId="46" fillId="9" borderId="86" xfId="0" applyFont="1" applyFill="1" applyBorder="1"/>
    <xf numFmtId="0" fontId="46" fillId="9" borderId="20" xfId="0" applyFont="1" applyFill="1" applyBorder="1" applyAlignment="1">
      <alignment horizontal="center" vertical="center"/>
    </xf>
    <xf numFmtId="0" fontId="46" fillId="9" borderId="88" xfId="0" applyFont="1" applyFill="1" applyBorder="1" applyAlignment="1">
      <alignment horizontal="center" vertical="center" wrapText="1"/>
    </xf>
    <xf numFmtId="0" fontId="25" fillId="0" borderId="45" xfId="0" applyFont="1" applyBorder="1" applyAlignment="1">
      <alignment horizontal="center" vertical="center"/>
    </xf>
    <xf numFmtId="0" fontId="46" fillId="9" borderId="89" xfId="0" applyFont="1" applyFill="1" applyBorder="1" applyAlignment="1">
      <alignment horizontal="center" vertical="center"/>
    </xf>
    <xf numFmtId="0" fontId="46" fillId="9" borderId="65" xfId="0" applyFont="1" applyFill="1" applyBorder="1" applyAlignment="1">
      <alignment horizontal="center" vertical="center" wrapText="1"/>
    </xf>
    <xf numFmtId="170" fontId="25" fillId="0" borderId="3" xfId="1" applyNumberFormat="1" applyFont="1" applyBorder="1" applyAlignment="1">
      <alignment horizontal="center" vertical="center" wrapText="1"/>
    </xf>
    <xf numFmtId="0" fontId="46" fillId="9" borderId="90" xfId="0" applyFont="1" applyFill="1" applyBorder="1" applyAlignment="1">
      <alignment horizontal="center" vertical="center" wrapText="1"/>
    </xf>
    <xf numFmtId="0" fontId="46" fillId="9" borderId="90" xfId="0" applyFont="1" applyFill="1" applyBorder="1" applyAlignment="1">
      <alignment horizontal="center" vertical="center"/>
    </xf>
    <xf numFmtId="1" fontId="25" fillId="0" borderId="9" xfId="0" applyNumberFormat="1" applyFont="1" applyBorder="1" applyAlignment="1">
      <alignment horizontal="center" vertical="center"/>
    </xf>
    <xf numFmtId="1" fontId="25" fillId="0" borderId="48" xfId="0" applyNumberFormat="1" applyFont="1" applyBorder="1" applyAlignment="1">
      <alignment horizontal="center" vertical="center"/>
    </xf>
    <xf numFmtId="1" fontId="25" fillId="0" borderId="4" xfId="0" applyNumberFormat="1" applyFont="1" applyBorder="1" applyAlignment="1">
      <alignment horizontal="center" vertical="center"/>
    </xf>
    <xf numFmtId="1" fontId="25" fillId="0" borderId="50" xfId="0" applyNumberFormat="1" applyFont="1" applyBorder="1" applyAlignment="1">
      <alignment horizontal="center" vertical="center"/>
    </xf>
    <xf numFmtId="0" fontId="25" fillId="0" borderId="53" xfId="0" applyFont="1" applyBorder="1" applyAlignment="1">
      <alignment horizontal="center" vertical="center" wrapText="1"/>
    </xf>
    <xf numFmtId="0" fontId="25" fillId="0" borderId="12" xfId="0" applyFont="1" applyBorder="1" applyAlignment="1">
      <alignment horizontal="center" vertical="center" wrapText="1"/>
    </xf>
    <xf numFmtId="1" fontId="25" fillId="0" borderId="53" xfId="0" applyNumberFormat="1" applyFont="1" applyBorder="1" applyAlignment="1">
      <alignment horizontal="center" wrapText="1"/>
    </xf>
    <xf numFmtId="1" fontId="25" fillId="0" borderId="6" xfId="0" applyNumberFormat="1" applyFont="1" applyBorder="1" applyAlignment="1">
      <alignment horizontal="center" wrapText="1"/>
    </xf>
    <xf numFmtId="1" fontId="25" fillId="0" borderId="93" xfId="0" applyNumberFormat="1" applyFont="1" applyBorder="1" applyAlignment="1">
      <alignment horizontal="center" wrapText="1"/>
    </xf>
    <xf numFmtId="1" fontId="25" fillId="0" borderId="54" xfId="0" applyNumberFormat="1" applyFont="1" applyBorder="1" applyAlignment="1">
      <alignment horizontal="center" wrapText="1"/>
    </xf>
    <xf numFmtId="1" fontId="25" fillId="0" borderId="41" xfId="0" applyNumberFormat="1" applyFont="1" applyBorder="1" applyAlignment="1">
      <alignment horizontal="center" vertical="center"/>
    </xf>
    <xf numFmtId="1" fontId="25" fillId="0" borderId="41" xfId="0" applyNumberFormat="1" applyFont="1" applyBorder="1" applyAlignment="1">
      <alignment horizontal="center" vertical="center" wrapText="1"/>
    </xf>
    <xf numFmtId="1" fontId="25" fillId="0" borderId="22" xfId="0" applyNumberFormat="1" applyFont="1" applyBorder="1" applyAlignment="1">
      <alignment horizontal="center" vertical="center" wrapText="1"/>
    </xf>
    <xf numFmtId="1" fontId="25" fillId="0" borderId="43" xfId="0" applyNumberFormat="1" applyFont="1" applyBorder="1" applyAlignment="1">
      <alignment horizontal="center" vertical="center"/>
    </xf>
    <xf numFmtId="1" fontId="25" fillId="0" borderId="45" xfId="0" applyNumberFormat="1" applyFont="1" applyBorder="1" applyAlignment="1">
      <alignment horizontal="center" vertical="center"/>
    </xf>
    <xf numFmtId="0" fontId="25" fillId="4" borderId="5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51" xfId="0" applyFont="1" applyBorder="1" applyAlignment="1">
      <alignment horizontal="center" vertical="center" wrapText="1"/>
    </xf>
    <xf numFmtId="0" fontId="25" fillId="4" borderId="53" xfId="0" applyFont="1" applyFill="1" applyBorder="1" applyAlignment="1">
      <alignment wrapText="1"/>
    </xf>
    <xf numFmtId="0" fontId="25" fillId="4" borderId="12" xfId="0" applyFont="1" applyFill="1" applyBorder="1" applyAlignment="1">
      <alignment wrapText="1"/>
    </xf>
    <xf numFmtId="0" fontId="5" fillId="7" borderId="94" xfId="6" applyFont="1" applyFill="1" applyBorder="1" applyAlignment="1">
      <alignment horizontal="center" vertical="center" wrapText="1"/>
    </xf>
    <xf numFmtId="0" fontId="25" fillId="0" borderId="95" xfId="0" applyFont="1" applyBorder="1" applyAlignment="1">
      <alignment horizontal="center" vertical="center" wrapText="1"/>
    </xf>
    <xf numFmtId="0" fontId="25" fillId="0" borderId="94" xfId="0" applyFont="1" applyBorder="1" applyAlignment="1">
      <alignment horizontal="center" vertical="center" wrapText="1"/>
    </xf>
    <xf numFmtId="0" fontId="25" fillId="0" borderId="96" xfId="0" applyFont="1" applyBorder="1" applyAlignment="1">
      <alignment horizontal="center" vertical="center" wrapText="1"/>
    </xf>
    <xf numFmtId="0" fontId="25" fillId="0" borderId="66" xfId="0" applyFont="1" applyBorder="1" applyAlignment="1">
      <alignment horizontal="center" vertical="center" wrapText="1"/>
    </xf>
    <xf numFmtId="1" fontId="25" fillId="0" borderId="6" xfId="0" applyNumberFormat="1" applyFont="1" applyBorder="1" applyAlignment="1">
      <alignment horizontal="center" vertical="center" wrapText="1"/>
    </xf>
    <xf numFmtId="1" fontId="25" fillId="0" borderId="93" xfId="0" applyNumberFormat="1" applyFont="1" applyBorder="1" applyAlignment="1">
      <alignment horizontal="center" vertical="center" wrapText="1"/>
    </xf>
    <xf numFmtId="1" fontId="25" fillId="0" borderId="54" xfId="0" applyNumberFormat="1" applyFont="1" applyBorder="1" applyAlignment="1">
      <alignment horizontal="center" vertical="center" wrapText="1"/>
    </xf>
    <xf numFmtId="1" fontId="50" fillId="0" borderId="27" xfId="0" applyNumberFormat="1" applyFont="1" applyBorder="1" applyAlignment="1">
      <alignment horizontal="center" vertical="center"/>
    </xf>
    <xf numFmtId="1" fontId="50" fillId="0" borderId="29" xfId="0" applyNumberFormat="1" applyFont="1" applyBorder="1" applyAlignment="1">
      <alignment horizontal="center" vertical="center"/>
    </xf>
    <xf numFmtId="1" fontId="50" fillId="0" borderId="28" xfId="0" applyNumberFormat="1" applyFont="1" applyBorder="1" applyAlignment="1">
      <alignment horizontal="center" vertical="center"/>
    </xf>
    <xf numFmtId="0" fontId="25" fillId="0" borderId="95" xfId="0" applyFont="1" applyBorder="1" applyAlignment="1">
      <alignment horizontal="left" vertical="center" wrapText="1"/>
    </xf>
    <xf numFmtId="0" fontId="25" fillId="0" borderId="94" xfId="0" applyFont="1" applyBorder="1" applyAlignment="1">
      <alignment horizontal="left" vertical="center" wrapText="1"/>
    </xf>
    <xf numFmtId="0" fontId="25" fillId="0" borderId="96" xfId="0" applyFont="1" applyBorder="1" applyAlignment="1">
      <alignment horizontal="left" vertical="center" wrapText="1"/>
    </xf>
    <xf numFmtId="0" fontId="25" fillId="0" borderId="66" xfId="0" applyFont="1" applyBorder="1" applyAlignment="1">
      <alignment horizontal="left" vertical="center" wrapText="1"/>
    </xf>
    <xf numFmtId="0" fontId="5" fillId="7" borderId="94" xfId="6" applyFont="1" applyFill="1" applyBorder="1" applyAlignment="1">
      <alignment horizontal="left" vertical="center" wrapText="1"/>
    </xf>
    <xf numFmtId="0" fontId="5" fillId="7" borderId="95" xfId="6" applyFont="1" applyFill="1" applyBorder="1" applyAlignment="1">
      <alignment horizontal="left" vertical="center" wrapText="1"/>
    </xf>
    <xf numFmtId="0" fontId="39" fillId="7" borderId="4" xfId="6" applyFont="1" applyFill="1" applyBorder="1" applyAlignment="1">
      <alignment horizontal="center" vertical="center" wrapText="1"/>
    </xf>
    <xf numFmtId="170" fontId="25" fillId="0" borderId="4" xfId="1" applyNumberFormat="1" applyFont="1" applyBorder="1" applyAlignment="1">
      <alignment horizontal="center" vertical="center"/>
    </xf>
    <xf numFmtId="170" fontId="25" fillId="0" borderId="27" xfId="1" applyNumberFormat="1" applyFont="1" applyBorder="1" applyAlignment="1">
      <alignment horizontal="center" vertical="center"/>
    </xf>
    <xf numFmtId="0" fontId="39" fillId="7" borderId="95" xfId="6" applyFont="1" applyFill="1" applyBorder="1" applyAlignment="1">
      <alignment horizontal="center" vertical="center" wrapText="1"/>
    </xf>
    <xf numFmtId="0" fontId="39" fillId="7" borderId="50" xfId="6" applyFont="1" applyFill="1" applyBorder="1" applyAlignment="1">
      <alignment horizontal="center" vertical="center" wrapText="1"/>
    </xf>
    <xf numFmtId="170" fontId="25" fillId="0" borderId="50" xfId="1" applyNumberFormat="1" applyFont="1" applyBorder="1" applyAlignment="1">
      <alignment horizontal="center" vertical="center"/>
    </xf>
    <xf numFmtId="170" fontId="25" fillId="0" borderId="29" xfId="1" applyNumberFormat="1" applyFont="1" applyBorder="1" applyAlignment="1">
      <alignment horizontal="center" vertical="center"/>
    </xf>
    <xf numFmtId="0" fontId="5" fillId="7" borderId="41" xfId="6" applyFont="1" applyFill="1" applyBorder="1" applyAlignment="1">
      <alignment horizontal="left" vertical="center" wrapText="1"/>
    </xf>
    <xf numFmtId="164" fontId="6" fillId="0" borderId="44" xfId="1" applyFont="1" applyFill="1" applyBorder="1"/>
    <xf numFmtId="0" fontId="16" fillId="0" borderId="57" xfId="0" applyFont="1" applyBorder="1" applyAlignment="1">
      <alignment horizontal="left" vertical="center"/>
    </xf>
    <xf numFmtId="0" fontId="16" fillId="0" borderId="41" xfId="0" applyFont="1" applyBorder="1" applyAlignment="1">
      <alignment horizontal="left" vertical="center"/>
    </xf>
    <xf numFmtId="0" fontId="16" fillId="4" borderId="41" xfId="0" applyFont="1" applyFill="1" applyBorder="1" applyAlignment="1">
      <alignment horizontal="left" vertical="center"/>
    </xf>
    <xf numFmtId="0" fontId="16" fillId="4" borderId="43" xfId="0" applyFont="1" applyFill="1" applyBorder="1" applyAlignment="1">
      <alignment horizontal="left" vertical="center"/>
    </xf>
    <xf numFmtId="0" fontId="16" fillId="0" borderId="39" xfId="0" applyFont="1" applyBorder="1" applyAlignment="1">
      <alignment horizontal="left" vertical="center"/>
    </xf>
    <xf numFmtId="0" fontId="39" fillId="7" borderId="12" xfId="11" applyFont="1" applyFill="1" applyBorder="1" applyAlignment="1">
      <alignment horizontal="center" vertical="center" wrapText="1"/>
    </xf>
    <xf numFmtId="0" fontId="39" fillId="7" borderId="33" xfId="11" applyFont="1" applyFill="1" applyBorder="1" applyAlignment="1">
      <alignment horizontal="center" vertical="center" wrapText="1"/>
    </xf>
    <xf numFmtId="0" fontId="25" fillId="0" borderId="43" xfId="0" applyFont="1" applyBorder="1" applyAlignment="1">
      <alignment wrapText="1"/>
    </xf>
    <xf numFmtId="0" fontId="68" fillId="4" borderId="0" xfId="0" applyFont="1" applyFill="1" applyAlignment="1">
      <alignment horizontal="left"/>
    </xf>
    <xf numFmtId="0" fontId="69" fillId="4" borderId="0" xfId="17" applyFont="1" applyFill="1" applyAlignment="1">
      <alignment horizontal="right"/>
    </xf>
    <xf numFmtId="0" fontId="69" fillId="4" borderId="0" xfId="17" applyFont="1" applyFill="1"/>
    <xf numFmtId="9" fontId="0" fillId="4" borderId="0" xfId="2" applyFont="1" applyFill="1"/>
    <xf numFmtId="0" fontId="52" fillId="4" borderId="0" xfId="0" applyFont="1" applyFill="1" applyAlignment="1">
      <alignment wrapText="1"/>
    </xf>
    <xf numFmtId="0" fontId="71" fillId="4" borderId="0" xfId="0" applyFont="1" applyFill="1"/>
    <xf numFmtId="0" fontId="37" fillId="5" borderId="0" xfId="0" applyFont="1" applyFill="1"/>
    <xf numFmtId="0" fontId="15" fillId="5" borderId="0" xfId="0" applyFont="1" applyFill="1"/>
    <xf numFmtId="174" fontId="15" fillId="4" borderId="0" xfId="0" applyNumberFormat="1" applyFont="1" applyFill="1"/>
    <xf numFmtId="1" fontId="15" fillId="4" borderId="0" xfId="0" applyNumberFormat="1" applyFont="1" applyFill="1"/>
    <xf numFmtId="174" fontId="25" fillId="4" borderId="0" xfId="19" applyNumberFormat="1" applyFont="1" applyFill="1"/>
    <xf numFmtId="1" fontId="25" fillId="4" borderId="0" xfId="19" applyNumberFormat="1" applyFont="1" applyFill="1"/>
    <xf numFmtId="0" fontId="37" fillId="5" borderId="100" xfId="9" applyFont="1" applyFill="1" applyBorder="1" applyAlignment="1">
      <alignment horizontal="center" vertical="center" wrapText="1"/>
    </xf>
    <xf numFmtId="0" fontId="37" fillId="5" borderId="105" xfId="9" applyFont="1" applyFill="1" applyBorder="1" applyAlignment="1">
      <alignment horizontal="center" vertical="center" wrapText="1"/>
    </xf>
    <xf numFmtId="0" fontId="37" fillId="5" borderId="106" xfId="9" applyFont="1" applyFill="1" applyBorder="1" applyAlignment="1">
      <alignment horizontal="center" vertical="center" wrapText="1"/>
    </xf>
    <xf numFmtId="0" fontId="39" fillId="4" borderId="101" xfId="9" applyFont="1" applyFill="1" applyBorder="1" applyAlignment="1">
      <alignment horizontal="center" vertical="center" wrapText="1"/>
    </xf>
    <xf numFmtId="0" fontId="25" fillId="4" borderId="98" xfId="9" applyFont="1" applyFill="1" applyBorder="1" applyAlignment="1">
      <alignment horizontal="center" vertical="center" wrapText="1"/>
    </xf>
    <xf numFmtId="0" fontId="25" fillId="4" borderId="102" xfId="9" applyFont="1" applyFill="1" applyBorder="1" applyAlignment="1">
      <alignment horizontal="center" vertical="center" wrapText="1"/>
    </xf>
    <xf numFmtId="0" fontId="40" fillId="4" borderId="101" xfId="9" applyFont="1" applyFill="1" applyBorder="1" applyAlignment="1">
      <alignment horizontal="center" vertical="center" wrapText="1"/>
    </xf>
    <xf numFmtId="3" fontId="25" fillId="4" borderId="98" xfId="9" applyNumberFormat="1" applyFont="1" applyFill="1" applyBorder="1" applyAlignment="1">
      <alignment horizontal="center" vertical="center" shrinkToFit="1"/>
    </xf>
    <xf numFmtId="3" fontId="50" fillId="4" borderId="102" xfId="9" applyNumberFormat="1" applyFont="1" applyFill="1" applyBorder="1" applyAlignment="1">
      <alignment horizontal="center" vertical="center" shrinkToFit="1"/>
    </xf>
    <xf numFmtId="3" fontId="50" fillId="4" borderId="98" xfId="9" applyNumberFormat="1" applyFont="1" applyFill="1" applyBorder="1" applyAlignment="1">
      <alignment horizontal="center" vertical="center" shrinkToFit="1"/>
    </xf>
    <xf numFmtId="3" fontId="25" fillId="4" borderId="102" xfId="9" applyNumberFormat="1" applyFont="1" applyFill="1" applyBorder="1" applyAlignment="1">
      <alignment horizontal="center" vertical="center" shrinkToFit="1"/>
    </xf>
    <xf numFmtId="0" fontId="39" fillId="4" borderId="103" xfId="9" applyFont="1" applyFill="1" applyBorder="1" applyAlignment="1">
      <alignment horizontal="center" vertical="center" wrapText="1"/>
    </xf>
    <xf numFmtId="0" fontId="25" fillId="4" borderId="99" xfId="9" applyFont="1" applyFill="1" applyBorder="1" applyAlignment="1">
      <alignment horizontal="center" vertical="center" wrapText="1"/>
    </xf>
    <xf numFmtId="3" fontId="50" fillId="4" borderId="104" xfId="9" applyNumberFormat="1" applyFont="1" applyFill="1" applyBorder="1" applyAlignment="1">
      <alignment horizontal="center" vertical="center" shrinkToFit="1"/>
    </xf>
    <xf numFmtId="3" fontId="25" fillId="0" borderId="4" xfId="0" applyNumberFormat="1" applyFont="1" applyBorder="1" applyAlignment="1">
      <alignment horizontal="center" vertical="center"/>
    </xf>
    <xf numFmtId="3" fontId="25" fillId="0" borderId="50" xfId="0" applyNumberFormat="1" applyFont="1" applyBorder="1" applyAlignment="1">
      <alignment horizontal="center" vertical="center"/>
    </xf>
    <xf numFmtId="3" fontId="25" fillId="0" borderId="46" xfId="0" applyNumberFormat="1" applyFont="1" applyBorder="1" applyAlignment="1">
      <alignment horizontal="center" vertical="center"/>
    </xf>
    <xf numFmtId="3" fontId="25" fillId="0" borderId="3" xfId="0" applyNumberFormat="1" applyFont="1" applyBorder="1" applyAlignment="1">
      <alignment horizontal="center" vertical="center"/>
    </xf>
    <xf numFmtId="3" fontId="25" fillId="0" borderId="1" xfId="0" applyNumberFormat="1" applyFont="1" applyBorder="1" applyAlignment="1">
      <alignment horizontal="center" vertical="center"/>
    </xf>
    <xf numFmtId="3" fontId="25" fillId="0" borderId="42" xfId="0" applyNumberFormat="1" applyFont="1" applyBorder="1" applyAlignment="1">
      <alignment horizontal="center" vertical="center"/>
    </xf>
    <xf numFmtId="3" fontId="25" fillId="0" borderId="1" xfId="0" applyNumberFormat="1" applyFont="1" applyBorder="1" applyAlignment="1">
      <alignment horizontal="center" vertical="center" wrapText="1"/>
    </xf>
    <xf numFmtId="3" fontId="25" fillId="0" borderId="42" xfId="0" applyNumberFormat="1" applyFont="1" applyBorder="1" applyAlignment="1">
      <alignment horizontal="center" vertical="center" wrapText="1"/>
    </xf>
    <xf numFmtId="3" fontId="25" fillId="0" borderId="7" xfId="0" applyNumberFormat="1" applyFont="1" applyBorder="1" applyAlignment="1">
      <alignment horizontal="center" vertical="center" wrapText="1"/>
    </xf>
    <xf numFmtId="3" fontId="25" fillId="0" borderId="47" xfId="0" applyNumberFormat="1" applyFont="1" applyBorder="1" applyAlignment="1">
      <alignment horizontal="center" vertical="center" wrapText="1"/>
    </xf>
    <xf numFmtId="3" fontId="50" fillId="0" borderId="27" xfId="0" applyNumberFormat="1" applyFont="1" applyBorder="1" applyAlignment="1">
      <alignment horizontal="center" vertical="center"/>
    </xf>
    <xf numFmtId="3" fontId="50" fillId="0" borderId="29" xfId="0" applyNumberFormat="1" applyFont="1" applyBorder="1" applyAlignment="1">
      <alignment horizontal="center" vertical="center"/>
    </xf>
    <xf numFmtId="3" fontId="50" fillId="0" borderId="51" xfId="0" applyNumberFormat="1" applyFont="1" applyBorder="1" applyAlignment="1">
      <alignment horizontal="center" vertical="center"/>
    </xf>
    <xf numFmtId="3" fontId="50" fillId="0" borderId="28" xfId="0" applyNumberFormat="1" applyFont="1" applyBorder="1" applyAlignment="1">
      <alignment horizontal="center" vertical="center"/>
    </xf>
    <xf numFmtId="0" fontId="5" fillId="5" borderId="16" xfId="6" applyFont="1" applyFill="1" applyBorder="1"/>
    <xf numFmtId="3" fontId="25" fillId="0" borderId="51" xfId="0" applyNumberFormat="1" applyFont="1" applyBorder="1" applyAlignment="1">
      <alignment horizontal="center" vertical="center"/>
    </xf>
    <xf numFmtId="0" fontId="25" fillId="0" borderId="24" xfId="0" applyFont="1" applyBorder="1" applyAlignment="1">
      <alignment horizontal="center" vertical="center" wrapText="1"/>
    </xf>
    <xf numFmtId="3" fontId="25" fillId="0" borderId="41" xfId="0" applyNumberFormat="1" applyFont="1" applyBorder="1" applyAlignment="1">
      <alignment horizontal="center" vertical="center"/>
    </xf>
    <xf numFmtId="3" fontId="25" fillId="0" borderId="43" xfId="0" applyNumberFormat="1" applyFont="1" applyBorder="1" applyAlignment="1">
      <alignment horizontal="center" vertical="center"/>
    </xf>
    <xf numFmtId="3" fontId="25" fillId="0" borderId="49" xfId="0" applyNumberFormat="1" applyFont="1" applyBorder="1" applyAlignment="1">
      <alignment horizontal="center" vertical="center"/>
    </xf>
    <xf numFmtId="0" fontId="72" fillId="0" borderId="0" xfId="3" applyFont="1" applyAlignment="1">
      <alignment vertical="center"/>
    </xf>
    <xf numFmtId="6" fontId="73" fillId="4" borderId="1" xfId="3" applyNumberFormat="1" applyFont="1" applyFill="1" applyBorder="1" applyAlignment="1">
      <alignment horizontal="left" wrapText="1"/>
    </xf>
    <xf numFmtId="0" fontId="21" fillId="0" borderId="0" xfId="3" applyFont="1"/>
    <xf numFmtId="0" fontId="21" fillId="0" borderId="0" xfId="3" applyFont="1" applyAlignment="1">
      <alignment vertical="center"/>
    </xf>
    <xf numFmtId="0" fontId="62" fillId="5" borderId="1" xfId="4" applyFont="1" applyFill="1" applyBorder="1" applyAlignment="1">
      <alignment horizontal="center"/>
    </xf>
    <xf numFmtId="0" fontId="5" fillId="0" borderId="1" xfId="3" applyFont="1" applyBorder="1" applyAlignment="1">
      <alignment horizontal="left" wrapText="1"/>
    </xf>
    <xf numFmtId="17" fontId="73" fillId="4" borderId="1" xfId="0" applyNumberFormat="1" applyFont="1" applyFill="1" applyBorder="1" applyAlignment="1">
      <alignment horizontal="left"/>
    </xf>
    <xf numFmtId="17" fontId="3" fillId="0" borderId="1" xfId="0" applyNumberFormat="1" applyFont="1" applyBorder="1" applyAlignment="1">
      <alignment horizontal="left"/>
    </xf>
    <xf numFmtId="0" fontId="73" fillId="4" borderId="1" xfId="3" applyFont="1" applyFill="1" applyBorder="1" applyAlignment="1">
      <alignment horizontal="left" wrapText="1"/>
    </xf>
    <xf numFmtId="0" fontId="73" fillId="0" borderId="1" xfId="3" applyFont="1" applyBorder="1" applyAlignment="1">
      <alignment horizontal="left" wrapText="1"/>
    </xf>
    <xf numFmtId="0" fontId="73" fillId="0" borderId="1" xfId="4" applyFont="1" applyBorder="1" applyAlignment="1">
      <alignment horizontal="left" wrapText="1"/>
    </xf>
    <xf numFmtId="0" fontId="4" fillId="4" borderId="0" xfId="3" applyFont="1" applyFill="1"/>
    <xf numFmtId="0" fontId="18" fillId="4" borderId="0" xfId="3" applyFont="1" applyFill="1" applyAlignment="1">
      <alignment vertical="center" wrapText="1"/>
    </xf>
    <xf numFmtId="0" fontId="65" fillId="11" borderId="0" xfId="8" applyFont="1" applyFill="1" applyBorder="1" applyAlignment="1" applyProtection="1">
      <alignment horizontal="left" vertical="top" wrapText="1"/>
    </xf>
    <xf numFmtId="0" fontId="66" fillId="11" borderId="0" xfId="8" applyFont="1" applyFill="1" applyBorder="1" applyAlignment="1" applyProtection="1">
      <alignment horizontal="left" vertical="top" wrapText="1"/>
    </xf>
    <xf numFmtId="0" fontId="65" fillId="11" borderId="0" xfId="8" applyFont="1" applyFill="1" applyAlignment="1">
      <alignment horizontal="left" vertical="top" wrapText="1"/>
    </xf>
    <xf numFmtId="0" fontId="65" fillId="11" borderId="0" xfId="17" applyFont="1" applyFill="1" applyAlignment="1">
      <alignment horizontal="left" wrapText="1"/>
    </xf>
    <xf numFmtId="0" fontId="65" fillId="11" borderId="0" xfId="17" quotePrefix="1" applyFont="1" applyFill="1" applyAlignment="1">
      <alignment horizontal="left" wrapText="1"/>
    </xf>
    <xf numFmtId="0" fontId="15" fillId="11" borderId="0" xfId="0" applyFont="1" applyFill="1"/>
    <xf numFmtId="0" fontId="3" fillId="11" borderId="0" xfId="3" applyFill="1"/>
    <xf numFmtId="0" fontId="3" fillId="4" borderId="0" xfId="3" applyFill="1" applyAlignment="1">
      <alignment horizontal="left"/>
    </xf>
    <xf numFmtId="0" fontId="3" fillId="4" borderId="0" xfId="7" applyFont="1" applyFill="1" applyAlignment="1">
      <alignment vertical="top" wrapText="1"/>
    </xf>
    <xf numFmtId="0" fontId="3" fillId="11" borderId="0" xfId="3" applyFill="1" applyAlignment="1">
      <alignment wrapText="1"/>
    </xf>
    <xf numFmtId="0" fontId="3" fillId="4" borderId="0" xfId="3" applyFill="1" applyAlignment="1">
      <alignment horizontal="left" wrapText="1"/>
    </xf>
    <xf numFmtId="0" fontId="3" fillId="4" borderId="0" xfId="7" applyFont="1" applyFill="1" applyAlignment="1">
      <alignment wrapText="1"/>
    </xf>
    <xf numFmtId="0" fontId="40" fillId="11" borderId="0" xfId="3" applyFont="1" applyFill="1" applyAlignment="1">
      <alignment wrapText="1"/>
    </xf>
    <xf numFmtId="0" fontId="39" fillId="11" borderId="0" xfId="7" applyFont="1" applyFill="1" applyAlignment="1">
      <alignment horizontal="left" wrapText="1"/>
    </xf>
    <xf numFmtId="0" fontId="3" fillId="11" borderId="0" xfId="3" applyFill="1" applyAlignment="1">
      <alignment horizontal="left" wrapText="1"/>
    </xf>
    <xf numFmtId="0" fontId="19" fillId="4" borderId="0" xfId="3" applyFont="1" applyFill="1" applyAlignment="1">
      <alignment vertical="center" wrapText="1"/>
    </xf>
    <xf numFmtId="0" fontId="3" fillId="11" borderId="0" xfId="7" applyFont="1" applyFill="1" applyAlignment="1">
      <alignment wrapText="1"/>
    </xf>
    <xf numFmtId="0" fontId="19" fillId="11" borderId="0" xfId="7" applyFont="1" applyFill="1" applyAlignment="1">
      <alignment horizontal="left" wrapText="1"/>
    </xf>
    <xf numFmtId="0" fontId="40" fillId="11" borderId="0" xfId="7" applyFont="1" applyFill="1" applyAlignment="1">
      <alignment horizontal="left"/>
    </xf>
    <xf numFmtId="1" fontId="29" fillId="4" borderId="0" xfId="0" applyNumberFormat="1" applyFont="1" applyFill="1"/>
    <xf numFmtId="0" fontId="6" fillId="0" borderId="1" xfId="3" applyFont="1" applyBorder="1" applyAlignment="1">
      <alignment horizontal="left" wrapText="1"/>
    </xf>
    <xf numFmtId="0" fontId="18" fillId="0" borderId="0" xfId="3" applyFont="1" applyAlignment="1">
      <alignment vertical="center"/>
    </xf>
    <xf numFmtId="0" fontId="22" fillId="0" borderId="0" xfId="0" applyFont="1" applyAlignment="1">
      <alignment vertical="center"/>
    </xf>
    <xf numFmtId="0" fontId="22" fillId="4" borderId="0" xfId="0" applyFont="1" applyFill="1" applyAlignment="1">
      <alignment vertical="center"/>
    </xf>
    <xf numFmtId="0" fontId="3" fillId="0" borderId="1" xfId="3" applyBorder="1" applyAlignment="1">
      <alignment horizontal="left" wrapText="1"/>
    </xf>
    <xf numFmtId="0" fontId="3" fillId="0" borderId="1" xfId="3" applyBorder="1" applyAlignment="1">
      <alignment horizontal="left" vertical="center" wrapText="1" indent="3"/>
    </xf>
    <xf numFmtId="166" fontId="6" fillId="0" borderId="46" xfId="1" applyNumberFormat="1" applyFont="1" applyFill="1" applyBorder="1"/>
    <xf numFmtId="1" fontId="6" fillId="4" borderId="0" xfId="2" applyNumberFormat="1" applyFont="1" applyFill="1" applyBorder="1"/>
    <xf numFmtId="0" fontId="75" fillId="4" borderId="0" xfId="0" applyFont="1" applyFill="1" applyAlignment="1">
      <alignment wrapText="1"/>
    </xf>
    <xf numFmtId="174" fontId="15" fillId="11" borderId="0" xfId="0" applyNumberFormat="1" applyFont="1" applyFill="1"/>
    <xf numFmtId="174" fontId="25" fillId="11" borderId="0" xfId="19" applyNumberFormat="1" applyFont="1" applyFill="1"/>
    <xf numFmtId="174" fontId="15" fillId="12" borderId="0" xfId="0" applyNumberFormat="1" applyFont="1" applyFill="1"/>
    <xf numFmtId="174" fontId="29" fillId="4" borderId="0" xfId="0" applyNumberFormat="1" applyFont="1" applyFill="1"/>
    <xf numFmtId="3" fontId="73" fillId="4" borderId="1" xfId="3" applyNumberFormat="1" applyFont="1" applyFill="1" applyBorder="1" applyAlignment="1">
      <alignment horizontal="left" wrapText="1"/>
    </xf>
    <xf numFmtId="9" fontId="72" fillId="0" borderId="0" xfId="2" applyFont="1" applyAlignment="1">
      <alignment vertical="center"/>
    </xf>
    <xf numFmtId="0" fontId="40" fillId="4" borderId="110" xfId="9" applyFont="1" applyFill="1" applyBorder="1" applyAlignment="1">
      <alignment horizontal="center" vertical="center" wrapText="1"/>
    </xf>
    <xf numFmtId="3" fontId="25" fillId="4" borderId="111" xfId="9" applyNumberFormat="1" applyFont="1" applyFill="1" applyBorder="1" applyAlignment="1">
      <alignment horizontal="center" vertical="center" shrinkToFit="1"/>
    </xf>
    <xf numFmtId="3" fontId="50" fillId="4" borderId="112" xfId="9" applyNumberFormat="1" applyFont="1" applyFill="1" applyBorder="1" applyAlignment="1">
      <alignment horizontal="center" vertical="center" shrinkToFit="1"/>
    </xf>
    <xf numFmtId="166" fontId="25" fillId="11" borderId="1" xfId="1" applyNumberFormat="1" applyFont="1" applyFill="1" applyBorder="1"/>
    <xf numFmtId="0" fontId="40" fillId="7" borderId="107" xfId="9" applyFont="1" applyFill="1" applyBorder="1" applyAlignment="1">
      <alignment horizontal="center" vertical="center" wrapText="1"/>
    </xf>
    <xf numFmtId="1" fontId="25" fillId="7" borderId="108" xfId="9" applyNumberFormat="1" applyFont="1" applyFill="1" applyBorder="1" applyAlignment="1">
      <alignment horizontal="center" vertical="center" shrinkToFit="1"/>
    </xf>
    <xf numFmtId="3" fontId="25" fillId="7" borderId="108" xfId="9" applyNumberFormat="1" applyFont="1" applyFill="1" applyBorder="1" applyAlignment="1">
      <alignment horizontal="center" vertical="center" shrinkToFit="1"/>
    </xf>
    <xf numFmtId="3" fontId="50" fillId="7" borderId="109" xfId="9" applyNumberFormat="1" applyFont="1" applyFill="1" applyBorder="1" applyAlignment="1">
      <alignment horizontal="center" vertical="center" shrinkToFit="1"/>
    </xf>
    <xf numFmtId="166" fontId="25" fillId="11" borderId="41" xfId="1" applyNumberFormat="1" applyFont="1" applyFill="1" applyBorder="1"/>
    <xf numFmtId="166" fontId="25" fillId="11" borderId="42" xfId="1" applyNumberFormat="1" applyFont="1" applyFill="1" applyBorder="1"/>
    <xf numFmtId="0" fontId="51" fillId="4" borderId="0" xfId="0" applyFont="1" applyFill="1" applyAlignment="1">
      <alignment horizontal="right" vertical="center"/>
    </xf>
    <xf numFmtId="0" fontId="22" fillId="4" borderId="0" xfId="0" applyFont="1" applyFill="1" applyAlignment="1">
      <alignment horizontal="right" vertical="center"/>
    </xf>
    <xf numFmtId="0" fontId="21" fillId="4" borderId="0" xfId="3" applyFont="1" applyFill="1" applyAlignment="1">
      <alignment horizontal="right" vertical="center"/>
    </xf>
    <xf numFmtId="0" fontId="76" fillId="0" borderId="0" xfId="3" applyFont="1" applyAlignment="1">
      <alignment vertical="center"/>
    </xf>
    <xf numFmtId="37" fontId="41" fillId="0" borderId="2" xfId="15" applyNumberFormat="1" applyFont="1" applyFill="1" applyBorder="1" applyAlignment="1">
      <alignment horizontal="center" vertical="center"/>
    </xf>
    <xf numFmtId="1" fontId="41" fillId="0" borderId="28" xfId="13" applyNumberFormat="1" applyFont="1" applyFill="1" applyBorder="1" applyAlignment="1">
      <alignment horizontal="center" vertical="center"/>
    </xf>
    <xf numFmtId="0" fontId="67" fillId="0" borderId="0" xfId="0" applyFont="1" applyAlignment="1" applyProtection="1">
      <alignment horizontal="left"/>
      <protection hidden="1"/>
    </xf>
    <xf numFmtId="0" fontId="80" fillId="4" borderId="0" xfId="3" applyFont="1" applyFill="1"/>
    <xf numFmtId="0" fontId="81" fillId="4" borderId="0" xfId="3" applyFont="1" applyFill="1"/>
    <xf numFmtId="0" fontId="56" fillId="4" borderId="0" xfId="0" applyFont="1" applyFill="1"/>
    <xf numFmtId="0" fontId="82" fillId="4" borderId="0" xfId="3" applyFont="1" applyFill="1" applyAlignment="1">
      <alignment horizontal="left"/>
    </xf>
    <xf numFmtId="0" fontId="82" fillId="4" borderId="0" xfId="10" applyFont="1" applyFill="1"/>
    <xf numFmtId="0" fontId="83" fillId="4" borderId="0" xfId="11" applyFont="1" applyFill="1"/>
    <xf numFmtId="0" fontId="84" fillId="4" borderId="0" xfId="6" applyFont="1" applyFill="1"/>
    <xf numFmtId="0" fontId="78" fillId="5" borderId="0" xfId="0" applyFont="1" applyFill="1"/>
    <xf numFmtId="0" fontId="0" fillId="4" borderId="12" xfId="0" applyFill="1" applyBorder="1"/>
    <xf numFmtId="0" fontId="56" fillId="4" borderId="0" xfId="0" applyFont="1" applyFill="1" applyAlignment="1">
      <alignment horizontal="left" wrapText="1"/>
    </xf>
    <xf numFmtId="2" fontId="0" fillId="4" borderId="0" xfId="0" applyNumberFormat="1" applyFill="1"/>
    <xf numFmtId="2" fontId="69" fillId="4" borderId="0" xfId="17" applyNumberFormat="1" applyFont="1" applyFill="1" applyAlignment="1">
      <alignment horizontal="right"/>
    </xf>
    <xf numFmtId="2" fontId="69" fillId="0" borderId="0" xfId="17" applyNumberFormat="1" applyFont="1" applyFill="1" applyAlignment="1">
      <alignment horizontal="right"/>
    </xf>
    <xf numFmtId="0" fontId="56" fillId="4" borderId="0" xfId="0" applyFont="1" applyFill="1" applyAlignment="1">
      <alignment horizontal="left"/>
    </xf>
    <xf numFmtId="2" fontId="69" fillId="4" borderId="0" xfId="17" applyNumberFormat="1" applyFont="1" applyFill="1"/>
    <xf numFmtId="0" fontId="53" fillId="4" borderId="0" xfId="17" applyFill="1"/>
    <xf numFmtId="0" fontId="0" fillId="4" borderId="0" xfId="0" applyFill="1" applyAlignment="1">
      <alignment horizontal="right"/>
    </xf>
    <xf numFmtId="9" fontId="0" fillId="4" borderId="0" xfId="0" applyNumberFormat="1" applyFill="1"/>
    <xf numFmtId="0" fontId="53" fillId="0" borderId="0" xfId="17" applyFill="1" applyAlignment="1">
      <alignment horizontal="left" vertical="top"/>
    </xf>
    <xf numFmtId="0" fontId="70" fillId="4" borderId="12" xfId="0" applyFont="1" applyFill="1" applyBorder="1"/>
    <xf numFmtId="10" fontId="15" fillId="4" borderId="0" xfId="0" applyNumberFormat="1" applyFont="1" applyFill="1"/>
    <xf numFmtId="3" fontId="25" fillId="13" borderId="46" xfId="0" applyNumberFormat="1" applyFont="1" applyFill="1" applyBorder="1" applyAlignment="1">
      <alignment horizontal="center" vertical="center"/>
    </xf>
    <xf numFmtId="1" fontId="25" fillId="13" borderId="4" xfId="0" applyNumberFormat="1" applyFont="1" applyFill="1" applyBorder="1" applyAlignment="1">
      <alignment horizontal="center" vertical="center"/>
    </xf>
    <xf numFmtId="1" fontId="25" fillId="13" borderId="46" xfId="0" applyNumberFormat="1" applyFont="1" applyFill="1" applyBorder="1" applyAlignment="1">
      <alignment horizontal="center" vertical="center"/>
    </xf>
    <xf numFmtId="1" fontId="25" fillId="13" borderId="50" xfId="0" applyNumberFormat="1" applyFont="1" applyFill="1" applyBorder="1" applyAlignment="1">
      <alignment horizontal="center" vertical="center"/>
    </xf>
    <xf numFmtId="1" fontId="25" fillId="13" borderId="3" xfId="0" applyNumberFormat="1" applyFont="1" applyFill="1" applyBorder="1" applyAlignment="1">
      <alignment horizontal="center" vertical="center"/>
    </xf>
    <xf numFmtId="1" fontId="50" fillId="13" borderId="27" xfId="0" applyNumberFormat="1" applyFont="1" applyFill="1" applyBorder="1" applyAlignment="1">
      <alignment horizontal="center" vertical="center"/>
    </xf>
    <xf numFmtId="1" fontId="50" fillId="13" borderId="51" xfId="0" applyNumberFormat="1" applyFont="1" applyFill="1" applyBorder="1" applyAlignment="1">
      <alignment horizontal="center" vertical="center"/>
    </xf>
    <xf numFmtId="1" fontId="50" fillId="13" borderId="28" xfId="0" applyNumberFormat="1" applyFont="1" applyFill="1" applyBorder="1" applyAlignment="1">
      <alignment horizontal="center" vertical="center"/>
    </xf>
    <xf numFmtId="1" fontId="25" fillId="13" borderId="7" xfId="0" applyNumberFormat="1" applyFont="1" applyFill="1" applyBorder="1" applyAlignment="1">
      <alignment horizontal="center" vertical="center" wrapText="1"/>
    </xf>
    <xf numFmtId="1" fontId="25" fillId="13" borderId="1" xfId="0" applyNumberFormat="1" applyFont="1" applyFill="1" applyBorder="1" applyAlignment="1">
      <alignment horizontal="center" vertical="center"/>
    </xf>
    <xf numFmtId="1" fontId="25" fillId="13" borderId="1" xfId="0" applyNumberFormat="1" applyFont="1" applyFill="1" applyBorder="1" applyAlignment="1">
      <alignment horizontal="center" vertical="center" wrapText="1"/>
    </xf>
    <xf numFmtId="1" fontId="25" fillId="13" borderId="42" xfId="0" applyNumberFormat="1" applyFont="1" applyFill="1" applyBorder="1" applyAlignment="1">
      <alignment horizontal="center" vertical="center"/>
    </xf>
    <xf numFmtId="3" fontId="25" fillId="13" borderId="4" xfId="0" applyNumberFormat="1" applyFont="1" applyFill="1" applyBorder="1" applyAlignment="1">
      <alignment horizontal="center" vertical="center"/>
    </xf>
    <xf numFmtId="3" fontId="50" fillId="13" borderId="27" xfId="0" applyNumberFormat="1" applyFont="1" applyFill="1" applyBorder="1" applyAlignment="1">
      <alignment horizontal="center" vertical="center"/>
    </xf>
    <xf numFmtId="3" fontId="25" fillId="13" borderId="50" xfId="0" applyNumberFormat="1" applyFont="1" applyFill="1" applyBorder="1" applyAlignment="1">
      <alignment horizontal="center" vertical="center"/>
    </xf>
    <xf numFmtId="3" fontId="50" fillId="13" borderId="51" xfId="0" applyNumberFormat="1" applyFont="1" applyFill="1" applyBorder="1" applyAlignment="1">
      <alignment horizontal="center" vertical="center"/>
    </xf>
    <xf numFmtId="3" fontId="25" fillId="13" borderId="42" xfId="0" applyNumberFormat="1" applyFont="1" applyFill="1" applyBorder="1" applyAlignment="1">
      <alignment horizontal="center" vertical="center"/>
    </xf>
    <xf numFmtId="3" fontId="25" fillId="13" borderId="1" xfId="0" applyNumberFormat="1" applyFont="1" applyFill="1" applyBorder="1" applyAlignment="1">
      <alignment horizontal="center" vertical="center"/>
    </xf>
    <xf numFmtId="3" fontId="25" fillId="13" borderId="41" xfId="0" applyNumberFormat="1" applyFont="1" applyFill="1" applyBorder="1" applyAlignment="1">
      <alignment horizontal="center" vertical="center"/>
    </xf>
    <xf numFmtId="3" fontId="25" fillId="13" borderId="43" xfId="0" applyNumberFormat="1" applyFont="1" applyFill="1" applyBorder="1" applyAlignment="1">
      <alignment horizontal="center" vertical="center"/>
    </xf>
    <xf numFmtId="3" fontId="25" fillId="13" borderId="44" xfId="0" applyNumberFormat="1" applyFont="1" applyFill="1" applyBorder="1" applyAlignment="1">
      <alignment horizontal="center" vertical="center"/>
    </xf>
    <xf numFmtId="0" fontId="77" fillId="0" borderId="0" xfId="0" applyFont="1"/>
    <xf numFmtId="0" fontId="21" fillId="0" borderId="0" xfId="0" applyFont="1" applyAlignment="1">
      <alignment vertical="center"/>
    </xf>
    <xf numFmtId="0" fontId="59" fillId="2" borderId="0" xfId="18" applyFill="1"/>
    <xf numFmtId="0" fontId="80" fillId="14" borderId="0" xfId="0" applyFont="1" applyFill="1"/>
    <xf numFmtId="0" fontId="80" fillId="14" borderId="0" xfId="0" applyFont="1" applyFill="1" applyAlignment="1">
      <alignment horizontal="center"/>
    </xf>
    <xf numFmtId="0" fontId="87" fillId="14" borderId="0" xfId="0" applyFont="1" applyFill="1"/>
    <xf numFmtId="0" fontId="59" fillId="2" borderId="0" xfId="18" applyFill="1" applyAlignment="1">
      <alignment horizontal="center"/>
    </xf>
    <xf numFmtId="2" fontId="15" fillId="4" borderId="0" xfId="0" applyNumberFormat="1" applyFont="1" applyFill="1"/>
    <xf numFmtId="176" fontId="15" fillId="4" borderId="0" xfId="0" applyNumberFormat="1" applyFont="1" applyFill="1"/>
    <xf numFmtId="14" fontId="3" fillId="0" borderId="0" xfId="3" applyNumberFormat="1" applyAlignment="1">
      <alignment vertical="center" wrapText="1"/>
    </xf>
    <xf numFmtId="6" fontId="3" fillId="4" borderId="1" xfId="3" applyNumberFormat="1" applyFill="1" applyBorder="1" applyAlignment="1">
      <alignment horizontal="left" wrapText="1"/>
    </xf>
    <xf numFmtId="6" fontId="3" fillId="0" borderId="0" xfId="3" applyNumberFormat="1" applyAlignment="1">
      <alignment vertical="center" wrapText="1"/>
    </xf>
    <xf numFmtId="0" fontId="5" fillId="0" borderId="1" xfId="0" applyFont="1" applyBorder="1" applyAlignment="1">
      <alignment horizontal="left" wrapText="1"/>
    </xf>
    <xf numFmtId="0" fontId="6" fillId="4" borderId="1" xfId="3" applyFont="1" applyFill="1" applyBorder="1" applyAlignment="1">
      <alignment horizontal="left" wrapText="1"/>
    </xf>
    <xf numFmtId="0" fontId="3" fillId="0" borderId="0" xfId="3" applyAlignment="1">
      <alignment vertical="top" wrapText="1"/>
    </xf>
    <xf numFmtId="0" fontId="3" fillId="0" borderId="0" xfId="3" applyAlignment="1">
      <alignment vertical="center" wrapText="1"/>
    </xf>
    <xf numFmtId="9" fontId="6" fillId="0" borderId="1" xfId="2" applyFont="1" applyFill="1" applyBorder="1" applyAlignment="1">
      <alignment horizontal="left" wrapText="1"/>
    </xf>
    <xf numFmtId="167" fontId="6" fillId="0" borderId="1" xfId="2" applyNumberFormat="1" applyFont="1" applyFill="1" applyBorder="1" applyAlignment="1">
      <alignment horizontal="left" wrapText="1"/>
    </xf>
    <xf numFmtId="6" fontId="6" fillId="0" borderId="1" xfId="3" applyNumberFormat="1" applyFont="1" applyBorder="1" applyAlignment="1">
      <alignment horizontal="left" wrapText="1"/>
    </xf>
    <xf numFmtId="170" fontId="13" fillId="0" borderId="1" xfId="1" applyNumberFormat="1" applyFont="1" applyFill="1" applyBorder="1" applyAlignment="1">
      <alignment horizontal="left" wrapText="1"/>
    </xf>
    <xf numFmtId="0" fontId="5" fillId="0" borderId="1" xfId="4" applyFont="1" applyBorder="1" applyAlignment="1">
      <alignment horizontal="left"/>
    </xf>
    <xf numFmtId="0" fontId="3" fillId="0" borderId="0" xfId="3" applyAlignment="1">
      <alignment horizontal="left" vertical="center" wrapText="1"/>
    </xf>
    <xf numFmtId="9" fontId="3" fillId="0" borderId="0" xfId="3" applyNumberFormat="1" applyAlignment="1">
      <alignment horizontal="left" vertical="center" wrapText="1"/>
    </xf>
    <xf numFmtId="0" fontId="3" fillId="0" borderId="0" xfId="3" applyAlignment="1">
      <alignment wrapText="1"/>
    </xf>
    <xf numFmtId="0" fontId="8" fillId="0" borderId="0" xfId="8" applyFill="1" applyBorder="1" applyAlignment="1">
      <alignment vertical="top" wrapText="1"/>
    </xf>
    <xf numFmtId="0" fontId="3" fillId="0" borderId="0" xfId="7" applyFont="1"/>
    <xf numFmtId="0" fontId="3" fillId="0" borderId="15" xfId="4" applyBorder="1" applyAlignment="1">
      <alignment vertical="center" wrapText="1"/>
    </xf>
    <xf numFmtId="0" fontId="3" fillId="0" borderId="0" xfId="4" applyAlignment="1">
      <alignment vertical="center" wrapText="1"/>
    </xf>
    <xf numFmtId="0" fontId="8" fillId="0" borderId="0" xfId="8"/>
    <xf numFmtId="0" fontId="3" fillId="0" borderId="15" xfId="4" applyBorder="1" applyAlignment="1">
      <alignment vertical="center"/>
    </xf>
    <xf numFmtId="0" fontId="3" fillId="0" borderId="0" xfId="4" applyAlignment="1">
      <alignment vertical="center"/>
    </xf>
    <xf numFmtId="0" fontId="8" fillId="0" borderId="0" xfId="8" applyBorder="1" applyAlignment="1" applyProtection="1">
      <alignment horizontal="left" wrapText="1"/>
    </xf>
    <xf numFmtId="0" fontId="3" fillId="0" borderId="0" xfId="3" applyAlignment="1">
      <alignment horizontal="left" wrapText="1"/>
    </xf>
    <xf numFmtId="0" fontId="46" fillId="9" borderId="16" xfId="0" applyFont="1" applyFill="1" applyBorder="1" applyAlignment="1">
      <alignment horizontal="left" vertical="center"/>
    </xf>
    <xf numFmtId="0" fontId="25" fillId="4" borderId="45" xfId="0" applyFont="1" applyFill="1" applyBorder="1" applyAlignment="1">
      <alignment horizontal="left" vertical="center" wrapText="1"/>
    </xf>
    <xf numFmtId="0" fontId="25" fillId="4" borderId="41" xfId="0" applyFont="1" applyFill="1" applyBorder="1" applyAlignment="1">
      <alignment horizontal="left" vertical="center"/>
    </xf>
    <xf numFmtId="0" fontId="46" fillId="9" borderId="77" xfId="0" applyFont="1" applyFill="1" applyBorder="1" applyAlignment="1">
      <alignment horizontal="left"/>
    </xf>
    <xf numFmtId="0" fontId="46" fillId="9" borderId="80" xfId="0" applyFont="1" applyFill="1" applyBorder="1" applyAlignment="1">
      <alignment horizontal="center" wrapText="1"/>
    </xf>
    <xf numFmtId="0" fontId="46" fillId="9" borderId="79" xfId="0" applyFont="1" applyFill="1" applyBorder="1" applyAlignment="1">
      <alignment horizontal="center" wrapText="1"/>
    </xf>
    <xf numFmtId="0" fontId="46" fillId="9" borderId="78" xfId="0" applyFont="1" applyFill="1" applyBorder="1" applyAlignment="1">
      <alignment horizontal="center" wrapText="1"/>
    </xf>
    <xf numFmtId="0" fontId="46" fillId="9" borderId="87" xfId="0" applyFont="1" applyFill="1" applyBorder="1" applyAlignment="1">
      <alignment horizontal="left" vertical="center"/>
    </xf>
    <xf numFmtId="0" fontId="5" fillId="7" borderId="43" xfId="6" applyFont="1" applyFill="1" applyBorder="1" applyAlignment="1">
      <alignment horizontal="left" vertical="center" wrapText="1"/>
    </xf>
    <xf numFmtId="0" fontId="51" fillId="0" borderId="0" xfId="0" applyFont="1"/>
    <xf numFmtId="0" fontId="40" fillId="11" borderId="0" xfId="7" applyFont="1" applyFill="1" applyAlignment="1">
      <alignment horizontal="left" vertical="top" wrapText="1"/>
    </xf>
    <xf numFmtId="0" fontId="40" fillId="11" borderId="0" xfId="7" applyFont="1" applyFill="1" applyAlignment="1">
      <alignment horizontal="left" wrapText="1"/>
    </xf>
    <xf numFmtId="0" fontId="3" fillId="4" borderId="0" xfId="7" applyFont="1" applyFill="1" applyAlignment="1">
      <alignment horizontal="left" wrapText="1"/>
    </xf>
    <xf numFmtId="0" fontId="22" fillId="0" borderId="0" xfId="0" applyFont="1" applyAlignment="1">
      <alignment wrapText="1"/>
    </xf>
    <xf numFmtId="0" fontId="3" fillId="0" borderId="0" xfId="3" applyAlignment="1">
      <alignment horizontal="left" vertical="top"/>
    </xf>
    <xf numFmtId="49" fontId="17" fillId="4" borderId="0" xfId="3" applyNumberFormat="1" applyFont="1" applyFill="1" applyAlignment="1">
      <alignment horizontal="right"/>
    </xf>
    <xf numFmtId="0" fontId="60" fillId="5" borderId="18" xfId="0" applyFont="1" applyFill="1" applyBorder="1" applyAlignment="1">
      <alignment horizontal="center"/>
    </xf>
    <xf numFmtId="0" fontId="51" fillId="0" borderId="0" xfId="0" applyFont="1" applyAlignment="1">
      <alignment vertical="center"/>
    </xf>
    <xf numFmtId="0" fontId="39" fillId="0" borderId="24" xfId="11" applyFont="1" applyBorder="1" applyAlignment="1">
      <alignment horizontal="center" vertical="center" wrapText="1"/>
    </xf>
    <xf numFmtId="0" fontId="39" fillId="0" borderId="25" xfId="11" applyFont="1" applyBorder="1" applyAlignment="1">
      <alignment horizontal="center" vertical="center" wrapText="1"/>
    </xf>
    <xf numFmtId="0" fontId="39" fillId="7" borderId="30" xfId="11" applyFont="1" applyFill="1" applyBorder="1" applyAlignment="1">
      <alignment horizontal="center" vertical="center" wrapText="1"/>
    </xf>
    <xf numFmtId="9" fontId="15" fillId="0" borderId="37" xfId="13" applyFont="1" applyFill="1" applyBorder="1" applyAlignment="1">
      <alignment horizontal="center" vertical="center"/>
    </xf>
    <xf numFmtId="0" fontId="37" fillId="5" borderId="0" xfId="11" applyFont="1" applyFill="1" applyAlignment="1">
      <alignment horizontal="center" vertical="center" wrapText="1"/>
    </xf>
    <xf numFmtId="0" fontId="24" fillId="4" borderId="0" xfId="11" applyFont="1" applyFill="1" applyAlignment="1">
      <alignment horizontal="left" wrapText="1"/>
    </xf>
    <xf numFmtId="0" fontId="46" fillId="9" borderId="35" xfId="0" applyFont="1" applyFill="1" applyBorder="1" applyAlignment="1">
      <alignment horizontal="center" vertical="center" wrapText="1"/>
    </xf>
    <xf numFmtId="0" fontId="46" fillId="9" borderId="21" xfId="0" applyFont="1" applyFill="1" applyBorder="1" applyAlignment="1">
      <alignment horizontal="center" vertical="center" wrapText="1"/>
    </xf>
    <xf numFmtId="0" fontId="5" fillId="7" borderId="24" xfId="6" applyFont="1" applyFill="1" applyBorder="1" applyAlignment="1">
      <alignment horizontal="center" vertical="center" wrapText="1"/>
    </xf>
    <xf numFmtId="0" fontId="50" fillId="0" borderId="30" xfId="0" applyFont="1" applyBorder="1" applyAlignment="1">
      <alignment horizontal="center" vertical="center" wrapText="1"/>
    </xf>
    <xf numFmtId="0" fontId="5" fillId="7" borderId="41" xfId="6" applyFont="1" applyFill="1" applyBorder="1" applyAlignment="1">
      <alignment horizontal="center" vertical="center" wrapText="1"/>
    </xf>
    <xf numFmtId="0" fontId="5" fillId="7" borderId="1" xfId="6" applyFont="1" applyFill="1" applyBorder="1" applyAlignment="1">
      <alignment horizontal="center" vertical="center" wrapText="1"/>
    </xf>
    <xf numFmtId="0" fontId="5" fillId="7" borderId="42" xfId="6" applyFont="1" applyFill="1" applyBorder="1" applyAlignment="1">
      <alignment horizontal="center" vertical="center" wrapText="1"/>
    </xf>
    <xf numFmtId="0" fontId="5" fillId="7" borderId="9" xfId="6" applyFont="1" applyFill="1" applyBorder="1" applyAlignment="1">
      <alignment horizontal="center" vertical="center" wrapText="1"/>
    </xf>
    <xf numFmtId="0" fontId="5" fillId="7" borderId="6" xfId="6" applyFont="1" applyFill="1" applyBorder="1" applyAlignment="1">
      <alignment horizontal="center" vertical="center" wrapText="1"/>
    </xf>
    <xf numFmtId="0" fontId="5" fillId="7" borderId="8" xfId="6" applyFont="1" applyFill="1" applyBorder="1" applyAlignment="1">
      <alignment horizontal="center" vertical="center" wrapText="1"/>
    </xf>
    <xf numFmtId="0" fontId="5" fillId="7" borderId="53" xfId="6" applyFont="1" applyFill="1" applyBorder="1" applyAlignment="1">
      <alignment horizontal="center" vertical="center" wrapText="1"/>
    </xf>
    <xf numFmtId="0" fontId="52" fillId="4" borderId="0" xfId="0" applyFont="1" applyFill="1" applyAlignment="1">
      <alignment horizontal="right"/>
    </xf>
    <xf numFmtId="0" fontId="52" fillId="0" borderId="0" xfId="0" applyFont="1" applyAlignment="1">
      <alignment horizontal="left" wrapText="1"/>
    </xf>
    <xf numFmtId="0" fontId="30" fillId="5" borderId="0" xfId="4" applyFont="1" applyFill="1" applyAlignment="1">
      <alignment horizontal="left" vertical="center" wrapText="1"/>
    </xf>
    <xf numFmtId="0" fontId="18" fillId="4" borderId="0" xfId="3" applyFont="1" applyFill="1" applyAlignment="1">
      <alignment horizontal="center" vertical="center" wrapText="1"/>
    </xf>
    <xf numFmtId="0" fontId="19" fillId="4" borderId="0" xfId="3" applyFont="1" applyFill="1" applyAlignment="1">
      <alignment horizontal="center" vertical="center" wrapText="1"/>
    </xf>
    <xf numFmtId="0" fontId="40" fillId="11" borderId="0" xfId="7" applyFont="1" applyFill="1" applyAlignment="1">
      <alignment horizontal="left" vertical="top" wrapText="1"/>
    </xf>
    <xf numFmtId="0" fontId="65" fillId="11" borderId="0" xfId="8" applyFont="1" applyFill="1" applyBorder="1" applyAlignment="1" applyProtection="1">
      <alignment horizontal="left" wrapText="1"/>
    </xf>
    <xf numFmtId="0" fontId="40" fillId="11" borderId="0" xfId="7" applyFont="1" applyFill="1" applyAlignment="1">
      <alignment horizontal="left" wrapText="1"/>
    </xf>
    <xf numFmtId="0" fontId="3" fillId="4" borderId="0" xfId="7" applyFont="1" applyFill="1" applyAlignment="1">
      <alignment horizontal="left" wrapText="1"/>
    </xf>
    <xf numFmtId="0" fontId="65" fillId="11" borderId="0" xfId="17" applyFont="1" applyFill="1" applyBorder="1" applyAlignment="1" applyProtection="1">
      <alignment horizontal="left" wrapText="1"/>
    </xf>
    <xf numFmtId="0" fontId="21" fillId="0" borderId="0" xfId="3" applyFont="1" applyAlignment="1">
      <alignment horizontal="left" wrapText="1"/>
    </xf>
    <xf numFmtId="0" fontId="22" fillId="0" borderId="0" xfId="3" applyFont="1" applyAlignment="1">
      <alignment horizontal="left" wrapText="1"/>
    </xf>
    <xf numFmtId="0" fontId="21" fillId="0" borderId="0" xfId="0" applyFont="1" applyAlignment="1">
      <alignment horizontal="left" vertical="center" wrapText="1"/>
    </xf>
    <xf numFmtId="0" fontId="18" fillId="0" borderId="0" xfId="3" applyFont="1" applyAlignment="1">
      <alignment horizontal="center" vertical="center"/>
    </xf>
    <xf numFmtId="0" fontId="19" fillId="0" borderId="0" xfId="3" applyFont="1" applyAlignment="1">
      <alignment horizontal="center" vertical="center"/>
    </xf>
    <xf numFmtId="0" fontId="22" fillId="0" borderId="0" xfId="0" applyFont="1" applyAlignment="1">
      <alignment wrapText="1"/>
    </xf>
    <xf numFmtId="0" fontId="3" fillId="0" borderId="0" xfId="3" applyAlignment="1">
      <alignment horizontal="left" vertical="top"/>
    </xf>
    <xf numFmtId="167" fontId="15" fillId="0" borderId="1" xfId="0" applyNumberFormat="1" applyFont="1" applyBorder="1" applyAlignment="1">
      <alignment horizontal="center"/>
    </xf>
    <xf numFmtId="167" fontId="15" fillId="0" borderId="42" xfId="0" applyNumberFormat="1" applyFont="1" applyBorder="1" applyAlignment="1">
      <alignment horizontal="center"/>
    </xf>
    <xf numFmtId="0" fontId="15" fillId="4" borderId="41" xfId="0" applyFont="1" applyFill="1" applyBorder="1" applyAlignment="1">
      <alignment horizontal="left"/>
    </xf>
    <xf numFmtId="0" fontId="15" fillId="4" borderId="1" xfId="0" applyFont="1" applyFill="1" applyBorder="1" applyAlignment="1">
      <alignment horizontal="left"/>
    </xf>
    <xf numFmtId="0" fontId="15" fillId="4" borderId="43" xfId="0" applyFont="1" applyFill="1" applyBorder="1" applyAlignment="1">
      <alignment horizontal="left"/>
    </xf>
    <xf numFmtId="0" fontId="15" fillId="4" borderId="49" xfId="0" applyFont="1" applyFill="1" applyBorder="1" applyAlignment="1">
      <alignment horizontal="left"/>
    </xf>
    <xf numFmtId="167" fontId="15" fillId="0" borderId="1" xfId="2" applyNumberFormat="1" applyFont="1" applyFill="1" applyBorder="1" applyAlignment="1">
      <alignment horizontal="center"/>
    </xf>
    <xf numFmtId="175" fontId="15" fillId="0" borderId="1" xfId="0" applyNumberFormat="1" applyFont="1" applyBorder="1" applyAlignment="1">
      <alignment horizontal="center"/>
    </xf>
    <xf numFmtId="6" fontId="15" fillId="0" borderId="49" xfId="0" applyNumberFormat="1" applyFont="1" applyBorder="1" applyAlignment="1">
      <alignment horizontal="center"/>
    </xf>
    <xf numFmtId="173" fontId="15" fillId="0" borderId="1" xfId="0" applyNumberFormat="1" applyFont="1" applyBorder="1" applyAlignment="1">
      <alignment horizontal="center"/>
    </xf>
    <xf numFmtId="173" fontId="15" fillId="0" borderId="42" xfId="0" applyNumberFormat="1" applyFont="1" applyBorder="1" applyAlignment="1">
      <alignment horizontal="center"/>
    </xf>
    <xf numFmtId="175" fontId="15" fillId="4" borderId="1" xfId="5" applyNumberFormat="1" applyFont="1" applyFill="1" applyBorder="1" applyAlignment="1">
      <alignment horizontal="center"/>
    </xf>
    <xf numFmtId="175" fontId="15" fillId="4" borderId="42" xfId="5" applyNumberFormat="1" applyFont="1" applyFill="1" applyBorder="1" applyAlignment="1">
      <alignment horizontal="center"/>
    </xf>
    <xf numFmtId="49" fontId="17" fillId="4" borderId="0" xfId="3" applyNumberFormat="1" applyFont="1" applyFill="1" applyAlignment="1">
      <alignment horizontal="right"/>
    </xf>
    <xf numFmtId="0" fontId="28" fillId="3" borderId="0" xfId="0" applyFont="1" applyFill="1" applyAlignment="1">
      <alignment horizontal="center"/>
    </xf>
    <xf numFmtId="0" fontId="37" fillId="5" borderId="18" xfId="0" applyFont="1" applyFill="1" applyBorder="1" applyAlignment="1">
      <alignment horizontal="center"/>
    </xf>
    <xf numFmtId="167" fontId="15" fillId="4" borderId="1" xfId="0" applyNumberFormat="1" applyFont="1" applyFill="1" applyBorder="1" applyAlignment="1">
      <alignment horizontal="center"/>
    </xf>
    <xf numFmtId="0" fontId="37" fillId="5" borderId="35" xfId="0" applyFont="1" applyFill="1" applyBorder="1" applyAlignment="1">
      <alignment horizontal="center"/>
    </xf>
    <xf numFmtId="167" fontId="15" fillId="4" borderId="42" xfId="0" applyNumberFormat="1" applyFont="1" applyFill="1" applyBorder="1" applyAlignment="1">
      <alignment horizontal="center"/>
    </xf>
    <xf numFmtId="175" fontId="15" fillId="4" borderId="49" xfId="5" applyNumberFormat="1" applyFont="1" applyFill="1" applyBorder="1" applyAlignment="1">
      <alignment horizontal="center"/>
    </xf>
    <xf numFmtId="175" fontId="15" fillId="4" borderId="44" xfId="5" applyNumberFormat="1" applyFont="1" applyFill="1" applyBorder="1" applyAlignment="1">
      <alignment horizontal="center"/>
    </xf>
    <xf numFmtId="0" fontId="60" fillId="5" borderId="16" xfId="0" applyFont="1" applyFill="1" applyBorder="1" applyAlignment="1">
      <alignment horizontal="center"/>
    </xf>
    <xf numFmtId="0" fontId="60" fillId="5" borderId="18" xfId="0" applyFont="1" applyFill="1" applyBorder="1" applyAlignment="1">
      <alignment horizontal="center"/>
    </xf>
    <xf numFmtId="0" fontId="16" fillId="4" borderId="41" xfId="0" applyFont="1" applyFill="1" applyBorder="1" applyAlignment="1">
      <alignment horizontal="left"/>
    </xf>
    <xf numFmtId="0" fontId="16" fillId="4" borderId="1" xfId="0" applyFont="1" applyFill="1" applyBorder="1" applyAlignment="1">
      <alignment horizontal="left"/>
    </xf>
    <xf numFmtId="0" fontId="22" fillId="0" borderId="114" xfId="0" applyFont="1" applyBorder="1" applyAlignment="1">
      <alignment vertical="center" wrapText="1"/>
    </xf>
    <xf numFmtId="0" fontId="22" fillId="0" borderId="0" xfId="0" applyFont="1" applyAlignment="1">
      <alignment vertical="center" wrapText="1"/>
    </xf>
    <xf numFmtId="0" fontId="51" fillId="0" borderId="0" xfId="0" applyFont="1" applyAlignment="1">
      <alignment vertical="center"/>
    </xf>
    <xf numFmtId="0" fontId="22" fillId="4" borderId="113" xfId="0" applyFont="1" applyFill="1" applyBorder="1" applyAlignment="1">
      <alignment vertical="center" wrapText="1"/>
    </xf>
    <xf numFmtId="0" fontId="57" fillId="10" borderId="57" xfId="0" applyFont="1" applyFill="1" applyBorder="1" applyAlignment="1">
      <alignment horizontal="center" vertical="center" wrapText="1"/>
    </xf>
    <xf numFmtId="0" fontId="57" fillId="10" borderId="61" xfId="0" applyFont="1" applyFill="1" applyBorder="1" applyAlignment="1">
      <alignment horizontal="center" vertical="center" wrapText="1"/>
    </xf>
    <xf numFmtId="0" fontId="36" fillId="0" borderId="41" xfId="0" applyFont="1" applyBorder="1" applyAlignment="1">
      <alignment horizontal="left" wrapText="1"/>
    </xf>
    <xf numFmtId="0" fontId="36" fillId="0" borderId="1" xfId="0" applyFont="1" applyBorder="1" applyAlignment="1">
      <alignment horizontal="left" wrapText="1"/>
    </xf>
    <xf numFmtId="0" fontId="36" fillId="0" borderId="43" xfId="0" applyFont="1" applyBorder="1" applyAlignment="1">
      <alignment horizontal="left" wrapText="1"/>
    </xf>
    <xf numFmtId="0" fontId="36" fillId="0" borderId="49" xfId="0" applyFont="1" applyBorder="1" applyAlignment="1">
      <alignment horizontal="left" wrapText="1"/>
    </xf>
    <xf numFmtId="0" fontId="39" fillId="0" borderId="24" xfId="11" applyFont="1" applyBorder="1" applyAlignment="1">
      <alignment horizontal="center" vertical="center" wrapText="1"/>
    </xf>
    <xf numFmtId="0" fontId="39" fillId="0" borderId="25" xfId="11" applyFont="1" applyBorder="1" applyAlignment="1">
      <alignment horizontal="center" vertical="center" wrapText="1"/>
    </xf>
    <xf numFmtId="9" fontId="15" fillId="0" borderId="16" xfId="13" applyFont="1" applyFill="1" applyBorder="1" applyAlignment="1">
      <alignment horizontal="center" vertical="center" wrapText="1"/>
    </xf>
    <xf numFmtId="9" fontId="15" fillId="0" borderId="35" xfId="13" applyFont="1" applyFill="1" applyBorder="1" applyAlignment="1">
      <alignment horizontal="center" vertical="center"/>
    </xf>
    <xf numFmtId="9" fontId="29" fillId="0" borderId="26" xfId="13" applyFont="1" applyFill="1" applyBorder="1" applyAlignment="1">
      <alignment horizontal="center" vertical="center" wrapText="1"/>
    </xf>
    <xf numFmtId="9" fontId="15" fillId="0" borderId="51" xfId="13" applyFont="1" applyFill="1" applyBorder="1" applyAlignment="1">
      <alignment horizontal="center" vertical="center"/>
    </xf>
    <xf numFmtId="0" fontId="34" fillId="0" borderId="0" xfId="0" applyFont="1" applyAlignment="1">
      <alignment horizontal="left"/>
    </xf>
    <xf numFmtId="0" fontId="39" fillId="7" borderId="19" xfId="11" applyFont="1" applyFill="1" applyBorder="1" applyAlignment="1">
      <alignment horizontal="center" vertical="center" wrapText="1"/>
    </xf>
    <xf numFmtId="0" fontId="39" fillId="7" borderId="52" xfId="11" applyFont="1" applyFill="1" applyBorder="1" applyAlignment="1">
      <alignment horizontal="center" vertical="center" wrapText="1"/>
    </xf>
    <xf numFmtId="9" fontId="29" fillId="0" borderId="38" xfId="13" applyFont="1" applyFill="1" applyBorder="1" applyAlignment="1">
      <alignment horizontal="center" vertical="center" wrapText="1"/>
    </xf>
    <xf numFmtId="9" fontId="15" fillId="0" borderId="21" xfId="13" applyFont="1" applyFill="1" applyBorder="1" applyAlignment="1">
      <alignment horizontal="center" vertical="center"/>
    </xf>
    <xf numFmtId="9" fontId="15" fillId="0" borderId="38" xfId="13" applyFont="1" applyFill="1" applyBorder="1" applyAlignment="1">
      <alignment horizontal="center" vertical="center" wrapText="1"/>
    </xf>
    <xf numFmtId="0" fontId="39" fillId="7" borderId="30" xfId="11" applyFont="1" applyFill="1" applyBorder="1" applyAlignment="1">
      <alignment horizontal="center" vertical="center" wrapText="1"/>
    </xf>
    <xf numFmtId="0" fontId="39" fillId="7" borderId="31" xfId="11" applyFont="1" applyFill="1" applyBorder="1" applyAlignment="1">
      <alignment horizontal="center" vertical="center" wrapText="1"/>
    </xf>
    <xf numFmtId="9" fontId="29" fillId="0" borderId="36" xfId="13" applyFont="1" applyFill="1" applyBorder="1" applyAlignment="1">
      <alignment horizontal="center" vertical="center" wrapText="1"/>
    </xf>
    <xf numFmtId="9" fontId="15" fillId="0" borderId="37" xfId="13" applyFont="1" applyFill="1" applyBorder="1" applyAlignment="1">
      <alignment horizontal="center" vertical="center"/>
    </xf>
    <xf numFmtId="0" fontId="36" fillId="0" borderId="0" xfId="11" applyFont="1" applyAlignment="1">
      <alignment horizontal="left" vertical="top" wrapText="1"/>
    </xf>
    <xf numFmtId="0" fontId="34" fillId="0" borderId="0" xfId="11" applyFont="1" applyAlignment="1">
      <alignment horizontal="left"/>
    </xf>
    <xf numFmtId="0" fontId="3" fillId="0" borderId="0" xfId="11" applyAlignment="1">
      <alignment horizontal="left" wrapText="1"/>
    </xf>
    <xf numFmtId="0" fontId="37" fillId="5" borderId="16" xfId="11" applyFont="1" applyFill="1" applyBorder="1" applyAlignment="1">
      <alignment horizontal="center" vertical="center"/>
    </xf>
    <xf numFmtId="0" fontId="37" fillId="5" borderId="18" xfId="11" applyFont="1" applyFill="1" applyBorder="1" applyAlignment="1">
      <alignment horizontal="center" vertical="center"/>
    </xf>
    <xf numFmtId="0" fontId="37" fillId="5" borderId="38" xfId="11" applyFont="1" applyFill="1" applyBorder="1" applyAlignment="1">
      <alignment horizontal="center" vertical="center"/>
    </xf>
    <xf numFmtId="0" fontId="37" fillId="5" borderId="0" xfId="11" applyFont="1" applyFill="1" applyAlignment="1">
      <alignment horizontal="center" vertical="center"/>
    </xf>
    <xf numFmtId="0" fontId="37" fillId="5" borderId="18" xfId="11" applyFont="1" applyFill="1" applyBorder="1" applyAlignment="1">
      <alignment vertical="center"/>
    </xf>
    <xf numFmtId="0" fontId="37" fillId="5" borderId="0" xfId="11" applyFont="1" applyFill="1" applyAlignment="1">
      <alignment vertical="center"/>
    </xf>
    <xf numFmtId="0" fontId="37" fillId="5" borderId="35" xfId="11" applyFont="1" applyFill="1" applyBorder="1" applyAlignment="1">
      <alignment horizontal="center" vertical="center"/>
    </xf>
    <xf numFmtId="0" fontId="36" fillId="0" borderId="0" xfId="11" applyFont="1" applyAlignment="1">
      <alignment horizontal="left"/>
    </xf>
    <xf numFmtId="0" fontId="37" fillId="5" borderId="0" xfId="11" applyFont="1" applyFill="1" applyAlignment="1">
      <alignment horizontal="center" vertical="center" wrapText="1"/>
    </xf>
    <xf numFmtId="0" fontId="37" fillId="5" borderId="21" xfId="11" applyFont="1" applyFill="1" applyBorder="1" applyAlignment="1">
      <alignment horizontal="center" vertical="center" wrapText="1"/>
    </xf>
    <xf numFmtId="0" fontId="51" fillId="0" borderId="0" xfId="0" applyFont="1" applyAlignment="1">
      <alignment horizontal="left" wrapText="1"/>
    </xf>
    <xf numFmtId="0" fontId="51" fillId="0" borderId="0" xfId="0" applyFont="1" applyAlignment="1">
      <alignment horizontal="left"/>
    </xf>
    <xf numFmtId="0" fontId="24" fillId="4" borderId="0" xfId="11" applyFont="1" applyFill="1" applyAlignment="1">
      <alignment horizontal="left" wrapText="1"/>
    </xf>
    <xf numFmtId="0" fontId="22" fillId="0" borderId="18" xfId="0" applyFont="1" applyBorder="1" applyAlignment="1">
      <alignment horizontal="left" wrapText="1"/>
    </xf>
    <xf numFmtId="0" fontId="34" fillId="4" borderId="0" xfId="11" applyFont="1" applyFill="1" applyAlignment="1">
      <alignment horizontal="left"/>
    </xf>
    <xf numFmtId="0" fontId="51" fillId="0" borderId="18" xfId="0" applyFont="1" applyBorder="1" applyAlignment="1">
      <alignment horizontal="left"/>
    </xf>
    <xf numFmtId="0" fontId="46" fillId="9" borderId="35" xfId="0" applyFont="1" applyFill="1" applyBorder="1" applyAlignment="1">
      <alignment horizontal="center" vertical="center" wrapText="1"/>
    </xf>
    <xf numFmtId="0" fontId="46" fillId="9" borderId="21" xfId="0" applyFont="1" applyFill="1" applyBorder="1" applyAlignment="1">
      <alignment horizontal="center" vertical="center" wrapText="1"/>
    </xf>
    <xf numFmtId="166" fontId="46" fillId="9" borderId="18" xfId="1" applyNumberFormat="1" applyFont="1" applyFill="1" applyBorder="1" applyAlignment="1">
      <alignment horizontal="center" vertical="center" wrapText="1"/>
    </xf>
    <xf numFmtId="166" fontId="46" fillId="9" borderId="35" xfId="1" applyNumberFormat="1" applyFont="1" applyFill="1" applyBorder="1" applyAlignment="1">
      <alignment horizontal="center" vertical="center" wrapText="1"/>
    </xf>
    <xf numFmtId="170" fontId="25" fillId="0" borderId="8" xfId="1" applyNumberFormat="1" applyFont="1" applyBorder="1" applyAlignment="1">
      <alignment horizontal="center" vertical="center"/>
    </xf>
    <xf numFmtId="170" fontId="25" fillId="0" borderId="25" xfId="1" applyNumberFormat="1" applyFont="1" applyBorder="1" applyAlignment="1">
      <alignment horizontal="center" vertical="center"/>
    </xf>
    <xf numFmtId="170" fontId="25" fillId="0" borderId="55" xfId="1" applyNumberFormat="1" applyFont="1" applyBorder="1" applyAlignment="1">
      <alignment horizontal="center" vertical="center"/>
    </xf>
    <xf numFmtId="170" fontId="25" fillId="0" borderId="31" xfId="1" applyNumberFormat="1" applyFont="1" applyBorder="1" applyAlignment="1">
      <alignment horizontal="center" vertical="center"/>
    </xf>
    <xf numFmtId="166" fontId="46" fillId="9" borderId="71" xfId="1" applyNumberFormat="1" applyFont="1" applyFill="1" applyBorder="1" applyAlignment="1">
      <alignment horizontal="center" vertical="center" wrapText="1"/>
    </xf>
    <xf numFmtId="166" fontId="46" fillId="9" borderId="76" xfId="1" applyNumberFormat="1" applyFont="1" applyFill="1" applyBorder="1" applyAlignment="1">
      <alignment horizontal="center" vertical="center" wrapText="1"/>
    </xf>
    <xf numFmtId="166" fontId="46" fillId="9" borderId="63" xfId="1" applyNumberFormat="1" applyFont="1" applyFill="1" applyBorder="1" applyAlignment="1">
      <alignment horizontal="center" vertical="center" wrapText="1"/>
    </xf>
    <xf numFmtId="166" fontId="46" fillId="9" borderId="62" xfId="1" applyNumberFormat="1" applyFont="1" applyFill="1" applyBorder="1" applyAlignment="1">
      <alignment horizontal="center" vertical="center" wrapText="1"/>
    </xf>
    <xf numFmtId="166" fontId="46" fillId="9" borderId="70" xfId="1" applyNumberFormat="1" applyFont="1" applyFill="1" applyBorder="1" applyAlignment="1">
      <alignment horizontal="center" vertical="center" wrapText="1"/>
    </xf>
    <xf numFmtId="166" fontId="46" fillId="9" borderId="64" xfId="1" applyNumberFormat="1" applyFont="1" applyFill="1" applyBorder="1" applyAlignment="1">
      <alignment horizontal="center" vertical="center" wrapText="1"/>
    </xf>
    <xf numFmtId="166" fontId="50" fillId="4" borderId="49" xfId="1" applyNumberFormat="1" applyFont="1" applyFill="1" applyBorder="1" applyAlignment="1">
      <alignment horizontal="center" vertical="center"/>
    </xf>
    <xf numFmtId="166" fontId="50" fillId="4" borderId="44" xfId="1" applyNumberFormat="1" applyFont="1" applyFill="1" applyBorder="1" applyAlignment="1">
      <alignment horizontal="center" vertical="center"/>
    </xf>
    <xf numFmtId="166" fontId="46" fillId="9" borderId="74" xfId="1" applyNumberFormat="1" applyFont="1" applyFill="1" applyBorder="1" applyAlignment="1">
      <alignment horizontal="center" vertical="center" wrapText="1"/>
    </xf>
    <xf numFmtId="166" fontId="46" fillId="9" borderId="73" xfId="1" applyNumberFormat="1" applyFont="1" applyFill="1" applyBorder="1" applyAlignment="1">
      <alignment horizontal="center" vertical="center" wrapText="1"/>
    </xf>
    <xf numFmtId="0" fontId="46" fillId="9" borderId="18" xfId="0" applyFont="1" applyFill="1" applyBorder="1" applyAlignment="1">
      <alignment horizontal="center" vertical="center"/>
    </xf>
    <xf numFmtId="0" fontId="37" fillId="9" borderId="72" xfId="0" applyFont="1" applyFill="1" applyBorder="1" applyAlignment="1">
      <alignment horizontal="center" wrapText="1"/>
    </xf>
    <xf numFmtId="0" fontId="37" fillId="9" borderId="75" xfId="0" applyFont="1" applyFill="1" applyBorder="1" applyAlignment="1">
      <alignment horizontal="center" wrapText="1"/>
    </xf>
    <xf numFmtId="0" fontId="46" fillId="9" borderId="35" xfId="0" applyFont="1" applyFill="1" applyBorder="1" applyAlignment="1">
      <alignment horizontal="center" vertical="center"/>
    </xf>
    <xf numFmtId="166" fontId="25" fillId="4" borderId="3" xfId="1" applyNumberFormat="1" applyFont="1" applyFill="1" applyBorder="1" applyAlignment="1">
      <alignment horizontal="center" vertical="center"/>
    </xf>
    <xf numFmtId="166" fontId="25" fillId="4" borderId="46" xfId="1" applyNumberFormat="1" applyFont="1" applyFill="1" applyBorder="1" applyAlignment="1">
      <alignment horizontal="center" vertical="center"/>
    </xf>
    <xf numFmtId="166" fontId="25" fillId="4" borderId="1" xfId="1" applyNumberFormat="1" applyFont="1" applyFill="1" applyBorder="1" applyAlignment="1">
      <alignment horizontal="center" vertical="center"/>
    </xf>
    <xf numFmtId="166" fontId="25" fillId="4" borderId="42" xfId="1" applyNumberFormat="1" applyFont="1" applyFill="1" applyBorder="1" applyAlignment="1">
      <alignment horizontal="center" vertical="center"/>
    </xf>
    <xf numFmtId="0" fontId="25" fillId="4" borderId="3" xfId="0" applyFont="1" applyFill="1" applyBorder="1" applyAlignment="1">
      <alignment horizontal="center" vertical="center"/>
    </xf>
    <xf numFmtId="0" fontId="25" fillId="4" borderId="1" xfId="0" applyFont="1" applyFill="1" applyBorder="1" applyAlignment="1">
      <alignment horizontal="center" vertical="center"/>
    </xf>
    <xf numFmtId="0" fontId="50" fillId="4" borderId="30" xfId="0" applyFont="1" applyFill="1" applyBorder="1" applyAlignment="1">
      <alignment horizontal="left" vertical="center"/>
    </xf>
    <xf numFmtId="0" fontId="50" fillId="4" borderId="54" xfId="0" applyFont="1" applyFill="1" applyBorder="1" applyAlignment="1">
      <alignment horizontal="left" vertical="center"/>
    </xf>
    <xf numFmtId="0" fontId="50" fillId="4" borderId="48" xfId="0" applyFont="1" applyFill="1" applyBorder="1" applyAlignment="1">
      <alignment horizontal="left" vertical="center"/>
    </xf>
    <xf numFmtId="0" fontId="24" fillId="0" borderId="0" xfId="11" applyFont="1" applyAlignment="1">
      <alignment horizontal="left" wrapText="1"/>
    </xf>
    <xf numFmtId="0" fontId="5" fillId="7" borderId="24" xfId="6" applyFont="1" applyFill="1" applyBorder="1" applyAlignment="1">
      <alignment horizontal="center" vertical="center" wrapText="1"/>
    </xf>
    <xf numFmtId="0" fontId="5" fillId="7" borderId="25" xfId="6" applyFont="1" applyFill="1" applyBorder="1" applyAlignment="1">
      <alignment horizontal="center" vertical="center" wrapText="1"/>
    </xf>
    <xf numFmtId="0" fontId="5" fillId="7" borderId="91" xfId="6" applyFont="1" applyFill="1" applyBorder="1" applyAlignment="1">
      <alignment horizontal="center" vertical="center" wrapText="1"/>
    </xf>
    <xf numFmtId="0" fontId="50" fillId="0" borderId="30" xfId="0" applyFont="1" applyBorder="1" applyAlignment="1">
      <alignment horizontal="left" vertical="center" wrapText="1"/>
    </xf>
    <xf numFmtId="0" fontId="50" fillId="0" borderId="31"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91" xfId="0" applyFont="1" applyBorder="1" applyAlignment="1">
      <alignment horizontal="left" vertical="center" wrapText="1"/>
    </xf>
    <xf numFmtId="0" fontId="50" fillId="0" borderId="30" xfId="0" applyFont="1" applyBorder="1" applyAlignment="1">
      <alignment horizontal="center" vertical="center" wrapText="1"/>
    </xf>
    <xf numFmtId="0" fontId="50" fillId="0" borderId="92" xfId="0" applyFont="1" applyBorder="1" applyAlignment="1">
      <alignment horizontal="center" vertical="center" wrapText="1"/>
    </xf>
    <xf numFmtId="0" fontId="5" fillId="7" borderId="41" xfId="6" applyFont="1" applyFill="1" applyBorder="1" applyAlignment="1">
      <alignment horizontal="center" vertical="center" wrapText="1"/>
    </xf>
    <xf numFmtId="0" fontId="5" fillId="7" borderId="1" xfId="6" applyFont="1" applyFill="1" applyBorder="1" applyAlignment="1">
      <alignment horizontal="center" vertical="center" wrapText="1"/>
    </xf>
    <xf numFmtId="0" fontId="5" fillId="7" borderId="47" xfId="6" applyFont="1" applyFill="1" applyBorder="1" applyAlignment="1">
      <alignment horizontal="center" vertical="center" wrapText="1"/>
    </xf>
    <xf numFmtId="0" fontId="5" fillId="7" borderId="42" xfId="6" applyFont="1" applyFill="1" applyBorder="1" applyAlignment="1">
      <alignment horizontal="center" vertical="center" wrapText="1"/>
    </xf>
    <xf numFmtId="0" fontId="5" fillId="7" borderId="9" xfId="6" applyFont="1" applyFill="1" applyBorder="1" applyAlignment="1">
      <alignment horizontal="center" vertical="center" wrapText="1"/>
    </xf>
    <xf numFmtId="0" fontId="5" fillId="7" borderId="45" xfId="6" applyFont="1" applyFill="1" applyBorder="1" applyAlignment="1">
      <alignment horizontal="center" vertical="center" wrapText="1"/>
    </xf>
    <xf numFmtId="0" fontId="5" fillId="7" borderId="3" xfId="6" applyFont="1" applyFill="1" applyBorder="1" applyAlignment="1">
      <alignment horizontal="center" vertical="center" wrapText="1"/>
    </xf>
    <xf numFmtId="0" fontId="5" fillId="7" borderId="46" xfId="6" applyFont="1" applyFill="1" applyBorder="1" applyAlignment="1">
      <alignment horizontal="center" vertical="center" wrapText="1"/>
    </xf>
    <xf numFmtId="0" fontId="5" fillId="7" borderId="4" xfId="6" applyFont="1" applyFill="1" applyBorder="1" applyAlignment="1">
      <alignment horizontal="center" vertical="center" wrapText="1"/>
    </xf>
    <xf numFmtId="0" fontId="5" fillId="7" borderId="6" xfId="6" applyFont="1" applyFill="1" applyBorder="1" applyAlignment="1">
      <alignment horizontal="center" vertical="center" wrapText="1"/>
    </xf>
    <xf numFmtId="0" fontId="5" fillId="7" borderId="97" xfId="6" applyFont="1" applyFill="1" applyBorder="1" applyAlignment="1">
      <alignment horizontal="center" vertical="center" wrapText="1"/>
    </xf>
    <xf numFmtId="0" fontId="5" fillId="7" borderId="8" xfId="6" applyFont="1" applyFill="1" applyBorder="1" applyAlignment="1">
      <alignment horizontal="center" vertical="center" wrapText="1"/>
    </xf>
    <xf numFmtId="0" fontId="5" fillId="7" borderId="50" xfId="6" applyFont="1" applyFill="1" applyBorder="1" applyAlignment="1">
      <alignment horizontal="center" vertical="center" wrapText="1"/>
    </xf>
    <xf numFmtId="0" fontId="5" fillId="7" borderId="53" xfId="6" applyFont="1" applyFill="1" applyBorder="1" applyAlignment="1">
      <alignment horizontal="center" vertical="center" wrapText="1"/>
    </xf>
    <xf numFmtId="0" fontId="5" fillId="7" borderId="52" xfId="6" applyFont="1" applyFill="1" applyBorder="1" applyAlignment="1">
      <alignment horizontal="center" vertical="center" wrapText="1"/>
    </xf>
    <xf numFmtId="0" fontId="22" fillId="4" borderId="18" xfId="0" applyFont="1" applyFill="1" applyBorder="1" applyAlignment="1">
      <alignment horizontal="left" wrapText="1"/>
    </xf>
    <xf numFmtId="0" fontId="46" fillId="9" borderId="18" xfId="0" applyFont="1" applyFill="1" applyBorder="1" applyAlignment="1">
      <alignment horizontal="center" vertical="center" wrapText="1"/>
    </xf>
    <xf numFmtId="0" fontId="33" fillId="0" borderId="24" xfId="0" applyFont="1" applyBorder="1" applyAlignment="1">
      <alignment horizontal="left" vertical="center"/>
    </xf>
    <xf numFmtId="0" fontId="33" fillId="0" borderId="9" xfId="0" applyFont="1" applyBorder="1" applyAlignment="1">
      <alignment horizontal="left" vertical="center"/>
    </xf>
    <xf numFmtId="0" fontId="33" fillId="0" borderId="30" xfId="0" applyFont="1" applyBorder="1" applyAlignment="1">
      <alignment horizontal="left" vertical="center"/>
    </xf>
    <xf numFmtId="0" fontId="33" fillId="0" borderId="48" xfId="0" applyFont="1" applyBorder="1" applyAlignment="1">
      <alignment horizontal="left" vertical="center"/>
    </xf>
    <xf numFmtId="0" fontId="5" fillId="7" borderId="24" xfId="6" applyFont="1" applyFill="1" applyBorder="1" applyAlignment="1">
      <alignment horizontal="left" vertical="center" wrapText="1"/>
    </xf>
    <xf numFmtId="0" fontId="5" fillId="7" borderId="9" xfId="6" applyFont="1" applyFill="1" applyBorder="1" applyAlignment="1">
      <alignment horizontal="left" vertical="center" wrapText="1"/>
    </xf>
    <xf numFmtId="0" fontId="33" fillId="0" borderId="41" xfId="0" applyFont="1" applyBorder="1" applyAlignment="1">
      <alignment horizontal="left" vertical="center" wrapText="1"/>
    </xf>
    <xf numFmtId="0" fontId="33" fillId="0" borderId="43" xfId="0" applyFont="1" applyBorder="1" applyAlignment="1">
      <alignment horizontal="left" vertical="center" wrapText="1"/>
    </xf>
    <xf numFmtId="0" fontId="33" fillId="0" borderId="45" xfId="0" applyFont="1" applyBorder="1" applyAlignment="1">
      <alignment horizontal="left" vertical="center" wrapText="1"/>
    </xf>
    <xf numFmtId="0" fontId="33" fillId="0" borderId="3" xfId="0" applyFont="1" applyBorder="1" applyAlignment="1">
      <alignment horizontal="left" vertical="center" wrapText="1"/>
    </xf>
    <xf numFmtId="0" fontId="33" fillId="0" borderId="49" xfId="0" applyFont="1" applyBorder="1" applyAlignment="1">
      <alignment horizontal="left" vertical="center" wrapText="1"/>
    </xf>
    <xf numFmtId="0" fontId="37" fillId="9" borderId="16"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35" xfId="0" applyFont="1" applyFill="1" applyBorder="1" applyAlignment="1">
      <alignment horizontal="left" vertical="center" wrapText="1"/>
    </xf>
    <xf numFmtId="0" fontId="24" fillId="0" borderId="0" xfId="11" applyFont="1" applyAlignment="1">
      <alignment horizontal="left"/>
    </xf>
    <xf numFmtId="0" fontId="22" fillId="4" borderId="0" xfId="0" applyFont="1" applyFill="1" applyAlignment="1">
      <alignment wrapText="1"/>
    </xf>
    <xf numFmtId="0" fontId="16" fillId="0" borderId="38" xfId="0" applyFont="1" applyBorder="1" applyAlignment="1">
      <alignment horizontal="left" vertical="center"/>
    </xf>
    <xf numFmtId="0" fontId="15" fillId="4" borderId="0" xfId="0" applyFont="1" applyFill="1" applyAlignment="1">
      <alignment horizontal="left" wrapText="1"/>
    </xf>
    <xf numFmtId="0" fontId="51" fillId="0" borderId="0" xfId="0" applyFont="1"/>
    <xf numFmtId="0" fontId="79" fillId="0" borderId="0" xfId="0" applyFont="1" applyAlignment="1">
      <alignment horizontal="left" vertical="top"/>
    </xf>
    <xf numFmtId="0" fontId="52" fillId="4" borderId="0" xfId="0" applyFont="1" applyFill="1" applyAlignment="1">
      <alignment horizontal="right"/>
    </xf>
    <xf numFmtId="0" fontId="52" fillId="0" borderId="0" xfId="0" applyFont="1" applyAlignment="1">
      <alignment horizontal="left" wrapText="1"/>
    </xf>
  </cellXfs>
  <cellStyles count="20">
    <cellStyle name="Comma" xfId="1" builtinId="3"/>
    <cellStyle name="Comma 2" xfId="12" xr:uid="{72FA069D-C3D5-4B2A-B89D-1274846BBBED}"/>
    <cellStyle name="Comma 2 3" xfId="15" xr:uid="{5B85257B-CEFC-4FB9-86F7-2F5A4B7A5FB2}"/>
    <cellStyle name="Currency" xfId="5" builtinId="4"/>
    <cellStyle name="Currency 2" xfId="16" xr:uid="{A56C46BD-8768-4568-B2DF-4198352A09EC}"/>
    <cellStyle name="Hyperlink" xfId="17" builtinId="8"/>
    <cellStyle name="Hyperlink 2" xfId="8" xr:uid="{3E94B97D-E83A-4B8E-B70D-40C4B3DFE731}"/>
    <cellStyle name="Normal" xfId="0" builtinId="0"/>
    <cellStyle name="Normal 2" xfId="9" xr:uid="{7D66869E-5048-419A-9087-0B92C24B135F}"/>
    <cellStyle name="Normal 2 2" xfId="19" xr:uid="{5CCD83A7-9761-477E-B105-719913FE9ED9}"/>
    <cellStyle name="Normal 2 4" xfId="4" xr:uid="{3CCB6475-7EA4-4583-BEAD-35E8FFEDEF19}"/>
    <cellStyle name="Normal 3" xfId="18" xr:uid="{E1287909-97F0-4DDA-AD1B-51D83B0E2249}"/>
    <cellStyle name="Normal 4" xfId="6" xr:uid="{30FDA6BE-DDDF-47DE-891D-1C62CF682A0B}"/>
    <cellStyle name="Normal_ConsolidatedAg_IM_Clean" xfId="3" xr:uid="{71DF056B-9179-4ED8-BB07-DFB91E71C04B}"/>
    <cellStyle name="Normal_ConsolidatedAg_IM_Clean - v3" xfId="10" xr:uid="{1D1B0A95-99CA-4F3B-9E9C-55FBFA26F6D9}"/>
    <cellStyle name="Normal_FeederRoadAnalysis_IM_Clean - v4" xfId="7" xr:uid="{263342D5-A825-4586-B00B-F0809C12607E}"/>
    <cellStyle name="Normal_Mongolia Health ERR.IM Cleaned - v15" xfId="11" xr:uid="{2DE00116-172D-4F18-B671-06F7ECEB351F}"/>
    <cellStyle name="Normal_Mongolia Rail ERR.IM Cleaned" xfId="14" xr:uid="{86032525-07BA-47F7-A180-27D5366ECE1A}"/>
    <cellStyle name="Percent" xfId="2" builtinId="5"/>
    <cellStyle name="Percent 2 3" xfId="13" xr:uid="{6DB3901B-C410-46DE-B3AB-5F5B586F8640}"/>
  </cellStyles>
  <dxfs count="3">
    <dxf>
      <fill>
        <patternFill>
          <bgColor theme="0" tint="-0.14996795556505021"/>
        </patternFill>
      </fill>
    </dxf>
    <dxf>
      <font>
        <condense val="0"/>
        <extend val="0"/>
        <color indexed="10"/>
      </font>
    </dxf>
    <dxf>
      <font>
        <condense val="0"/>
        <extend val="0"/>
        <color indexed="9"/>
      </font>
      <fill>
        <patternFill patternType="none">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4C6E7"/>
      <color rgb="FF8EA9DB"/>
      <color rgb="FF325697"/>
      <color rgb="FFC0E6F5"/>
      <color rgb="FF44B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Average Annual</a:t>
            </a:r>
            <a:r>
              <a:rPr lang="en-US" b="1" baseline="0"/>
              <a:t> Exchange Rates: USD/MAD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Annual Average Exchange Rate MAD/USD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'Exchange Rate'!$B$17:$B$37</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'Exchange Rate'!$C$17:$C$37</c:f>
              <c:numCache>
                <c:formatCode>General</c:formatCode>
                <c:ptCount val="21"/>
                <c:pt idx="0">
                  <c:v>10.6256361666667</c:v>
                </c:pt>
                <c:pt idx="1">
                  <c:v>11.302975</c:v>
                </c:pt>
                <c:pt idx="2">
                  <c:v>11.020583333333301</c:v>
                </c:pt>
                <c:pt idx="3">
                  <c:v>9.5743833333333299</c:v>
                </c:pt>
                <c:pt idx="4">
                  <c:v>8.8680166666666693</c:v>
                </c:pt>
                <c:pt idx="5">
                  <c:v>8.8650083333333303</c:v>
                </c:pt>
                <c:pt idx="6">
                  <c:v>8.7955833333333295</c:v>
                </c:pt>
                <c:pt idx="7">
                  <c:v>8.1923333333333304</c:v>
                </c:pt>
                <c:pt idx="8">
                  <c:v>7.7503250000000001</c:v>
                </c:pt>
                <c:pt idx="9">
                  <c:v>8.0571000000000002</c:v>
                </c:pt>
                <c:pt idx="10">
                  <c:v>8.4171583333333295</c:v>
                </c:pt>
                <c:pt idx="11">
                  <c:v>8.0898749999999993</c:v>
                </c:pt>
                <c:pt idx="12">
                  <c:v>8.6284445833333301</c:v>
                </c:pt>
                <c:pt idx="13">
                  <c:v>8.4055039167442995</c:v>
                </c:pt>
                <c:pt idx="14">
                  <c:v>8.4063366882615203</c:v>
                </c:pt>
                <c:pt idx="15">
                  <c:v>9.7643482795011103</c:v>
                </c:pt>
                <c:pt idx="16">
                  <c:v>9.8074760315024996</c:v>
                </c:pt>
                <c:pt idx="17">
                  <c:v>9.6919978888288991</c:v>
                </c:pt>
                <c:pt idx="18">
                  <c:v>9.3861024209197197</c:v>
                </c:pt>
                <c:pt idx="19">
                  <c:v>9.6170760995074396</c:v>
                </c:pt>
                <c:pt idx="20">
                  <c:v>9.4968473222196899</c:v>
                </c:pt>
              </c:numCache>
            </c:numRef>
          </c:val>
          <c:smooth val="0"/>
          <c:extLst>
            <c:ext xmlns:c16="http://schemas.microsoft.com/office/drawing/2014/chart" uri="{C3380CC4-5D6E-409C-BE32-E72D297353CC}">
              <c16:uniqueId val="{00000000-AB3F-40CB-A25D-683150521D58}"/>
            </c:ext>
          </c:extLst>
        </c:ser>
        <c:dLbls>
          <c:showLegendKey val="0"/>
          <c:showVal val="0"/>
          <c:showCatName val="0"/>
          <c:showSerName val="0"/>
          <c:showPercent val="0"/>
          <c:showBubbleSize val="0"/>
        </c:dLbls>
        <c:marker val="1"/>
        <c:smooth val="0"/>
        <c:axId val="893104112"/>
        <c:axId val="893104504"/>
      </c:lineChart>
      <c:catAx>
        <c:axId val="893104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104504"/>
        <c:crosses val="autoZero"/>
        <c:auto val="1"/>
        <c:lblAlgn val="ctr"/>
        <c:lblOffset val="100"/>
        <c:noMultiLvlLbl val="0"/>
      </c:catAx>
      <c:valAx>
        <c:axId val="893104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104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Exchange Rate Change per Year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'Exchange Rate'!$B$17:$B$37</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'Exchange Rate'!$D$17:$D$37</c:f>
              <c:numCache>
                <c:formatCode>0%</c:formatCode>
                <c:ptCount val="21"/>
                <c:pt idx="1">
                  <c:v>6.3745720511130907E-2</c:v>
                </c:pt>
                <c:pt idx="2">
                  <c:v>-2.498383537667731E-2</c:v>
                </c:pt>
                <c:pt idx="3">
                  <c:v>-0.13122717339523543</c:v>
                </c:pt>
                <c:pt idx="4">
                  <c:v>-7.3776727134732184E-2</c:v>
                </c:pt>
                <c:pt idx="5">
                  <c:v>-3.3923406398714316E-4</c:v>
                </c:pt>
                <c:pt idx="6">
                  <c:v>-7.8313519163829438E-3</c:v>
                </c:pt>
                <c:pt idx="7">
                  <c:v>-6.8585559040048441E-2</c:v>
                </c:pt>
                <c:pt idx="8">
                  <c:v>-5.3953899987793104E-2</c:v>
                </c:pt>
                <c:pt idx="9">
                  <c:v>3.9582211068568095E-2</c:v>
                </c:pt>
                <c:pt idx="10">
                  <c:v>4.4688328720424143E-2</c:v>
                </c:pt>
                <c:pt idx="11">
                  <c:v>-3.8882877138859857E-2</c:v>
                </c:pt>
                <c:pt idx="12">
                  <c:v>6.6573288627244653E-2</c:v>
                </c:pt>
                <c:pt idx="13">
                  <c:v>-2.5837874304676173E-2</c:v>
                </c:pt>
                <c:pt idx="14">
                  <c:v>9.9074549898404868E-5</c:v>
                </c:pt>
                <c:pt idx="15">
                  <c:v>0.16154618136291121</c:v>
                </c:pt>
                <c:pt idx="16">
                  <c:v>4.4168592482439414E-3</c:v>
                </c:pt>
                <c:pt idx="17">
                  <c:v>-1.1774501645752101E-2</c:v>
                </c:pt>
                <c:pt idx="18">
                  <c:v>-3.156165234639164E-2</c:v>
                </c:pt>
                <c:pt idx="19">
                  <c:v>2.4608050096803374E-2</c:v>
                </c:pt>
                <c:pt idx="20">
                  <c:v>-1.2501593628224228E-2</c:v>
                </c:pt>
              </c:numCache>
            </c:numRef>
          </c:val>
          <c:smooth val="0"/>
          <c:extLst>
            <c:ext xmlns:c16="http://schemas.microsoft.com/office/drawing/2014/chart" uri="{C3380CC4-5D6E-409C-BE32-E72D297353CC}">
              <c16:uniqueId val="{00000000-C334-45C8-9C81-0C6E54EA4DA0}"/>
            </c:ext>
          </c:extLst>
        </c:ser>
        <c:dLbls>
          <c:showLegendKey val="0"/>
          <c:showVal val="0"/>
          <c:showCatName val="0"/>
          <c:showSerName val="0"/>
          <c:showPercent val="0"/>
          <c:showBubbleSize val="0"/>
        </c:dLbls>
        <c:marker val="1"/>
        <c:smooth val="0"/>
        <c:axId val="893105288"/>
        <c:axId val="939313896"/>
      </c:lineChart>
      <c:catAx>
        <c:axId val="893105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9313896"/>
        <c:crosses val="autoZero"/>
        <c:auto val="1"/>
        <c:lblAlgn val="ctr"/>
        <c:lblOffset val="100"/>
        <c:noMultiLvlLbl val="0"/>
      </c:catAx>
      <c:valAx>
        <c:axId val="939313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105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155224</xdr:rowOff>
    </xdr:from>
    <xdr:to>
      <xdr:col>1</xdr:col>
      <xdr:colOff>2675534</xdr:colOff>
      <xdr:row>5</xdr:row>
      <xdr:rowOff>114007</xdr:rowOff>
    </xdr:to>
    <xdr:pic>
      <xdr:nvPicPr>
        <xdr:cNvPr id="2" name="Picture 1">
          <a:extLst>
            <a:ext uri="{FF2B5EF4-FFF2-40B4-BE49-F238E27FC236}">
              <a16:creationId xmlns:a16="http://schemas.microsoft.com/office/drawing/2014/main" id="{4F6214EA-4B8F-4780-93C8-362A3788BA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5224"/>
          <a:ext cx="3085109" cy="93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555457</xdr:colOff>
      <xdr:row>2</xdr:row>
      <xdr:rowOff>129839</xdr:rowOff>
    </xdr:to>
    <xdr:pic>
      <xdr:nvPicPr>
        <xdr:cNvPr id="2" name="Picture 2">
          <a:extLst>
            <a:ext uri="{FF2B5EF4-FFF2-40B4-BE49-F238E27FC236}">
              <a16:creationId xmlns:a16="http://schemas.microsoft.com/office/drawing/2014/main" id="{B6424EF6-B81A-4738-A927-6F7F901661BF}"/>
            </a:ext>
          </a:extLst>
        </xdr:cNvPr>
        <xdr:cNvPicPr>
          <a:picLocks noChangeAspect="1"/>
        </xdr:cNvPicPr>
      </xdr:nvPicPr>
      <xdr:blipFill rotWithShape="1">
        <a:blip xmlns:r="http://schemas.openxmlformats.org/officeDocument/2006/relationships" r:embed="rId1"/>
        <a:srcRect r="64906"/>
        <a:stretch/>
      </xdr:blipFill>
      <xdr:spPr>
        <a:xfrm>
          <a:off x="0" y="0"/>
          <a:ext cx="555457" cy="56798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555457</xdr:colOff>
      <xdr:row>2</xdr:row>
      <xdr:rowOff>129839</xdr:rowOff>
    </xdr:to>
    <xdr:pic>
      <xdr:nvPicPr>
        <xdr:cNvPr id="3" name="Picture 2">
          <a:extLst>
            <a:ext uri="{FF2B5EF4-FFF2-40B4-BE49-F238E27FC236}">
              <a16:creationId xmlns:a16="http://schemas.microsoft.com/office/drawing/2014/main" id="{504F7254-2477-4BA9-8B24-B305483EDBF3}"/>
            </a:ext>
          </a:extLst>
        </xdr:cNvPr>
        <xdr:cNvPicPr>
          <a:picLocks noChangeAspect="1"/>
        </xdr:cNvPicPr>
      </xdr:nvPicPr>
      <xdr:blipFill rotWithShape="1">
        <a:blip xmlns:r="http://schemas.openxmlformats.org/officeDocument/2006/relationships" r:embed="rId1"/>
        <a:srcRect r="64906"/>
        <a:stretch/>
      </xdr:blipFill>
      <xdr:spPr>
        <a:xfrm>
          <a:off x="0" y="0"/>
          <a:ext cx="555457" cy="56798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594864</xdr:colOff>
      <xdr:row>2</xdr:row>
      <xdr:rowOff>186357</xdr:rowOff>
    </xdr:to>
    <xdr:pic>
      <xdr:nvPicPr>
        <xdr:cNvPr id="2" name="Picture 1">
          <a:extLst>
            <a:ext uri="{FF2B5EF4-FFF2-40B4-BE49-F238E27FC236}">
              <a16:creationId xmlns:a16="http://schemas.microsoft.com/office/drawing/2014/main" id="{52A444B7-B856-48A3-89F3-C62579D2DC7B}"/>
            </a:ext>
          </a:extLst>
        </xdr:cNvPr>
        <xdr:cNvPicPr>
          <a:picLocks noChangeAspect="1"/>
        </xdr:cNvPicPr>
      </xdr:nvPicPr>
      <xdr:blipFill rotWithShape="1">
        <a:blip xmlns:r="http://schemas.openxmlformats.org/officeDocument/2006/relationships" r:embed="rId1"/>
        <a:srcRect r="64906"/>
        <a:stretch/>
      </xdr:blipFill>
      <xdr:spPr>
        <a:xfrm>
          <a:off x="47625" y="38100"/>
          <a:ext cx="547239" cy="57688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598039</xdr:colOff>
      <xdr:row>2</xdr:row>
      <xdr:rowOff>183182</xdr:rowOff>
    </xdr:to>
    <xdr:pic>
      <xdr:nvPicPr>
        <xdr:cNvPr id="2" name="Picture 1">
          <a:extLst>
            <a:ext uri="{FF2B5EF4-FFF2-40B4-BE49-F238E27FC236}">
              <a16:creationId xmlns:a16="http://schemas.microsoft.com/office/drawing/2014/main" id="{C9FE9B83-4927-4BE9-B66A-AFDC194C9B3B}"/>
            </a:ext>
          </a:extLst>
        </xdr:cNvPr>
        <xdr:cNvPicPr>
          <a:picLocks noChangeAspect="1"/>
        </xdr:cNvPicPr>
      </xdr:nvPicPr>
      <xdr:blipFill rotWithShape="1">
        <a:blip xmlns:r="http://schemas.openxmlformats.org/officeDocument/2006/relationships" r:embed="rId1"/>
        <a:srcRect r="64906"/>
        <a:stretch/>
      </xdr:blipFill>
      <xdr:spPr>
        <a:xfrm>
          <a:off x="47625" y="38100"/>
          <a:ext cx="547239" cy="57688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551647</xdr:colOff>
      <xdr:row>2</xdr:row>
      <xdr:rowOff>131224</xdr:rowOff>
    </xdr:to>
    <xdr:pic>
      <xdr:nvPicPr>
        <xdr:cNvPr id="3" name="Picture 2">
          <a:extLst>
            <a:ext uri="{FF2B5EF4-FFF2-40B4-BE49-F238E27FC236}">
              <a16:creationId xmlns:a16="http://schemas.microsoft.com/office/drawing/2014/main" id="{C08F422D-43AA-4B7C-9B92-8E1D72F06CE5}"/>
            </a:ext>
          </a:extLst>
        </xdr:cNvPr>
        <xdr:cNvPicPr>
          <a:picLocks noChangeAspect="1"/>
        </xdr:cNvPicPr>
      </xdr:nvPicPr>
      <xdr:blipFill rotWithShape="1">
        <a:blip xmlns:r="http://schemas.openxmlformats.org/officeDocument/2006/relationships" r:embed="rId1"/>
        <a:srcRect r="64906"/>
        <a:stretch/>
      </xdr:blipFill>
      <xdr:spPr>
        <a:xfrm>
          <a:off x="0" y="0"/>
          <a:ext cx="563077" cy="5598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555457</xdr:colOff>
      <xdr:row>2</xdr:row>
      <xdr:rowOff>182907</xdr:rowOff>
    </xdr:to>
    <xdr:pic>
      <xdr:nvPicPr>
        <xdr:cNvPr id="2" name="Picture 2">
          <a:extLst>
            <a:ext uri="{FF2B5EF4-FFF2-40B4-BE49-F238E27FC236}">
              <a16:creationId xmlns:a16="http://schemas.microsoft.com/office/drawing/2014/main" id="{660E27FE-37E5-4428-BB26-A4C81BADF163}"/>
            </a:ext>
          </a:extLst>
        </xdr:cNvPr>
        <xdr:cNvPicPr>
          <a:picLocks noChangeAspect="1"/>
        </xdr:cNvPicPr>
      </xdr:nvPicPr>
      <xdr:blipFill rotWithShape="1">
        <a:blip xmlns:r="http://schemas.openxmlformats.org/officeDocument/2006/relationships" r:embed="rId1"/>
        <a:srcRect r="64906"/>
        <a:stretch/>
      </xdr:blipFill>
      <xdr:spPr>
        <a:xfrm>
          <a:off x="0" y="0"/>
          <a:ext cx="555457" cy="56390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538272</xdr:colOff>
      <xdr:row>15</xdr:row>
      <xdr:rowOff>129357</xdr:rowOff>
    </xdr:from>
    <xdr:to>
      <xdr:col>12</xdr:col>
      <xdr:colOff>78832</xdr:colOff>
      <xdr:row>30</xdr:row>
      <xdr:rowOff>110936</xdr:rowOff>
    </xdr:to>
    <xdr:graphicFrame macro="">
      <xdr:nvGraphicFramePr>
        <xdr:cNvPr id="7" name="Chart 1">
          <a:extLst>
            <a:ext uri="{FF2B5EF4-FFF2-40B4-BE49-F238E27FC236}">
              <a16:creationId xmlns:a16="http://schemas.microsoft.com/office/drawing/2014/main" id="{EDF7058F-363C-44E9-8364-22ECE4BA3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440839</xdr:colOff>
      <xdr:row>15</xdr:row>
      <xdr:rowOff>132907</xdr:rowOff>
    </xdr:from>
    <xdr:to>
      <xdr:col>20</xdr:col>
      <xdr:colOff>130662</xdr:colOff>
      <xdr:row>38</xdr:row>
      <xdr:rowOff>1</xdr:rowOff>
    </xdr:to>
    <xdr:graphicFrame macro="">
      <xdr:nvGraphicFramePr>
        <xdr:cNvPr id="8" name="Chart 2">
          <a:extLst>
            <a:ext uri="{FF2B5EF4-FFF2-40B4-BE49-F238E27FC236}">
              <a16:creationId xmlns:a16="http://schemas.microsoft.com/office/drawing/2014/main" id="{1DBE95DA-B35F-42E7-B2B6-E57F5D4FF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44</xdr:row>
      <xdr:rowOff>0</xdr:rowOff>
    </xdr:from>
    <xdr:to>
      <xdr:col>10</xdr:col>
      <xdr:colOff>245920</xdr:colOff>
      <xdr:row>86</xdr:row>
      <xdr:rowOff>16177</xdr:rowOff>
    </xdr:to>
    <xdr:pic>
      <xdr:nvPicPr>
        <xdr:cNvPr id="4" name="Picture 3">
          <a:extLst>
            <a:ext uri="{FF2B5EF4-FFF2-40B4-BE49-F238E27FC236}">
              <a16:creationId xmlns:a16="http://schemas.microsoft.com/office/drawing/2014/main" id="{E101CC1C-5332-4C6A-A443-5461781A6851}"/>
            </a:ext>
          </a:extLst>
        </xdr:cNvPr>
        <xdr:cNvPicPr>
          <a:picLocks noChangeAspect="1"/>
        </xdr:cNvPicPr>
      </xdr:nvPicPr>
      <xdr:blipFill>
        <a:blip xmlns:r="http://schemas.openxmlformats.org/officeDocument/2006/relationships" r:embed="rId3"/>
        <a:stretch>
          <a:fillRect/>
        </a:stretch>
      </xdr:blipFill>
      <xdr:spPr>
        <a:xfrm>
          <a:off x="0" y="7610475"/>
          <a:ext cx="8568230" cy="8009557"/>
        </a:xfrm>
        <a:prstGeom prst="rect">
          <a:avLst/>
        </a:prstGeom>
      </xdr:spPr>
    </xdr:pic>
    <xdr:clientData/>
  </xdr:twoCellAnchor>
  <xdr:twoCellAnchor editAs="oneCell">
    <xdr:from>
      <xdr:col>11</xdr:col>
      <xdr:colOff>0</xdr:colOff>
      <xdr:row>44</xdr:row>
      <xdr:rowOff>0</xdr:rowOff>
    </xdr:from>
    <xdr:to>
      <xdr:col>24</xdr:col>
      <xdr:colOff>418057</xdr:colOff>
      <xdr:row>83</xdr:row>
      <xdr:rowOff>56244</xdr:rowOff>
    </xdr:to>
    <xdr:pic>
      <xdr:nvPicPr>
        <xdr:cNvPr id="5" name="Picture 4">
          <a:extLst>
            <a:ext uri="{FF2B5EF4-FFF2-40B4-BE49-F238E27FC236}">
              <a16:creationId xmlns:a16="http://schemas.microsoft.com/office/drawing/2014/main" id="{1DE91A8B-654B-4E16-ACEF-4AE0E0B6054A}"/>
            </a:ext>
          </a:extLst>
        </xdr:cNvPr>
        <xdr:cNvPicPr>
          <a:picLocks noChangeAspect="1"/>
        </xdr:cNvPicPr>
      </xdr:nvPicPr>
      <xdr:blipFill>
        <a:blip xmlns:r="http://schemas.openxmlformats.org/officeDocument/2006/relationships" r:embed="rId4"/>
        <a:stretch>
          <a:fillRect/>
        </a:stretch>
      </xdr:blipFill>
      <xdr:spPr>
        <a:xfrm>
          <a:off x="8924925" y="7610475"/>
          <a:ext cx="8342857" cy="7495269"/>
        </a:xfrm>
        <a:prstGeom prst="rect">
          <a:avLst/>
        </a:prstGeom>
      </xdr:spPr>
    </xdr:pic>
    <xdr:clientData/>
  </xdr:twoCellAnchor>
  <xdr:twoCellAnchor editAs="oneCell">
    <xdr:from>
      <xdr:col>0</xdr:col>
      <xdr:colOff>0</xdr:colOff>
      <xdr:row>0</xdr:row>
      <xdr:rowOff>0</xdr:rowOff>
    </xdr:from>
    <xdr:to>
      <xdr:col>0</xdr:col>
      <xdr:colOff>554748</xdr:colOff>
      <xdr:row>2</xdr:row>
      <xdr:rowOff>227634</xdr:rowOff>
    </xdr:to>
    <xdr:pic>
      <xdr:nvPicPr>
        <xdr:cNvPr id="6" name="Picture 2">
          <a:extLst>
            <a:ext uri="{FF2B5EF4-FFF2-40B4-BE49-F238E27FC236}">
              <a16:creationId xmlns:a16="http://schemas.microsoft.com/office/drawing/2014/main" id="{5AD9CE39-AE8A-41B9-A547-A6E28B1F9FA7}"/>
            </a:ext>
            <a:ext uri="{147F2762-F138-4A5C-976F-8EAC2B608ADB}">
              <a16:predDERef xmlns:a16="http://schemas.microsoft.com/office/drawing/2014/main" pred="{1459632D-9F33-4CC6-880A-9832B50EF707}"/>
            </a:ext>
          </a:extLst>
        </xdr:cNvPr>
        <xdr:cNvPicPr>
          <a:picLocks noChangeAspect="1"/>
        </xdr:cNvPicPr>
      </xdr:nvPicPr>
      <xdr:blipFill rotWithShape="1">
        <a:blip xmlns:r="http://schemas.openxmlformats.org/officeDocument/2006/relationships" r:embed="rId5"/>
        <a:srcRect r="64906"/>
        <a:stretch/>
      </xdr:blipFill>
      <xdr:spPr>
        <a:xfrm>
          <a:off x="0" y="0"/>
          <a:ext cx="550938" cy="57472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550938</xdr:colOff>
      <xdr:row>3</xdr:row>
      <xdr:rowOff>3228</xdr:rowOff>
    </xdr:to>
    <xdr:pic>
      <xdr:nvPicPr>
        <xdr:cNvPr id="6" name="Picture 2">
          <a:extLst>
            <a:ext uri="{FF2B5EF4-FFF2-40B4-BE49-F238E27FC236}">
              <a16:creationId xmlns:a16="http://schemas.microsoft.com/office/drawing/2014/main" id="{68F095CE-4CCD-495A-A885-ACD4CEF29C5D}"/>
            </a:ext>
            <a:ext uri="{147F2762-F138-4A5C-976F-8EAC2B608ADB}">
              <a16:predDERef xmlns:a16="http://schemas.microsoft.com/office/drawing/2014/main" pred="{1459632D-9F33-4CC6-880A-9832B50EF707}"/>
            </a:ext>
          </a:extLst>
        </xdr:cNvPr>
        <xdr:cNvPicPr>
          <a:picLocks noChangeAspect="1"/>
        </xdr:cNvPicPr>
      </xdr:nvPicPr>
      <xdr:blipFill rotWithShape="1">
        <a:blip xmlns:r="http://schemas.openxmlformats.org/officeDocument/2006/relationships" r:embed="rId1"/>
        <a:srcRect r="64906"/>
        <a:stretch/>
      </xdr:blipFill>
      <xdr:spPr>
        <a:xfrm>
          <a:off x="0" y="0"/>
          <a:ext cx="550938" cy="669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1046124</xdr:colOff>
      <xdr:row>6</xdr:row>
      <xdr:rowOff>244757</xdr:rowOff>
    </xdr:to>
    <xdr:pic>
      <xdr:nvPicPr>
        <xdr:cNvPr id="2" name="Picture 1">
          <a:extLst>
            <a:ext uri="{FF2B5EF4-FFF2-40B4-BE49-F238E27FC236}">
              <a16:creationId xmlns:a16="http://schemas.microsoft.com/office/drawing/2014/main" id="{819B3162-0C4A-4E22-8132-44BD1B58C6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76200"/>
          <a:ext cx="3793134" cy="1250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554748</xdr:colOff>
      <xdr:row>2</xdr:row>
      <xdr:rowOff>136102</xdr:rowOff>
    </xdr:to>
    <xdr:pic>
      <xdr:nvPicPr>
        <xdr:cNvPr id="6" name="Picture 31">
          <a:extLst>
            <a:ext uri="{FF2B5EF4-FFF2-40B4-BE49-F238E27FC236}">
              <a16:creationId xmlns:a16="http://schemas.microsoft.com/office/drawing/2014/main" id="{8821E4EE-6F77-454B-A081-468EBDD235D1}"/>
            </a:ext>
            <a:ext uri="{147F2762-F138-4A5C-976F-8EAC2B608ADB}">
              <a16:predDERef xmlns:a16="http://schemas.microsoft.com/office/drawing/2014/main" pred="{FBED86A7-7835-41C9-8260-6BC3C7542C8A}"/>
            </a:ext>
          </a:extLst>
        </xdr:cNvPr>
        <xdr:cNvPicPr>
          <a:picLocks noChangeAspect="1"/>
        </xdr:cNvPicPr>
      </xdr:nvPicPr>
      <xdr:blipFill rotWithShape="1">
        <a:blip xmlns:r="http://schemas.openxmlformats.org/officeDocument/2006/relationships" r:embed="rId1"/>
        <a:srcRect r="64906"/>
        <a:stretch/>
      </xdr:blipFill>
      <xdr:spPr>
        <a:xfrm>
          <a:off x="0" y="0"/>
          <a:ext cx="562368" cy="578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553811</xdr:colOff>
      <xdr:row>2</xdr:row>
      <xdr:rowOff>126805</xdr:rowOff>
    </xdr:to>
    <xdr:pic>
      <xdr:nvPicPr>
        <xdr:cNvPr id="4" name="Picture 31">
          <a:extLst>
            <a:ext uri="{FF2B5EF4-FFF2-40B4-BE49-F238E27FC236}">
              <a16:creationId xmlns:a16="http://schemas.microsoft.com/office/drawing/2014/main" id="{8C0A051D-338F-40E9-AA8A-838C9ABEB86A}"/>
            </a:ext>
            <a:ext uri="{147F2762-F138-4A5C-976F-8EAC2B608ADB}">
              <a16:predDERef xmlns:a16="http://schemas.microsoft.com/office/drawing/2014/main" pred="{A802FB38-ECCA-47E3-86E1-49408F8328CE}"/>
            </a:ext>
          </a:extLst>
        </xdr:cNvPr>
        <xdr:cNvPicPr>
          <a:picLocks noChangeAspect="1"/>
        </xdr:cNvPicPr>
      </xdr:nvPicPr>
      <xdr:blipFill rotWithShape="1">
        <a:blip xmlns:r="http://schemas.openxmlformats.org/officeDocument/2006/relationships" r:embed="rId1"/>
        <a:srcRect r="64906"/>
        <a:stretch/>
      </xdr:blipFill>
      <xdr:spPr>
        <a:xfrm>
          <a:off x="0" y="1"/>
          <a:ext cx="544286" cy="5657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550938</xdr:colOff>
      <xdr:row>2</xdr:row>
      <xdr:rowOff>131498</xdr:rowOff>
    </xdr:to>
    <xdr:pic>
      <xdr:nvPicPr>
        <xdr:cNvPr id="5" name="Picture 2">
          <a:extLst>
            <a:ext uri="{FF2B5EF4-FFF2-40B4-BE49-F238E27FC236}">
              <a16:creationId xmlns:a16="http://schemas.microsoft.com/office/drawing/2014/main" id="{F06CB42B-EC1E-4BF1-8C91-E90159C0881E}"/>
            </a:ext>
            <a:ext uri="{147F2762-F138-4A5C-976F-8EAC2B608ADB}">
              <a16:predDERef xmlns:a16="http://schemas.microsoft.com/office/drawing/2014/main" pred="{1459632D-9F33-4CC6-880A-9832B50EF707}"/>
            </a:ext>
          </a:extLst>
        </xdr:cNvPr>
        <xdr:cNvPicPr>
          <a:picLocks noChangeAspect="1"/>
        </xdr:cNvPicPr>
      </xdr:nvPicPr>
      <xdr:blipFill rotWithShape="1">
        <a:blip xmlns:r="http://schemas.openxmlformats.org/officeDocument/2006/relationships" r:embed="rId1"/>
        <a:srcRect r="64906"/>
        <a:stretch/>
      </xdr:blipFill>
      <xdr:spPr>
        <a:xfrm>
          <a:off x="0" y="0"/>
          <a:ext cx="562368" cy="5780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63498</xdr:colOff>
      <xdr:row>0</xdr:row>
      <xdr:rowOff>0</xdr:rowOff>
    </xdr:from>
    <xdr:to>
      <xdr:col>1</xdr:col>
      <xdr:colOff>12199</xdr:colOff>
      <xdr:row>2</xdr:row>
      <xdr:rowOff>131914</xdr:rowOff>
    </xdr:to>
    <xdr:pic>
      <xdr:nvPicPr>
        <xdr:cNvPr id="2" name="Picture 1">
          <a:extLst>
            <a:ext uri="{FF2B5EF4-FFF2-40B4-BE49-F238E27FC236}">
              <a16:creationId xmlns:a16="http://schemas.microsoft.com/office/drawing/2014/main" id="{CCFD2C45-E5C8-423C-8CCE-94660FF9A67D}"/>
            </a:ext>
          </a:extLst>
        </xdr:cNvPr>
        <xdr:cNvPicPr>
          <a:picLocks noChangeAspect="1"/>
        </xdr:cNvPicPr>
      </xdr:nvPicPr>
      <xdr:blipFill rotWithShape="1">
        <a:blip xmlns:r="http://schemas.openxmlformats.org/officeDocument/2006/relationships" r:embed="rId1"/>
        <a:srcRect r="64906"/>
        <a:stretch/>
      </xdr:blipFill>
      <xdr:spPr>
        <a:xfrm>
          <a:off x="59688" y="0"/>
          <a:ext cx="546705" cy="577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190500</xdr:colOff>
      <xdr:row>38</xdr:row>
      <xdr:rowOff>123825</xdr:rowOff>
    </xdr:from>
    <xdr:to>
      <xdr:col>8</xdr:col>
      <xdr:colOff>514602</xdr:colOff>
      <xdr:row>55</xdr:row>
      <xdr:rowOff>16011</xdr:rowOff>
    </xdr:to>
    <xdr:pic>
      <xdr:nvPicPr>
        <xdr:cNvPr id="2" name="Picture 1">
          <a:extLst>
            <a:ext uri="{FF2B5EF4-FFF2-40B4-BE49-F238E27FC236}">
              <a16:creationId xmlns:a16="http://schemas.microsoft.com/office/drawing/2014/main" id="{B81FAE71-654C-4380-BC21-4F725FB864F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6273800"/>
          <a:ext cx="4896102" cy="2648086"/>
        </a:xfrm>
        <a:prstGeom prst="rect">
          <a:avLst/>
        </a:prstGeom>
      </xdr:spPr>
    </xdr:pic>
    <xdr:clientData/>
  </xdr:twoCellAnchor>
  <xdr:twoCellAnchor editAs="oneCell">
    <xdr:from>
      <xdr:col>2</xdr:col>
      <xdr:colOff>190500</xdr:colOff>
      <xdr:row>96</xdr:row>
      <xdr:rowOff>142875</xdr:rowOff>
    </xdr:from>
    <xdr:to>
      <xdr:col>8</xdr:col>
      <xdr:colOff>514602</xdr:colOff>
      <xdr:row>113</xdr:row>
      <xdr:rowOff>35061</xdr:rowOff>
    </xdr:to>
    <xdr:pic>
      <xdr:nvPicPr>
        <xdr:cNvPr id="3" name="Picture 2">
          <a:extLst>
            <a:ext uri="{FF2B5EF4-FFF2-40B4-BE49-F238E27FC236}">
              <a16:creationId xmlns:a16="http://schemas.microsoft.com/office/drawing/2014/main" id="{6728917D-EDF7-4D9A-9D2A-14C0D25810E5}"/>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 y="15684500"/>
          <a:ext cx="4896102" cy="2648086"/>
        </a:xfrm>
        <a:prstGeom prst="rect">
          <a:avLst/>
        </a:prstGeom>
      </xdr:spPr>
    </xdr:pic>
    <xdr:clientData/>
  </xdr:twoCellAnchor>
  <xdr:twoCellAnchor editAs="oneCell">
    <xdr:from>
      <xdr:col>2</xdr:col>
      <xdr:colOff>190500</xdr:colOff>
      <xdr:row>151</xdr:row>
      <xdr:rowOff>76200</xdr:rowOff>
    </xdr:from>
    <xdr:to>
      <xdr:col>8</xdr:col>
      <xdr:colOff>514602</xdr:colOff>
      <xdr:row>166</xdr:row>
      <xdr:rowOff>76325</xdr:rowOff>
    </xdr:to>
    <xdr:pic>
      <xdr:nvPicPr>
        <xdr:cNvPr id="4" name="Picture 3">
          <a:extLst>
            <a:ext uri="{FF2B5EF4-FFF2-40B4-BE49-F238E27FC236}">
              <a16:creationId xmlns:a16="http://schemas.microsoft.com/office/drawing/2014/main" id="{6D116840-26D0-43E7-8AD9-1CC0FDF16EEA}"/>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7200" y="24526875"/>
          <a:ext cx="4896102" cy="2429000"/>
        </a:xfrm>
        <a:prstGeom prst="rect">
          <a:avLst/>
        </a:prstGeom>
      </xdr:spPr>
    </xdr:pic>
    <xdr:clientData/>
  </xdr:twoCellAnchor>
  <xdr:twoCellAnchor editAs="oneCell">
    <xdr:from>
      <xdr:col>2</xdr:col>
      <xdr:colOff>238125</xdr:colOff>
      <xdr:row>206</xdr:row>
      <xdr:rowOff>19051</xdr:rowOff>
    </xdr:from>
    <xdr:to>
      <xdr:col>8</xdr:col>
      <xdr:colOff>559052</xdr:colOff>
      <xdr:row>221</xdr:row>
      <xdr:rowOff>19176</xdr:rowOff>
    </xdr:to>
    <xdr:pic>
      <xdr:nvPicPr>
        <xdr:cNvPr id="5" name="Picture 4">
          <a:extLst>
            <a:ext uri="{FF2B5EF4-FFF2-40B4-BE49-F238E27FC236}">
              <a16:creationId xmlns:a16="http://schemas.microsoft.com/office/drawing/2014/main" id="{6001A272-6A0B-41BA-888F-E9DDE8ABF976}"/>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1650" y="33375601"/>
          <a:ext cx="4896102" cy="2429000"/>
        </a:xfrm>
        <a:prstGeom prst="rect">
          <a:avLst/>
        </a:prstGeom>
      </xdr:spPr>
    </xdr:pic>
    <xdr:clientData/>
  </xdr:twoCellAnchor>
  <xdr:twoCellAnchor editAs="oneCell">
    <xdr:from>
      <xdr:col>7</xdr:col>
      <xdr:colOff>19051</xdr:colOff>
      <xdr:row>262</xdr:row>
      <xdr:rowOff>6351</xdr:rowOff>
    </xdr:from>
    <xdr:to>
      <xdr:col>9</xdr:col>
      <xdr:colOff>101702</xdr:colOff>
      <xdr:row>268</xdr:row>
      <xdr:rowOff>8946</xdr:rowOff>
    </xdr:to>
    <xdr:pic>
      <xdr:nvPicPr>
        <xdr:cNvPr id="6" name="Picture 5">
          <a:extLst>
            <a:ext uri="{FF2B5EF4-FFF2-40B4-BE49-F238E27FC236}">
              <a16:creationId xmlns:a16="http://schemas.microsoft.com/office/drawing/2014/main" id="{8612292A-A2AB-4D09-BE66-49E1DE05B6D4}"/>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376" y="42433876"/>
          <a:ext cx="1959076" cy="970970"/>
        </a:xfrm>
        <a:prstGeom prst="rect">
          <a:avLst/>
        </a:prstGeom>
      </xdr:spPr>
    </xdr:pic>
    <xdr:clientData/>
  </xdr:twoCellAnchor>
  <xdr:twoCellAnchor editAs="oneCell">
    <xdr:from>
      <xdr:col>7</xdr:col>
      <xdr:colOff>19051</xdr:colOff>
      <xdr:row>272</xdr:row>
      <xdr:rowOff>38101</xdr:rowOff>
    </xdr:from>
    <xdr:to>
      <xdr:col>9</xdr:col>
      <xdr:colOff>101702</xdr:colOff>
      <xdr:row>278</xdr:row>
      <xdr:rowOff>40696</xdr:rowOff>
    </xdr:to>
    <xdr:pic>
      <xdr:nvPicPr>
        <xdr:cNvPr id="7" name="Picture 6">
          <a:extLst>
            <a:ext uri="{FF2B5EF4-FFF2-40B4-BE49-F238E27FC236}">
              <a16:creationId xmlns:a16="http://schemas.microsoft.com/office/drawing/2014/main" id="{4B7C7F86-94EE-498F-BA75-6A8E853A3B6E}"/>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62376" y="44081701"/>
          <a:ext cx="1959076" cy="974145"/>
        </a:xfrm>
        <a:prstGeom prst="rect">
          <a:avLst/>
        </a:prstGeom>
      </xdr:spPr>
    </xdr:pic>
    <xdr:clientData/>
  </xdr:twoCellAnchor>
  <xdr:twoCellAnchor editAs="oneCell">
    <xdr:from>
      <xdr:col>7</xdr:col>
      <xdr:colOff>19051</xdr:colOff>
      <xdr:row>282</xdr:row>
      <xdr:rowOff>63501</xdr:rowOff>
    </xdr:from>
    <xdr:to>
      <xdr:col>9</xdr:col>
      <xdr:colOff>101702</xdr:colOff>
      <xdr:row>288</xdr:row>
      <xdr:rowOff>66096</xdr:rowOff>
    </xdr:to>
    <xdr:pic>
      <xdr:nvPicPr>
        <xdr:cNvPr id="8" name="Picture 7">
          <a:extLst>
            <a:ext uri="{FF2B5EF4-FFF2-40B4-BE49-F238E27FC236}">
              <a16:creationId xmlns:a16="http://schemas.microsoft.com/office/drawing/2014/main" id="{AA616E7C-BFF7-448D-95B8-88FDD3CBF4B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762376" y="45729526"/>
          <a:ext cx="1959076" cy="970970"/>
        </a:xfrm>
        <a:prstGeom prst="rect">
          <a:avLst/>
        </a:prstGeom>
      </xdr:spPr>
    </xdr:pic>
    <xdr:clientData/>
  </xdr:twoCellAnchor>
  <xdr:twoCellAnchor editAs="oneCell">
    <xdr:from>
      <xdr:col>7</xdr:col>
      <xdr:colOff>19051</xdr:colOff>
      <xdr:row>292</xdr:row>
      <xdr:rowOff>101601</xdr:rowOff>
    </xdr:from>
    <xdr:to>
      <xdr:col>9</xdr:col>
      <xdr:colOff>101702</xdr:colOff>
      <xdr:row>298</xdr:row>
      <xdr:rowOff>104196</xdr:rowOff>
    </xdr:to>
    <xdr:pic>
      <xdr:nvPicPr>
        <xdr:cNvPr id="9" name="Picture 8">
          <a:extLst>
            <a:ext uri="{FF2B5EF4-FFF2-40B4-BE49-F238E27FC236}">
              <a16:creationId xmlns:a16="http://schemas.microsoft.com/office/drawing/2014/main" id="{07D9D1A0-D47B-4BE0-B88A-964ED208743D}"/>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762376" y="47386876"/>
          <a:ext cx="1959076" cy="970970"/>
        </a:xfrm>
        <a:prstGeom prst="rect">
          <a:avLst/>
        </a:prstGeom>
      </xdr:spPr>
    </xdr:pic>
    <xdr:clientData/>
  </xdr:twoCellAnchor>
  <xdr:twoCellAnchor editAs="oneCell">
    <xdr:from>
      <xdr:col>7</xdr:col>
      <xdr:colOff>19051</xdr:colOff>
      <xdr:row>302</xdr:row>
      <xdr:rowOff>133351</xdr:rowOff>
    </xdr:from>
    <xdr:to>
      <xdr:col>9</xdr:col>
      <xdr:colOff>101702</xdr:colOff>
      <xdr:row>308</xdr:row>
      <xdr:rowOff>135946</xdr:rowOff>
    </xdr:to>
    <xdr:pic>
      <xdr:nvPicPr>
        <xdr:cNvPr id="10" name="Picture 9">
          <a:extLst>
            <a:ext uri="{FF2B5EF4-FFF2-40B4-BE49-F238E27FC236}">
              <a16:creationId xmlns:a16="http://schemas.microsoft.com/office/drawing/2014/main" id="{2AA0F43A-40B1-4935-B911-07613B503AFF}"/>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762376" y="49034701"/>
          <a:ext cx="1959076" cy="974145"/>
        </a:xfrm>
        <a:prstGeom prst="rect">
          <a:avLst/>
        </a:prstGeom>
      </xdr:spPr>
    </xdr:pic>
    <xdr:clientData/>
  </xdr:twoCellAnchor>
  <xdr:twoCellAnchor editAs="oneCell">
    <xdr:from>
      <xdr:col>7</xdr:col>
      <xdr:colOff>19051</xdr:colOff>
      <xdr:row>313</xdr:row>
      <xdr:rowOff>9526</xdr:rowOff>
    </xdr:from>
    <xdr:to>
      <xdr:col>9</xdr:col>
      <xdr:colOff>101702</xdr:colOff>
      <xdr:row>319</xdr:row>
      <xdr:rowOff>12121</xdr:rowOff>
    </xdr:to>
    <xdr:pic>
      <xdr:nvPicPr>
        <xdr:cNvPr id="11" name="Picture 10">
          <a:extLst>
            <a:ext uri="{FF2B5EF4-FFF2-40B4-BE49-F238E27FC236}">
              <a16:creationId xmlns:a16="http://schemas.microsoft.com/office/drawing/2014/main" id="{5A107ED0-2B18-4A7F-AD43-87B982B0E108}"/>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762376" y="50688876"/>
          <a:ext cx="1959076" cy="9773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1</xdr:col>
      <xdr:colOff>345</xdr:colOff>
      <xdr:row>2</xdr:row>
      <xdr:rowOff>186357</xdr:rowOff>
    </xdr:to>
    <xdr:pic>
      <xdr:nvPicPr>
        <xdr:cNvPr id="3" name="Picture 2">
          <a:extLst>
            <a:ext uri="{FF2B5EF4-FFF2-40B4-BE49-F238E27FC236}">
              <a16:creationId xmlns:a16="http://schemas.microsoft.com/office/drawing/2014/main" id="{F10D358A-855A-4631-9581-DF62E868342E}"/>
            </a:ext>
          </a:extLst>
        </xdr:cNvPr>
        <xdr:cNvPicPr>
          <a:picLocks noChangeAspect="1"/>
        </xdr:cNvPicPr>
      </xdr:nvPicPr>
      <xdr:blipFill rotWithShape="1">
        <a:blip xmlns:r="http://schemas.openxmlformats.org/officeDocument/2006/relationships" r:embed="rId1"/>
        <a:srcRect r="64906"/>
        <a:stretch/>
      </xdr:blipFill>
      <xdr:spPr>
        <a:xfrm>
          <a:off x="47625" y="38100"/>
          <a:ext cx="547239" cy="5768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555457</xdr:colOff>
      <xdr:row>2</xdr:row>
      <xdr:rowOff>163857</xdr:rowOff>
    </xdr:to>
    <xdr:pic>
      <xdr:nvPicPr>
        <xdr:cNvPr id="2" name="Picture 2">
          <a:extLst>
            <a:ext uri="{FF2B5EF4-FFF2-40B4-BE49-F238E27FC236}">
              <a16:creationId xmlns:a16="http://schemas.microsoft.com/office/drawing/2014/main" id="{4908B313-406F-4700-90BC-769EB4BAF711}"/>
            </a:ext>
          </a:extLst>
        </xdr:cNvPr>
        <xdr:cNvPicPr>
          <a:picLocks noChangeAspect="1"/>
        </xdr:cNvPicPr>
      </xdr:nvPicPr>
      <xdr:blipFill rotWithShape="1">
        <a:blip xmlns:r="http://schemas.openxmlformats.org/officeDocument/2006/relationships" r:embed="rId1"/>
        <a:srcRect r="64906"/>
        <a:stretch/>
      </xdr:blipFill>
      <xdr:spPr>
        <a:xfrm>
          <a:off x="0" y="0"/>
          <a:ext cx="555457" cy="5679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cc.gov/_divisions/Economic%20Analysis/ERR%20Spreadsheets/Web%20Dissemination/Ongoing%20Work/Tanzania/Tanzania%20Energy%20Zanzib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who.int/whr/1999/en/excel/popgbda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ccus.sharepoint.com/sites/EconomicAnalysis/Shared%20Documents/WG%202%20-%20Guidance%20and%20business%20processes/WG_CBA%20Publication/CBA-ERR%20Template_WG%20Upd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ROJECTS\234171%20CLP%20Gasification\Work\Model\CLP%20model%20-%20Draft%20v5%2023.03.07.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Documents%20and%20Settings/lestikowgs/Local%20Settings/Temporary%20Internet%20Files/Content.Outlook/Z0MPFWC4/Centralized%20ERR%20Data/ERR%20Spreadsheets%20for%20All%20Compact%20Countries/Ghana/Web%20Versions/FeederRoadAnalysis_IM_Clean%20-%20v4.xls?951C4B28" TargetMode="External"/><Relationship Id="rId1" Type="http://schemas.openxmlformats.org/officeDocument/2006/relationships/externalLinkPath" Target="file:///\\951C4B28\FeederRoadAnalysis_IM_Clean%20-%20v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estikowgs/Local%20Settings/Temporary%20Internet%20Files/Content.Outlook/Z0MPFWC4/Web%20Dissemination/Ongoing%20Work/Mongolia/Mongolia%20Health%20ERR.IM%20Cleaned%20-%20v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DOY25040\Desktop\MCC\Energy%20ERR%20Template%20modified%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lestikowgs/Local%20Settings/Temporary%20Internet%20Files/Content.Outlook/Z0MPFWC4/Centralized%20ERR%20Data/ERR%20Spreadsheets%20for%20All%20Compact%20Countries/Ghana/Web%20Versions/CoolChainAssessment3_IM_Cle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Office_Shares\_divisions\Economic%20Analysis\ERR%20Spreadsheets\Web%20Dissemination\Ongoing%20Work\Namibia\47_Schools_ERR_wrk%20-%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s Guide"/>
      <sheetName val="Activity Description"/>
      <sheetName val="ERR &amp; Sensitivity Analysis"/>
      <sheetName val="Results"/>
      <sheetName val="Assumptions"/>
      <sheetName val="ERR Calculations"/>
      <sheetName val="Planting"/>
      <sheetName val="Annex III"/>
      <sheetName val="LRMC"/>
      <sheetName val="gas option"/>
      <sheetName val="Social and Environmental"/>
      <sheetName val="Alt economic analysis"/>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horeg"/>
      <sheetName val="whoregeco"/>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roject Description"/>
      <sheetName val="CB_DATA_"/>
      <sheetName val="ERR &amp; Sensitivity Analysis"/>
      <sheetName val="Cost-Benefit Summary (2)"/>
      <sheetName val="Cost-Benefit Summary"/>
      <sheetName val="Background Sheet 1"/>
      <sheetName val="Background Sheet 2"/>
      <sheetName val="Crystal Ball Report"/>
      <sheetName val="HDM-4 Vehicle Fleet"/>
      <sheetName val="HDM-4 Cost Streams"/>
      <sheetName val="HDM-4 AADT"/>
      <sheetName val="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Results"/>
      <sheetName val="Assumptions"/>
      <sheetName val="Outages"/>
      <sheetName val="Cash Flow"/>
      <sheetName val="Taxation"/>
      <sheetName val="Debt Repay"/>
      <sheetName val="Drawdown"/>
      <sheetName val="Fin Calcs"/>
      <sheetName val="Escalation"/>
      <sheetName val="Work Are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s Guide"/>
      <sheetName val="Project Description"/>
      <sheetName val="CB_DATA_"/>
      <sheetName val="ERR &amp; Sensitivity Analysis"/>
      <sheetName val="AllFeederRoads"/>
      <sheetName val="Gravel"/>
      <sheetName val="Costs"/>
      <sheetName val="Benefits"/>
      <sheetName val="Incremental"/>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s Guide"/>
      <sheetName val="Project Description"/>
      <sheetName val="ERR &amp; Sensitivity Analysis"/>
      <sheetName val="ERR Summary"/>
      <sheetName val="Data &amp; Assumptions"/>
      <sheetName val="Hypertension Costs &amp; Benefits"/>
      <sheetName val="Diabetes Costs &amp; Benefits"/>
      <sheetName val="Cancer Costs &amp; Benefits"/>
      <sheetName val="Mongolia Health ERR"/>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Summary"/>
      <sheetName val="Basics"/>
      <sheetName val="WTP"/>
      <sheetName val="Quality-Improvement"/>
      <sheetName val="LRMC"/>
      <sheetName val="social &amp; environmental benefits"/>
      <sheetName val="Induced Production"/>
      <sheetName val="Benefit Profile"/>
      <sheetName val="Kigoma"/>
      <sheetName val="Mbeya"/>
      <sheetName val="Morogoro"/>
      <sheetName val="Mwanza"/>
      <sheetName val="Tanga"/>
      <sheetName val="Zanzib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User's Guide"/>
      <sheetName val="Activity Description"/>
      <sheetName val="ERR &amp; Sensitivity Analysis"/>
      <sheetName val="ERR Calculation"/>
      <sheetName val="Enrollment dynamics"/>
      <sheetName val="Key Assumptions"/>
      <sheetName val="Detailed enrollmen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09570-E0AA-49B9-AA2F-7CC3EF30DE7E}">
  <sheetPr>
    <tabColor rgb="FF325697"/>
  </sheetPr>
  <dimension ref="A1:N59"/>
  <sheetViews>
    <sheetView topLeftCell="E14" workbookViewId="0">
      <selection activeCell="E14" sqref="E14"/>
    </sheetView>
  </sheetViews>
  <sheetFormatPr defaultColWidth="8.68359375" defaultRowHeight="13.8" x14ac:dyDescent="0.45"/>
  <cols>
    <col min="1" max="1" width="5.83984375" style="30" customWidth="1"/>
    <col min="2" max="2" width="45.83984375" style="30" customWidth="1"/>
    <col min="3" max="4" width="46" style="30" customWidth="1"/>
    <col min="5" max="16384" width="8.68359375" style="30"/>
  </cols>
  <sheetData>
    <row r="1" spans="1:6" s="29" customFormat="1" x14ac:dyDescent="0.45">
      <c r="C1" s="446"/>
      <c r="D1" s="121"/>
    </row>
    <row r="2" spans="1:6" s="29" customFormat="1" ht="12.6" customHeight="1" x14ac:dyDescent="0.4">
      <c r="B2" s="447"/>
      <c r="C2" s="613" t="s">
        <v>0</v>
      </c>
      <c r="D2" s="613"/>
    </row>
    <row r="3" spans="1:6" s="29" customFormat="1" ht="12.75" customHeight="1" x14ac:dyDescent="0.4">
      <c r="B3" s="447"/>
      <c r="C3" s="613"/>
      <c r="D3" s="613"/>
    </row>
    <row r="4" spans="1:6" s="29" customFormat="1" ht="20.100000000000001" customHeight="1" x14ac:dyDescent="0.4">
      <c r="B4" s="447"/>
      <c r="C4" s="614" t="s">
        <v>1</v>
      </c>
      <c r="D4" s="614"/>
    </row>
    <row r="5" spans="1:6" s="29" customFormat="1" ht="17.649999999999999" customHeight="1" x14ac:dyDescent="0.4">
      <c r="B5" s="463"/>
    </row>
    <row r="6" spans="1:6" s="29" customFormat="1" ht="22.9" customHeight="1" x14ac:dyDescent="0.4">
      <c r="B6" s="463"/>
      <c r="C6" s="614" t="s">
        <v>2</v>
      </c>
      <c r="D6" s="614"/>
    </row>
    <row r="7" spans="1:6" s="29" customFormat="1" ht="17.649999999999999" customHeight="1" x14ac:dyDescent="0.4">
      <c r="B7" s="447"/>
      <c r="C7" s="447"/>
      <c r="D7" s="447"/>
    </row>
    <row r="8" spans="1:6" s="29" customFormat="1" ht="29.65" customHeight="1" x14ac:dyDescent="0.4">
      <c r="A8" s="612" t="s">
        <v>3</v>
      </c>
      <c r="B8" s="612"/>
      <c r="C8" s="612"/>
      <c r="D8" s="612"/>
    </row>
    <row r="9" spans="1:6" x14ac:dyDescent="0.45">
      <c r="A9" s="453"/>
      <c r="B9" s="453"/>
      <c r="C9" s="453"/>
      <c r="D9" s="453"/>
    </row>
    <row r="10" spans="1:6" s="29" customFormat="1" ht="14.1" customHeight="1" x14ac:dyDescent="0.4">
      <c r="A10" s="454"/>
      <c r="B10" s="448" t="s">
        <v>4</v>
      </c>
      <c r="C10" s="448"/>
      <c r="D10" s="449"/>
      <c r="E10" s="455"/>
    </row>
    <row r="11" spans="1:6" s="29" customFormat="1" ht="14.1" customHeight="1" x14ac:dyDescent="0.4">
      <c r="A11" s="454"/>
      <c r="B11" s="615" t="s">
        <v>5</v>
      </c>
      <c r="C11" s="615"/>
      <c r="D11" s="615"/>
      <c r="E11" s="456"/>
      <c r="F11" s="456"/>
    </row>
    <row r="12" spans="1:6" s="29" customFormat="1" ht="14.1" customHeight="1" x14ac:dyDescent="0.4">
      <c r="A12" s="454"/>
      <c r="B12" s="615"/>
      <c r="C12" s="615"/>
      <c r="D12" s="615"/>
      <c r="E12" s="456"/>
      <c r="F12" s="456"/>
    </row>
    <row r="13" spans="1:6" s="29" customFormat="1" ht="14.1" customHeight="1" x14ac:dyDescent="0.4">
      <c r="A13" s="454"/>
      <c r="B13" s="585"/>
      <c r="C13" s="585"/>
      <c r="D13" s="585"/>
      <c r="E13" s="456"/>
      <c r="F13" s="456"/>
    </row>
    <row r="14" spans="1:6" s="123" customFormat="1" ht="14.1" customHeight="1" x14ac:dyDescent="0.45">
      <c r="A14" s="457"/>
      <c r="B14" s="616" t="s">
        <v>6</v>
      </c>
      <c r="C14" s="616"/>
      <c r="D14" s="616"/>
      <c r="E14" s="458"/>
    </row>
    <row r="15" spans="1:6" s="123" customFormat="1" ht="14.1" customHeight="1" x14ac:dyDescent="0.45">
      <c r="A15" s="457"/>
      <c r="B15" s="617" t="s">
        <v>7</v>
      </c>
      <c r="C15" s="617"/>
      <c r="D15" s="617"/>
      <c r="E15" s="459"/>
      <c r="F15" s="459"/>
    </row>
    <row r="16" spans="1:6" s="123" customFormat="1" ht="14.1" customHeight="1" x14ac:dyDescent="0.45">
      <c r="A16" s="457"/>
      <c r="B16" s="460"/>
      <c r="C16" s="460"/>
      <c r="D16" s="460"/>
    </row>
    <row r="17" spans="1:6" s="123" customFormat="1" ht="14.1" customHeight="1" x14ac:dyDescent="0.45">
      <c r="A17" s="457"/>
      <c r="B17" s="619" t="s">
        <v>8</v>
      </c>
      <c r="C17" s="619"/>
      <c r="D17" s="619"/>
      <c r="E17" s="458"/>
    </row>
    <row r="18" spans="1:6" s="123" customFormat="1" ht="14.1" customHeight="1" x14ac:dyDescent="0.45">
      <c r="A18" s="457"/>
      <c r="B18" s="617" t="s">
        <v>9</v>
      </c>
      <c r="C18" s="617"/>
      <c r="D18" s="617"/>
      <c r="E18" s="618"/>
      <c r="F18" s="618"/>
    </row>
    <row r="19" spans="1:6" s="123" customFormat="1" ht="14.1" customHeight="1" x14ac:dyDescent="0.45">
      <c r="A19" s="457"/>
      <c r="B19" s="586"/>
      <c r="C19" s="586"/>
      <c r="D19" s="586"/>
      <c r="E19" s="587"/>
      <c r="F19" s="587"/>
    </row>
    <row r="20" spans="1:6" s="29" customFormat="1" ht="14.1" customHeight="1" x14ac:dyDescent="0.4">
      <c r="A20" s="454"/>
      <c r="B20" s="450" t="s">
        <v>10</v>
      </c>
      <c r="C20" s="450"/>
      <c r="D20" s="585"/>
      <c r="E20" s="455"/>
    </row>
    <row r="21" spans="1:6" s="123" customFormat="1" ht="26.25" customHeight="1" x14ac:dyDescent="0.45">
      <c r="A21" s="457"/>
      <c r="B21" s="617" t="s">
        <v>11</v>
      </c>
      <c r="C21" s="617"/>
      <c r="D21" s="617"/>
      <c r="E21" s="618"/>
      <c r="F21" s="618"/>
    </row>
    <row r="22" spans="1:6" s="123" customFormat="1" ht="13.5" customHeight="1" x14ac:dyDescent="0.45">
      <c r="A22" s="457"/>
      <c r="B22" s="586"/>
      <c r="C22" s="586"/>
      <c r="D22" s="586"/>
      <c r="E22" s="587"/>
      <c r="F22" s="587"/>
    </row>
    <row r="23" spans="1:6" s="123" customFormat="1" ht="16.5" customHeight="1" x14ac:dyDescent="0.6">
      <c r="A23" s="457"/>
      <c r="B23" s="465" t="s">
        <v>12</v>
      </c>
      <c r="C23" s="461"/>
      <c r="D23" s="586"/>
      <c r="E23" s="587"/>
      <c r="F23" s="587"/>
    </row>
    <row r="24" spans="1:6" s="123" customFormat="1" ht="15.75" customHeight="1" x14ac:dyDescent="0.45">
      <c r="A24" s="457"/>
      <c r="B24" s="451" t="s">
        <v>13</v>
      </c>
      <c r="C24" s="451"/>
      <c r="D24" s="586"/>
      <c r="E24" s="587"/>
      <c r="F24" s="587"/>
    </row>
    <row r="25" spans="1:6" s="123" customFormat="1" ht="15.75" customHeight="1" x14ac:dyDescent="0.45">
      <c r="A25" s="457"/>
      <c r="B25" s="617" t="s">
        <v>14</v>
      </c>
      <c r="C25" s="617"/>
      <c r="D25" s="617"/>
      <c r="E25" s="587"/>
      <c r="F25" s="587"/>
    </row>
    <row r="26" spans="1:6" s="123" customFormat="1" ht="14.1" customHeight="1" x14ac:dyDescent="0.45">
      <c r="A26" s="457"/>
      <c r="B26" s="586"/>
      <c r="C26" s="586"/>
      <c r="D26" s="586"/>
      <c r="E26" s="458"/>
    </row>
    <row r="27" spans="1:6" s="123" customFormat="1" ht="14.1" customHeight="1" x14ac:dyDescent="0.45">
      <c r="A27" s="457"/>
      <c r="B27" s="619" t="s">
        <v>15</v>
      </c>
      <c r="C27" s="619"/>
      <c r="D27" s="619"/>
      <c r="E27" s="458"/>
    </row>
    <row r="28" spans="1:6" s="123" customFormat="1" ht="14.1" customHeight="1" x14ac:dyDescent="0.4">
      <c r="A28" s="457"/>
      <c r="B28" s="617" t="s">
        <v>16</v>
      </c>
      <c r="C28" s="617"/>
      <c r="D28" s="617"/>
      <c r="E28" s="618"/>
      <c r="F28" s="618"/>
    </row>
    <row r="29" spans="1:6" s="123" customFormat="1" ht="14.1" customHeight="1" x14ac:dyDescent="0.4">
      <c r="A29" s="457"/>
      <c r="B29" s="617"/>
      <c r="C29" s="617"/>
      <c r="D29" s="617"/>
      <c r="E29" s="618"/>
      <c r="F29" s="618"/>
    </row>
    <row r="30" spans="1:6" s="123" customFormat="1" ht="14.1" customHeight="1" x14ac:dyDescent="0.45">
      <c r="A30" s="457"/>
      <c r="B30" s="586"/>
      <c r="C30" s="586"/>
      <c r="D30" s="586"/>
      <c r="E30" s="587"/>
      <c r="F30" s="587"/>
    </row>
    <row r="31" spans="1:6" s="123" customFormat="1" ht="14.1" customHeight="1" x14ac:dyDescent="0.45">
      <c r="A31" s="457"/>
      <c r="B31" s="451" t="s">
        <v>17</v>
      </c>
      <c r="C31" s="451"/>
      <c r="D31" s="586"/>
      <c r="E31" s="587"/>
      <c r="F31" s="587"/>
    </row>
    <row r="32" spans="1:6" s="123" customFormat="1" ht="14.1" customHeight="1" x14ac:dyDescent="0.4">
      <c r="A32" s="457"/>
      <c r="B32" s="617" t="s">
        <v>18</v>
      </c>
      <c r="C32" s="617"/>
      <c r="D32" s="617"/>
      <c r="E32" s="587"/>
      <c r="F32" s="587"/>
    </row>
    <row r="33" spans="1:14" s="123" customFormat="1" ht="14.1" customHeight="1" x14ac:dyDescent="0.4">
      <c r="A33" s="457"/>
      <c r="B33" s="617"/>
      <c r="C33" s="617"/>
      <c r="D33" s="617"/>
      <c r="E33" s="587"/>
      <c r="F33" s="587"/>
    </row>
    <row r="34" spans="1:14" s="123" customFormat="1" ht="14.1" customHeight="1" x14ac:dyDescent="0.45">
      <c r="A34" s="457"/>
      <c r="B34" s="586"/>
      <c r="C34" s="586"/>
      <c r="D34" s="586"/>
      <c r="E34" s="587"/>
      <c r="F34" s="587"/>
    </row>
    <row r="35" spans="1:14" s="123" customFormat="1" ht="14.1" customHeight="1" x14ac:dyDescent="0.45">
      <c r="A35" s="457"/>
      <c r="B35" s="451" t="s">
        <v>19</v>
      </c>
      <c r="C35" s="451"/>
      <c r="D35" s="586"/>
      <c r="E35" s="587"/>
      <c r="F35" s="587"/>
    </row>
    <row r="36" spans="1:14" s="123" customFormat="1" ht="15" customHeight="1" x14ac:dyDescent="0.45">
      <c r="A36" s="457"/>
      <c r="B36" s="617" t="s">
        <v>20</v>
      </c>
      <c r="C36" s="617"/>
      <c r="D36" s="617"/>
      <c r="E36" s="618"/>
      <c r="F36" s="618"/>
      <c r="G36" s="618"/>
      <c r="H36" s="618"/>
      <c r="I36" s="618"/>
      <c r="J36" s="618"/>
      <c r="K36" s="587"/>
    </row>
    <row r="37" spans="1:14" s="123" customFormat="1" ht="14.1" customHeight="1" x14ac:dyDescent="0.45">
      <c r="A37" s="457"/>
      <c r="B37" s="586"/>
      <c r="C37" s="586"/>
      <c r="D37" s="586"/>
      <c r="E37" s="587"/>
      <c r="F37" s="587"/>
    </row>
    <row r="38" spans="1:14" s="123" customFormat="1" ht="13" customHeight="1" x14ac:dyDescent="0.45">
      <c r="A38" s="457"/>
      <c r="B38" s="452" t="s">
        <v>21</v>
      </c>
      <c r="C38" s="452"/>
      <c r="D38" s="586"/>
      <c r="E38" s="587"/>
      <c r="F38" s="587"/>
    </row>
    <row r="39" spans="1:14" s="123" customFormat="1" ht="28" customHeight="1" x14ac:dyDescent="0.45">
      <c r="A39" s="457"/>
      <c r="B39" s="617" t="s">
        <v>22</v>
      </c>
      <c r="C39" s="617"/>
      <c r="D39" s="617"/>
      <c r="E39" s="587"/>
      <c r="F39" s="587"/>
    </row>
    <row r="40" spans="1:14" s="123" customFormat="1" ht="15" customHeight="1" x14ac:dyDescent="0.45">
      <c r="A40" s="457"/>
      <c r="B40" s="586"/>
      <c r="C40" s="586"/>
      <c r="D40" s="586"/>
      <c r="E40" s="587"/>
      <c r="F40" s="587"/>
    </row>
    <row r="41" spans="1:14" s="123" customFormat="1" ht="15" customHeight="1" x14ac:dyDescent="0.45">
      <c r="A41" s="457"/>
      <c r="B41" s="452" t="s">
        <v>23</v>
      </c>
      <c r="C41" s="452"/>
      <c r="D41" s="586"/>
      <c r="E41" s="587"/>
      <c r="F41" s="587"/>
    </row>
    <row r="42" spans="1:14" s="123" customFormat="1" ht="15" customHeight="1" x14ac:dyDescent="0.45">
      <c r="A42" s="457"/>
      <c r="B42" s="617" t="s">
        <v>24</v>
      </c>
      <c r="C42" s="617"/>
      <c r="D42" s="617"/>
      <c r="E42" s="618"/>
      <c r="F42" s="618"/>
      <c r="G42" s="618"/>
      <c r="H42" s="618"/>
      <c r="I42" s="618"/>
      <c r="J42" s="618"/>
      <c r="K42" s="618"/>
      <c r="L42" s="618"/>
      <c r="M42" s="618"/>
      <c r="N42" s="618"/>
    </row>
    <row r="43" spans="1:14" s="123" customFormat="1" ht="15" customHeight="1" x14ac:dyDescent="0.45">
      <c r="A43" s="457"/>
      <c r="B43" s="586"/>
      <c r="C43" s="586"/>
      <c r="D43" s="586"/>
      <c r="E43" s="587"/>
      <c r="F43" s="587"/>
    </row>
    <row r="44" spans="1:14" s="123" customFormat="1" ht="15" customHeight="1" x14ac:dyDescent="0.45">
      <c r="A44" s="457"/>
      <c r="B44" s="452" t="s">
        <v>25</v>
      </c>
      <c r="C44" s="452"/>
      <c r="D44" s="586"/>
      <c r="E44" s="587"/>
      <c r="F44" s="587"/>
    </row>
    <row r="45" spans="1:14" s="123" customFormat="1" ht="26.1" customHeight="1" x14ac:dyDescent="0.45">
      <c r="A45" s="457"/>
      <c r="B45" s="617" t="s">
        <v>26</v>
      </c>
      <c r="C45" s="617"/>
      <c r="D45" s="617"/>
      <c r="E45" s="618"/>
      <c r="F45" s="618"/>
      <c r="G45" s="618"/>
      <c r="H45" s="618"/>
      <c r="I45" s="618"/>
      <c r="J45" s="618"/>
      <c r="K45" s="618"/>
      <c r="L45" s="618"/>
      <c r="M45" s="618"/>
      <c r="N45" s="618"/>
    </row>
    <row r="46" spans="1:14" s="123" customFormat="1" x14ac:dyDescent="0.45">
      <c r="A46" s="457"/>
      <c r="B46" s="452"/>
      <c r="C46" s="452"/>
      <c r="D46" s="586"/>
      <c r="E46" s="587"/>
      <c r="F46" s="587"/>
    </row>
    <row r="47" spans="1:14" s="123" customFormat="1" x14ac:dyDescent="0.45">
      <c r="A47" s="457"/>
      <c r="B47" s="452" t="s">
        <v>27</v>
      </c>
      <c r="C47" s="452"/>
      <c r="D47" s="586"/>
      <c r="E47" s="587"/>
      <c r="F47" s="587"/>
    </row>
    <row r="48" spans="1:14" s="123" customFormat="1" ht="29.1" customHeight="1" x14ac:dyDescent="0.45">
      <c r="A48" s="457"/>
      <c r="B48" s="617" t="s">
        <v>28</v>
      </c>
      <c r="C48" s="617"/>
      <c r="D48" s="617"/>
      <c r="E48" s="587"/>
      <c r="F48" s="587"/>
    </row>
    <row r="49" spans="1:6" s="123" customFormat="1" ht="12.3" x14ac:dyDescent="0.4">
      <c r="A49" s="457"/>
      <c r="B49" s="464"/>
      <c r="C49" s="464"/>
      <c r="D49" s="464"/>
      <c r="E49" s="459"/>
      <c r="F49" s="459"/>
    </row>
    <row r="50" spans="1:6" s="123" customFormat="1" x14ac:dyDescent="0.45">
      <c r="A50" s="457"/>
      <c r="B50" s="452" t="s">
        <v>29</v>
      </c>
      <c r="C50" s="452"/>
      <c r="D50" s="462"/>
      <c r="E50" s="458"/>
      <c r="F50" s="458"/>
    </row>
    <row r="51" spans="1:6" s="123" customFormat="1" x14ac:dyDescent="0.45">
      <c r="A51" s="457"/>
      <c r="B51" s="466" t="s">
        <v>30</v>
      </c>
      <c r="C51" s="586"/>
      <c r="D51" s="457"/>
    </row>
    <row r="52" spans="1:6" s="123" customFormat="1" ht="12.3" x14ac:dyDescent="0.4">
      <c r="A52" s="457"/>
      <c r="B52" s="464"/>
      <c r="C52" s="464"/>
      <c r="D52" s="464"/>
      <c r="E52" s="459"/>
      <c r="F52" s="459"/>
    </row>
    <row r="53" spans="1:6" s="123" customFormat="1" ht="14.1" customHeight="1" x14ac:dyDescent="0.45">
      <c r="A53" s="457"/>
      <c r="B53" s="452" t="s">
        <v>31</v>
      </c>
      <c r="C53" s="452"/>
      <c r="D53" s="457"/>
    </row>
    <row r="54" spans="1:6" s="123" customFormat="1" x14ac:dyDescent="0.45">
      <c r="A54" s="457"/>
      <c r="B54" s="466" t="s">
        <v>32</v>
      </c>
      <c r="C54" s="586"/>
      <c r="D54" s="457"/>
    </row>
    <row r="55" spans="1:6" s="123" customFormat="1" ht="12.3" x14ac:dyDescent="0.4">
      <c r="A55" s="457"/>
      <c r="B55" s="464"/>
      <c r="C55" s="464"/>
      <c r="D55" s="464"/>
      <c r="E55" s="459"/>
      <c r="F55" s="459"/>
    </row>
    <row r="56" spans="1:6" s="123" customFormat="1" x14ac:dyDescent="0.45">
      <c r="A56" s="457"/>
      <c r="B56" s="452" t="s">
        <v>33</v>
      </c>
      <c r="C56" s="452"/>
      <c r="D56" s="457"/>
    </row>
    <row r="57" spans="1:6" s="123" customFormat="1" x14ac:dyDescent="0.45">
      <c r="A57" s="457"/>
      <c r="B57" s="466" t="s">
        <v>34</v>
      </c>
      <c r="C57" s="586"/>
      <c r="D57" s="457"/>
    </row>
    <row r="58" spans="1:6" s="123" customFormat="1" ht="12.3" x14ac:dyDescent="0.4">
      <c r="A58" s="457"/>
      <c r="B58" s="464"/>
      <c r="C58" s="464"/>
      <c r="D58" s="464"/>
      <c r="E58" s="459"/>
      <c r="F58" s="459"/>
    </row>
    <row r="59" spans="1:6" x14ac:dyDescent="0.45">
      <c r="A59" s="453"/>
      <c r="B59" s="453"/>
      <c r="C59" s="453"/>
      <c r="D59" s="453"/>
    </row>
  </sheetData>
  <mergeCells count="35">
    <mergeCell ref="M42:N42"/>
    <mergeCell ref="B45:D45"/>
    <mergeCell ref="E45:F45"/>
    <mergeCell ref="G45:H45"/>
    <mergeCell ref="I45:J45"/>
    <mergeCell ref="K45:L45"/>
    <mergeCell ref="M45:N45"/>
    <mergeCell ref="K42:L42"/>
    <mergeCell ref="B48:D48"/>
    <mergeCell ref="B28:D29"/>
    <mergeCell ref="E28:F29"/>
    <mergeCell ref="B36:D36"/>
    <mergeCell ref="E36:F36"/>
    <mergeCell ref="B27:D27"/>
    <mergeCell ref="B25:D25"/>
    <mergeCell ref="G36:H36"/>
    <mergeCell ref="I36:J36"/>
    <mergeCell ref="B42:D42"/>
    <mergeCell ref="E42:F42"/>
    <mergeCell ref="G42:H42"/>
    <mergeCell ref="I42:J42"/>
    <mergeCell ref="B32:D33"/>
    <mergeCell ref="B39:D39"/>
    <mergeCell ref="B14:D14"/>
    <mergeCell ref="B15:D15"/>
    <mergeCell ref="B21:D21"/>
    <mergeCell ref="B18:D18"/>
    <mergeCell ref="E18:F18"/>
    <mergeCell ref="E21:F21"/>
    <mergeCell ref="B17:D17"/>
    <mergeCell ref="A8:D8"/>
    <mergeCell ref="C2:D3"/>
    <mergeCell ref="C4:D4"/>
    <mergeCell ref="C6:D6"/>
    <mergeCell ref="B11:D12"/>
  </mergeCells>
  <hyperlinks>
    <hyperlink ref="B10" location="'Intervention Description'!A1" display="Intervention Description" xr:uid="{9793C5F9-8E08-42F9-B1E1-CDCFDBF742AB}"/>
    <hyperlink ref="B14" location="'Cost-Benefit Summary'!A1" display="Cost-Benefit Summary" xr:uid="{B565DF75-0F53-43F1-956E-F77236AF1F51}"/>
    <hyperlink ref="B17" location="'ERR Model'!A1" display="ERR Model" xr:uid="{2B9CC930-DBFE-4AB6-84F3-05CD064C0E8E}"/>
    <hyperlink ref="B27" location="'Macroeconomic Parameters'!A1" display="Macroeconomic Parameters" xr:uid="{FD1D4B85-A2ED-4B67-9B0F-1995335B4819}"/>
    <hyperlink ref="B20" location="'Sensitivity Analysis'!A1" display="Sensitivity Analysis" xr:uid="{F27E07F3-303B-4D85-85B2-F060625A5138}"/>
    <hyperlink ref="B27:D27" location="'Crop Production'!A1" display="Crop Production" xr:uid="{0F13C89E-D296-45B8-A55B-F8A3052EF23B}"/>
    <hyperlink ref="B31" location="'Crop Prices &amp; Production Costs'!A1" display="Crop Prices &amp; Production Costs" xr:uid="{E52CF460-CE65-471F-973C-3A5FB93A16AB}"/>
    <hyperlink ref="B38" location="'Livestock &amp; Meat Production'!A1" display="Livestock Cattle and Beef Production" xr:uid="{905EB02A-A4DE-474A-A4F0-9C04C6F48B2A}"/>
    <hyperlink ref="B47" location="'Irrigation Equipment'!A1" display="'Irrigation Equipment'!A1" xr:uid="{B4AF8051-30AA-425C-8A96-3125F2CF1EC3}"/>
    <hyperlink ref="B35" location="'By-Product Value'!A1" display="By-Product Value" xr:uid="{7DEFC1A2-856D-4C27-8105-29FE597539B4}"/>
    <hyperlink ref="B41" location="'Cattle Prices'!A1" display="'Cattle Prices'!A1" xr:uid="{41A3A469-BC8F-4242-B4D2-4F8AFDCAA082}"/>
    <hyperlink ref="B44" location="'Dairy Production'!A1" display="'Dairy Production'!A1" xr:uid="{971FE641-CB9E-4A1B-8481-818BBC0328C3}"/>
    <hyperlink ref="B24" location="'MCA Report'!A1" display="MCA Report" xr:uid="{BBC236E2-F9BE-4D21-B0AD-FF3A33F5A62A}"/>
    <hyperlink ref="B50" location="Inflation!A1" display="Inflation" xr:uid="{434621B7-2C2F-4645-A24D-5031A46F5D84}"/>
    <hyperlink ref="B53" location="'Exchange Rate'!A1" display="Exchange Rate" xr:uid="{EAE8138E-FB2A-4A32-92C2-04511317DE45}"/>
    <hyperlink ref="B17:D17" location="'CBA Model'!A1" display="CBA Model" xr:uid="{AD97185D-D414-4212-BDD3-F41FFD6926C7}"/>
    <hyperlink ref="B56" location="Costs!A1" display="Program Costs" xr:uid="{34D850DB-E329-4376-BBE3-2151F0BA5DF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107CE-C200-49C6-B7DB-8D130DCF8D37}">
  <sheetPr>
    <tabColor rgb="FFB4C6E7"/>
  </sheetPr>
  <dimension ref="A1:R156"/>
  <sheetViews>
    <sheetView topLeftCell="H138" zoomScale="84" zoomScaleNormal="84" workbookViewId="0">
      <selection activeCell="H32" sqref="H32"/>
    </sheetView>
  </sheetViews>
  <sheetFormatPr defaultColWidth="9.15625" defaultRowHeight="14.1" x14ac:dyDescent="0.5"/>
  <cols>
    <col min="1" max="1" width="9.15625" style="158"/>
    <col min="2" max="2" width="26.578125" style="30" customWidth="1"/>
    <col min="3" max="3" width="17.83984375" style="30" customWidth="1"/>
    <col min="4" max="9" width="16.15625" style="30" customWidth="1"/>
    <col min="10" max="10" width="23.15625" style="30" customWidth="1"/>
    <col min="11" max="11" width="18.41796875" style="30" customWidth="1"/>
    <col min="12" max="16" width="16.15625" style="30" customWidth="1"/>
    <col min="17" max="17" width="21.15625" style="30" customWidth="1"/>
    <col min="18" max="18" width="19.83984375" style="30" customWidth="1"/>
    <col min="19" max="16384" width="9.15625" style="30"/>
  </cols>
  <sheetData>
    <row r="1" spans="1:16" s="29" customFormat="1" ht="15.75" customHeight="1" x14ac:dyDescent="0.45">
      <c r="A1" s="182"/>
      <c r="B1" s="127"/>
      <c r="C1" s="122"/>
      <c r="D1" s="122"/>
      <c r="E1" s="123"/>
      <c r="F1" s="123"/>
      <c r="G1" s="123"/>
      <c r="H1" s="123"/>
      <c r="I1" s="123"/>
      <c r="J1" s="123"/>
      <c r="L1" s="121"/>
    </row>
    <row r="2" spans="1:16" s="118" customFormat="1" ht="15.75" customHeight="1" x14ac:dyDescent="0.7">
      <c r="A2" s="183"/>
      <c r="B2" s="31" t="s">
        <v>0</v>
      </c>
      <c r="C2" s="124"/>
      <c r="D2" s="124"/>
      <c r="E2" s="124"/>
      <c r="F2" s="124"/>
      <c r="G2" s="124"/>
      <c r="H2" s="124"/>
      <c r="I2" s="124"/>
      <c r="J2" s="124"/>
      <c r="K2" s="117"/>
      <c r="L2" s="117"/>
    </row>
    <row r="3" spans="1:16" s="118" customFormat="1" ht="15.75" customHeight="1" x14ac:dyDescent="0.6">
      <c r="A3" s="183"/>
      <c r="B3" s="32" t="s">
        <v>1</v>
      </c>
      <c r="C3" s="124"/>
      <c r="D3" s="124"/>
      <c r="E3" s="124"/>
      <c r="F3" s="124"/>
      <c r="G3" s="199"/>
      <c r="H3" s="124"/>
      <c r="I3" s="124"/>
      <c r="J3" s="124"/>
      <c r="K3" s="117"/>
    </row>
    <row r="4" spans="1:16" s="118" customFormat="1" ht="15.75" customHeight="1" x14ac:dyDescent="0.7">
      <c r="A4" s="183"/>
      <c r="B4" s="31"/>
      <c r="C4" s="124"/>
      <c r="D4" s="124"/>
      <c r="E4" s="124"/>
      <c r="F4" s="124"/>
      <c r="G4" s="124"/>
      <c r="H4" s="124"/>
      <c r="I4" s="124"/>
      <c r="J4" s="124"/>
      <c r="K4" s="117"/>
      <c r="L4" s="117"/>
    </row>
    <row r="5" spans="1:16" s="118" customFormat="1" ht="15.75" customHeight="1" x14ac:dyDescent="0.6">
      <c r="A5" s="183"/>
      <c r="B5" s="34" t="s">
        <v>15</v>
      </c>
      <c r="C5" s="124"/>
      <c r="D5" s="124"/>
      <c r="E5" s="124"/>
      <c r="F5" s="124"/>
      <c r="G5" s="124"/>
      <c r="H5" s="124"/>
      <c r="I5" s="124"/>
      <c r="J5" s="124"/>
      <c r="K5" s="117"/>
    </row>
    <row r="6" spans="1:16" s="118" customFormat="1" ht="15.75" customHeight="1" x14ac:dyDescent="0.5">
      <c r="A6" s="184"/>
      <c r="B6" s="693" t="s">
        <v>316</v>
      </c>
      <c r="C6" s="693"/>
      <c r="D6" s="693"/>
      <c r="E6" s="693"/>
      <c r="F6" s="693"/>
      <c r="G6" s="693"/>
      <c r="H6" s="693"/>
      <c r="I6" s="693"/>
      <c r="J6" s="693"/>
      <c r="K6" s="693"/>
      <c r="L6" s="693"/>
    </row>
    <row r="7" spans="1:16" s="118" customFormat="1" ht="15.75" customHeight="1" x14ac:dyDescent="0.5">
      <c r="A7" s="184"/>
      <c r="B7" s="598"/>
      <c r="C7" s="598"/>
      <c r="D7" s="598"/>
      <c r="E7" s="598"/>
      <c r="F7" s="598"/>
      <c r="G7" s="598"/>
      <c r="H7" s="598"/>
      <c r="I7" s="598"/>
      <c r="J7" s="598"/>
      <c r="K7" s="598"/>
      <c r="L7" s="598"/>
    </row>
    <row r="8" spans="1:16" s="118" customFormat="1" ht="15.75" customHeight="1" x14ac:dyDescent="0.5">
      <c r="A8" s="140" t="s">
        <v>35</v>
      </c>
      <c r="B8" s="35"/>
      <c r="C8" s="125"/>
      <c r="D8" s="125"/>
      <c r="E8" s="126"/>
      <c r="F8" s="126"/>
      <c r="G8" s="126"/>
      <c r="H8" s="126"/>
      <c r="I8" s="126"/>
      <c r="J8" s="126"/>
    </row>
    <row r="9" spans="1:16" s="118" customFormat="1" ht="15.75" customHeight="1" thickBot="1" x14ac:dyDescent="0.55000000000000004">
      <c r="A9" s="140"/>
      <c r="B9" s="695" t="s">
        <v>317</v>
      </c>
      <c r="C9" s="695"/>
      <c r="D9" s="695"/>
      <c r="E9" s="695"/>
      <c r="F9" s="695"/>
      <c r="G9" s="695"/>
      <c r="H9" s="695"/>
      <c r="I9" s="695"/>
      <c r="J9" s="695"/>
    </row>
    <row r="10" spans="1:16" ht="15.75" customHeight="1" x14ac:dyDescent="0.55000000000000004">
      <c r="B10" s="575" t="s">
        <v>318</v>
      </c>
      <c r="C10" s="715" t="s">
        <v>319</v>
      </c>
      <c r="D10" s="715"/>
      <c r="E10" s="715"/>
      <c r="F10" s="715" t="s">
        <v>320</v>
      </c>
      <c r="G10" s="715"/>
      <c r="H10" s="718"/>
      <c r="J10" s="476"/>
      <c r="K10" s="476"/>
      <c r="L10" s="476"/>
      <c r="M10" s="476"/>
      <c r="N10" s="476"/>
      <c r="O10" s="476"/>
      <c r="P10" s="476"/>
    </row>
    <row r="11" spans="1:16" ht="15.75" customHeight="1" x14ac:dyDescent="0.55000000000000004">
      <c r="B11" s="576" t="s">
        <v>321</v>
      </c>
      <c r="C11" s="723" t="s">
        <v>322</v>
      </c>
      <c r="D11" s="723"/>
      <c r="E11" s="723"/>
      <c r="F11" s="719">
        <v>21160</v>
      </c>
      <c r="G11" s="719"/>
      <c r="H11" s="720"/>
      <c r="J11" s="476"/>
      <c r="K11" s="476"/>
      <c r="L11" s="476"/>
      <c r="M11" s="476"/>
      <c r="N11" s="476"/>
      <c r="O11" s="476"/>
      <c r="P11" s="476"/>
    </row>
    <row r="12" spans="1:16" ht="15.75" customHeight="1" x14ac:dyDescent="0.55000000000000004">
      <c r="B12" s="577" t="s">
        <v>323</v>
      </c>
      <c r="C12" s="724" t="s">
        <v>324</v>
      </c>
      <c r="D12" s="724"/>
      <c r="E12" s="724"/>
      <c r="F12" s="721">
        <v>15640</v>
      </c>
      <c r="G12" s="721"/>
      <c r="H12" s="722"/>
      <c r="J12" s="476"/>
      <c r="K12" s="476"/>
      <c r="L12" s="476"/>
      <c r="M12" s="476"/>
      <c r="N12" s="476"/>
      <c r="O12" s="476"/>
      <c r="P12" s="476"/>
    </row>
    <row r="13" spans="1:16" ht="15.75" customHeight="1" x14ac:dyDescent="0.55000000000000004">
      <c r="B13" s="577" t="s">
        <v>325</v>
      </c>
      <c r="C13" s="724" t="s">
        <v>326</v>
      </c>
      <c r="D13" s="724"/>
      <c r="E13" s="724"/>
      <c r="F13" s="721">
        <v>9200</v>
      </c>
      <c r="G13" s="721"/>
      <c r="H13" s="722"/>
      <c r="J13" s="476"/>
      <c r="K13" s="476"/>
      <c r="L13" s="476"/>
      <c r="M13" s="476"/>
      <c r="N13" s="476"/>
      <c r="O13" s="476"/>
      <c r="P13" s="476"/>
    </row>
    <row r="14" spans="1:16" ht="15.75" customHeight="1" thickBot="1" x14ac:dyDescent="0.6">
      <c r="B14" s="725" t="s">
        <v>327</v>
      </c>
      <c r="C14" s="726"/>
      <c r="D14" s="726"/>
      <c r="E14" s="727"/>
      <c r="F14" s="711">
        <f>SUM(F11:F13)</f>
        <v>46000</v>
      </c>
      <c r="G14" s="711"/>
      <c r="H14" s="712"/>
      <c r="J14" s="476"/>
      <c r="K14" s="476"/>
      <c r="L14" s="476"/>
      <c r="M14" s="476"/>
      <c r="N14" s="476"/>
      <c r="O14" s="476"/>
      <c r="P14" s="476"/>
    </row>
    <row r="15" spans="1:16" x14ac:dyDescent="0.5">
      <c r="B15" s="197"/>
      <c r="C15" s="198"/>
      <c r="D15" s="197"/>
      <c r="E15" s="197"/>
      <c r="F15" s="197"/>
      <c r="G15" s="197"/>
      <c r="H15" s="197"/>
      <c r="I15" s="197"/>
    </row>
    <row r="16" spans="1:16" ht="15.3" thickBot="1" x14ac:dyDescent="0.55000000000000004">
      <c r="A16" s="158">
        <v>1</v>
      </c>
      <c r="B16" s="214" t="s">
        <v>328</v>
      </c>
      <c r="C16" s="214"/>
      <c r="D16" s="214"/>
      <c r="E16" s="197"/>
      <c r="F16" s="197"/>
      <c r="G16" s="197"/>
      <c r="H16" s="197"/>
      <c r="I16" s="215">
        <v>2</v>
      </c>
      <c r="J16" s="214" t="s">
        <v>329</v>
      </c>
      <c r="K16" s="212"/>
      <c r="L16" s="212"/>
      <c r="M16" s="212"/>
      <c r="N16" s="212"/>
      <c r="O16" s="212"/>
      <c r="P16" s="212"/>
    </row>
    <row r="17" spans="2:18" ht="15" customHeight="1" thickBot="1" x14ac:dyDescent="0.55000000000000004">
      <c r="B17" s="188"/>
      <c r="C17" s="716" t="s">
        <v>330</v>
      </c>
      <c r="D17" s="716"/>
      <c r="E17" s="716" t="s">
        <v>331</v>
      </c>
      <c r="F17" s="716"/>
      <c r="G17" s="716" t="s">
        <v>332</v>
      </c>
      <c r="H17" s="717"/>
      <c r="J17" s="323"/>
      <c r="K17" s="713" t="s">
        <v>330</v>
      </c>
      <c r="L17" s="713"/>
      <c r="M17" s="714" t="s">
        <v>331</v>
      </c>
      <c r="N17" s="713"/>
      <c r="O17" s="714" t="s">
        <v>332</v>
      </c>
      <c r="P17" s="713"/>
      <c r="Q17" s="705" t="s">
        <v>333</v>
      </c>
      <c r="R17" s="706"/>
    </row>
    <row r="18" spans="2:18" ht="28.5" thickBot="1" x14ac:dyDescent="0.55000000000000004">
      <c r="B18" s="578" t="s">
        <v>282</v>
      </c>
      <c r="C18" s="579" t="s">
        <v>334</v>
      </c>
      <c r="D18" s="580" t="s">
        <v>335</v>
      </c>
      <c r="E18" s="580" t="s">
        <v>334</v>
      </c>
      <c r="F18" s="580" t="s">
        <v>335</v>
      </c>
      <c r="G18" s="580" t="s">
        <v>334</v>
      </c>
      <c r="H18" s="581" t="s">
        <v>335</v>
      </c>
      <c r="J18" s="582" t="s">
        <v>282</v>
      </c>
      <c r="K18" s="322" t="s">
        <v>334</v>
      </c>
      <c r="L18" s="313" t="s">
        <v>335</v>
      </c>
      <c r="M18" s="314" t="s">
        <v>334</v>
      </c>
      <c r="N18" s="312" t="s">
        <v>335</v>
      </c>
      <c r="O18" s="313" t="s">
        <v>334</v>
      </c>
      <c r="P18" s="314" t="s">
        <v>335</v>
      </c>
      <c r="Q18" s="312" t="s">
        <v>334</v>
      </c>
      <c r="R18" s="315" t="s">
        <v>335</v>
      </c>
    </row>
    <row r="19" spans="2:18" x14ac:dyDescent="0.5">
      <c r="B19" s="311" t="s">
        <v>285</v>
      </c>
      <c r="C19" s="233">
        <v>0</v>
      </c>
      <c r="D19" s="233">
        <v>0</v>
      </c>
      <c r="E19" s="233">
        <v>0</v>
      </c>
      <c r="F19" s="233">
        <v>0</v>
      </c>
      <c r="G19" s="233">
        <v>0</v>
      </c>
      <c r="H19" s="234">
        <v>0.5</v>
      </c>
      <c r="I19" s="213"/>
      <c r="J19" s="311" t="s">
        <v>285</v>
      </c>
      <c r="K19" s="233">
        <f t="shared" ref="K19:K43" si="0">C19/C$44*K$44</f>
        <v>0</v>
      </c>
      <c r="L19" s="233">
        <f t="shared" ref="L19:L43" si="1">D19/D$44*L$44</f>
        <v>0</v>
      </c>
      <c r="M19" s="233">
        <f t="shared" ref="M19:M43" si="2">E19/E$44*M$44</f>
        <v>0</v>
      </c>
      <c r="N19" s="233">
        <f t="shared" ref="N19:N42" si="3">F19/F$44*N$44</f>
        <v>0</v>
      </c>
      <c r="O19" s="233">
        <f t="shared" ref="O19:O43" si="4">G19/G$44*O$44</f>
        <v>0</v>
      </c>
      <c r="P19" s="233">
        <f t="shared" ref="P19:P43" si="5">H19/H$44*P$44</f>
        <v>100.54644808743166</v>
      </c>
      <c r="Q19" s="233">
        <f>K19+M19+O19</f>
        <v>0</v>
      </c>
      <c r="R19" s="234">
        <f>L19+N19+P19</f>
        <v>100.54644808743166</v>
      </c>
    </row>
    <row r="20" spans="2:18" x14ac:dyDescent="0.5">
      <c r="B20" s="301" t="s">
        <v>286</v>
      </c>
      <c r="C20" s="216">
        <v>2.5</v>
      </c>
      <c r="D20" s="216">
        <v>2</v>
      </c>
      <c r="E20" s="216">
        <v>33</v>
      </c>
      <c r="F20" s="216">
        <v>6.3000000000000007</v>
      </c>
      <c r="G20" s="216">
        <v>17</v>
      </c>
      <c r="H20" s="217">
        <v>7.9</v>
      </c>
      <c r="I20" s="213"/>
      <c r="J20" s="301" t="s">
        <v>286</v>
      </c>
      <c r="K20" s="216">
        <f t="shared" si="0"/>
        <v>131.5102548166563</v>
      </c>
      <c r="L20" s="216">
        <f t="shared" si="1"/>
        <v>249.749188551195</v>
      </c>
      <c r="M20" s="216">
        <f t="shared" si="2"/>
        <v>4293.8435940099835</v>
      </c>
      <c r="N20" s="216">
        <f t="shared" si="3"/>
        <v>1080.3947368421057</v>
      </c>
      <c r="O20" s="216">
        <f t="shared" si="4"/>
        <v>2466.8769716088332</v>
      </c>
      <c r="P20" s="216">
        <f t="shared" si="5"/>
        <v>1588.6338797814203</v>
      </c>
      <c r="Q20" s="216">
        <f t="shared" ref="Q20:Q44" si="6">K20+M20+O20</f>
        <v>6892.2308204354722</v>
      </c>
      <c r="R20" s="217">
        <f t="shared" ref="R20:R44" si="7">L20+N20+P20</f>
        <v>2918.7778051747209</v>
      </c>
    </row>
    <row r="21" spans="2:18" x14ac:dyDescent="0.5">
      <c r="B21" s="301" t="s">
        <v>287</v>
      </c>
      <c r="C21" s="216">
        <v>2</v>
      </c>
      <c r="D21" s="216">
        <v>0</v>
      </c>
      <c r="E21" s="216">
        <v>0</v>
      </c>
      <c r="F21" s="216">
        <v>0</v>
      </c>
      <c r="G21" s="216">
        <v>7.5</v>
      </c>
      <c r="H21" s="217">
        <v>2.1</v>
      </c>
      <c r="I21" s="213"/>
      <c r="J21" s="301" t="s">
        <v>287</v>
      </c>
      <c r="K21" s="216">
        <f t="shared" si="0"/>
        <v>105.20820385332505</v>
      </c>
      <c r="L21" s="216">
        <f t="shared" si="1"/>
        <v>0</v>
      </c>
      <c r="M21" s="216">
        <f t="shared" si="2"/>
        <v>0</v>
      </c>
      <c r="N21" s="216">
        <f t="shared" si="3"/>
        <v>0</v>
      </c>
      <c r="O21" s="216">
        <f t="shared" si="4"/>
        <v>1088.3280757097793</v>
      </c>
      <c r="P21" s="216">
        <f t="shared" si="5"/>
        <v>422.29508196721298</v>
      </c>
      <c r="Q21" s="216">
        <f t="shared" si="6"/>
        <v>1193.5362795631045</v>
      </c>
      <c r="R21" s="217">
        <f t="shared" si="7"/>
        <v>422.29508196721298</v>
      </c>
    </row>
    <row r="22" spans="2:18" x14ac:dyDescent="0.5">
      <c r="B22" s="302" t="s">
        <v>288</v>
      </c>
      <c r="C22" s="216">
        <v>16</v>
      </c>
      <c r="D22" s="216">
        <v>9.5</v>
      </c>
      <c r="E22" s="216">
        <v>0</v>
      </c>
      <c r="F22" s="216">
        <v>15.499999999999996</v>
      </c>
      <c r="G22" s="216">
        <v>0</v>
      </c>
      <c r="H22" s="217"/>
      <c r="I22" s="213"/>
      <c r="J22" s="301" t="s">
        <v>288</v>
      </c>
      <c r="K22" s="216">
        <f t="shared" si="0"/>
        <v>841.66563082660036</v>
      </c>
      <c r="L22" s="216">
        <f t="shared" si="1"/>
        <v>1186.3086456181763</v>
      </c>
      <c r="M22" s="216">
        <f t="shared" si="2"/>
        <v>0</v>
      </c>
      <c r="N22" s="216">
        <f t="shared" si="3"/>
        <v>2658.114035087719</v>
      </c>
      <c r="O22" s="216">
        <f t="shared" si="4"/>
        <v>0</v>
      </c>
      <c r="P22" s="216">
        <f t="shared" si="5"/>
        <v>0</v>
      </c>
      <c r="Q22" s="216">
        <f t="shared" si="6"/>
        <v>841.66563082660036</v>
      </c>
      <c r="R22" s="217">
        <f t="shared" si="7"/>
        <v>3844.4226807058953</v>
      </c>
    </row>
    <row r="23" spans="2:18" x14ac:dyDescent="0.5">
      <c r="B23" s="301" t="s">
        <v>289</v>
      </c>
      <c r="C23" s="216">
        <v>197.75</v>
      </c>
      <c r="D23" s="216">
        <v>89.450000000000017</v>
      </c>
      <c r="E23" s="216">
        <v>52.199999999999996</v>
      </c>
      <c r="F23" s="216">
        <v>38.599999999999994</v>
      </c>
      <c r="G23" s="216">
        <v>27.449999999999992</v>
      </c>
      <c r="H23" s="217">
        <v>25.500000000000007</v>
      </c>
      <c r="I23" s="213"/>
      <c r="J23" s="301" t="s">
        <v>289</v>
      </c>
      <c r="K23" s="216">
        <f t="shared" si="0"/>
        <v>10402.461155997515</v>
      </c>
      <c r="L23" s="216">
        <f t="shared" si="1"/>
        <v>11170.032457952198</v>
      </c>
      <c r="M23" s="216">
        <f t="shared" si="2"/>
        <v>6792.0798668885191</v>
      </c>
      <c r="N23" s="216">
        <f t="shared" si="3"/>
        <v>6619.5614035087719</v>
      </c>
      <c r="O23" s="216">
        <f t="shared" si="4"/>
        <v>3983.2807570977911</v>
      </c>
      <c r="P23" s="216">
        <f t="shared" si="5"/>
        <v>5127.8688524590161</v>
      </c>
      <c r="Q23" s="216">
        <f t="shared" si="6"/>
        <v>21177.821779983824</v>
      </c>
      <c r="R23" s="217">
        <f t="shared" si="7"/>
        <v>22917.462713919987</v>
      </c>
    </row>
    <row r="24" spans="2:18" x14ac:dyDescent="0.5">
      <c r="B24" s="301" t="s">
        <v>290</v>
      </c>
      <c r="C24" s="216">
        <v>0</v>
      </c>
      <c r="D24" s="216">
        <v>0</v>
      </c>
      <c r="E24" s="216">
        <v>0</v>
      </c>
      <c r="F24" s="216">
        <v>0</v>
      </c>
      <c r="G24" s="216">
        <v>0</v>
      </c>
      <c r="H24" s="217">
        <v>0</v>
      </c>
      <c r="I24" s="213"/>
      <c r="J24" s="301" t="s">
        <v>290</v>
      </c>
      <c r="K24" s="216">
        <f t="shared" si="0"/>
        <v>0</v>
      </c>
      <c r="L24" s="216">
        <f t="shared" si="1"/>
        <v>0</v>
      </c>
      <c r="M24" s="216">
        <f t="shared" si="2"/>
        <v>0</v>
      </c>
      <c r="N24" s="216">
        <f t="shared" si="3"/>
        <v>0</v>
      </c>
      <c r="O24" s="216">
        <f t="shared" si="4"/>
        <v>0</v>
      </c>
      <c r="P24" s="216">
        <f t="shared" si="5"/>
        <v>0</v>
      </c>
      <c r="Q24" s="216">
        <f t="shared" si="6"/>
        <v>0</v>
      </c>
      <c r="R24" s="217">
        <f t="shared" si="7"/>
        <v>0</v>
      </c>
    </row>
    <row r="25" spans="2:18" x14ac:dyDescent="0.5">
      <c r="B25" s="301" t="s">
        <v>291</v>
      </c>
      <c r="C25" s="216">
        <v>0</v>
      </c>
      <c r="D25" s="216">
        <v>0</v>
      </c>
      <c r="E25" s="216">
        <v>1.2</v>
      </c>
      <c r="F25" s="216">
        <v>0</v>
      </c>
      <c r="G25" s="216">
        <v>4.5</v>
      </c>
      <c r="H25" s="217">
        <v>0</v>
      </c>
      <c r="I25" s="213"/>
      <c r="J25" s="301" t="s">
        <v>291</v>
      </c>
      <c r="K25" s="216">
        <f t="shared" si="0"/>
        <v>0</v>
      </c>
      <c r="L25" s="216">
        <f t="shared" si="1"/>
        <v>0</v>
      </c>
      <c r="M25" s="216">
        <f t="shared" si="2"/>
        <v>156.13976705490848</v>
      </c>
      <c r="N25" s="216">
        <f t="shared" si="3"/>
        <v>0</v>
      </c>
      <c r="O25" s="216">
        <f t="shared" si="4"/>
        <v>652.99684542586749</v>
      </c>
      <c r="P25" s="216">
        <f t="shared" si="5"/>
        <v>0</v>
      </c>
      <c r="Q25" s="216">
        <f t="shared" si="6"/>
        <v>809.13661248077597</v>
      </c>
      <c r="R25" s="217">
        <f t="shared" si="7"/>
        <v>0</v>
      </c>
    </row>
    <row r="26" spans="2:18" x14ac:dyDescent="0.5">
      <c r="B26" s="302" t="s">
        <v>292</v>
      </c>
      <c r="C26" s="216">
        <v>0.75</v>
      </c>
      <c r="D26" s="216">
        <v>0</v>
      </c>
      <c r="E26" s="216">
        <v>0</v>
      </c>
      <c r="F26" s="216">
        <v>0</v>
      </c>
      <c r="G26" s="216">
        <v>0</v>
      </c>
      <c r="H26" s="217">
        <v>0</v>
      </c>
      <c r="I26" s="213"/>
      <c r="J26" s="301" t="s">
        <v>292</v>
      </c>
      <c r="K26" s="216">
        <f t="shared" si="0"/>
        <v>39.453076444996896</v>
      </c>
      <c r="L26" s="216">
        <f t="shared" si="1"/>
        <v>0</v>
      </c>
      <c r="M26" s="216">
        <f t="shared" si="2"/>
        <v>0</v>
      </c>
      <c r="N26" s="216">
        <f t="shared" si="3"/>
        <v>0</v>
      </c>
      <c r="O26" s="216">
        <f t="shared" si="4"/>
        <v>0</v>
      </c>
      <c r="P26" s="216">
        <f t="shared" si="5"/>
        <v>0</v>
      </c>
      <c r="Q26" s="216">
        <f t="shared" si="6"/>
        <v>39.453076444996896</v>
      </c>
      <c r="R26" s="217">
        <f t="shared" si="7"/>
        <v>0</v>
      </c>
    </row>
    <row r="27" spans="2:18" x14ac:dyDescent="0.5">
      <c r="B27" s="301" t="s">
        <v>293</v>
      </c>
      <c r="C27" s="216">
        <v>0</v>
      </c>
      <c r="D27" s="216">
        <v>6</v>
      </c>
      <c r="E27" s="216">
        <v>0</v>
      </c>
      <c r="F27" s="216">
        <v>0</v>
      </c>
      <c r="G27" s="216">
        <v>0</v>
      </c>
      <c r="H27" s="217">
        <v>0</v>
      </c>
      <c r="I27" s="213"/>
      <c r="J27" s="301" t="s">
        <v>293</v>
      </c>
      <c r="K27" s="216">
        <f t="shared" si="0"/>
        <v>0</v>
      </c>
      <c r="L27" s="216">
        <f t="shared" si="1"/>
        <v>749.24756565358507</v>
      </c>
      <c r="M27" s="216">
        <f t="shared" si="2"/>
        <v>0</v>
      </c>
      <c r="N27" s="216">
        <f t="shared" si="3"/>
        <v>0</v>
      </c>
      <c r="O27" s="216">
        <f t="shared" si="4"/>
        <v>0</v>
      </c>
      <c r="P27" s="216">
        <f t="shared" si="5"/>
        <v>0</v>
      </c>
      <c r="Q27" s="216">
        <f t="shared" si="6"/>
        <v>0</v>
      </c>
      <c r="R27" s="217">
        <f t="shared" si="7"/>
        <v>749.24756565358507</v>
      </c>
    </row>
    <row r="28" spans="2:18" x14ac:dyDescent="0.5">
      <c r="B28" s="301" t="s">
        <v>294</v>
      </c>
      <c r="C28" s="216">
        <v>17.5</v>
      </c>
      <c r="D28" s="216">
        <v>28.999999999999993</v>
      </c>
      <c r="E28" s="216">
        <v>0.5</v>
      </c>
      <c r="F28" s="216">
        <v>5.8000000000000007</v>
      </c>
      <c r="G28" s="216">
        <v>0</v>
      </c>
      <c r="H28" s="217">
        <v>0.5</v>
      </c>
      <c r="I28" s="213"/>
      <c r="J28" s="301" t="s">
        <v>294</v>
      </c>
      <c r="K28" s="216">
        <f t="shared" si="0"/>
        <v>920.57178371659415</v>
      </c>
      <c r="L28" s="216">
        <f t="shared" si="1"/>
        <v>3621.363233992327</v>
      </c>
      <c r="M28" s="216">
        <f t="shared" si="2"/>
        <v>65.058236272878545</v>
      </c>
      <c r="N28" s="216">
        <f t="shared" si="3"/>
        <v>994.64912280701776</v>
      </c>
      <c r="O28" s="216">
        <f t="shared" si="4"/>
        <v>0</v>
      </c>
      <c r="P28" s="216">
        <f t="shared" si="5"/>
        <v>100.54644808743166</v>
      </c>
      <c r="Q28" s="216">
        <f t="shared" si="6"/>
        <v>985.63001998947266</v>
      </c>
      <c r="R28" s="217">
        <f t="shared" si="7"/>
        <v>4716.5588048867767</v>
      </c>
    </row>
    <row r="29" spans="2:18" x14ac:dyDescent="0.5">
      <c r="B29" s="301" t="s">
        <v>295</v>
      </c>
      <c r="C29" s="216">
        <v>3.75</v>
      </c>
      <c r="D29" s="216">
        <v>3.75</v>
      </c>
      <c r="E29" s="216">
        <v>0</v>
      </c>
      <c r="F29" s="216">
        <v>2.6</v>
      </c>
      <c r="G29" s="216">
        <v>0.7</v>
      </c>
      <c r="H29" s="217">
        <v>0.2</v>
      </c>
      <c r="I29" s="213"/>
      <c r="J29" s="301" t="s">
        <v>295</v>
      </c>
      <c r="K29" s="216">
        <f t="shared" si="0"/>
        <v>197.26538222498448</v>
      </c>
      <c r="L29" s="216">
        <f t="shared" si="1"/>
        <v>468.27972853349064</v>
      </c>
      <c r="M29" s="216">
        <f t="shared" si="2"/>
        <v>0</v>
      </c>
      <c r="N29" s="216">
        <f t="shared" si="3"/>
        <v>445.87719298245622</v>
      </c>
      <c r="O29" s="216">
        <f t="shared" si="4"/>
        <v>101.57728706624606</v>
      </c>
      <c r="P29" s="216">
        <f t="shared" si="5"/>
        <v>40.218579234972673</v>
      </c>
      <c r="Q29" s="216">
        <f t="shared" si="6"/>
        <v>298.84266929123055</v>
      </c>
      <c r="R29" s="217">
        <f t="shared" si="7"/>
        <v>954.37550075091951</v>
      </c>
    </row>
    <row r="30" spans="2:18" x14ac:dyDescent="0.5">
      <c r="B30" s="302" t="s">
        <v>296</v>
      </c>
      <c r="C30" s="216">
        <v>25.25</v>
      </c>
      <c r="D30" s="216">
        <v>0</v>
      </c>
      <c r="E30" s="216">
        <v>0</v>
      </c>
      <c r="F30" s="216">
        <v>0</v>
      </c>
      <c r="G30" s="216">
        <v>0</v>
      </c>
      <c r="H30" s="217">
        <v>0</v>
      </c>
      <c r="I30" s="213"/>
      <c r="J30" s="301" t="s">
        <v>296</v>
      </c>
      <c r="K30" s="216">
        <f t="shared" si="0"/>
        <v>1328.2535736482287</v>
      </c>
      <c r="L30" s="216">
        <f t="shared" si="1"/>
        <v>0</v>
      </c>
      <c r="M30" s="216">
        <f t="shared" si="2"/>
        <v>0</v>
      </c>
      <c r="N30" s="216">
        <f t="shared" si="3"/>
        <v>0</v>
      </c>
      <c r="O30" s="216">
        <f t="shared" si="4"/>
        <v>0</v>
      </c>
      <c r="P30" s="216">
        <f t="shared" si="5"/>
        <v>0</v>
      </c>
      <c r="Q30" s="216">
        <f t="shared" si="6"/>
        <v>1328.2535736482287</v>
      </c>
      <c r="R30" s="217">
        <f t="shared" si="7"/>
        <v>0</v>
      </c>
    </row>
    <row r="31" spans="2:18" x14ac:dyDescent="0.5">
      <c r="B31" s="301" t="s">
        <v>297</v>
      </c>
      <c r="C31" s="216">
        <v>5</v>
      </c>
      <c r="D31" s="216">
        <v>0</v>
      </c>
      <c r="E31" s="216">
        <v>0</v>
      </c>
      <c r="F31" s="216">
        <v>0</v>
      </c>
      <c r="G31" s="216">
        <v>0</v>
      </c>
      <c r="H31" s="217">
        <v>0</v>
      </c>
      <c r="I31" s="213"/>
      <c r="J31" s="301" t="s">
        <v>297</v>
      </c>
      <c r="K31" s="216">
        <f t="shared" si="0"/>
        <v>263.0205096333126</v>
      </c>
      <c r="L31" s="216">
        <f t="shared" si="1"/>
        <v>0</v>
      </c>
      <c r="M31" s="216">
        <f t="shared" si="2"/>
        <v>0</v>
      </c>
      <c r="N31" s="216">
        <f t="shared" si="3"/>
        <v>0</v>
      </c>
      <c r="O31" s="216">
        <f t="shared" si="4"/>
        <v>0</v>
      </c>
      <c r="P31" s="216">
        <f t="shared" si="5"/>
        <v>0</v>
      </c>
      <c r="Q31" s="216">
        <f t="shared" si="6"/>
        <v>263.0205096333126</v>
      </c>
      <c r="R31" s="217">
        <f t="shared" si="7"/>
        <v>0</v>
      </c>
    </row>
    <row r="32" spans="2:18" x14ac:dyDescent="0.5">
      <c r="B32" s="301" t="s">
        <v>298</v>
      </c>
      <c r="C32" s="216">
        <v>0</v>
      </c>
      <c r="D32" s="216">
        <v>0</v>
      </c>
      <c r="E32" s="216">
        <v>0</v>
      </c>
      <c r="F32" s="216">
        <v>0</v>
      </c>
      <c r="G32" s="216">
        <v>5</v>
      </c>
      <c r="H32" s="217">
        <v>1.6</v>
      </c>
      <c r="I32" s="213"/>
      <c r="J32" s="301" t="s">
        <v>298</v>
      </c>
      <c r="K32" s="216">
        <f t="shared" si="0"/>
        <v>0</v>
      </c>
      <c r="L32" s="216">
        <f t="shared" si="1"/>
        <v>0</v>
      </c>
      <c r="M32" s="216">
        <f t="shared" si="2"/>
        <v>0</v>
      </c>
      <c r="N32" s="216">
        <f t="shared" si="3"/>
        <v>0</v>
      </c>
      <c r="O32" s="216">
        <f t="shared" si="4"/>
        <v>725.55205047318623</v>
      </c>
      <c r="P32" s="216">
        <f t="shared" si="5"/>
        <v>321.74863387978138</v>
      </c>
      <c r="Q32" s="216">
        <f t="shared" si="6"/>
        <v>725.55205047318623</v>
      </c>
      <c r="R32" s="217">
        <f t="shared" si="7"/>
        <v>321.74863387978138</v>
      </c>
    </row>
    <row r="33" spans="1:18" x14ac:dyDescent="0.5">
      <c r="B33" s="301" t="s">
        <v>299</v>
      </c>
      <c r="C33" s="216">
        <v>0</v>
      </c>
      <c r="D33" s="216">
        <v>0</v>
      </c>
      <c r="E33" s="216">
        <v>0</v>
      </c>
      <c r="F33" s="216">
        <v>0</v>
      </c>
      <c r="G33" s="216">
        <v>1.25</v>
      </c>
      <c r="H33" s="217">
        <v>2</v>
      </c>
      <c r="I33" s="213"/>
      <c r="J33" s="301" t="s">
        <v>299</v>
      </c>
      <c r="K33" s="216">
        <f t="shared" si="0"/>
        <v>0</v>
      </c>
      <c r="L33" s="216">
        <f t="shared" si="1"/>
        <v>0</v>
      </c>
      <c r="M33" s="216">
        <f t="shared" si="2"/>
        <v>0</v>
      </c>
      <c r="N33" s="216">
        <f t="shared" si="3"/>
        <v>0</v>
      </c>
      <c r="O33" s="216">
        <f t="shared" si="4"/>
        <v>181.38801261829656</v>
      </c>
      <c r="P33" s="216">
        <f t="shared" si="5"/>
        <v>402.18579234972663</v>
      </c>
      <c r="Q33" s="216">
        <f t="shared" si="6"/>
        <v>181.38801261829656</v>
      </c>
      <c r="R33" s="217">
        <f t="shared" si="7"/>
        <v>402.18579234972663</v>
      </c>
    </row>
    <row r="34" spans="1:18" x14ac:dyDescent="0.5">
      <c r="B34" s="302" t="s">
        <v>300</v>
      </c>
      <c r="C34" s="216">
        <v>0</v>
      </c>
      <c r="D34" s="216">
        <v>0</v>
      </c>
      <c r="E34" s="216">
        <v>5.2</v>
      </c>
      <c r="F34" s="216">
        <v>0</v>
      </c>
      <c r="G34" s="216">
        <v>0</v>
      </c>
      <c r="H34" s="217">
        <v>2</v>
      </c>
      <c r="I34" s="213"/>
      <c r="J34" s="301" t="s">
        <v>300</v>
      </c>
      <c r="K34" s="216">
        <f t="shared" si="0"/>
        <v>0</v>
      </c>
      <c r="L34" s="216">
        <f t="shared" si="1"/>
        <v>0</v>
      </c>
      <c r="M34" s="216">
        <f t="shared" si="2"/>
        <v>676.60565723793684</v>
      </c>
      <c r="N34" s="216">
        <f t="shared" si="3"/>
        <v>0</v>
      </c>
      <c r="O34" s="216">
        <f t="shared" si="4"/>
        <v>0</v>
      </c>
      <c r="P34" s="216">
        <f t="shared" si="5"/>
        <v>402.18579234972663</v>
      </c>
      <c r="Q34" s="216">
        <f t="shared" si="6"/>
        <v>676.60565723793684</v>
      </c>
      <c r="R34" s="217">
        <f t="shared" si="7"/>
        <v>402.18579234972663</v>
      </c>
    </row>
    <row r="35" spans="1:18" x14ac:dyDescent="0.5">
      <c r="B35" s="301" t="s">
        <v>301</v>
      </c>
      <c r="C35" s="216">
        <v>37.999999999999993</v>
      </c>
      <c r="D35" s="216">
        <v>0</v>
      </c>
      <c r="E35" s="216">
        <v>5.5</v>
      </c>
      <c r="F35" s="216">
        <v>0</v>
      </c>
      <c r="G35" s="216">
        <v>0</v>
      </c>
      <c r="H35" s="217">
        <v>0</v>
      </c>
      <c r="I35" s="213"/>
      <c r="J35" s="301" t="s">
        <v>301</v>
      </c>
      <c r="K35" s="216">
        <f t="shared" si="0"/>
        <v>1998.9558732131757</v>
      </c>
      <c r="L35" s="216">
        <f t="shared" si="1"/>
        <v>0</v>
      </c>
      <c r="M35" s="216">
        <f t="shared" si="2"/>
        <v>715.64059900166387</v>
      </c>
      <c r="N35" s="216">
        <f t="shared" si="3"/>
        <v>0</v>
      </c>
      <c r="O35" s="216">
        <f t="shared" si="4"/>
        <v>0</v>
      </c>
      <c r="P35" s="216">
        <f t="shared" si="5"/>
        <v>0</v>
      </c>
      <c r="Q35" s="216">
        <f t="shared" si="6"/>
        <v>2714.5964722148397</v>
      </c>
      <c r="R35" s="217">
        <f t="shared" si="7"/>
        <v>0</v>
      </c>
    </row>
    <row r="36" spans="1:18" x14ac:dyDescent="0.5">
      <c r="B36" s="301" t="s">
        <v>302</v>
      </c>
      <c r="C36" s="216">
        <v>11.25</v>
      </c>
      <c r="D36" s="216">
        <v>0</v>
      </c>
      <c r="E36" s="216">
        <v>0</v>
      </c>
      <c r="F36" s="216">
        <v>0</v>
      </c>
      <c r="G36" s="216">
        <v>0</v>
      </c>
      <c r="H36" s="217">
        <v>0</v>
      </c>
      <c r="I36" s="213"/>
      <c r="J36" s="301" t="s">
        <v>302</v>
      </c>
      <c r="K36" s="216">
        <f t="shared" si="0"/>
        <v>591.79614667495343</v>
      </c>
      <c r="L36" s="216">
        <f t="shared" si="1"/>
        <v>0</v>
      </c>
      <c r="M36" s="216">
        <f t="shared" si="2"/>
        <v>0</v>
      </c>
      <c r="N36" s="216">
        <f t="shared" si="3"/>
        <v>0</v>
      </c>
      <c r="O36" s="216">
        <f t="shared" si="4"/>
        <v>0</v>
      </c>
      <c r="P36" s="216">
        <f t="shared" si="5"/>
        <v>0</v>
      </c>
      <c r="Q36" s="216">
        <f t="shared" si="6"/>
        <v>591.79614667495343</v>
      </c>
      <c r="R36" s="217">
        <f t="shared" si="7"/>
        <v>0</v>
      </c>
    </row>
    <row r="37" spans="1:18" x14ac:dyDescent="0.5">
      <c r="B37" s="301" t="s">
        <v>303</v>
      </c>
      <c r="C37" s="216">
        <v>3.5</v>
      </c>
      <c r="D37" s="216">
        <v>8.5</v>
      </c>
      <c r="E37" s="216">
        <v>10</v>
      </c>
      <c r="F37" s="216">
        <v>19.000000000000004</v>
      </c>
      <c r="G37" s="216">
        <v>0</v>
      </c>
      <c r="H37" s="217">
        <v>2.4500000000000002</v>
      </c>
      <c r="I37" s="213"/>
      <c r="J37" s="301" t="s">
        <v>303</v>
      </c>
      <c r="K37" s="216">
        <f t="shared" si="0"/>
        <v>184.11435674331884</v>
      </c>
      <c r="L37" s="216">
        <f t="shared" si="1"/>
        <v>1061.4340513425789</v>
      </c>
      <c r="M37" s="216">
        <f t="shared" si="2"/>
        <v>1301.164725457571</v>
      </c>
      <c r="N37" s="216">
        <f t="shared" si="3"/>
        <v>3258.3333333333344</v>
      </c>
      <c r="O37" s="216">
        <f t="shared" si="4"/>
        <v>0</v>
      </c>
      <c r="P37" s="216">
        <f t="shared" si="5"/>
        <v>492.67759562841519</v>
      </c>
      <c r="Q37" s="216">
        <f t="shared" si="6"/>
        <v>1485.2790822008899</v>
      </c>
      <c r="R37" s="217">
        <f t="shared" si="7"/>
        <v>4812.444980304329</v>
      </c>
    </row>
    <row r="38" spans="1:18" x14ac:dyDescent="0.5">
      <c r="B38" s="302" t="s">
        <v>304</v>
      </c>
      <c r="C38" s="216">
        <v>0</v>
      </c>
      <c r="D38" s="216">
        <v>1.5</v>
      </c>
      <c r="E38" s="216">
        <v>1.0999999999999999</v>
      </c>
      <c r="F38" s="216">
        <v>0</v>
      </c>
      <c r="G38" s="216">
        <v>0</v>
      </c>
      <c r="H38" s="217">
        <v>0</v>
      </c>
      <c r="I38" s="213"/>
      <c r="J38" s="301" t="s">
        <v>304</v>
      </c>
      <c r="K38" s="216">
        <f t="shared" si="0"/>
        <v>0</v>
      </c>
      <c r="L38" s="216">
        <f t="shared" si="1"/>
        <v>187.31189141339627</v>
      </c>
      <c r="M38" s="216">
        <f t="shared" si="2"/>
        <v>143.1281198003328</v>
      </c>
      <c r="N38" s="216">
        <f t="shared" si="3"/>
        <v>0</v>
      </c>
      <c r="O38" s="216">
        <f t="shared" si="4"/>
        <v>0</v>
      </c>
      <c r="P38" s="216">
        <f t="shared" si="5"/>
        <v>0</v>
      </c>
      <c r="Q38" s="216">
        <f t="shared" si="6"/>
        <v>143.1281198003328</v>
      </c>
      <c r="R38" s="217">
        <f t="shared" si="7"/>
        <v>187.31189141339627</v>
      </c>
    </row>
    <row r="39" spans="1:18" x14ac:dyDescent="0.5">
      <c r="B39" s="301" t="s">
        <v>336</v>
      </c>
      <c r="C39" s="216">
        <v>0</v>
      </c>
      <c r="D39" s="216">
        <v>1</v>
      </c>
      <c r="E39" s="216">
        <v>0</v>
      </c>
      <c r="F39" s="216">
        <v>0</v>
      </c>
      <c r="G39" s="216">
        <v>0</v>
      </c>
      <c r="H39" s="217">
        <v>0</v>
      </c>
      <c r="I39" s="213"/>
      <c r="J39" s="301" t="s">
        <v>305</v>
      </c>
      <c r="K39" s="216">
        <f t="shared" si="0"/>
        <v>0</v>
      </c>
      <c r="L39" s="216">
        <f t="shared" si="1"/>
        <v>124.8745942755975</v>
      </c>
      <c r="M39" s="216">
        <f t="shared" si="2"/>
        <v>0</v>
      </c>
      <c r="N39" s="216">
        <f t="shared" si="3"/>
        <v>0</v>
      </c>
      <c r="O39" s="216">
        <f t="shared" si="4"/>
        <v>0</v>
      </c>
      <c r="P39" s="216">
        <f t="shared" si="5"/>
        <v>0</v>
      </c>
      <c r="Q39" s="216">
        <f t="shared" si="6"/>
        <v>0</v>
      </c>
      <c r="R39" s="217">
        <f t="shared" si="7"/>
        <v>124.8745942755975</v>
      </c>
    </row>
    <row r="40" spans="1:18" x14ac:dyDescent="0.5">
      <c r="B40" s="301" t="s">
        <v>306</v>
      </c>
      <c r="C40" s="216">
        <v>71</v>
      </c>
      <c r="D40" s="216">
        <v>18.75</v>
      </c>
      <c r="E40" s="216">
        <v>0</v>
      </c>
      <c r="F40" s="216">
        <v>2.4</v>
      </c>
      <c r="G40" s="216">
        <v>0</v>
      </c>
      <c r="H40" s="217">
        <v>1</v>
      </c>
      <c r="I40" s="213"/>
      <c r="J40" s="301" t="s">
        <v>306</v>
      </c>
      <c r="K40" s="216">
        <f t="shared" si="0"/>
        <v>3734.8912367930388</v>
      </c>
      <c r="L40" s="216">
        <f t="shared" si="1"/>
        <v>2341.3986426674533</v>
      </c>
      <c r="M40" s="216">
        <f t="shared" si="2"/>
        <v>0</v>
      </c>
      <c r="N40" s="216">
        <f t="shared" si="3"/>
        <v>411.5789473684211</v>
      </c>
      <c r="O40" s="216">
        <f t="shared" si="4"/>
        <v>0</v>
      </c>
      <c r="P40" s="216">
        <f t="shared" si="5"/>
        <v>201.09289617486331</v>
      </c>
      <c r="Q40" s="216">
        <f t="shared" si="6"/>
        <v>3734.8912367930388</v>
      </c>
      <c r="R40" s="217">
        <f t="shared" si="7"/>
        <v>2954.0704862107377</v>
      </c>
    </row>
    <row r="41" spans="1:18" x14ac:dyDescent="0.5">
      <c r="B41" s="301" t="s">
        <v>307</v>
      </c>
      <c r="C41" s="216">
        <v>0</v>
      </c>
      <c r="D41" s="216">
        <v>0</v>
      </c>
      <c r="E41" s="216">
        <v>0.5</v>
      </c>
      <c r="F41" s="216">
        <v>0</v>
      </c>
      <c r="G41" s="216">
        <v>0</v>
      </c>
      <c r="H41" s="217">
        <v>0</v>
      </c>
      <c r="I41" s="213"/>
      <c r="J41" s="301" t="s">
        <v>307</v>
      </c>
      <c r="K41" s="216">
        <f t="shared" si="0"/>
        <v>0</v>
      </c>
      <c r="L41" s="216">
        <f t="shared" si="1"/>
        <v>0</v>
      </c>
      <c r="M41" s="216">
        <f>E41/E$44*M$44</f>
        <v>65.058236272878545</v>
      </c>
      <c r="N41" s="216">
        <f t="shared" si="3"/>
        <v>0</v>
      </c>
      <c r="O41" s="216">
        <f t="shared" si="4"/>
        <v>0</v>
      </c>
      <c r="P41" s="216">
        <f t="shared" si="5"/>
        <v>0</v>
      </c>
      <c r="Q41" s="216">
        <f t="shared" si="6"/>
        <v>65.058236272878545</v>
      </c>
      <c r="R41" s="217">
        <f t="shared" si="7"/>
        <v>0</v>
      </c>
    </row>
    <row r="42" spans="1:18" x14ac:dyDescent="0.5">
      <c r="B42" s="301" t="s">
        <v>308</v>
      </c>
      <c r="C42" s="216">
        <v>8</v>
      </c>
      <c r="D42" s="216">
        <v>0</v>
      </c>
      <c r="E42" s="216">
        <v>11</v>
      </c>
      <c r="F42" s="216">
        <v>0</v>
      </c>
      <c r="G42" s="216">
        <v>0</v>
      </c>
      <c r="H42" s="217">
        <v>0</v>
      </c>
      <c r="I42" s="213"/>
      <c r="J42" s="301" t="s">
        <v>308</v>
      </c>
      <c r="K42" s="216">
        <f t="shared" si="0"/>
        <v>420.83281541330018</v>
      </c>
      <c r="L42" s="216">
        <f t="shared" si="1"/>
        <v>0</v>
      </c>
      <c r="M42" s="216">
        <f>E42/E$44*M$44</f>
        <v>1431.2811980033277</v>
      </c>
      <c r="N42" s="216">
        <f t="shared" si="3"/>
        <v>0</v>
      </c>
      <c r="O42" s="216">
        <f t="shared" si="4"/>
        <v>0</v>
      </c>
      <c r="P42" s="216">
        <f t="shared" si="5"/>
        <v>0</v>
      </c>
      <c r="Q42" s="216">
        <f t="shared" si="6"/>
        <v>1852.114013416628</v>
      </c>
      <c r="R42" s="217">
        <f t="shared" si="7"/>
        <v>0</v>
      </c>
    </row>
    <row r="43" spans="1:18" ht="14.4" thickBot="1" x14ac:dyDescent="0.55000000000000004">
      <c r="B43" s="303" t="s">
        <v>309</v>
      </c>
      <c r="C43" s="218">
        <v>0</v>
      </c>
      <c r="D43" s="218">
        <v>0</v>
      </c>
      <c r="E43" s="218">
        <v>0</v>
      </c>
      <c r="F43" s="218">
        <v>1</v>
      </c>
      <c r="G43" s="218">
        <v>0</v>
      </c>
      <c r="H43" s="219">
        <v>0</v>
      </c>
      <c r="I43" s="213"/>
      <c r="J43" s="303" t="s">
        <v>309</v>
      </c>
      <c r="K43" s="218">
        <f t="shared" si="0"/>
        <v>0</v>
      </c>
      <c r="L43" s="218">
        <f t="shared" si="1"/>
        <v>0</v>
      </c>
      <c r="M43" s="218">
        <f t="shared" si="2"/>
        <v>0</v>
      </c>
      <c r="N43" s="218">
        <f>F43/F$44*N$44</f>
        <v>171.49122807017545</v>
      </c>
      <c r="O43" s="218">
        <f t="shared" si="4"/>
        <v>0</v>
      </c>
      <c r="P43" s="218">
        <f t="shared" si="5"/>
        <v>0</v>
      </c>
      <c r="Q43" s="218">
        <f t="shared" si="6"/>
        <v>0</v>
      </c>
      <c r="R43" s="219">
        <f t="shared" si="7"/>
        <v>171.49122807017545</v>
      </c>
    </row>
    <row r="44" spans="1:18" ht="14.4" thickBot="1" x14ac:dyDescent="0.55000000000000004">
      <c r="B44" s="307" t="s">
        <v>337</v>
      </c>
      <c r="C44" s="308">
        <f t="shared" ref="C44:H44" si="8">SUM(C19:C43)</f>
        <v>402.25</v>
      </c>
      <c r="D44" s="308">
        <f t="shared" si="8"/>
        <v>169.45000000000002</v>
      </c>
      <c r="E44" s="308">
        <f t="shared" si="8"/>
        <v>120.19999999999999</v>
      </c>
      <c r="F44" s="308">
        <f t="shared" si="8"/>
        <v>91.199999999999989</v>
      </c>
      <c r="G44" s="308">
        <f t="shared" si="8"/>
        <v>63.399999999999991</v>
      </c>
      <c r="H44" s="309">
        <f t="shared" si="8"/>
        <v>45.750000000000014</v>
      </c>
      <c r="I44" s="213"/>
      <c r="J44" s="307" t="s">
        <v>337</v>
      </c>
      <c r="K44" s="308">
        <f>$F$11</f>
        <v>21160</v>
      </c>
      <c r="L44" s="308">
        <f>$F$11</f>
        <v>21160</v>
      </c>
      <c r="M44" s="308">
        <f>$F$12</f>
        <v>15640</v>
      </c>
      <c r="N44" s="308">
        <f>$F$12</f>
        <v>15640</v>
      </c>
      <c r="O44" s="308">
        <f>$F$13</f>
        <v>9200</v>
      </c>
      <c r="P44" s="308">
        <f>$F$13</f>
        <v>9200</v>
      </c>
      <c r="Q44" s="308">
        <f t="shared" si="6"/>
        <v>46000</v>
      </c>
      <c r="R44" s="309">
        <f t="shared" si="7"/>
        <v>46000</v>
      </c>
    </row>
    <row r="45" spans="1:18" x14ac:dyDescent="0.5">
      <c r="C45" s="212"/>
      <c r="D45" s="212"/>
      <c r="E45" s="212"/>
      <c r="F45" s="212"/>
      <c r="G45" s="212"/>
      <c r="H45" s="212"/>
    </row>
    <row r="46" spans="1:18" ht="15.3" thickBot="1" x14ac:dyDescent="0.55000000000000004">
      <c r="A46" s="158">
        <v>1</v>
      </c>
      <c r="B46" s="214" t="s">
        <v>338</v>
      </c>
      <c r="I46" s="158">
        <v>2</v>
      </c>
      <c r="J46" s="214" t="s">
        <v>339</v>
      </c>
    </row>
    <row r="47" spans="1:18" x14ac:dyDescent="0.5">
      <c r="B47" s="310"/>
      <c r="C47" s="707" t="s">
        <v>330</v>
      </c>
      <c r="D47" s="707"/>
      <c r="E47" s="709" t="s">
        <v>331</v>
      </c>
      <c r="F47" s="710"/>
      <c r="G47" s="699" t="s">
        <v>332</v>
      </c>
      <c r="H47" s="708"/>
      <c r="J47" s="188"/>
      <c r="K47" s="709" t="s">
        <v>330</v>
      </c>
      <c r="L47" s="710"/>
      <c r="M47" s="707" t="s">
        <v>331</v>
      </c>
      <c r="N47" s="707"/>
      <c r="O47" s="707" t="s">
        <v>332</v>
      </c>
      <c r="P47" s="708"/>
    </row>
    <row r="48" spans="1:18" ht="28.2" x14ac:dyDescent="0.5">
      <c r="B48" s="318" t="s">
        <v>282</v>
      </c>
      <c r="C48" s="321" t="s">
        <v>334</v>
      </c>
      <c r="D48" s="319" t="s">
        <v>335</v>
      </c>
      <c r="E48" s="319" t="s">
        <v>334</v>
      </c>
      <c r="F48" s="319" t="s">
        <v>335</v>
      </c>
      <c r="G48" s="316" t="s">
        <v>334</v>
      </c>
      <c r="H48" s="190" t="s">
        <v>335</v>
      </c>
      <c r="J48" s="318" t="s">
        <v>282</v>
      </c>
      <c r="K48" s="189" t="s">
        <v>334</v>
      </c>
      <c r="L48" s="321" t="s">
        <v>335</v>
      </c>
      <c r="M48" s="319" t="s">
        <v>334</v>
      </c>
      <c r="N48" s="319" t="s">
        <v>335</v>
      </c>
      <c r="O48" s="320" t="s">
        <v>334</v>
      </c>
      <c r="P48" s="190" t="s">
        <v>335</v>
      </c>
    </row>
    <row r="49" spans="2:16" x14ac:dyDescent="0.5">
      <c r="B49" s="311" t="s">
        <v>285</v>
      </c>
      <c r="C49" s="233">
        <v>0</v>
      </c>
      <c r="D49" s="233">
        <v>0</v>
      </c>
      <c r="E49" s="233">
        <v>0</v>
      </c>
      <c r="F49" s="233">
        <v>0</v>
      </c>
      <c r="G49" s="233">
        <v>0</v>
      </c>
      <c r="H49" s="217">
        <v>100</v>
      </c>
      <c r="J49" s="311" t="s">
        <v>285</v>
      </c>
      <c r="K49" s="216">
        <f>C49*'CBA Model'!$D$26</f>
        <v>0</v>
      </c>
      <c r="L49" s="233">
        <f>D49*'CBA Model'!$D$26</f>
        <v>0</v>
      </c>
      <c r="M49" s="233">
        <f>E49*'CBA Model'!$D$26</f>
        <v>0</v>
      </c>
      <c r="N49" s="233">
        <f>F49*'CBA Model'!$D$26</f>
        <v>0</v>
      </c>
      <c r="O49" s="233">
        <f>G49*'CBA Model'!$D$26</f>
        <v>0</v>
      </c>
      <c r="P49" s="217">
        <f>H49*'CBA Model'!$D$26</f>
        <v>100</v>
      </c>
    </row>
    <row r="50" spans="2:16" x14ac:dyDescent="0.5">
      <c r="B50" s="301" t="s">
        <v>286</v>
      </c>
      <c r="C50" s="216">
        <v>200</v>
      </c>
      <c r="D50" s="216">
        <v>230</v>
      </c>
      <c r="E50" s="216">
        <v>291.7</v>
      </c>
      <c r="F50" s="216">
        <v>245.6</v>
      </c>
      <c r="G50" s="216">
        <v>174.5</v>
      </c>
      <c r="H50" s="217">
        <v>384</v>
      </c>
      <c r="J50" s="301" t="s">
        <v>286</v>
      </c>
      <c r="K50" s="216">
        <f>C50*'CBA Model'!$D$26</f>
        <v>200</v>
      </c>
      <c r="L50" s="216">
        <f>D50*'CBA Model'!$D$26</f>
        <v>230</v>
      </c>
      <c r="M50" s="216">
        <f>E50*'CBA Model'!$D$26</f>
        <v>291.7</v>
      </c>
      <c r="N50" s="216">
        <f>F50*'CBA Model'!$D$26</f>
        <v>245.6</v>
      </c>
      <c r="O50" s="216">
        <f>G50*'CBA Model'!$D$26</f>
        <v>174.5</v>
      </c>
      <c r="P50" s="217">
        <f>H50*'CBA Model'!$D$26</f>
        <v>384</v>
      </c>
    </row>
    <row r="51" spans="2:16" x14ac:dyDescent="0.5">
      <c r="B51" s="301" t="s">
        <v>287</v>
      </c>
      <c r="C51" s="216">
        <v>400</v>
      </c>
      <c r="D51" s="216">
        <v>0</v>
      </c>
      <c r="E51" s="216">
        <v>0</v>
      </c>
      <c r="F51" s="216">
        <v>0</v>
      </c>
      <c r="G51" s="216">
        <v>648</v>
      </c>
      <c r="H51" s="217">
        <v>833.33333333333326</v>
      </c>
      <c r="J51" s="301" t="s">
        <v>287</v>
      </c>
      <c r="K51" s="216">
        <f>C51*'CBA Model'!$D$26</f>
        <v>400</v>
      </c>
      <c r="L51" s="216">
        <f>D51*'CBA Model'!$D$26</f>
        <v>0</v>
      </c>
      <c r="M51" s="216">
        <f>E51*'CBA Model'!$D$26</f>
        <v>0</v>
      </c>
      <c r="N51" s="216">
        <f>F51*'CBA Model'!$D$26</f>
        <v>0</v>
      </c>
      <c r="O51" s="216">
        <f>G51*'CBA Model'!$D$26</f>
        <v>648</v>
      </c>
      <c r="P51" s="217">
        <f>H51*'CBA Model'!$D$26</f>
        <v>833.33333333333326</v>
      </c>
    </row>
    <row r="52" spans="2:16" x14ac:dyDescent="0.5">
      <c r="B52" s="302" t="s">
        <v>288</v>
      </c>
      <c r="C52" s="216">
        <v>25.475000000000001</v>
      </c>
      <c r="D52" s="216">
        <v>19.904761904761905</v>
      </c>
      <c r="E52" s="216">
        <v>0</v>
      </c>
      <c r="F52" s="216">
        <v>13.577422577422578</v>
      </c>
      <c r="G52" s="216">
        <v>0</v>
      </c>
      <c r="H52" s="217">
        <v>0</v>
      </c>
      <c r="J52" s="302" t="s">
        <v>288</v>
      </c>
      <c r="K52" s="216">
        <f>C52*'CBA Model'!$D$26</f>
        <v>25.475000000000001</v>
      </c>
      <c r="L52" s="216">
        <f>D52*'CBA Model'!$D$26</f>
        <v>19.904761904761905</v>
      </c>
      <c r="M52" s="216">
        <f>E52*'CBA Model'!$D$26</f>
        <v>0</v>
      </c>
      <c r="N52" s="216">
        <f>F52*'CBA Model'!$D$26</f>
        <v>13.577422577422578</v>
      </c>
      <c r="O52" s="216">
        <f>G52*'CBA Model'!$D$26</f>
        <v>0</v>
      </c>
      <c r="P52" s="217">
        <f>H52*'CBA Model'!$D$26</f>
        <v>0</v>
      </c>
    </row>
    <row r="53" spans="2:16" x14ac:dyDescent="0.5">
      <c r="B53" s="301" t="s">
        <v>289</v>
      </c>
      <c r="C53" s="216">
        <v>30.227216880341885</v>
      </c>
      <c r="D53" s="216">
        <v>22.29976657329598</v>
      </c>
      <c r="E53" s="216">
        <v>22.725308641975307</v>
      </c>
      <c r="F53" s="216">
        <v>15.922959756293089</v>
      </c>
      <c r="G53" s="216">
        <v>29.431746031746034</v>
      </c>
      <c r="H53" s="217">
        <v>19.5</v>
      </c>
      <c r="J53" s="301" t="s">
        <v>289</v>
      </c>
      <c r="K53" s="216">
        <f>C53*'CBA Model'!$D$26</f>
        <v>30.227216880341885</v>
      </c>
      <c r="L53" s="216">
        <f>D53*'CBA Model'!$D$26</f>
        <v>22.29976657329598</v>
      </c>
      <c r="M53" s="216">
        <f>E53*'CBA Model'!$D$26</f>
        <v>22.725308641975307</v>
      </c>
      <c r="N53" s="216">
        <f>F53*'CBA Model'!$D$26</f>
        <v>15.922959756293089</v>
      </c>
      <c r="O53" s="216">
        <f>G53*'CBA Model'!$D$26</f>
        <v>29.431746031746034</v>
      </c>
      <c r="P53" s="217">
        <f>H53*'CBA Model'!$D$26</f>
        <v>19.5</v>
      </c>
    </row>
    <row r="54" spans="2:16" x14ac:dyDescent="0.5">
      <c r="B54" s="301" t="s">
        <v>290</v>
      </c>
      <c r="C54" s="216">
        <v>0</v>
      </c>
      <c r="D54" s="216">
        <v>0</v>
      </c>
      <c r="E54" s="216">
        <v>0</v>
      </c>
      <c r="F54" s="216">
        <v>0</v>
      </c>
      <c r="G54" s="216">
        <v>0</v>
      </c>
      <c r="H54" s="217">
        <v>541.66666666666674</v>
      </c>
      <c r="J54" s="301" t="s">
        <v>290</v>
      </c>
      <c r="K54" s="216">
        <f>C54*'CBA Model'!$D$26</f>
        <v>0</v>
      </c>
      <c r="L54" s="216">
        <f>D54*'CBA Model'!$D$26</f>
        <v>0</v>
      </c>
      <c r="M54" s="216">
        <f>E54*'CBA Model'!$D$26</f>
        <v>0</v>
      </c>
      <c r="N54" s="216">
        <f>F54*'CBA Model'!$D$26</f>
        <v>0</v>
      </c>
      <c r="O54" s="216">
        <f>G54*'CBA Model'!$D$26</f>
        <v>0</v>
      </c>
      <c r="P54" s="217">
        <f>H54*'CBA Model'!$D$26</f>
        <v>541.66666666666674</v>
      </c>
    </row>
    <row r="55" spans="2:16" x14ac:dyDescent="0.5">
      <c r="B55" s="301" t="s">
        <v>291</v>
      </c>
      <c r="C55" s="216">
        <v>0</v>
      </c>
      <c r="D55" s="216">
        <v>0</v>
      </c>
      <c r="E55" s="216">
        <v>116.66666666666667</v>
      </c>
      <c r="F55" s="216">
        <v>0</v>
      </c>
      <c r="G55" s="216">
        <v>61.916666666666671</v>
      </c>
      <c r="H55" s="217">
        <v>0</v>
      </c>
      <c r="J55" s="301" t="s">
        <v>291</v>
      </c>
      <c r="K55" s="216">
        <f>C55*'CBA Model'!$D$26</f>
        <v>0</v>
      </c>
      <c r="L55" s="216">
        <f>D55*'CBA Model'!$D$26</f>
        <v>0</v>
      </c>
      <c r="M55" s="216">
        <f>E55*'CBA Model'!$D$26</f>
        <v>116.66666666666667</v>
      </c>
      <c r="N55" s="216">
        <f>F55*'CBA Model'!$D$26</f>
        <v>0</v>
      </c>
      <c r="O55" s="216">
        <f>G55*'CBA Model'!$D$26</f>
        <v>61.916666666666671</v>
      </c>
      <c r="P55" s="217">
        <f>H55*'CBA Model'!$D$26</f>
        <v>0</v>
      </c>
    </row>
    <row r="56" spans="2:16" x14ac:dyDescent="0.5">
      <c r="B56" s="302" t="s">
        <v>292</v>
      </c>
      <c r="C56" s="216">
        <v>140</v>
      </c>
      <c r="D56" s="216">
        <v>0</v>
      </c>
      <c r="E56" s="216">
        <v>0</v>
      </c>
      <c r="F56" s="216">
        <v>0</v>
      </c>
      <c r="G56" s="216">
        <v>0</v>
      </c>
      <c r="H56" s="217">
        <v>0</v>
      </c>
      <c r="J56" s="302" t="s">
        <v>292</v>
      </c>
      <c r="K56" s="216">
        <f>C56*'CBA Model'!$D$26</f>
        <v>140</v>
      </c>
      <c r="L56" s="216">
        <f>D56*'CBA Model'!$D$26</f>
        <v>0</v>
      </c>
      <c r="M56" s="216">
        <f>E56*'CBA Model'!$D$26</f>
        <v>0</v>
      </c>
      <c r="N56" s="216">
        <f>F56*'CBA Model'!$D$26</f>
        <v>0</v>
      </c>
      <c r="O56" s="216">
        <f>G56*'CBA Model'!$D$26</f>
        <v>0</v>
      </c>
      <c r="P56" s="217">
        <f>H56*'CBA Model'!$D$26</f>
        <v>0</v>
      </c>
    </row>
    <row r="57" spans="2:16" x14ac:dyDescent="0.5">
      <c r="B57" s="301" t="s">
        <v>293</v>
      </c>
      <c r="C57" s="216">
        <v>0</v>
      </c>
      <c r="D57" s="216">
        <v>12</v>
      </c>
      <c r="E57" s="216">
        <v>0</v>
      </c>
      <c r="F57" s="216">
        <v>0</v>
      </c>
      <c r="G57" s="216">
        <v>0</v>
      </c>
      <c r="H57" s="217">
        <v>0</v>
      </c>
      <c r="J57" s="301" t="s">
        <v>293</v>
      </c>
      <c r="K57" s="216">
        <f>C57*'CBA Model'!$D$26</f>
        <v>0</v>
      </c>
      <c r="L57" s="216">
        <f>D57*'CBA Model'!$D$26</f>
        <v>12</v>
      </c>
      <c r="M57" s="216">
        <f>E57*'CBA Model'!$D$26</f>
        <v>0</v>
      </c>
      <c r="N57" s="216">
        <f>F57*'CBA Model'!$D$26</f>
        <v>0</v>
      </c>
      <c r="O57" s="216">
        <f>G57*'CBA Model'!$D$26</f>
        <v>0</v>
      </c>
      <c r="P57" s="217">
        <f>H57*'CBA Model'!$D$26</f>
        <v>0</v>
      </c>
    </row>
    <row r="58" spans="2:16" x14ac:dyDescent="0.5">
      <c r="B58" s="301" t="s">
        <v>294</v>
      </c>
      <c r="C58" s="216">
        <v>14.600000000000001</v>
      </c>
      <c r="D58" s="216">
        <v>12.864285714285714</v>
      </c>
      <c r="E58" s="216">
        <v>28</v>
      </c>
      <c r="F58" s="216">
        <v>21.571428571428573</v>
      </c>
      <c r="G58" s="216">
        <v>0</v>
      </c>
      <c r="H58" s="217">
        <v>14</v>
      </c>
      <c r="J58" s="301" t="s">
        <v>294</v>
      </c>
      <c r="K58" s="216">
        <f>C58*'CBA Model'!$D$26</f>
        <v>14.600000000000001</v>
      </c>
      <c r="L58" s="216">
        <f>D58*'CBA Model'!$D$26</f>
        <v>12.864285714285714</v>
      </c>
      <c r="M58" s="216">
        <f>E58*'CBA Model'!$D$26</f>
        <v>28</v>
      </c>
      <c r="N58" s="216">
        <f>F58*'CBA Model'!$D$26</f>
        <v>21.571428571428573</v>
      </c>
      <c r="O58" s="216">
        <f>G58*'CBA Model'!$D$26</f>
        <v>0</v>
      </c>
      <c r="P58" s="217">
        <f>H58*'CBA Model'!$D$26</f>
        <v>14</v>
      </c>
    </row>
    <row r="59" spans="2:16" x14ac:dyDescent="0.5">
      <c r="B59" s="301" t="s">
        <v>295</v>
      </c>
      <c r="C59" s="216">
        <v>14.8</v>
      </c>
      <c r="D59" s="216">
        <v>15.666666666666666</v>
      </c>
      <c r="E59" s="216">
        <v>0</v>
      </c>
      <c r="F59" s="216">
        <v>15.333333333333334</v>
      </c>
      <c r="G59" s="216">
        <v>42.857142857142861</v>
      </c>
      <c r="H59" s="217">
        <v>10</v>
      </c>
      <c r="J59" s="301" t="s">
        <v>295</v>
      </c>
      <c r="K59" s="216">
        <f>C59*'CBA Model'!$D$26</f>
        <v>14.8</v>
      </c>
      <c r="L59" s="216">
        <f>D59*'CBA Model'!$D$26</f>
        <v>15.666666666666666</v>
      </c>
      <c r="M59" s="216">
        <f>E59*'CBA Model'!$D$26</f>
        <v>0</v>
      </c>
      <c r="N59" s="216">
        <f>F59*'CBA Model'!$D$26</f>
        <v>15.333333333333334</v>
      </c>
      <c r="O59" s="216">
        <f>G59*'CBA Model'!$D$26</f>
        <v>42.857142857142861</v>
      </c>
      <c r="P59" s="217">
        <f>H59*'CBA Model'!$D$26</f>
        <v>10</v>
      </c>
    </row>
    <row r="60" spans="2:16" x14ac:dyDescent="0.5">
      <c r="B60" s="302" t="s">
        <v>296</v>
      </c>
      <c r="C60" s="216">
        <v>8.6235294117647072</v>
      </c>
      <c r="D60" s="216">
        <v>0</v>
      </c>
      <c r="E60" s="216">
        <v>0</v>
      </c>
      <c r="F60" s="216">
        <v>0</v>
      </c>
      <c r="G60" s="216">
        <v>0</v>
      </c>
      <c r="H60" s="217">
        <v>0</v>
      </c>
      <c r="J60" s="302" t="s">
        <v>296</v>
      </c>
      <c r="K60" s="216">
        <f>C60*'CBA Model'!$D$26</f>
        <v>8.6235294117647072</v>
      </c>
      <c r="L60" s="216">
        <f>D60*'CBA Model'!$D$26</f>
        <v>0</v>
      </c>
      <c r="M60" s="216">
        <f>E60*'CBA Model'!$D$26</f>
        <v>0</v>
      </c>
      <c r="N60" s="216">
        <f>F60*'CBA Model'!$D$26</f>
        <v>0</v>
      </c>
      <c r="O60" s="216">
        <f>G60*'CBA Model'!$D$26</f>
        <v>0</v>
      </c>
      <c r="P60" s="217">
        <f>H60*'CBA Model'!$D$26</f>
        <v>0</v>
      </c>
    </row>
    <row r="61" spans="2:16" x14ac:dyDescent="0.5">
      <c r="B61" s="301" t="s">
        <v>297</v>
      </c>
      <c r="C61" s="216">
        <v>8.75</v>
      </c>
      <c r="D61" s="216">
        <v>0</v>
      </c>
      <c r="E61" s="216">
        <v>0</v>
      </c>
      <c r="F61" s="216">
        <v>0</v>
      </c>
      <c r="G61" s="216">
        <v>0</v>
      </c>
      <c r="H61" s="217">
        <v>0</v>
      </c>
      <c r="J61" s="301" t="s">
        <v>297</v>
      </c>
      <c r="K61" s="216">
        <f>C61*'CBA Model'!$D$26</f>
        <v>8.75</v>
      </c>
      <c r="L61" s="216">
        <f>D61*'CBA Model'!$D$26</f>
        <v>0</v>
      </c>
      <c r="M61" s="216">
        <f>E61*'CBA Model'!$D$26</f>
        <v>0</v>
      </c>
      <c r="N61" s="216">
        <f>F61*'CBA Model'!$D$26</f>
        <v>0</v>
      </c>
      <c r="O61" s="216">
        <f>G61*'CBA Model'!$D$26</f>
        <v>0</v>
      </c>
      <c r="P61" s="217">
        <f>H61*'CBA Model'!$D$26</f>
        <v>0</v>
      </c>
    </row>
    <row r="62" spans="2:16" x14ac:dyDescent="0.5">
      <c r="B62" s="301" t="s">
        <v>298</v>
      </c>
      <c r="C62" s="216">
        <v>0</v>
      </c>
      <c r="D62" s="216">
        <v>0</v>
      </c>
      <c r="E62" s="216">
        <v>149.30000000000001</v>
      </c>
      <c r="F62" s="216">
        <v>0</v>
      </c>
      <c r="G62" s="216">
        <v>120</v>
      </c>
      <c r="H62" s="217">
        <v>0</v>
      </c>
      <c r="J62" s="301" t="s">
        <v>298</v>
      </c>
      <c r="K62" s="216">
        <f>C62*'CBA Model'!$D$26</f>
        <v>0</v>
      </c>
      <c r="L62" s="216">
        <f>D62*'CBA Model'!$D$26</f>
        <v>0</v>
      </c>
      <c r="M62" s="216">
        <f>E62*'CBA Model'!$D$26</f>
        <v>149.30000000000001</v>
      </c>
      <c r="N62" s="216">
        <f>F62*'CBA Model'!$D$26</f>
        <v>0</v>
      </c>
      <c r="O62" s="216">
        <f>G62*'CBA Model'!$D$26</f>
        <v>120</v>
      </c>
      <c r="P62" s="217">
        <f>H62*'CBA Model'!$D$26</f>
        <v>0</v>
      </c>
    </row>
    <row r="63" spans="2:16" x14ac:dyDescent="0.5">
      <c r="B63" s="301" t="s">
        <v>299</v>
      </c>
      <c r="C63" s="216">
        <v>0</v>
      </c>
      <c r="D63" s="216">
        <v>0</v>
      </c>
      <c r="E63" s="216">
        <v>0</v>
      </c>
      <c r="F63" s="216">
        <v>0</v>
      </c>
      <c r="G63" s="216">
        <v>52.8</v>
      </c>
      <c r="H63" s="217">
        <v>30</v>
      </c>
      <c r="J63" s="301" t="s">
        <v>299</v>
      </c>
      <c r="K63" s="216">
        <f>C63*'CBA Model'!$D$26</f>
        <v>0</v>
      </c>
      <c r="L63" s="216">
        <f>D63*'CBA Model'!$D$26</f>
        <v>0</v>
      </c>
      <c r="M63" s="216">
        <f>E63*'CBA Model'!$D$26</f>
        <v>0</v>
      </c>
      <c r="N63" s="216">
        <f>F63*'CBA Model'!$D$26</f>
        <v>0</v>
      </c>
      <c r="O63" s="216">
        <f>G63*'CBA Model'!$D$26</f>
        <v>52.8</v>
      </c>
      <c r="P63" s="217">
        <f>H63*'CBA Model'!$D$26</f>
        <v>30</v>
      </c>
    </row>
    <row r="64" spans="2:16" x14ac:dyDescent="0.5">
      <c r="B64" s="302" t="s">
        <v>300</v>
      </c>
      <c r="C64" s="216">
        <v>0</v>
      </c>
      <c r="D64" s="216">
        <v>0</v>
      </c>
      <c r="E64" s="216">
        <v>336.95238095238096</v>
      </c>
      <c r="F64" s="216">
        <v>0</v>
      </c>
      <c r="G64" s="216">
        <v>300</v>
      </c>
      <c r="H64" s="217">
        <v>300</v>
      </c>
      <c r="J64" s="302" t="s">
        <v>300</v>
      </c>
      <c r="K64" s="216">
        <f>C64*'CBA Model'!$D$26</f>
        <v>0</v>
      </c>
      <c r="L64" s="216">
        <f>D64*'CBA Model'!$D$26</f>
        <v>0</v>
      </c>
      <c r="M64" s="216">
        <f>E64*'CBA Model'!$D$26</f>
        <v>336.95238095238096</v>
      </c>
      <c r="N64" s="216">
        <f>F64*'CBA Model'!$D$26</f>
        <v>0</v>
      </c>
      <c r="O64" s="216">
        <f>G64*'CBA Model'!$D$26</f>
        <v>300</v>
      </c>
      <c r="P64" s="217">
        <f>H64*'CBA Model'!$D$26</f>
        <v>300</v>
      </c>
    </row>
    <row r="65" spans="1:17" x14ac:dyDescent="0.5">
      <c r="B65" s="301" t="s">
        <v>301</v>
      </c>
      <c r="C65" s="216">
        <v>190</v>
      </c>
      <c r="D65" s="216">
        <v>0</v>
      </c>
      <c r="E65" s="216">
        <v>415</v>
      </c>
      <c r="F65" s="216">
        <v>0</v>
      </c>
      <c r="G65" s="216">
        <v>0</v>
      </c>
      <c r="H65" s="217">
        <v>0</v>
      </c>
      <c r="J65" s="301" t="s">
        <v>301</v>
      </c>
      <c r="K65" s="216">
        <f>C65*'CBA Model'!$D$26</f>
        <v>190</v>
      </c>
      <c r="L65" s="216">
        <f>D65*'CBA Model'!$D$26</f>
        <v>0</v>
      </c>
      <c r="M65" s="216">
        <f>E65*'CBA Model'!$D$26</f>
        <v>415</v>
      </c>
      <c r="N65" s="216">
        <f>F65*'CBA Model'!$D$26</f>
        <v>0</v>
      </c>
      <c r="O65" s="216">
        <f>G65*'CBA Model'!$D$26</f>
        <v>0</v>
      </c>
      <c r="P65" s="217">
        <f>H65*'CBA Model'!$D$26</f>
        <v>0</v>
      </c>
    </row>
    <row r="66" spans="1:17" x14ac:dyDescent="0.5">
      <c r="B66" s="301" t="s">
        <v>302</v>
      </c>
      <c r="C66" s="216">
        <v>161.42857142857142</v>
      </c>
      <c r="D66" s="216">
        <v>0</v>
      </c>
      <c r="E66" s="216">
        <v>0</v>
      </c>
      <c r="F66" s="216">
        <v>0</v>
      </c>
      <c r="G66" s="216">
        <v>0</v>
      </c>
      <c r="H66" s="217">
        <v>0</v>
      </c>
      <c r="J66" s="301" t="s">
        <v>302</v>
      </c>
      <c r="K66" s="216">
        <f>C66*'CBA Model'!$D$26</f>
        <v>161.42857142857142</v>
      </c>
      <c r="L66" s="216">
        <f>D66*'CBA Model'!$D$26</f>
        <v>0</v>
      </c>
      <c r="M66" s="216">
        <f>E66*'CBA Model'!$D$26</f>
        <v>0</v>
      </c>
      <c r="N66" s="216">
        <f>F66*'CBA Model'!$D$26</f>
        <v>0</v>
      </c>
      <c r="O66" s="216">
        <f>G66*'CBA Model'!$D$26</f>
        <v>0</v>
      </c>
      <c r="P66" s="217">
        <f>H66*'CBA Model'!$D$26</f>
        <v>0</v>
      </c>
    </row>
    <row r="67" spans="1:17" x14ac:dyDescent="0.5">
      <c r="B67" s="301" t="s">
        <v>303</v>
      </c>
      <c r="C67" s="216">
        <v>17.75</v>
      </c>
      <c r="D67" s="216">
        <v>13.261904761904761</v>
      </c>
      <c r="E67" s="216">
        <v>20.75</v>
      </c>
      <c r="F67" s="216">
        <v>17.079966329966329</v>
      </c>
      <c r="G67" s="216">
        <v>0</v>
      </c>
      <c r="H67" s="217">
        <v>26.928571428571431</v>
      </c>
      <c r="J67" s="301" t="s">
        <v>303</v>
      </c>
      <c r="K67" s="216">
        <f>C67*'CBA Model'!$D$26</f>
        <v>17.75</v>
      </c>
      <c r="L67" s="216">
        <f>D67*'CBA Model'!$D$26</f>
        <v>13.261904761904761</v>
      </c>
      <c r="M67" s="216">
        <f>E67*'CBA Model'!$D$26</f>
        <v>20.75</v>
      </c>
      <c r="N67" s="216">
        <f>F67*'CBA Model'!$D$26</f>
        <v>17.079966329966329</v>
      </c>
      <c r="O67" s="216">
        <f>G67*'CBA Model'!$D$26</f>
        <v>0</v>
      </c>
      <c r="P67" s="217">
        <f>H67*'CBA Model'!$D$26</f>
        <v>26.928571428571431</v>
      </c>
    </row>
    <row r="68" spans="1:17" x14ac:dyDescent="0.5">
      <c r="B68" s="302" t="s">
        <v>304</v>
      </c>
      <c r="C68" s="216">
        <v>0</v>
      </c>
      <c r="D68" s="216">
        <v>120</v>
      </c>
      <c r="E68" s="216">
        <v>116.7</v>
      </c>
      <c r="F68" s="216">
        <v>0</v>
      </c>
      <c r="G68" s="216">
        <v>0</v>
      </c>
      <c r="H68" s="217">
        <v>0</v>
      </c>
      <c r="J68" s="302" t="s">
        <v>304</v>
      </c>
      <c r="K68" s="216">
        <f>C68*'CBA Model'!$D$26</f>
        <v>0</v>
      </c>
      <c r="L68" s="216">
        <f>D68*'CBA Model'!$D$26</f>
        <v>120</v>
      </c>
      <c r="M68" s="216">
        <f>E68*'CBA Model'!$D$26</f>
        <v>116.7</v>
      </c>
      <c r="N68" s="216">
        <f>F68*'CBA Model'!$D$26</f>
        <v>0</v>
      </c>
      <c r="O68" s="216">
        <f>G68*'CBA Model'!$D$26</f>
        <v>0</v>
      </c>
      <c r="P68" s="217">
        <f>H68*'CBA Model'!$D$26</f>
        <v>0</v>
      </c>
    </row>
    <row r="69" spans="1:17" x14ac:dyDescent="0.5">
      <c r="B69" s="301" t="s">
        <v>305</v>
      </c>
      <c r="C69" s="216">
        <v>0</v>
      </c>
      <c r="D69" s="216">
        <v>9</v>
      </c>
      <c r="E69" s="216">
        <v>0</v>
      </c>
      <c r="F69" s="216">
        <v>0</v>
      </c>
      <c r="G69" s="216">
        <v>0</v>
      </c>
      <c r="H69" s="217">
        <v>0</v>
      </c>
      <c r="J69" s="301" t="s">
        <v>305</v>
      </c>
      <c r="K69" s="216">
        <f>C69*'CBA Model'!$D$26</f>
        <v>0</v>
      </c>
      <c r="L69" s="216">
        <f>D69*'CBA Model'!$D$26</f>
        <v>9</v>
      </c>
      <c r="M69" s="216">
        <f>E69*'CBA Model'!$D$26</f>
        <v>0</v>
      </c>
      <c r="N69" s="216">
        <f>F69*'CBA Model'!$D$26</f>
        <v>0</v>
      </c>
      <c r="O69" s="216">
        <f>G69*'CBA Model'!$D$26</f>
        <v>0</v>
      </c>
      <c r="P69" s="217">
        <f>H69*'CBA Model'!$D$26</f>
        <v>0</v>
      </c>
    </row>
    <row r="70" spans="1:17" x14ac:dyDescent="0.5">
      <c r="B70" s="301" t="s">
        <v>306</v>
      </c>
      <c r="C70" s="216">
        <v>11.219363395225464</v>
      </c>
      <c r="D70" s="216">
        <v>9.3352380952380951</v>
      </c>
      <c r="E70" s="216">
        <v>0</v>
      </c>
      <c r="F70" s="216">
        <v>12.169642857142858</v>
      </c>
      <c r="G70" s="216">
        <v>0</v>
      </c>
      <c r="H70" s="217">
        <v>12</v>
      </c>
      <c r="J70" s="301" t="s">
        <v>306</v>
      </c>
      <c r="K70" s="216">
        <f>C70*'CBA Model'!$D$26</f>
        <v>11.219363395225464</v>
      </c>
      <c r="L70" s="216">
        <f>D70*'CBA Model'!$D$26</f>
        <v>9.3352380952380951</v>
      </c>
      <c r="M70" s="216">
        <f>E70*'CBA Model'!$D$26</f>
        <v>0</v>
      </c>
      <c r="N70" s="216">
        <f>F70*'CBA Model'!$D$26</f>
        <v>12.169642857142858</v>
      </c>
      <c r="O70" s="216">
        <f>G70*'CBA Model'!$D$26</f>
        <v>0</v>
      </c>
      <c r="P70" s="217">
        <f>H70*'CBA Model'!$D$26</f>
        <v>12</v>
      </c>
    </row>
    <row r="71" spans="1:17" x14ac:dyDescent="0.5">
      <c r="B71" s="301" t="s">
        <v>307</v>
      </c>
      <c r="C71" s="216">
        <v>0</v>
      </c>
      <c r="D71" s="216">
        <v>0</v>
      </c>
      <c r="E71" s="216">
        <v>60</v>
      </c>
      <c r="F71" s="216">
        <v>0</v>
      </c>
      <c r="G71" s="216">
        <v>0</v>
      </c>
      <c r="H71" s="217">
        <v>0</v>
      </c>
      <c r="J71" s="301" t="s">
        <v>307</v>
      </c>
      <c r="K71" s="216">
        <f>C71*'CBA Model'!$D$26</f>
        <v>0</v>
      </c>
      <c r="L71" s="216">
        <f>D71*'CBA Model'!$D$26</f>
        <v>0</v>
      </c>
      <c r="M71" s="216">
        <f>E71*'CBA Model'!$D$26</f>
        <v>60</v>
      </c>
      <c r="N71" s="216">
        <f>F71*'CBA Model'!$D$26</f>
        <v>0</v>
      </c>
      <c r="O71" s="216">
        <f>G71*'CBA Model'!$D$26</f>
        <v>0</v>
      </c>
      <c r="P71" s="217">
        <f>H71*'CBA Model'!$D$26</f>
        <v>0</v>
      </c>
    </row>
    <row r="72" spans="1:17" x14ac:dyDescent="0.5">
      <c r="B72" s="301" t="s">
        <v>308</v>
      </c>
      <c r="C72" s="216">
        <v>725</v>
      </c>
      <c r="D72" s="216">
        <v>0</v>
      </c>
      <c r="E72" s="216">
        <v>520</v>
      </c>
      <c r="F72" s="216">
        <v>0</v>
      </c>
      <c r="G72" s="216">
        <v>0</v>
      </c>
      <c r="H72" s="217">
        <v>0</v>
      </c>
      <c r="J72" s="301" t="s">
        <v>308</v>
      </c>
      <c r="K72" s="216">
        <f>C72*'CBA Model'!$D$26</f>
        <v>725</v>
      </c>
      <c r="L72" s="216">
        <f>D72*'CBA Model'!$D$26</f>
        <v>0</v>
      </c>
      <c r="M72" s="216">
        <f>E72*'CBA Model'!$D$26</f>
        <v>520</v>
      </c>
      <c r="N72" s="216">
        <f>F72*'CBA Model'!$D$26</f>
        <v>0</v>
      </c>
      <c r="O72" s="216">
        <f>G72*'CBA Model'!$D$26</f>
        <v>0</v>
      </c>
      <c r="P72" s="217">
        <f>H72*'CBA Model'!$D$26</f>
        <v>0</v>
      </c>
    </row>
    <row r="73" spans="1:17" ht="14.4" thickBot="1" x14ac:dyDescent="0.55000000000000004">
      <c r="B73" s="303" t="s">
        <v>309</v>
      </c>
      <c r="C73" s="218">
        <v>0</v>
      </c>
      <c r="D73" s="218">
        <v>0</v>
      </c>
      <c r="E73" s="218">
        <v>0</v>
      </c>
      <c r="F73" s="218">
        <v>10</v>
      </c>
      <c r="G73" s="218">
        <v>0</v>
      </c>
      <c r="H73" s="219">
        <v>0</v>
      </c>
      <c r="J73" s="303" t="s">
        <v>309</v>
      </c>
      <c r="K73" s="218">
        <f>C73*'CBA Model'!$D$26</f>
        <v>0</v>
      </c>
      <c r="L73" s="218">
        <f>D73*'CBA Model'!$D$26</f>
        <v>0</v>
      </c>
      <c r="M73" s="218">
        <f>E73*'CBA Model'!$D$26</f>
        <v>0</v>
      </c>
      <c r="N73" s="218">
        <f>F73*'CBA Model'!$D$26</f>
        <v>10</v>
      </c>
      <c r="O73" s="218">
        <f>G73*'CBA Model'!$D$26</f>
        <v>0</v>
      </c>
      <c r="P73" s="219">
        <f>H73*'CBA Model'!$D$26</f>
        <v>0</v>
      </c>
    </row>
    <row r="75" spans="1:17" ht="15.3" thickBot="1" x14ac:dyDescent="0.55000000000000004">
      <c r="A75" s="158">
        <v>2</v>
      </c>
      <c r="B75" s="214" t="s">
        <v>340</v>
      </c>
      <c r="I75" s="221" t="s">
        <v>341</v>
      </c>
      <c r="J75" s="214" t="s">
        <v>342</v>
      </c>
    </row>
    <row r="76" spans="1:17" x14ac:dyDescent="0.5">
      <c r="B76" s="310"/>
      <c r="C76" s="707" t="s">
        <v>330</v>
      </c>
      <c r="D76" s="707"/>
      <c r="E76" s="709" t="s">
        <v>331</v>
      </c>
      <c r="F76" s="710"/>
      <c r="G76" s="699" t="s">
        <v>332</v>
      </c>
      <c r="H76" s="700"/>
      <c r="J76" s="188"/>
      <c r="K76" s="709" t="s">
        <v>330</v>
      </c>
      <c r="L76" s="710"/>
      <c r="M76" s="707" t="s">
        <v>331</v>
      </c>
      <c r="N76" s="710"/>
      <c r="O76" s="707" t="s">
        <v>332</v>
      </c>
      <c r="P76" s="710"/>
      <c r="Q76" s="697" t="s">
        <v>343</v>
      </c>
    </row>
    <row r="77" spans="1:17" ht="28.2" x14ac:dyDescent="0.5">
      <c r="B77" s="318" t="s">
        <v>282</v>
      </c>
      <c r="C77" s="321" t="s">
        <v>334</v>
      </c>
      <c r="D77" s="319" t="s">
        <v>335</v>
      </c>
      <c r="E77" s="319" t="s">
        <v>334</v>
      </c>
      <c r="F77" s="319" t="s">
        <v>335</v>
      </c>
      <c r="G77" s="317" t="s">
        <v>334</v>
      </c>
      <c r="H77" s="316" t="s">
        <v>335</v>
      </c>
      <c r="J77" s="318" t="s">
        <v>282</v>
      </c>
      <c r="K77" s="321" t="s">
        <v>334</v>
      </c>
      <c r="L77" s="319" t="s">
        <v>335</v>
      </c>
      <c r="M77" s="319" t="s">
        <v>334</v>
      </c>
      <c r="N77" s="319" t="s">
        <v>335</v>
      </c>
      <c r="O77" s="319" t="s">
        <v>334</v>
      </c>
      <c r="P77" s="320" t="s">
        <v>335</v>
      </c>
      <c r="Q77" s="698"/>
    </row>
    <row r="78" spans="1:17" x14ac:dyDescent="0.5">
      <c r="B78" s="311" t="s">
        <v>285</v>
      </c>
      <c r="C78" s="233">
        <f t="shared" ref="C78:C102" si="9">K19*K49</f>
        <v>0</v>
      </c>
      <c r="D78" s="233">
        <f t="shared" ref="D78:D102" si="10">L19*L49</f>
        <v>0</v>
      </c>
      <c r="E78" s="233">
        <f t="shared" ref="E78:E102" si="11">M19*M49</f>
        <v>0</v>
      </c>
      <c r="F78" s="233">
        <f t="shared" ref="F78:F102" si="12">N19*N49</f>
        <v>0</v>
      </c>
      <c r="G78" s="233">
        <f t="shared" ref="G78:G102" si="13">O19*O49</f>
        <v>0</v>
      </c>
      <c r="H78" s="234">
        <f t="shared" ref="H78:H102" si="14">P19*P49</f>
        <v>10054.644808743165</v>
      </c>
      <c r="J78" s="311" t="s">
        <v>285</v>
      </c>
      <c r="K78" s="233">
        <f>C78*'Crop Prices &amp; Production Costs'!$D$10</f>
        <v>0</v>
      </c>
      <c r="L78" s="233">
        <f>D78*'Crop Prices &amp; Production Costs'!$D$10</f>
        <v>0</v>
      </c>
      <c r="M78" s="233">
        <f>E78*'Crop Prices &amp; Production Costs'!$D$10</f>
        <v>0</v>
      </c>
      <c r="N78" s="233">
        <f>F78*'Crop Prices &amp; Production Costs'!$D$10</f>
        <v>0</v>
      </c>
      <c r="O78" s="233">
        <f>G78*'Crop Prices &amp; Production Costs'!$D$10</f>
        <v>0</v>
      </c>
      <c r="P78" s="233">
        <f>H78*'Crop Prices &amp; Production Costs'!$D$10</f>
        <v>1809836.0655737699</v>
      </c>
      <c r="Q78" s="217">
        <f t="shared" ref="Q78:Q102" si="15">+(K78+M78+O78)-(L78+N78+P78)</f>
        <v>-1809836.0655737699</v>
      </c>
    </row>
    <row r="79" spans="1:17" x14ac:dyDescent="0.5">
      <c r="B79" s="301" t="s">
        <v>286</v>
      </c>
      <c r="C79" s="216">
        <f t="shared" si="9"/>
        <v>26302.050963331261</v>
      </c>
      <c r="D79" s="216">
        <f t="shared" si="10"/>
        <v>57442.313366774848</v>
      </c>
      <c r="E79" s="216">
        <f t="shared" si="11"/>
        <v>1252514.176372712</v>
      </c>
      <c r="F79" s="216">
        <f t="shared" si="12"/>
        <v>265344.94736842113</v>
      </c>
      <c r="G79" s="216">
        <f t="shared" si="13"/>
        <v>430470.03154574137</v>
      </c>
      <c r="H79" s="217">
        <f t="shared" si="14"/>
        <v>610035.40983606537</v>
      </c>
      <c r="J79" s="301" t="s">
        <v>286</v>
      </c>
      <c r="K79" s="216">
        <f>C79*'Crop Prices &amp; Production Costs'!$D$10</f>
        <v>4734369.1733996272</v>
      </c>
      <c r="L79" s="216">
        <f>D79*'Crop Prices &amp; Production Costs'!$D$10</f>
        <v>10339616.406019473</v>
      </c>
      <c r="M79" s="216">
        <f>E79*'Crop Prices &amp; Production Costs'!$D$10</f>
        <v>225452551.74708816</v>
      </c>
      <c r="N79" s="216">
        <f>F79*'Crop Prices &amp; Production Costs'!$D$10</f>
        <v>47762090.526315801</v>
      </c>
      <c r="O79" s="216">
        <f>G79*'Crop Prices &amp; Production Costs'!$D$10</f>
        <v>77484605.678233445</v>
      </c>
      <c r="P79" s="216">
        <f>H79*'Crop Prices &amp; Production Costs'!$D$10</f>
        <v>109806373.77049176</v>
      </c>
      <c r="Q79" s="217">
        <f t="shared" si="15"/>
        <v>139763445.89589423</v>
      </c>
    </row>
    <row r="80" spans="1:17" x14ac:dyDescent="0.5">
      <c r="B80" s="301" t="s">
        <v>287</v>
      </c>
      <c r="C80" s="216">
        <f t="shared" si="9"/>
        <v>42083.28154133002</v>
      </c>
      <c r="D80" s="216">
        <f t="shared" si="10"/>
        <v>0</v>
      </c>
      <c r="E80" s="216">
        <f t="shared" si="11"/>
        <v>0</v>
      </c>
      <c r="F80" s="216">
        <f t="shared" si="12"/>
        <v>0</v>
      </c>
      <c r="G80" s="216">
        <f t="shared" si="13"/>
        <v>705236.593059937</v>
      </c>
      <c r="H80" s="217">
        <f t="shared" si="14"/>
        <v>351912.5683060108</v>
      </c>
      <c r="J80" s="301" t="s">
        <v>287</v>
      </c>
      <c r="K80" s="216">
        <f>C80*'Crop Prices &amp; Production Costs'!$D$10</f>
        <v>7574990.6774394037</v>
      </c>
      <c r="L80" s="216">
        <f>D80*'Crop Prices &amp; Production Costs'!$D$10</f>
        <v>0</v>
      </c>
      <c r="M80" s="216">
        <f>E80*'Crop Prices &amp; Production Costs'!$D$10</f>
        <v>0</v>
      </c>
      <c r="N80" s="216">
        <f>F80*'Crop Prices &amp; Production Costs'!$D$10</f>
        <v>0</v>
      </c>
      <c r="O80" s="216">
        <f>G80*'Crop Prices &amp; Production Costs'!$D$10</f>
        <v>126942586.75078866</v>
      </c>
      <c r="P80" s="216">
        <f>H80*'Crop Prices &amp; Production Costs'!$D$10</f>
        <v>63344262.295081943</v>
      </c>
      <c r="Q80" s="217">
        <f t="shared" si="15"/>
        <v>71173315.133146107</v>
      </c>
    </row>
    <row r="81" spans="2:17" x14ac:dyDescent="0.5">
      <c r="B81" s="302" t="s">
        <v>288</v>
      </c>
      <c r="C81" s="216">
        <f t="shared" si="9"/>
        <v>21441.431945307646</v>
      </c>
      <c r="D81" s="216">
        <f t="shared" si="10"/>
        <v>23613.191136590369</v>
      </c>
      <c r="E81" s="216">
        <f t="shared" si="11"/>
        <v>0</v>
      </c>
      <c r="F81" s="216">
        <f t="shared" si="12"/>
        <v>36090.337513363826</v>
      </c>
      <c r="G81" s="216">
        <f t="shared" si="13"/>
        <v>0</v>
      </c>
      <c r="H81" s="217">
        <f t="shared" si="14"/>
        <v>0</v>
      </c>
      <c r="J81" s="301" t="s">
        <v>288</v>
      </c>
      <c r="K81" s="216">
        <f>C81*'Crop Prices &amp; Production Costs'!$D$10</f>
        <v>3859457.7501553763</v>
      </c>
      <c r="L81" s="216">
        <f>D81*'Crop Prices &amp; Production Costs'!$D$10</f>
        <v>4250374.4045862667</v>
      </c>
      <c r="M81" s="216">
        <f>E81*'Crop Prices &amp; Production Costs'!$D$10</f>
        <v>0</v>
      </c>
      <c r="N81" s="216">
        <f>F81*'Crop Prices &amp; Production Costs'!$D$10</f>
        <v>6496260.7524054889</v>
      </c>
      <c r="O81" s="216">
        <f>G81*'Crop Prices &amp; Production Costs'!$D$10</f>
        <v>0</v>
      </c>
      <c r="P81" s="216">
        <f>H81*'Crop Prices &amp; Production Costs'!$D$10</f>
        <v>0</v>
      </c>
      <c r="Q81" s="217">
        <f t="shared" si="15"/>
        <v>-6887177.4068363793</v>
      </c>
    </row>
    <row r="82" spans="2:17" x14ac:dyDescent="0.5">
      <c r="B82" s="301" t="s">
        <v>289</v>
      </c>
      <c r="C82" s="216">
        <f t="shared" si="9"/>
        <v>314437.44945166883</v>
      </c>
      <c r="D82" s="216">
        <f t="shared" si="10"/>
        <v>249089.11642847356</v>
      </c>
      <c r="E82" s="216">
        <f t="shared" si="11"/>
        <v>154352.11129598814</v>
      </c>
      <c r="F82" s="216">
        <f t="shared" si="12"/>
        <v>105403.00983238117</v>
      </c>
      <c r="G82" s="216">
        <f t="shared" si="13"/>
        <v>117234.90761604325</v>
      </c>
      <c r="H82" s="217">
        <f t="shared" si="14"/>
        <v>99993.44262295081</v>
      </c>
      <c r="J82" s="301" t="s">
        <v>289</v>
      </c>
      <c r="K82" s="216">
        <f>C82*'Crop Prices &amp; Production Costs'!$D$10</f>
        <v>56598740.901300386</v>
      </c>
      <c r="L82" s="216">
        <f>D82*'Crop Prices &amp; Production Costs'!$D$10</f>
        <v>44836040.957125239</v>
      </c>
      <c r="M82" s="216">
        <f>E82*'Crop Prices &amp; Production Costs'!$D$10</f>
        <v>27783380.033277865</v>
      </c>
      <c r="N82" s="216">
        <f>F82*'Crop Prices &amp; Production Costs'!$D$10</f>
        <v>18972541.76982861</v>
      </c>
      <c r="O82" s="216">
        <f>G82*'Crop Prices &amp; Production Costs'!$D$10</f>
        <v>21102283.370887782</v>
      </c>
      <c r="P82" s="216">
        <f>H82*'Crop Prices &amp; Production Costs'!$D$10</f>
        <v>17998819.672131147</v>
      </c>
      <c r="Q82" s="217">
        <f t="shared" si="15"/>
        <v>23677001.906381041</v>
      </c>
    </row>
    <row r="83" spans="2:17" x14ac:dyDescent="0.5">
      <c r="B83" s="301" t="s">
        <v>290</v>
      </c>
      <c r="C83" s="216">
        <f t="shared" si="9"/>
        <v>0</v>
      </c>
      <c r="D83" s="216">
        <f t="shared" si="10"/>
        <v>0</v>
      </c>
      <c r="E83" s="216">
        <f t="shared" si="11"/>
        <v>0</v>
      </c>
      <c r="F83" s="216">
        <f t="shared" si="12"/>
        <v>0</v>
      </c>
      <c r="G83" s="216">
        <f t="shared" si="13"/>
        <v>0</v>
      </c>
      <c r="H83" s="217">
        <f t="shared" si="14"/>
        <v>0</v>
      </c>
      <c r="J83" s="301" t="s">
        <v>290</v>
      </c>
      <c r="K83" s="216">
        <f>C83*'Crop Prices &amp; Production Costs'!$D$10</f>
        <v>0</v>
      </c>
      <c r="L83" s="216">
        <f>D83*'Crop Prices &amp; Production Costs'!$D$10</f>
        <v>0</v>
      </c>
      <c r="M83" s="216">
        <f>E83*'Crop Prices &amp; Production Costs'!$D$10</f>
        <v>0</v>
      </c>
      <c r="N83" s="216">
        <f>F83*'Crop Prices &amp; Production Costs'!$D$10</f>
        <v>0</v>
      </c>
      <c r="O83" s="216">
        <f>G83*'Crop Prices &amp; Production Costs'!$D$10</f>
        <v>0</v>
      </c>
      <c r="P83" s="216">
        <f>H83*'Crop Prices &amp; Production Costs'!$D$10</f>
        <v>0</v>
      </c>
      <c r="Q83" s="217">
        <f t="shared" si="15"/>
        <v>0</v>
      </c>
    </row>
    <row r="84" spans="2:17" x14ac:dyDescent="0.5">
      <c r="B84" s="301" t="s">
        <v>291</v>
      </c>
      <c r="C84" s="216">
        <f t="shared" si="9"/>
        <v>0</v>
      </c>
      <c r="D84" s="216">
        <f t="shared" si="10"/>
        <v>0</v>
      </c>
      <c r="E84" s="216">
        <f t="shared" si="11"/>
        <v>18216.30615640599</v>
      </c>
      <c r="F84" s="216">
        <f t="shared" si="12"/>
        <v>0</v>
      </c>
      <c r="G84" s="216">
        <f t="shared" si="13"/>
        <v>40431.388012618299</v>
      </c>
      <c r="H84" s="217">
        <f t="shared" si="14"/>
        <v>0</v>
      </c>
      <c r="J84" s="301" t="s">
        <v>291</v>
      </c>
      <c r="K84" s="216">
        <f>C84*'Crop Prices &amp; Production Costs'!$D$10</f>
        <v>0</v>
      </c>
      <c r="L84" s="216">
        <f>D84*'Crop Prices &amp; Production Costs'!$D$10</f>
        <v>0</v>
      </c>
      <c r="M84" s="216">
        <f>E84*'Crop Prices &amp; Production Costs'!$D$10</f>
        <v>3278935.1081530782</v>
      </c>
      <c r="N84" s="216">
        <f>F84*'Crop Prices &amp; Production Costs'!$D$10</f>
        <v>0</v>
      </c>
      <c r="O84" s="216">
        <f>G84*'Crop Prices &amp; Production Costs'!$D$10</f>
        <v>7277649.8422712935</v>
      </c>
      <c r="P84" s="216">
        <f>H84*'Crop Prices &amp; Production Costs'!$D$10</f>
        <v>0</v>
      </c>
      <c r="Q84" s="217">
        <f t="shared" si="15"/>
        <v>10556584.950424371</v>
      </c>
    </row>
    <row r="85" spans="2:17" x14ac:dyDescent="0.5">
      <c r="B85" s="302" t="s">
        <v>292</v>
      </c>
      <c r="C85" s="216">
        <f t="shared" si="9"/>
        <v>5523.4307022995654</v>
      </c>
      <c r="D85" s="216">
        <f t="shared" si="10"/>
        <v>0</v>
      </c>
      <c r="E85" s="216">
        <f t="shared" si="11"/>
        <v>0</v>
      </c>
      <c r="F85" s="216">
        <f t="shared" si="12"/>
        <v>0</v>
      </c>
      <c r="G85" s="216">
        <f t="shared" si="13"/>
        <v>0</v>
      </c>
      <c r="H85" s="217">
        <f t="shared" si="14"/>
        <v>0</v>
      </c>
      <c r="J85" s="301" t="s">
        <v>292</v>
      </c>
      <c r="K85" s="216">
        <f>C85*'Crop Prices &amp; Production Costs'!$D$10</f>
        <v>994217.52641392173</v>
      </c>
      <c r="L85" s="216">
        <f>D85*'Crop Prices &amp; Production Costs'!$D$10</f>
        <v>0</v>
      </c>
      <c r="M85" s="216">
        <f>E85*'Crop Prices &amp; Production Costs'!$D$10</f>
        <v>0</v>
      </c>
      <c r="N85" s="216">
        <f>F85*'Crop Prices &amp; Production Costs'!$D$10</f>
        <v>0</v>
      </c>
      <c r="O85" s="216">
        <f>G85*'Crop Prices &amp; Production Costs'!$D$10</f>
        <v>0</v>
      </c>
      <c r="P85" s="216">
        <f>H85*'Crop Prices &amp; Production Costs'!$D$10</f>
        <v>0</v>
      </c>
      <c r="Q85" s="217">
        <f t="shared" si="15"/>
        <v>994217.52641392173</v>
      </c>
    </row>
    <row r="86" spans="2:17" x14ac:dyDescent="0.5">
      <c r="B86" s="301" t="s">
        <v>293</v>
      </c>
      <c r="C86" s="216">
        <f t="shared" si="9"/>
        <v>0</v>
      </c>
      <c r="D86" s="216">
        <f t="shared" si="10"/>
        <v>8990.9707878430199</v>
      </c>
      <c r="E86" s="216">
        <f t="shared" si="11"/>
        <v>0</v>
      </c>
      <c r="F86" s="216">
        <f t="shared" si="12"/>
        <v>0</v>
      </c>
      <c r="G86" s="216">
        <f t="shared" si="13"/>
        <v>0</v>
      </c>
      <c r="H86" s="217">
        <f t="shared" si="14"/>
        <v>0</v>
      </c>
      <c r="J86" s="301" t="s">
        <v>293</v>
      </c>
      <c r="K86" s="216">
        <f>C86*'Crop Prices &amp; Production Costs'!$D$10</f>
        <v>0</v>
      </c>
      <c r="L86" s="216">
        <f>D86*'Crop Prices &amp; Production Costs'!$D$10</f>
        <v>1618374.7418117435</v>
      </c>
      <c r="M86" s="216">
        <f>E86*'Crop Prices &amp; Production Costs'!$D$10</f>
        <v>0</v>
      </c>
      <c r="N86" s="216">
        <f>F86*'Crop Prices &amp; Production Costs'!$D$10</f>
        <v>0</v>
      </c>
      <c r="O86" s="216">
        <f>G86*'Crop Prices &amp; Production Costs'!$D$10</f>
        <v>0</v>
      </c>
      <c r="P86" s="216">
        <f>H86*'Crop Prices &amp; Production Costs'!$D$10</f>
        <v>0</v>
      </c>
      <c r="Q86" s="217">
        <f t="shared" si="15"/>
        <v>-1618374.7418117435</v>
      </c>
    </row>
    <row r="87" spans="2:17" x14ac:dyDescent="0.5">
      <c r="B87" s="301" t="s">
        <v>294</v>
      </c>
      <c r="C87" s="216">
        <f t="shared" si="9"/>
        <v>13440.348042262276</v>
      </c>
      <c r="D87" s="216">
        <f t="shared" si="10"/>
        <v>46586.251317287002</v>
      </c>
      <c r="E87" s="216">
        <f t="shared" si="11"/>
        <v>1821.6306156405992</v>
      </c>
      <c r="F87" s="216">
        <f t="shared" si="12"/>
        <v>21456.002506265671</v>
      </c>
      <c r="G87" s="216">
        <f t="shared" si="13"/>
        <v>0</v>
      </c>
      <c r="H87" s="217">
        <f t="shared" si="14"/>
        <v>1407.6502732240433</v>
      </c>
      <c r="J87" s="301" t="s">
        <v>294</v>
      </c>
      <c r="K87" s="216">
        <f>C87*'Crop Prices &amp; Production Costs'!$D$10</f>
        <v>2419262.6476072096</v>
      </c>
      <c r="L87" s="216">
        <f>D87*'Crop Prices &amp; Production Costs'!$D$10</f>
        <v>8385525.2371116607</v>
      </c>
      <c r="M87" s="216">
        <f>E87*'Crop Prices &amp; Production Costs'!$D$10</f>
        <v>327893.51081530785</v>
      </c>
      <c r="N87" s="216">
        <f>F87*'Crop Prices &amp; Production Costs'!$D$10</f>
        <v>3862080.4511278206</v>
      </c>
      <c r="O87" s="216">
        <f>G87*'Crop Prices &amp; Production Costs'!$D$10</f>
        <v>0</v>
      </c>
      <c r="P87" s="216">
        <f>H87*'Crop Prices &amp; Production Costs'!$D$10</f>
        <v>253377.0491803278</v>
      </c>
      <c r="Q87" s="217">
        <f t="shared" si="15"/>
        <v>-9753826.5789972916</v>
      </c>
    </row>
    <row r="88" spans="2:17" x14ac:dyDescent="0.5">
      <c r="B88" s="301" t="s">
        <v>295</v>
      </c>
      <c r="C88" s="216">
        <f t="shared" si="9"/>
        <v>2919.5276569297703</v>
      </c>
      <c r="D88" s="216">
        <f t="shared" si="10"/>
        <v>7336.3824136913527</v>
      </c>
      <c r="E88" s="216">
        <f t="shared" si="11"/>
        <v>0</v>
      </c>
      <c r="F88" s="216">
        <f t="shared" si="12"/>
        <v>6836.7836257309955</v>
      </c>
      <c r="G88" s="216">
        <f t="shared" si="13"/>
        <v>4353.3123028391174</v>
      </c>
      <c r="H88" s="217">
        <f t="shared" si="14"/>
        <v>402.18579234972674</v>
      </c>
      <c r="J88" s="301" t="s">
        <v>295</v>
      </c>
      <c r="K88" s="216">
        <f>C88*'Crop Prices &amp; Production Costs'!$D$10</f>
        <v>525514.9782473587</v>
      </c>
      <c r="L88" s="216">
        <f>D88*'Crop Prices &amp; Production Costs'!$D$10</f>
        <v>1320548.8344644434</v>
      </c>
      <c r="M88" s="216">
        <f>E88*'Crop Prices &amp; Production Costs'!$D$10</f>
        <v>0</v>
      </c>
      <c r="N88" s="216">
        <f>F88*'Crop Prices &amp; Production Costs'!$D$10</f>
        <v>1230621.0526315791</v>
      </c>
      <c r="O88" s="216">
        <f>G88*'Crop Prices &amp; Production Costs'!$D$10</f>
        <v>783596.21451104118</v>
      </c>
      <c r="P88" s="216">
        <f>H88*'Crop Prices &amp; Production Costs'!$D$10</f>
        <v>72393.44262295081</v>
      </c>
      <c r="Q88" s="217">
        <f t="shared" si="15"/>
        <v>-1314452.136960573</v>
      </c>
    </row>
    <row r="89" spans="2:17" x14ac:dyDescent="0.5">
      <c r="B89" s="302" t="s">
        <v>296</v>
      </c>
      <c r="C89" s="216">
        <f t="shared" si="9"/>
        <v>11454.23375863708</v>
      </c>
      <c r="D89" s="216">
        <f t="shared" si="10"/>
        <v>0</v>
      </c>
      <c r="E89" s="216">
        <f t="shared" si="11"/>
        <v>0</v>
      </c>
      <c r="F89" s="216">
        <f t="shared" si="12"/>
        <v>0</v>
      </c>
      <c r="G89" s="216">
        <f t="shared" si="13"/>
        <v>0</v>
      </c>
      <c r="H89" s="217">
        <f t="shared" si="14"/>
        <v>0</v>
      </c>
      <c r="J89" s="301" t="s">
        <v>296</v>
      </c>
      <c r="K89" s="216">
        <f>C89*'Crop Prices &amp; Production Costs'!$D$10</f>
        <v>2061762.0765546744</v>
      </c>
      <c r="L89" s="216">
        <f>D89*'Crop Prices &amp; Production Costs'!$D$10</f>
        <v>0</v>
      </c>
      <c r="M89" s="216">
        <f>E89*'Crop Prices &amp; Production Costs'!$D$10</f>
        <v>0</v>
      </c>
      <c r="N89" s="216">
        <f>F89*'Crop Prices &amp; Production Costs'!$D$10</f>
        <v>0</v>
      </c>
      <c r="O89" s="216">
        <f>G89*'Crop Prices &amp; Production Costs'!$D$10</f>
        <v>0</v>
      </c>
      <c r="P89" s="216">
        <f>H89*'Crop Prices &amp; Production Costs'!$D$10</f>
        <v>0</v>
      </c>
      <c r="Q89" s="217">
        <f t="shared" si="15"/>
        <v>2061762.0765546744</v>
      </c>
    </row>
    <row r="90" spans="2:17" x14ac:dyDescent="0.5">
      <c r="B90" s="301" t="s">
        <v>297</v>
      </c>
      <c r="C90" s="216">
        <f t="shared" si="9"/>
        <v>2301.4294592914853</v>
      </c>
      <c r="D90" s="216">
        <f t="shared" si="10"/>
        <v>0</v>
      </c>
      <c r="E90" s="216">
        <f t="shared" si="11"/>
        <v>0</v>
      </c>
      <c r="F90" s="216">
        <f t="shared" si="12"/>
        <v>0</v>
      </c>
      <c r="G90" s="216">
        <f t="shared" si="13"/>
        <v>0</v>
      </c>
      <c r="H90" s="217">
        <f t="shared" si="14"/>
        <v>0</v>
      </c>
      <c r="J90" s="301" t="s">
        <v>297</v>
      </c>
      <c r="K90" s="216">
        <f>C90*'Crop Prices &amp; Production Costs'!$D$10</f>
        <v>414257.30267246737</v>
      </c>
      <c r="L90" s="216">
        <f>D90*'Crop Prices &amp; Production Costs'!$D$10</f>
        <v>0</v>
      </c>
      <c r="M90" s="216">
        <f>E90*'Crop Prices &amp; Production Costs'!$D$10</f>
        <v>0</v>
      </c>
      <c r="N90" s="216">
        <f>F90*'Crop Prices &amp; Production Costs'!$D$10</f>
        <v>0</v>
      </c>
      <c r="O90" s="216">
        <f>G90*'Crop Prices &amp; Production Costs'!$D$10</f>
        <v>0</v>
      </c>
      <c r="P90" s="216">
        <f>H90*'Crop Prices &amp; Production Costs'!$D$10</f>
        <v>0</v>
      </c>
      <c r="Q90" s="217">
        <f t="shared" si="15"/>
        <v>414257.30267246737</v>
      </c>
    </row>
    <row r="91" spans="2:17" x14ac:dyDescent="0.5">
      <c r="B91" s="301" t="s">
        <v>298</v>
      </c>
      <c r="C91" s="216">
        <f t="shared" si="9"/>
        <v>0</v>
      </c>
      <c r="D91" s="216">
        <f t="shared" si="10"/>
        <v>0</v>
      </c>
      <c r="E91" s="216">
        <f t="shared" si="11"/>
        <v>0</v>
      </c>
      <c r="F91" s="216">
        <f t="shared" si="12"/>
        <v>0</v>
      </c>
      <c r="G91" s="216">
        <f t="shared" si="13"/>
        <v>87066.246056782344</v>
      </c>
      <c r="H91" s="217">
        <f t="shared" si="14"/>
        <v>0</v>
      </c>
      <c r="J91" s="301" t="s">
        <v>298</v>
      </c>
      <c r="K91" s="216">
        <f>C91*'Crop Prices &amp; Production Costs'!$D$10</f>
        <v>0</v>
      </c>
      <c r="L91" s="216">
        <f>D91*'Crop Prices &amp; Production Costs'!$D$10</f>
        <v>0</v>
      </c>
      <c r="M91" s="216">
        <f>E91*'Crop Prices &amp; Production Costs'!$D$10</f>
        <v>0</v>
      </c>
      <c r="N91" s="216">
        <f>F91*'Crop Prices &amp; Production Costs'!$D$10</f>
        <v>0</v>
      </c>
      <c r="O91" s="216">
        <f>G91*'Crop Prices &amp; Production Costs'!$D$10</f>
        <v>15671924.290220821</v>
      </c>
      <c r="P91" s="216">
        <f>H91*'Crop Prices &amp; Production Costs'!$D$10</f>
        <v>0</v>
      </c>
      <c r="Q91" s="217">
        <f t="shared" si="15"/>
        <v>15671924.290220821</v>
      </c>
    </row>
    <row r="92" spans="2:17" x14ac:dyDescent="0.5">
      <c r="B92" s="301" t="s">
        <v>299</v>
      </c>
      <c r="C92" s="216">
        <f t="shared" si="9"/>
        <v>0</v>
      </c>
      <c r="D92" s="216">
        <f t="shared" si="10"/>
        <v>0</v>
      </c>
      <c r="E92" s="216">
        <f t="shared" si="11"/>
        <v>0</v>
      </c>
      <c r="F92" s="216">
        <f t="shared" si="12"/>
        <v>0</v>
      </c>
      <c r="G92" s="216">
        <f t="shared" si="13"/>
        <v>9577.2870662460573</v>
      </c>
      <c r="H92" s="217">
        <f t="shared" si="14"/>
        <v>12065.573770491799</v>
      </c>
      <c r="J92" s="301" t="s">
        <v>299</v>
      </c>
      <c r="K92" s="216">
        <f>C92*'Crop Prices &amp; Production Costs'!$D$10</f>
        <v>0</v>
      </c>
      <c r="L92" s="216">
        <f>D92*'Crop Prices &amp; Production Costs'!$D$10</f>
        <v>0</v>
      </c>
      <c r="M92" s="216">
        <f>E92*'Crop Prices &amp; Production Costs'!$D$10</f>
        <v>0</v>
      </c>
      <c r="N92" s="216">
        <f>F92*'Crop Prices &amp; Production Costs'!$D$10</f>
        <v>0</v>
      </c>
      <c r="O92" s="216">
        <f>G92*'Crop Prices &amp; Production Costs'!$D$10</f>
        <v>1723911.6719242902</v>
      </c>
      <c r="P92" s="216">
        <f>H92*'Crop Prices &amp; Production Costs'!$D$10</f>
        <v>2171803.2786885239</v>
      </c>
      <c r="Q92" s="217">
        <f t="shared" si="15"/>
        <v>-447891.60676423367</v>
      </c>
    </row>
    <row r="93" spans="2:17" x14ac:dyDescent="0.5">
      <c r="B93" s="302" t="s">
        <v>300</v>
      </c>
      <c r="C93" s="216">
        <f t="shared" si="9"/>
        <v>0</v>
      </c>
      <c r="D93" s="216">
        <f t="shared" si="10"/>
        <v>0</v>
      </c>
      <c r="E93" s="216">
        <f t="shared" si="11"/>
        <v>227983.88717217339</v>
      </c>
      <c r="F93" s="216">
        <f t="shared" si="12"/>
        <v>0</v>
      </c>
      <c r="G93" s="216">
        <f t="shared" si="13"/>
        <v>0</v>
      </c>
      <c r="H93" s="217">
        <f t="shared" si="14"/>
        <v>120655.73770491799</v>
      </c>
      <c r="J93" s="301" t="s">
        <v>300</v>
      </c>
      <c r="K93" s="216">
        <f>C93*'Crop Prices &amp; Production Costs'!$D$10</f>
        <v>0</v>
      </c>
      <c r="L93" s="216">
        <f>D93*'Crop Prices &amp; Production Costs'!$D$10</f>
        <v>0</v>
      </c>
      <c r="M93" s="216">
        <f>E93*'Crop Prices &amp; Production Costs'!$D$10</f>
        <v>41037099.690991208</v>
      </c>
      <c r="N93" s="216">
        <f>F93*'Crop Prices &amp; Production Costs'!$D$10</f>
        <v>0</v>
      </c>
      <c r="O93" s="216">
        <f>G93*'Crop Prices &amp; Production Costs'!$D$10</f>
        <v>0</v>
      </c>
      <c r="P93" s="216">
        <f>H93*'Crop Prices &amp; Production Costs'!$D$10</f>
        <v>21718032.786885239</v>
      </c>
      <c r="Q93" s="217">
        <f t="shared" si="15"/>
        <v>19319066.904105969</v>
      </c>
    </row>
    <row r="94" spans="2:17" x14ac:dyDescent="0.5">
      <c r="B94" s="301" t="s">
        <v>301</v>
      </c>
      <c r="C94" s="216">
        <f t="shared" si="9"/>
        <v>379801.61591050337</v>
      </c>
      <c r="D94" s="216">
        <f t="shared" si="10"/>
        <v>0</v>
      </c>
      <c r="E94" s="216">
        <f t="shared" si="11"/>
        <v>296990.84858569049</v>
      </c>
      <c r="F94" s="216">
        <f t="shared" si="12"/>
        <v>0</v>
      </c>
      <c r="G94" s="216">
        <f t="shared" si="13"/>
        <v>0</v>
      </c>
      <c r="H94" s="217">
        <f t="shared" si="14"/>
        <v>0</v>
      </c>
      <c r="J94" s="301" t="s">
        <v>301</v>
      </c>
      <c r="K94" s="216">
        <f>C94*'Crop Prices &amp; Production Costs'!$D$10</f>
        <v>68364290.863890603</v>
      </c>
      <c r="L94" s="216">
        <f>D94*'Crop Prices &amp; Production Costs'!$D$10</f>
        <v>0</v>
      </c>
      <c r="M94" s="216">
        <f>E94*'Crop Prices &amp; Production Costs'!$D$10</f>
        <v>53458352.745424286</v>
      </c>
      <c r="N94" s="216">
        <f>F94*'Crop Prices &amp; Production Costs'!$D$10</f>
        <v>0</v>
      </c>
      <c r="O94" s="216">
        <f>G94*'Crop Prices &amp; Production Costs'!$D$10</f>
        <v>0</v>
      </c>
      <c r="P94" s="216">
        <f>H94*'Crop Prices &amp; Production Costs'!$D$10</f>
        <v>0</v>
      </c>
      <c r="Q94" s="217">
        <f t="shared" si="15"/>
        <v>121822643.60931489</v>
      </c>
    </row>
    <row r="95" spans="2:17" x14ac:dyDescent="0.5">
      <c r="B95" s="301" t="s">
        <v>302</v>
      </c>
      <c r="C95" s="216">
        <f t="shared" si="9"/>
        <v>95532.80653467105</v>
      </c>
      <c r="D95" s="216">
        <f t="shared" si="10"/>
        <v>0</v>
      </c>
      <c r="E95" s="216">
        <f t="shared" si="11"/>
        <v>0</v>
      </c>
      <c r="F95" s="216">
        <f t="shared" si="12"/>
        <v>0</v>
      </c>
      <c r="G95" s="216">
        <f t="shared" si="13"/>
        <v>0</v>
      </c>
      <c r="H95" s="217">
        <f t="shared" si="14"/>
        <v>0</v>
      </c>
      <c r="J95" s="301" t="s">
        <v>302</v>
      </c>
      <c r="K95" s="216">
        <f>C95*'Crop Prices &amp; Production Costs'!$D$10</f>
        <v>17195905.176240791</v>
      </c>
      <c r="L95" s="216">
        <f>D95*'Crop Prices &amp; Production Costs'!$D$10</f>
        <v>0</v>
      </c>
      <c r="M95" s="216">
        <f>E95*'Crop Prices &amp; Production Costs'!$D$10</f>
        <v>0</v>
      </c>
      <c r="N95" s="216">
        <f>F95*'Crop Prices &amp; Production Costs'!$D$10</f>
        <v>0</v>
      </c>
      <c r="O95" s="216">
        <f>G95*'Crop Prices &amp; Production Costs'!$D$10</f>
        <v>0</v>
      </c>
      <c r="P95" s="216">
        <f>H95*'Crop Prices &amp; Production Costs'!$D$10</f>
        <v>0</v>
      </c>
      <c r="Q95" s="217">
        <f t="shared" si="15"/>
        <v>17195905.176240791</v>
      </c>
    </row>
    <row r="96" spans="2:17" x14ac:dyDescent="0.5">
      <c r="B96" s="301" t="s">
        <v>303</v>
      </c>
      <c r="C96" s="216">
        <f t="shared" si="9"/>
        <v>3268.0298321939094</v>
      </c>
      <c r="D96" s="216">
        <f t="shared" si="10"/>
        <v>14076.63729994801</v>
      </c>
      <c r="E96" s="216">
        <f t="shared" si="11"/>
        <v>26999.168053244597</v>
      </c>
      <c r="F96" s="216">
        <f t="shared" si="12"/>
        <v>55652.223625140308</v>
      </c>
      <c r="G96" s="216">
        <f t="shared" si="13"/>
        <v>0</v>
      </c>
      <c r="H96" s="217">
        <f t="shared" si="14"/>
        <v>13267.10382513661</v>
      </c>
      <c r="J96" s="301" t="s">
        <v>303</v>
      </c>
      <c r="K96" s="216">
        <f>C96*'Crop Prices &amp; Production Costs'!$D$10</f>
        <v>588245.36979490367</v>
      </c>
      <c r="L96" s="216">
        <f>D96*'Crop Prices &amp; Production Costs'!$D$10</f>
        <v>2533794.7139906418</v>
      </c>
      <c r="M96" s="216">
        <f>E96*'Crop Prices &amp; Production Costs'!$D$10</f>
        <v>4859850.2495840276</v>
      </c>
      <c r="N96" s="216">
        <f>F96*'Crop Prices &amp; Production Costs'!$D$10</f>
        <v>10017400.252525255</v>
      </c>
      <c r="O96" s="216">
        <f>G96*'Crop Prices &amp; Production Costs'!$D$10</f>
        <v>0</v>
      </c>
      <c r="P96" s="216">
        <f>H96*'Crop Prices &amp; Production Costs'!$D$10</f>
        <v>2388078.6885245899</v>
      </c>
      <c r="Q96" s="217">
        <f t="shared" si="15"/>
        <v>-9491178.0356615558</v>
      </c>
    </row>
    <row r="97" spans="1:17" x14ac:dyDescent="0.5">
      <c r="B97" s="302" t="s">
        <v>304</v>
      </c>
      <c r="C97" s="216">
        <f t="shared" si="9"/>
        <v>0</v>
      </c>
      <c r="D97" s="216">
        <f t="shared" si="10"/>
        <v>22477.426969607553</v>
      </c>
      <c r="E97" s="216">
        <f t="shared" si="11"/>
        <v>16703.051580698837</v>
      </c>
      <c r="F97" s="216">
        <f t="shared" si="12"/>
        <v>0</v>
      </c>
      <c r="G97" s="216">
        <f t="shared" si="13"/>
        <v>0</v>
      </c>
      <c r="H97" s="217">
        <f t="shared" si="14"/>
        <v>0</v>
      </c>
      <c r="J97" s="301" t="s">
        <v>304</v>
      </c>
      <c r="K97" s="216">
        <f>C97*'Crop Prices &amp; Production Costs'!$D$10</f>
        <v>0</v>
      </c>
      <c r="L97" s="216">
        <f>D97*'Crop Prices &amp; Production Costs'!$D$10</f>
        <v>4045936.8545293598</v>
      </c>
      <c r="M97" s="216">
        <f>E97*'Crop Prices &amp; Production Costs'!$D$10</f>
        <v>3006549.2845257907</v>
      </c>
      <c r="N97" s="216">
        <f>F97*'Crop Prices &amp; Production Costs'!$D$10</f>
        <v>0</v>
      </c>
      <c r="O97" s="216">
        <f>G97*'Crop Prices &amp; Production Costs'!$D$10</f>
        <v>0</v>
      </c>
      <c r="P97" s="216">
        <f>H97*'Crop Prices &amp; Production Costs'!$D$10</f>
        <v>0</v>
      </c>
      <c r="Q97" s="217">
        <f t="shared" si="15"/>
        <v>-1039387.5700035691</v>
      </c>
    </row>
    <row r="98" spans="1:17" x14ac:dyDescent="0.5">
      <c r="B98" s="301" t="s">
        <v>305</v>
      </c>
      <c r="C98" s="216">
        <f t="shared" si="9"/>
        <v>0</v>
      </c>
      <c r="D98" s="216">
        <f t="shared" si="10"/>
        <v>1123.8713484803775</v>
      </c>
      <c r="E98" s="216">
        <f t="shared" si="11"/>
        <v>0</v>
      </c>
      <c r="F98" s="216">
        <f t="shared" si="12"/>
        <v>0</v>
      </c>
      <c r="G98" s="216">
        <f t="shared" si="13"/>
        <v>0</v>
      </c>
      <c r="H98" s="217">
        <f t="shared" si="14"/>
        <v>0</v>
      </c>
      <c r="J98" s="301" t="s">
        <v>305</v>
      </c>
      <c r="K98" s="216">
        <f>C98*'Crop Prices &amp; Production Costs'!$D$10</f>
        <v>0</v>
      </c>
      <c r="L98" s="216">
        <f>D98*'Crop Prices &amp; Production Costs'!$D$10</f>
        <v>202296.84272646793</v>
      </c>
      <c r="M98" s="216">
        <f>E98*'Crop Prices &amp; Production Costs'!$D$10</f>
        <v>0</v>
      </c>
      <c r="N98" s="216">
        <f>F98*'Crop Prices &amp; Production Costs'!$D$10</f>
        <v>0</v>
      </c>
      <c r="O98" s="216">
        <f>G98*'Crop Prices &amp; Production Costs'!$D$10</f>
        <v>0</v>
      </c>
      <c r="P98" s="216">
        <f>H98*'Crop Prices &amp; Production Costs'!$D$10</f>
        <v>0</v>
      </c>
      <c r="Q98" s="217">
        <f t="shared" si="15"/>
        <v>-202296.84272646793</v>
      </c>
    </row>
    <row r="99" spans="1:17" x14ac:dyDescent="0.5">
      <c r="B99" s="301" t="s">
        <v>306</v>
      </c>
      <c r="C99" s="216">
        <f t="shared" si="9"/>
        <v>41903.10202722418</v>
      </c>
      <c r="D99" s="216">
        <f t="shared" si="10"/>
        <v>21857.513805167979</v>
      </c>
      <c r="E99" s="216">
        <f t="shared" si="11"/>
        <v>0</v>
      </c>
      <c r="F99" s="216">
        <f t="shared" si="12"/>
        <v>5008.7687969924818</v>
      </c>
      <c r="G99" s="216">
        <f t="shared" si="13"/>
        <v>0</v>
      </c>
      <c r="H99" s="217">
        <f t="shared" si="14"/>
        <v>2413.1147540983598</v>
      </c>
      <c r="J99" s="301" t="s">
        <v>306</v>
      </c>
      <c r="K99" s="216">
        <f>C99*'Crop Prices &amp; Production Costs'!$D$10</f>
        <v>7542558.3649003524</v>
      </c>
      <c r="L99" s="216">
        <f>D99*'Crop Prices &amp; Production Costs'!$D$10</f>
        <v>3934352.4849302364</v>
      </c>
      <c r="M99" s="216">
        <f>E99*'Crop Prices &amp; Production Costs'!$D$10</f>
        <v>0</v>
      </c>
      <c r="N99" s="216">
        <f>F99*'Crop Prices &amp; Production Costs'!$D$10</f>
        <v>901578.38345864671</v>
      </c>
      <c r="O99" s="216">
        <f>G99*'Crop Prices &amp; Production Costs'!$D$10</f>
        <v>0</v>
      </c>
      <c r="P99" s="216">
        <f>H99*'Crop Prices &amp; Production Costs'!$D$10</f>
        <v>434360.65573770477</v>
      </c>
      <c r="Q99" s="217">
        <f t="shared" si="15"/>
        <v>2272266.840773765</v>
      </c>
    </row>
    <row r="100" spans="1:17" x14ac:dyDescent="0.5">
      <c r="B100" s="301" t="s">
        <v>307</v>
      </c>
      <c r="C100" s="216">
        <f t="shared" si="9"/>
        <v>0</v>
      </c>
      <c r="D100" s="216">
        <f t="shared" si="10"/>
        <v>0</v>
      </c>
      <c r="E100" s="216">
        <f t="shared" si="11"/>
        <v>3903.4941763727129</v>
      </c>
      <c r="F100" s="216">
        <f t="shared" si="12"/>
        <v>0</v>
      </c>
      <c r="G100" s="216">
        <f t="shared" si="13"/>
        <v>0</v>
      </c>
      <c r="H100" s="217">
        <f t="shared" si="14"/>
        <v>0</v>
      </c>
      <c r="J100" s="301" t="s">
        <v>307</v>
      </c>
      <c r="K100" s="216">
        <f>C100*'Crop Prices &amp; Production Costs'!$D$10</f>
        <v>0</v>
      </c>
      <c r="L100" s="216">
        <f>D100*'Crop Prices &amp; Production Costs'!$D$10</f>
        <v>0</v>
      </c>
      <c r="M100" s="216">
        <f>E100*'Crop Prices &amp; Production Costs'!$D$10</f>
        <v>702628.95174708834</v>
      </c>
      <c r="N100" s="216">
        <f>F100*'Crop Prices &amp; Production Costs'!$D$10</f>
        <v>0</v>
      </c>
      <c r="O100" s="216">
        <f>G100*'Crop Prices &amp; Production Costs'!$D$10</f>
        <v>0</v>
      </c>
      <c r="P100" s="216">
        <f>H100*'Crop Prices &amp; Production Costs'!$D$10</f>
        <v>0</v>
      </c>
      <c r="Q100" s="217">
        <f t="shared" si="15"/>
        <v>702628.95174708834</v>
      </c>
    </row>
    <row r="101" spans="1:17" x14ac:dyDescent="0.5">
      <c r="B101" s="301" t="s">
        <v>308</v>
      </c>
      <c r="C101" s="216">
        <f t="shared" si="9"/>
        <v>305103.79117464263</v>
      </c>
      <c r="D101" s="216">
        <f t="shared" si="10"/>
        <v>0</v>
      </c>
      <c r="E101" s="216">
        <f t="shared" si="11"/>
        <v>744266.22296173044</v>
      </c>
      <c r="F101" s="216">
        <f t="shared" si="12"/>
        <v>0</v>
      </c>
      <c r="G101" s="216">
        <f t="shared" si="13"/>
        <v>0</v>
      </c>
      <c r="H101" s="217">
        <f t="shared" si="14"/>
        <v>0</v>
      </c>
      <c r="J101" s="301" t="s">
        <v>308</v>
      </c>
      <c r="K101" s="216">
        <f>C101*'Crop Prices &amp; Production Costs'!$D$10</f>
        <v>54918682.411435671</v>
      </c>
      <c r="L101" s="216">
        <f>D101*'Crop Prices &amp; Production Costs'!$D$10</f>
        <v>0</v>
      </c>
      <c r="M101" s="216">
        <f>E101*'Crop Prices &amp; Production Costs'!$D$10</f>
        <v>133967920.13311148</v>
      </c>
      <c r="N101" s="216">
        <f>F101*'Crop Prices &amp; Production Costs'!$D$10</f>
        <v>0</v>
      </c>
      <c r="O101" s="216">
        <f>G101*'Crop Prices &amp; Production Costs'!$D$10</f>
        <v>0</v>
      </c>
      <c r="P101" s="216">
        <f>H101*'Crop Prices &amp; Production Costs'!$D$10</f>
        <v>0</v>
      </c>
      <c r="Q101" s="217">
        <f t="shared" si="15"/>
        <v>188886602.54454714</v>
      </c>
    </row>
    <row r="102" spans="1:17" x14ac:dyDescent="0.5">
      <c r="B102" s="302" t="s">
        <v>309</v>
      </c>
      <c r="C102" s="216">
        <f t="shared" si="9"/>
        <v>0</v>
      </c>
      <c r="D102" s="216">
        <f t="shared" si="10"/>
        <v>0</v>
      </c>
      <c r="E102" s="216">
        <f t="shared" si="11"/>
        <v>0</v>
      </c>
      <c r="F102" s="216">
        <f t="shared" si="12"/>
        <v>1714.9122807017545</v>
      </c>
      <c r="G102" s="216">
        <f t="shared" si="13"/>
        <v>0</v>
      </c>
      <c r="H102" s="217">
        <f t="shared" si="14"/>
        <v>0</v>
      </c>
      <c r="J102" s="301" t="s">
        <v>309</v>
      </c>
      <c r="K102" s="216">
        <f>C102*'Crop Prices &amp; Production Costs'!$D$10</f>
        <v>0</v>
      </c>
      <c r="L102" s="216">
        <f>D102*'Crop Prices &amp; Production Costs'!$D$10</f>
        <v>0</v>
      </c>
      <c r="M102" s="216">
        <f>E102*'Crop Prices &amp; Production Costs'!$D$10</f>
        <v>0</v>
      </c>
      <c r="N102" s="216">
        <f>F102*'Crop Prices &amp; Production Costs'!$D$10</f>
        <v>308684.21052631579</v>
      </c>
      <c r="O102" s="216">
        <f>G102*'Crop Prices &amp; Production Costs'!$D$10</f>
        <v>0</v>
      </c>
      <c r="P102" s="216">
        <f>H102*'Crop Prices &amp; Production Costs'!$D$10</f>
        <v>0</v>
      </c>
      <c r="Q102" s="217">
        <f t="shared" si="15"/>
        <v>-308684.21052631579</v>
      </c>
    </row>
    <row r="103" spans="1:17" ht="14.4" thickBot="1" x14ac:dyDescent="0.55000000000000004">
      <c r="B103" s="304" t="s">
        <v>337</v>
      </c>
      <c r="C103" s="305">
        <f t="shared" ref="C103:H103" si="16">SUM(C78:C102)</f>
        <v>1265512.529000293</v>
      </c>
      <c r="D103" s="305">
        <f t="shared" si="16"/>
        <v>452593.67487386405</v>
      </c>
      <c r="E103" s="305">
        <f t="shared" si="16"/>
        <v>2743750.8969706572</v>
      </c>
      <c r="F103" s="305">
        <f t="shared" si="16"/>
        <v>497506.9855489973</v>
      </c>
      <c r="G103" s="305">
        <f t="shared" si="16"/>
        <v>1394369.7656602075</v>
      </c>
      <c r="H103" s="306">
        <f t="shared" si="16"/>
        <v>1222207.4316939889</v>
      </c>
      <c r="J103" s="304" t="s">
        <v>337</v>
      </c>
      <c r="K103" s="305">
        <f t="shared" ref="K103:Q103" si="17">SUM(K78:K102)</f>
        <v>227792255.22005272</v>
      </c>
      <c r="L103" s="305">
        <f t="shared" si="17"/>
        <v>81466861.477295548</v>
      </c>
      <c r="M103" s="305">
        <f t="shared" si="17"/>
        <v>493875161.45471829</v>
      </c>
      <c r="N103" s="305">
        <f t="shared" si="17"/>
        <v>89551257.398819506</v>
      </c>
      <c r="O103" s="305">
        <f t="shared" si="17"/>
        <v>250986557.81883734</v>
      </c>
      <c r="P103" s="305">
        <f t="shared" si="17"/>
        <v>219997337.70491797</v>
      </c>
      <c r="Q103" s="306">
        <f t="shared" si="17"/>
        <v>581638517.91257536</v>
      </c>
    </row>
    <row r="104" spans="1:17" x14ac:dyDescent="0.5">
      <c r="I104" s="158"/>
    </row>
    <row r="105" spans="1:17" ht="15.3" thickBot="1" x14ac:dyDescent="0.55000000000000004">
      <c r="A105" s="158">
        <v>2</v>
      </c>
      <c r="B105" s="214" t="s">
        <v>344</v>
      </c>
    </row>
    <row r="106" spans="1:17" ht="30" customHeight="1" x14ac:dyDescent="0.5">
      <c r="B106" s="188" t="s">
        <v>345</v>
      </c>
      <c r="C106" s="699" t="s">
        <v>346</v>
      </c>
      <c r="D106" s="700"/>
    </row>
    <row r="107" spans="1:17" x14ac:dyDescent="0.5">
      <c r="B107" s="139" t="s">
        <v>334</v>
      </c>
      <c r="C107" s="701">
        <f>SUM(O103,M103,K103)</f>
        <v>972653974.49360836</v>
      </c>
      <c r="D107" s="702"/>
    </row>
    <row r="108" spans="1:17" ht="28.2" thickBot="1" x14ac:dyDescent="0.55000000000000004">
      <c r="B108" s="388" t="s">
        <v>335</v>
      </c>
      <c r="C108" s="703">
        <f>SUM(P103,N103,L103)</f>
        <v>391015456.58103299</v>
      </c>
      <c r="D108" s="704"/>
    </row>
    <row r="111" spans="1:17" ht="15.3" thickBot="1" x14ac:dyDescent="0.55000000000000004">
      <c r="B111" s="214" t="s">
        <v>347</v>
      </c>
    </row>
    <row r="112" spans="1:17" x14ac:dyDescent="0.5">
      <c r="B112" s="201" t="s">
        <v>348</v>
      </c>
      <c r="C112" s="202"/>
      <c r="D112" s="202"/>
      <c r="E112" s="203"/>
    </row>
    <row r="113" spans="1:5" x14ac:dyDescent="0.5">
      <c r="A113" s="221" t="s">
        <v>349</v>
      </c>
      <c r="B113" s="191" t="s">
        <v>282</v>
      </c>
      <c r="C113" s="220" t="s">
        <v>311</v>
      </c>
      <c r="D113" s="600" t="s">
        <v>312</v>
      </c>
      <c r="E113" s="600" t="s">
        <v>350</v>
      </c>
    </row>
    <row r="114" spans="1:5" x14ac:dyDescent="0.5">
      <c r="B114" s="301" t="s">
        <v>285</v>
      </c>
      <c r="C114" s="216">
        <f>'Crop Prices &amp; Production Costs'!C38*Q19</f>
        <v>0</v>
      </c>
      <c r="D114" s="216">
        <f>'Crop Prices &amp; Production Costs'!D38*R19</f>
        <v>1214098.3606557373</v>
      </c>
      <c r="E114" s="217">
        <f t="shared" ref="E114:E138" si="18">C114-D114</f>
        <v>-1214098.3606557373</v>
      </c>
    </row>
    <row r="115" spans="1:5" x14ac:dyDescent="0.5">
      <c r="B115" s="301" t="s">
        <v>286</v>
      </c>
      <c r="C115" s="216">
        <f>'Crop Prices &amp; Production Costs'!C39*Q20</f>
        <v>29671053.681974709</v>
      </c>
      <c r="D115" s="216">
        <f>'Crop Prices &amp; Production Costs'!D39*R20</f>
        <v>10405442.875447879</v>
      </c>
      <c r="E115" s="217">
        <f t="shared" si="18"/>
        <v>19265610.806526832</v>
      </c>
    </row>
    <row r="116" spans="1:5" x14ac:dyDescent="0.5">
      <c r="B116" s="301" t="s">
        <v>287</v>
      </c>
      <c r="C116" s="216">
        <f>'Crop Prices &amp; Production Costs'!C40*Q21</f>
        <v>10827562.205483224</v>
      </c>
      <c r="D116" s="216">
        <f>'Crop Prices &amp; Production Costs'!D40*R21</f>
        <v>5616524.5901639322</v>
      </c>
      <c r="E116" s="217">
        <f t="shared" si="18"/>
        <v>5211037.6153192921</v>
      </c>
    </row>
    <row r="117" spans="1:5" x14ac:dyDescent="0.5">
      <c r="B117" s="302" t="s">
        <v>288</v>
      </c>
      <c r="C117" s="216">
        <f>'Crop Prices &amp; Production Costs'!C41*Q22</f>
        <v>2176231.6967060287</v>
      </c>
      <c r="D117" s="216">
        <f>'Crop Prices &amp; Production Costs'!D41*R22</f>
        <v>10168724.132977722</v>
      </c>
      <c r="E117" s="217">
        <f t="shared" si="18"/>
        <v>-7992492.4362716936</v>
      </c>
    </row>
    <row r="118" spans="1:5" x14ac:dyDescent="0.5">
      <c r="B118" s="301" t="s">
        <v>289</v>
      </c>
      <c r="C118" s="216">
        <f>'Crop Prices &amp; Production Costs'!C42*Q23</f>
        <v>64543273.712589979</v>
      </c>
      <c r="D118" s="216">
        <f>'Crop Prices &amp; Production Costs'!D42*R23</f>
        <v>60967580.696315929</v>
      </c>
      <c r="E118" s="217">
        <f t="shared" si="18"/>
        <v>3575693.0162740499</v>
      </c>
    </row>
    <row r="119" spans="1:5" x14ac:dyDescent="0.5">
      <c r="B119" s="301" t="s">
        <v>290</v>
      </c>
      <c r="C119" s="216">
        <f>'Crop Prices &amp; Production Costs'!C43*Q24</f>
        <v>0</v>
      </c>
      <c r="D119" s="216">
        <f>'Crop Prices &amp; Production Costs'!D43*R24</f>
        <v>0</v>
      </c>
      <c r="E119" s="217">
        <f t="shared" si="18"/>
        <v>0</v>
      </c>
    </row>
    <row r="120" spans="1:5" x14ac:dyDescent="0.5">
      <c r="B120" s="301" t="s">
        <v>291</v>
      </c>
      <c r="C120" s="216">
        <f>'Crop Prices &amp; Production Costs'!C44*Q25</f>
        <v>3357916.9417952201</v>
      </c>
      <c r="D120" s="216">
        <f>'Crop Prices &amp; Production Costs'!D44*R25</f>
        <v>0</v>
      </c>
      <c r="E120" s="217">
        <f t="shared" si="18"/>
        <v>3357916.9417952201</v>
      </c>
    </row>
    <row r="121" spans="1:5" x14ac:dyDescent="0.5">
      <c r="B121" s="302" t="s">
        <v>292</v>
      </c>
      <c r="C121" s="216">
        <f>'Crop Prices &amp; Production Costs'!C45*Q26</f>
        <v>241650.09322560599</v>
      </c>
      <c r="D121" s="216">
        <f>'Crop Prices &amp; Production Costs'!D45*R26</f>
        <v>0</v>
      </c>
      <c r="E121" s="217">
        <f t="shared" si="18"/>
        <v>241650.09322560599</v>
      </c>
    </row>
    <row r="122" spans="1:5" x14ac:dyDescent="0.5">
      <c r="B122" s="301" t="s">
        <v>293</v>
      </c>
      <c r="C122" s="216">
        <f>'Crop Prices &amp; Production Costs'!C46*Q27</f>
        <v>0</v>
      </c>
      <c r="D122" s="216">
        <f>'Crop Prices &amp; Production Costs'!D46*R27</f>
        <v>1015230.4514606078</v>
      </c>
      <c r="E122" s="217">
        <f t="shared" si="18"/>
        <v>-1015230.4514606078</v>
      </c>
    </row>
    <row r="123" spans="1:5" x14ac:dyDescent="0.5">
      <c r="B123" s="301" t="s">
        <v>294</v>
      </c>
      <c r="C123" s="216">
        <f>'Crop Prices &amp; Production Costs'!C47*Q28</f>
        <v>2081439.3957849112</v>
      </c>
      <c r="D123" s="216">
        <f>'Crop Prices &amp; Production Costs'!D47*R28</f>
        <v>11400796.068227064</v>
      </c>
      <c r="E123" s="217">
        <f t="shared" si="18"/>
        <v>-9319356.6724421531</v>
      </c>
    </row>
    <row r="124" spans="1:5" x14ac:dyDescent="0.5">
      <c r="B124" s="301" t="s">
        <v>295</v>
      </c>
      <c r="C124" s="216">
        <f>'Crop Prices &amp; Production Costs'!C48*Q29</f>
        <v>717222.40629895334</v>
      </c>
      <c r="D124" s="216">
        <f>'Crop Prices &amp; Production Costs'!D48*R29</f>
        <v>1725033.717607287</v>
      </c>
      <c r="E124" s="217">
        <f t="shared" si="18"/>
        <v>-1007811.3113083337</v>
      </c>
    </row>
    <row r="125" spans="1:5" x14ac:dyDescent="0.5">
      <c r="B125" s="302" t="s">
        <v>296</v>
      </c>
      <c r="C125" s="216">
        <f>'Crop Prices &amp; Production Costs'!C49*Q30</f>
        <v>3984760.7209446859</v>
      </c>
      <c r="D125" s="216">
        <f>'Crop Prices &amp; Production Costs'!D49*R30</f>
        <v>0</v>
      </c>
      <c r="E125" s="217">
        <f t="shared" si="18"/>
        <v>3984760.7209446859</v>
      </c>
    </row>
    <row r="126" spans="1:5" x14ac:dyDescent="0.5">
      <c r="B126" s="301" t="s">
        <v>297</v>
      </c>
      <c r="C126" s="216">
        <f>'Crop Prices &amp; Production Costs'!C50*Q31</f>
        <v>698648.22871348658</v>
      </c>
      <c r="D126" s="216">
        <f>'Crop Prices &amp; Production Costs'!D50*R31</f>
        <v>0</v>
      </c>
      <c r="E126" s="217">
        <f t="shared" si="18"/>
        <v>698648.22871348658</v>
      </c>
    </row>
    <row r="127" spans="1:5" x14ac:dyDescent="0.5">
      <c r="B127" s="301" t="s">
        <v>298</v>
      </c>
      <c r="C127" s="216">
        <f>'Crop Prices &amp; Production Costs'!C51*Q32</f>
        <v>4985993.6908517359</v>
      </c>
      <c r="D127" s="216">
        <f>'Crop Prices &amp; Production Costs'!D51*R32</f>
        <v>1283777.0491803277</v>
      </c>
      <c r="E127" s="217">
        <f t="shared" si="18"/>
        <v>3702216.641671408</v>
      </c>
    </row>
    <row r="128" spans="1:5" x14ac:dyDescent="0.5">
      <c r="B128" s="301" t="s">
        <v>299</v>
      </c>
      <c r="C128" s="216">
        <f>'Crop Prices &amp; Production Costs'!C52*Q33</f>
        <v>1269716.0883280758</v>
      </c>
      <c r="D128" s="216">
        <f>'Crop Prices &amp; Production Costs'!D52*R33</f>
        <v>1387540.9836065569</v>
      </c>
      <c r="E128" s="217">
        <f t="shared" si="18"/>
        <v>-117824.89527848107</v>
      </c>
    </row>
    <row r="129" spans="1:5" x14ac:dyDescent="0.5">
      <c r="B129" s="302" t="s">
        <v>300</v>
      </c>
      <c r="C129" s="216">
        <f>'Crop Prices &amp; Production Costs'!C53*Q34</f>
        <v>5023797.0049916813</v>
      </c>
      <c r="D129" s="216">
        <f>'Crop Prices &amp; Production Costs'!D53*R34</f>
        <v>3603584.6994535504</v>
      </c>
      <c r="E129" s="217">
        <f t="shared" si="18"/>
        <v>1420212.3055381309</v>
      </c>
    </row>
    <row r="130" spans="1:5" x14ac:dyDescent="0.5">
      <c r="B130" s="301" t="s">
        <v>301</v>
      </c>
      <c r="C130" s="216">
        <f>'Crop Prices &amp; Production Costs'!C54*Q35</f>
        <v>55441931.222525991</v>
      </c>
      <c r="D130" s="216">
        <f>'Crop Prices &amp; Production Costs'!D54*R35</f>
        <v>0</v>
      </c>
      <c r="E130" s="217">
        <f t="shared" si="18"/>
        <v>55441931.222525991</v>
      </c>
    </row>
    <row r="131" spans="1:5" x14ac:dyDescent="0.5">
      <c r="B131" s="301" t="s">
        <v>302</v>
      </c>
      <c r="C131" s="216">
        <f>'Crop Prices &amp; Production Costs'!C55*Q36</f>
        <v>2819168.8937228094</v>
      </c>
      <c r="D131" s="216">
        <f>'Crop Prices &amp; Production Costs'!D55*R36</f>
        <v>0</v>
      </c>
      <c r="E131" s="217">
        <f t="shared" si="18"/>
        <v>2819168.8937228094</v>
      </c>
    </row>
    <row r="132" spans="1:5" x14ac:dyDescent="0.5">
      <c r="B132" s="301" t="s">
        <v>303</v>
      </c>
      <c r="C132" s="216">
        <f>'Crop Prices &amp; Production Costs'!C56*Q37</f>
        <v>3228768.22023055</v>
      </c>
      <c r="D132" s="216">
        <f>'Crop Prices &amp; Production Costs'!D56*R37</f>
        <v>9605806.1270660739</v>
      </c>
      <c r="E132" s="217">
        <f t="shared" si="18"/>
        <v>-6377037.9068355244</v>
      </c>
    </row>
    <row r="133" spans="1:5" x14ac:dyDescent="0.5">
      <c r="B133" s="302" t="s">
        <v>304</v>
      </c>
      <c r="C133" s="216">
        <f>'Crop Prices &amp; Production Costs'!C57*Q38</f>
        <v>422227.95341098175</v>
      </c>
      <c r="D133" s="216">
        <f>'Crop Prices &amp; Production Costs'!D57*R38</f>
        <v>393354.97196813219</v>
      </c>
      <c r="E133" s="217">
        <f t="shared" si="18"/>
        <v>28872.981442849559</v>
      </c>
    </row>
    <row r="134" spans="1:5" x14ac:dyDescent="0.5">
      <c r="B134" s="301" t="s">
        <v>305</v>
      </c>
      <c r="C134" s="216">
        <f>'Crop Prices &amp; Production Costs'!C58*Q39</f>
        <v>0</v>
      </c>
      <c r="D134" s="216">
        <f>'Crop Prices &amp; Production Costs'!D58*R39</f>
        <v>227271.76158158746</v>
      </c>
      <c r="E134" s="217">
        <f t="shared" si="18"/>
        <v>-227271.76158158746</v>
      </c>
    </row>
    <row r="135" spans="1:5" x14ac:dyDescent="0.5">
      <c r="B135" s="301" t="s">
        <v>306</v>
      </c>
      <c r="C135" s="216">
        <f>'Crop Prices &amp; Production Costs'!C59*Q40</f>
        <v>12692405.386368345</v>
      </c>
      <c r="D135" s="216">
        <f>'Crop Prices &amp; Production Costs'!D59*R40</f>
        <v>8081844.505191545</v>
      </c>
      <c r="E135" s="217">
        <f t="shared" si="18"/>
        <v>4610560.8811768005</v>
      </c>
    </row>
    <row r="136" spans="1:5" x14ac:dyDescent="0.5">
      <c r="B136" s="301" t="s">
        <v>307</v>
      </c>
      <c r="C136" s="216">
        <f>'Crop Prices &amp; Production Costs'!C60*Q41</f>
        <v>1470316.1397670552</v>
      </c>
      <c r="D136" s="216">
        <f>'Crop Prices &amp; Production Costs'!D60*R41</f>
        <v>0</v>
      </c>
      <c r="E136" s="217">
        <f t="shared" si="18"/>
        <v>1470316.1397670552</v>
      </c>
    </row>
    <row r="137" spans="1:5" x14ac:dyDescent="0.5">
      <c r="B137" s="302" t="s">
        <v>308</v>
      </c>
      <c r="C137" s="216">
        <f>'Crop Prices &amp; Production Costs'!C61*Q42</f>
        <v>20555378.692235544</v>
      </c>
      <c r="D137" s="216">
        <f>'Crop Prices &amp; Production Costs'!D61*R42</f>
        <v>0</v>
      </c>
      <c r="E137" s="217">
        <f t="shared" si="18"/>
        <v>20555378.692235544</v>
      </c>
    </row>
    <row r="138" spans="1:5" x14ac:dyDescent="0.5">
      <c r="B138" s="302" t="s">
        <v>309</v>
      </c>
      <c r="C138" s="216">
        <f>'Crop Prices &amp; Production Costs'!C62*Q43</f>
        <v>0</v>
      </c>
      <c r="D138" s="216">
        <f>'Crop Prices &amp; Production Costs'!D62*R43</f>
        <v>1410515.350877193</v>
      </c>
      <c r="E138" s="217">
        <f t="shared" si="18"/>
        <v>-1410515.350877193</v>
      </c>
    </row>
    <row r="139" spans="1:5" ht="14.4" thickBot="1" x14ac:dyDescent="0.55000000000000004">
      <c r="B139" s="303" t="s">
        <v>337</v>
      </c>
      <c r="C139" s="218">
        <f>SUM(C114:C138)</f>
        <v>226209462.37594956</v>
      </c>
      <c r="D139" s="218">
        <f>SUM(D114:D138)</f>
        <v>128507126.34178115</v>
      </c>
      <c r="E139" s="219">
        <f>SUM(E114:E138)</f>
        <v>97702336.034168437</v>
      </c>
    </row>
    <row r="140" spans="1:5" ht="16.5" customHeight="1" x14ac:dyDescent="0.5"/>
    <row r="141" spans="1:5" ht="15.3" thickBot="1" x14ac:dyDescent="0.55000000000000004">
      <c r="B141" s="214" t="s">
        <v>351</v>
      </c>
    </row>
    <row r="142" spans="1:5" x14ac:dyDescent="0.5">
      <c r="B142" s="188"/>
      <c r="C142" s="204" t="s">
        <v>337</v>
      </c>
    </row>
    <row r="143" spans="1:5" x14ac:dyDescent="0.5">
      <c r="A143" s="158">
        <v>5</v>
      </c>
      <c r="B143" s="301" t="s">
        <v>352</v>
      </c>
      <c r="C143" s="192">
        <f>Q103-E139+'By-Product Value'!I35</f>
        <v>484098236.43190694</v>
      </c>
    </row>
    <row r="144" spans="1:5" x14ac:dyDescent="0.5">
      <c r="B144" s="301" t="s">
        <v>353</v>
      </c>
      <c r="C144" s="192">
        <f>C143/$F$14</f>
        <v>10523.874705041455</v>
      </c>
    </row>
    <row r="145" spans="1:9" x14ac:dyDescent="0.5">
      <c r="B145" s="301" t="s">
        <v>354</v>
      </c>
      <c r="C145" s="192">
        <f>E139</f>
        <v>97702336.034168437</v>
      </c>
    </row>
    <row r="146" spans="1:9" x14ac:dyDescent="0.5">
      <c r="B146" s="301" t="s">
        <v>355</v>
      </c>
      <c r="C146" s="192">
        <f>C145/$F$14</f>
        <v>2123.9638268297485</v>
      </c>
    </row>
    <row r="147" spans="1:9" x14ac:dyDescent="0.5">
      <c r="B147" s="301" t="s">
        <v>356</v>
      </c>
      <c r="C147" s="192">
        <f>C107-C108</f>
        <v>581638517.91257536</v>
      </c>
    </row>
    <row r="148" spans="1:9" x14ac:dyDescent="0.5">
      <c r="B148" s="303" t="s">
        <v>357</v>
      </c>
      <c r="C148" s="193">
        <f>C147/$F$14</f>
        <v>12644.315606795117</v>
      </c>
    </row>
    <row r="151" spans="1:9" thickBot="1" x14ac:dyDescent="0.5">
      <c r="A151" s="120" t="s">
        <v>35</v>
      </c>
      <c r="B151" s="128"/>
      <c r="C151" s="128"/>
      <c r="D151" s="128"/>
      <c r="E151" s="128"/>
      <c r="F151" s="128"/>
      <c r="G151" s="128"/>
      <c r="H151" s="128"/>
      <c r="I151" s="128"/>
    </row>
    <row r="152" spans="1:9" ht="14.25" customHeight="1" x14ac:dyDescent="0.45">
      <c r="A152" s="119">
        <v>1</v>
      </c>
      <c r="B152" s="696" t="s">
        <v>315</v>
      </c>
      <c r="C152" s="696"/>
      <c r="D152" s="696"/>
      <c r="E152" s="696"/>
      <c r="F152" s="696"/>
      <c r="G152" s="696"/>
      <c r="H152" s="696"/>
      <c r="I152" s="696"/>
    </row>
    <row r="153" spans="1:9" ht="13.8" x14ac:dyDescent="0.45">
      <c r="A153" s="141">
        <v>2</v>
      </c>
      <c r="B153" s="692" t="s">
        <v>358</v>
      </c>
      <c r="C153" s="692"/>
      <c r="D153" s="692"/>
      <c r="E153" s="692"/>
      <c r="F153" s="692"/>
      <c r="G153" s="692"/>
      <c r="H153" s="692"/>
      <c r="I153" s="692"/>
    </row>
    <row r="154" spans="1:9" ht="13.8" x14ac:dyDescent="0.45">
      <c r="A154" s="141">
        <v>3</v>
      </c>
      <c r="B154" s="692" t="s">
        <v>359</v>
      </c>
      <c r="C154" s="692"/>
      <c r="D154" s="692"/>
      <c r="E154" s="692"/>
      <c r="F154" s="692"/>
      <c r="G154" s="692"/>
      <c r="H154" s="692"/>
      <c r="I154" s="692"/>
    </row>
    <row r="155" spans="1:9" ht="13.8" x14ac:dyDescent="0.45">
      <c r="A155" s="141">
        <v>4</v>
      </c>
      <c r="B155" s="692" t="s">
        <v>360</v>
      </c>
      <c r="C155" s="692"/>
      <c r="D155" s="692"/>
      <c r="E155" s="692"/>
      <c r="F155" s="692"/>
      <c r="G155" s="692"/>
      <c r="H155" s="692"/>
      <c r="I155" s="692"/>
    </row>
    <row r="156" spans="1:9" ht="14.25" customHeight="1" x14ac:dyDescent="0.45">
      <c r="A156" s="141">
        <v>5</v>
      </c>
      <c r="B156" s="692" t="s">
        <v>361</v>
      </c>
      <c r="C156" s="692"/>
      <c r="D156" s="692"/>
      <c r="E156" s="692"/>
      <c r="F156" s="692"/>
      <c r="G156" s="692"/>
      <c r="H156" s="692"/>
      <c r="I156" s="692"/>
    </row>
  </sheetData>
  <mergeCells count="42">
    <mergeCell ref="O17:P17"/>
    <mergeCell ref="C10:E10"/>
    <mergeCell ref="B6:L6"/>
    <mergeCell ref="C17:D17"/>
    <mergeCell ref="E17:F17"/>
    <mergeCell ref="G17:H17"/>
    <mergeCell ref="F10:H10"/>
    <mergeCell ref="F11:H11"/>
    <mergeCell ref="F12:H12"/>
    <mergeCell ref="F13:H13"/>
    <mergeCell ref="C11:E11"/>
    <mergeCell ref="C12:E12"/>
    <mergeCell ref="C13:E13"/>
    <mergeCell ref="B14:E14"/>
    <mergeCell ref="B9:D9"/>
    <mergeCell ref="E9:G9"/>
    <mergeCell ref="K47:L47"/>
    <mergeCell ref="M47:N47"/>
    <mergeCell ref="F14:H14"/>
    <mergeCell ref="K17:L17"/>
    <mergeCell ref="M17:N17"/>
    <mergeCell ref="H9:J9"/>
    <mergeCell ref="Q76:Q77"/>
    <mergeCell ref="C106:D106"/>
    <mergeCell ref="C107:D107"/>
    <mergeCell ref="C108:D108"/>
    <mergeCell ref="Q17:R17"/>
    <mergeCell ref="O47:P47"/>
    <mergeCell ref="C76:D76"/>
    <mergeCell ref="E76:F76"/>
    <mergeCell ref="G76:H76"/>
    <mergeCell ref="K76:L76"/>
    <mergeCell ref="M76:N76"/>
    <mergeCell ref="O76:P76"/>
    <mergeCell ref="C47:D47"/>
    <mergeCell ref="E47:F47"/>
    <mergeCell ref="G47:H47"/>
    <mergeCell ref="B155:I155"/>
    <mergeCell ref="B154:I154"/>
    <mergeCell ref="B152:I152"/>
    <mergeCell ref="B153:I153"/>
    <mergeCell ref="B156:I15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F447-19C4-4774-BC04-48F9A66C2D77}">
  <sheetPr>
    <tabColor rgb="FFB4C6E7"/>
  </sheetPr>
  <dimension ref="A1:M39"/>
  <sheetViews>
    <sheetView zoomScale="80" zoomScaleNormal="80" workbookViewId="0">
      <selection activeCell="A38" sqref="A38"/>
    </sheetView>
  </sheetViews>
  <sheetFormatPr defaultColWidth="9.15625" defaultRowHeight="14.4" x14ac:dyDescent="0.55000000000000004"/>
  <cols>
    <col min="1" max="1" width="9.15625" style="138"/>
    <col min="2" max="2" width="26.578125" style="138" customWidth="1"/>
    <col min="3" max="3" width="17.83984375" style="138" customWidth="1"/>
    <col min="4" max="10" width="16.15625" style="138" customWidth="1"/>
    <col min="11" max="11" width="18.41796875" style="138" customWidth="1"/>
    <col min="12" max="16" width="16.15625" style="138" customWidth="1"/>
    <col min="17" max="17" width="21.15625" style="138" customWidth="1"/>
    <col min="18" max="18" width="19.83984375" style="138" customWidth="1"/>
    <col min="19" max="16384" width="9.15625" style="138"/>
  </cols>
  <sheetData>
    <row r="1" spans="1:13" s="133" customFormat="1" ht="13.8" x14ac:dyDescent="0.45">
      <c r="A1" s="29"/>
      <c r="B1" s="127"/>
      <c r="C1" s="122"/>
      <c r="D1" s="122"/>
      <c r="E1" s="123"/>
      <c r="F1" s="123"/>
      <c r="G1" s="123"/>
      <c r="H1" s="123"/>
      <c r="I1" s="123"/>
      <c r="J1" s="123"/>
      <c r="K1" s="29"/>
      <c r="L1" s="121"/>
      <c r="M1" s="29"/>
    </row>
    <row r="2" spans="1:13" s="134" customFormat="1" ht="20.100000000000001" x14ac:dyDescent="0.7">
      <c r="A2" s="117"/>
      <c r="B2" s="31" t="s">
        <v>0</v>
      </c>
      <c r="C2" s="124"/>
      <c r="D2" s="124"/>
      <c r="E2" s="124"/>
      <c r="F2" s="124"/>
      <c r="G2" s="124"/>
      <c r="H2" s="124"/>
      <c r="I2" s="124"/>
      <c r="J2" s="124"/>
      <c r="K2" s="117"/>
      <c r="L2" s="117"/>
      <c r="M2" s="118"/>
    </row>
    <row r="3" spans="1:13" s="134" customFormat="1" ht="21.6" customHeight="1" x14ac:dyDescent="0.6">
      <c r="A3" s="117"/>
      <c r="B3" s="32" t="s">
        <v>1</v>
      </c>
      <c r="C3" s="124"/>
      <c r="D3" s="124"/>
      <c r="E3" s="124"/>
      <c r="F3" s="124"/>
      <c r="G3" s="199"/>
      <c r="H3" s="124"/>
      <c r="I3" s="124"/>
      <c r="J3" s="124"/>
      <c r="K3" s="117"/>
      <c r="L3" s="118"/>
      <c r="M3" s="118"/>
    </row>
    <row r="4" spans="1:13" s="134" customFormat="1" ht="20.100000000000001" x14ac:dyDescent="0.7">
      <c r="A4" s="117"/>
      <c r="B4" s="31"/>
      <c r="C4" s="124"/>
      <c r="D4" s="124"/>
      <c r="E4" s="124"/>
      <c r="F4" s="124"/>
      <c r="G4" s="124"/>
      <c r="H4" s="124"/>
      <c r="I4" s="124"/>
      <c r="J4" s="124"/>
      <c r="K4" s="117"/>
      <c r="L4" s="117"/>
      <c r="M4" s="118"/>
    </row>
    <row r="5" spans="1:13" s="134" customFormat="1" ht="17.7" x14ac:dyDescent="0.6">
      <c r="A5" s="117"/>
      <c r="B5" s="34" t="s">
        <v>19</v>
      </c>
      <c r="C5" s="124"/>
      <c r="D5" s="124"/>
      <c r="E5" s="124"/>
      <c r="F5" s="124"/>
      <c r="G5" s="124"/>
      <c r="H5" s="124"/>
      <c r="I5" s="124"/>
      <c r="J5" s="124"/>
      <c r="K5" s="117"/>
      <c r="L5" s="118"/>
      <c r="M5" s="118"/>
    </row>
    <row r="6" spans="1:13" s="134" customFormat="1" ht="15.75" customHeight="1" x14ac:dyDescent="0.5">
      <c r="A6" s="118"/>
      <c r="B6" s="728" t="s">
        <v>20</v>
      </c>
      <c r="C6" s="728"/>
      <c r="D6" s="728"/>
      <c r="E6" s="728"/>
      <c r="F6" s="728"/>
      <c r="G6" s="728"/>
      <c r="H6" s="728"/>
      <c r="I6" s="728"/>
      <c r="J6" s="728"/>
      <c r="K6" s="210"/>
      <c r="L6" s="210"/>
      <c r="M6" s="118"/>
    </row>
    <row r="7" spans="1:13" s="134" customFormat="1" ht="15" x14ac:dyDescent="0.5">
      <c r="A7" s="140" t="s">
        <v>35</v>
      </c>
      <c r="B7" s="35"/>
      <c r="C7" s="125"/>
      <c r="D7" s="125"/>
      <c r="E7" s="126"/>
      <c r="F7" s="126"/>
      <c r="G7" s="126"/>
      <c r="H7" s="126"/>
      <c r="I7" s="126"/>
      <c r="J7" s="126"/>
      <c r="K7" s="118"/>
      <c r="L7" s="118"/>
      <c r="M7" s="118"/>
    </row>
    <row r="8" spans="1:13" ht="16.5" customHeight="1" thickBot="1" x14ac:dyDescent="0.6">
      <c r="A8" s="30"/>
      <c r="B8" s="30"/>
      <c r="C8" s="30"/>
      <c r="D8" s="30"/>
      <c r="E8" s="30"/>
      <c r="F8" s="30"/>
      <c r="G8" s="30"/>
      <c r="H8" s="30"/>
      <c r="I8" s="30"/>
      <c r="J8" s="30"/>
    </row>
    <row r="9" spans="1:13" ht="42.3" x14ac:dyDescent="0.55000000000000004">
      <c r="A9" s="221" t="s">
        <v>362</v>
      </c>
      <c r="B9" s="324" t="s">
        <v>363</v>
      </c>
      <c r="C9" s="330" t="s">
        <v>364</v>
      </c>
      <c r="D9" s="330" t="s">
        <v>365</v>
      </c>
      <c r="E9" s="330" t="s">
        <v>366</v>
      </c>
      <c r="F9" s="331" t="s">
        <v>367</v>
      </c>
      <c r="G9" s="330" t="s">
        <v>368</v>
      </c>
      <c r="H9" s="325" t="s">
        <v>312</v>
      </c>
      <c r="I9" s="599" t="s">
        <v>369</v>
      </c>
      <c r="J9" s="30"/>
    </row>
    <row r="10" spans="1:13" x14ac:dyDescent="0.55000000000000004">
      <c r="A10" s="30"/>
      <c r="B10" s="301" t="s">
        <v>285</v>
      </c>
      <c r="C10" s="329">
        <v>0</v>
      </c>
      <c r="D10" s="329">
        <v>0</v>
      </c>
      <c r="E10" s="329">
        <f>C10-D10</f>
        <v>0</v>
      </c>
      <c r="F10" s="329">
        <v>0</v>
      </c>
      <c r="G10" s="329">
        <f>C10*F10</f>
        <v>0</v>
      </c>
      <c r="H10" s="329">
        <f>D10*F10</f>
        <v>0</v>
      </c>
      <c r="I10" s="230">
        <f>+F10*E10</f>
        <v>0</v>
      </c>
      <c r="J10" s="30"/>
    </row>
    <row r="11" spans="1:13" x14ac:dyDescent="0.55000000000000004">
      <c r="A11" s="30"/>
      <c r="B11" s="301" t="s">
        <v>286</v>
      </c>
      <c r="C11" s="229">
        <v>168.14999999999998</v>
      </c>
      <c r="D11" s="229">
        <v>1.2</v>
      </c>
      <c r="E11" s="229">
        <f>C11-D11</f>
        <v>166.95</v>
      </c>
      <c r="F11" s="229">
        <v>763.13</v>
      </c>
      <c r="G11" s="229">
        <f>C11*F11</f>
        <v>128320.30949999999</v>
      </c>
      <c r="H11" s="229">
        <f>D11*F11</f>
        <v>915.75599999999997</v>
      </c>
      <c r="I11" s="230">
        <f>+F11*E11</f>
        <v>127404.55349999999</v>
      </c>
      <c r="J11" s="30"/>
    </row>
    <row r="12" spans="1:13" x14ac:dyDescent="0.55000000000000004">
      <c r="A12" s="30"/>
      <c r="B12" s="301" t="s">
        <v>287</v>
      </c>
      <c r="C12" s="216">
        <v>344</v>
      </c>
      <c r="D12" s="216">
        <v>28</v>
      </c>
      <c r="E12" s="216">
        <f>C12-D12</f>
        <v>316</v>
      </c>
      <c r="F12" s="216">
        <v>25</v>
      </c>
      <c r="G12" s="216">
        <f>C12*F12</f>
        <v>8600</v>
      </c>
      <c r="H12" s="216">
        <f>D12*F12</f>
        <v>700</v>
      </c>
      <c r="I12" s="217">
        <f>+F12*E12</f>
        <v>7900</v>
      </c>
      <c r="J12" s="30"/>
    </row>
    <row r="13" spans="1:13" x14ac:dyDescent="0.55000000000000004">
      <c r="A13" s="30"/>
      <c r="B13" s="301" t="s">
        <v>288</v>
      </c>
      <c r="C13" s="216">
        <v>372</v>
      </c>
      <c r="D13" s="216">
        <v>328.29999999999995</v>
      </c>
      <c r="E13" s="216">
        <f>C13-D13</f>
        <v>43.700000000000045</v>
      </c>
      <c r="F13" s="216">
        <v>0</v>
      </c>
      <c r="G13" s="216">
        <f>C13*F13</f>
        <v>0</v>
      </c>
      <c r="H13" s="216">
        <f>D13*F13</f>
        <v>0</v>
      </c>
      <c r="I13" s="217">
        <f>+F13*E13</f>
        <v>0</v>
      </c>
      <c r="J13" s="30"/>
    </row>
    <row r="14" spans="1:13" x14ac:dyDescent="0.55000000000000004">
      <c r="A14" s="30"/>
      <c r="B14" s="301" t="s">
        <v>289</v>
      </c>
      <c r="C14" s="229">
        <v>5378</v>
      </c>
      <c r="D14" s="229">
        <v>2485.6999999999998</v>
      </c>
      <c r="E14" s="229">
        <f>C14-D14</f>
        <v>2892.3</v>
      </c>
      <c r="F14" s="229">
        <v>0</v>
      </c>
      <c r="G14" s="229">
        <f>C14*F14</f>
        <v>0</v>
      </c>
      <c r="H14" s="229">
        <f>D14*F14</f>
        <v>0</v>
      </c>
      <c r="I14" s="230">
        <f>+F14*E14</f>
        <v>0</v>
      </c>
      <c r="J14" s="30"/>
    </row>
    <row r="15" spans="1:13" x14ac:dyDescent="0.55000000000000004">
      <c r="A15" s="30"/>
      <c r="B15" s="301" t="s">
        <v>290</v>
      </c>
      <c r="C15" s="229">
        <v>0</v>
      </c>
      <c r="D15" s="229">
        <v>0</v>
      </c>
      <c r="E15" s="229">
        <v>0</v>
      </c>
      <c r="F15" s="229">
        <v>0</v>
      </c>
      <c r="G15" s="229">
        <v>0</v>
      </c>
      <c r="H15" s="229">
        <v>0</v>
      </c>
      <c r="I15" s="230">
        <v>0</v>
      </c>
      <c r="J15" s="30"/>
    </row>
    <row r="16" spans="1:13" x14ac:dyDescent="0.55000000000000004">
      <c r="A16" s="30"/>
      <c r="B16" s="301" t="s">
        <v>291</v>
      </c>
      <c r="C16" s="216">
        <v>0</v>
      </c>
      <c r="D16" s="216">
        <v>0</v>
      </c>
      <c r="E16" s="216">
        <f t="shared" ref="E16:E35" si="0">C16-D16</f>
        <v>0</v>
      </c>
      <c r="F16" s="216">
        <v>0</v>
      </c>
      <c r="G16" s="216">
        <f t="shared" ref="G16:G34" si="1">C16*F16</f>
        <v>0</v>
      </c>
      <c r="H16" s="216">
        <f t="shared" ref="H16:H34" si="2">D16*F16</f>
        <v>0</v>
      </c>
      <c r="I16" s="217">
        <f t="shared" ref="I16:I34" si="3">+F16*E16</f>
        <v>0</v>
      </c>
      <c r="J16" s="30"/>
    </row>
    <row r="17" spans="1:10" x14ac:dyDescent="0.55000000000000004">
      <c r="A17" s="30"/>
      <c r="B17" s="301" t="s">
        <v>292</v>
      </c>
      <c r="C17" s="216">
        <v>0</v>
      </c>
      <c r="D17" s="216">
        <v>0</v>
      </c>
      <c r="E17" s="216">
        <f t="shared" si="0"/>
        <v>0</v>
      </c>
      <c r="F17" s="216">
        <v>0</v>
      </c>
      <c r="G17" s="216">
        <f t="shared" si="1"/>
        <v>0</v>
      </c>
      <c r="H17" s="216">
        <f t="shared" si="2"/>
        <v>0</v>
      </c>
      <c r="I17" s="217">
        <f t="shared" si="3"/>
        <v>0</v>
      </c>
      <c r="J17" s="30"/>
    </row>
    <row r="18" spans="1:10" x14ac:dyDescent="0.55000000000000004">
      <c r="A18" s="30"/>
      <c r="B18" s="301" t="s">
        <v>293</v>
      </c>
      <c r="C18" s="229">
        <v>0</v>
      </c>
      <c r="D18" s="229">
        <v>0</v>
      </c>
      <c r="E18" s="229">
        <f t="shared" si="0"/>
        <v>0</v>
      </c>
      <c r="F18" s="229">
        <v>0</v>
      </c>
      <c r="G18" s="229">
        <f t="shared" si="1"/>
        <v>0</v>
      </c>
      <c r="H18" s="229">
        <f t="shared" si="2"/>
        <v>0</v>
      </c>
      <c r="I18" s="230">
        <f t="shared" si="3"/>
        <v>0</v>
      </c>
      <c r="J18" s="30"/>
    </row>
    <row r="19" spans="1:10" x14ac:dyDescent="0.55000000000000004">
      <c r="A19" s="30"/>
      <c r="B19" s="301" t="s">
        <v>294</v>
      </c>
      <c r="C19" s="229">
        <v>195</v>
      </c>
      <c r="D19" s="229">
        <v>181.60000000000002</v>
      </c>
      <c r="E19" s="229">
        <f t="shared" si="0"/>
        <v>13.399999999999977</v>
      </c>
      <c r="F19" s="229">
        <v>0</v>
      </c>
      <c r="G19" s="229">
        <f t="shared" si="1"/>
        <v>0</v>
      </c>
      <c r="H19" s="229">
        <f t="shared" si="2"/>
        <v>0</v>
      </c>
      <c r="I19" s="230">
        <f t="shared" si="3"/>
        <v>0</v>
      </c>
      <c r="J19" s="30"/>
    </row>
    <row r="20" spans="1:10" x14ac:dyDescent="0.55000000000000004">
      <c r="A20" s="30"/>
      <c r="B20" s="301" t="s">
        <v>295</v>
      </c>
      <c r="C20" s="216">
        <v>42.5</v>
      </c>
      <c r="D20" s="216">
        <v>14.2</v>
      </c>
      <c r="E20" s="216">
        <f t="shared" si="0"/>
        <v>28.3</v>
      </c>
      <c r="F20" s="216">
        <v>0</v>
      </c>
      <c r="G20" s="216">
        <f t="shared" si="1"/>
        <v>0</v>
      </c>
      <c r="H20" s="216">
        <f t="shared" si="2"/>
        <v>0</v>
      </c>
      <c r="I20" s="217">
        <f t="shared" si="3"/>
        <v>0</v>
      </c>
      <c r="J20" s="30"/>
    </row>
    <row r="21" spans="1:10" x14ac:dyDescent="0.55000000000000004">
      <c r="A21" s="30"/>
      <c r="B21" s="301" t="s">
        <v>296</v>
      </c>
      <c r="C21" s="229">
        <v>65</v>
      </c>
      <c r="D21" s="229">
        <v>0</v>
      </c>
      <c r="E21" s="229">
        <f t="shared" si="0"/>
        <v>65</v>
      </c>
      <c r="F21" s="229">
        <v>0</v>
      </c>
      <c r="G21" s="229">
        <f t="shared" si="1"/>
        <v>0</v>
      </c>
      <c r="H21" s="229">
        <f t="shared" si="2"/>
        <v>0</v>
      </c>
      <c r="I21" s="230">
        <f t="shared" si="3"/>
        <v>0</v>
      </c>
      <c r="J21" s="30"/>
    </row>
    <row r="22" spans="1:10" x14ac:dyDescent="0.55000000000000004">
      <c r="A22" s="30"/>
      <c r="B22" s="301" t="s">
        <v>297</v>
      </c>
      <c r="C22" s="229">
        <v>30.5</v>
      </c>
      <c r="D22" s="229">
        <v>0</v>
      </c>
      <c r="E22" s="229">
        <f t="shared" si="0"/>
        <v>30.5</v>
      </c>
      <c r="F22" s="229">
        <v>0</v>
      </c>
      <c r="G22" s="229">
        <f t="shared" si="1"/>
        <v>0</v>
      </c>
      <c r="H22" s="229">
        <f t="shared" si="2"/>
        <v>0</v>
      </c>
      <c r="I22" s="230">
        <f t="shared" si="3"/>
        <v>0</v>
      </c>
      <c r="J22" s="30"/>
    </row>
    <row r="23" spans="1:10" x14ac:dyDescent="0.55000000000000004">
      <c r="A23" s="30"/>
      <c r="B23" s="301" t="s">
        <v>298</v>
      </c>
      <c r="C23" s="216">
        <v>6</v>
      </c>
      <c r="D23" s="216">
        <v>0.65</v>
      </c>
      <c r="E23" s="216">
        <f t="shared" si="0"/>
        <v>5.35</v>
      </c>
      <c r="F23" s="216">
        <v>5000</v>
      </c>
      <c r="G23" s="216">
        <f t="shared" si="1"/>
        <v>30000</v>
      </c>
      <c r="H23" s="216">
        <f t="shared" si="2"/>
        <v>3250</v>
      </c>
      <c r="I23" s="217">
        <f t="shared" si="3"/>
        <v>26750</v>
      </c>
      <c r="J23" s="30"/>
    </row>
    <row r="24" spans="1:10" x14ac:dyDescent="0.55000000000000004">
      <c r="A24" s="30"/>
      <c r="B24" s="301" t="s">
        <v>299</v>
      </c>
      <c r="C24" s="216">
        <v>8</v>
      </c>
      <c r="D24" s="216">
        <v>5</v>
      </c>
      <c r="E24" s="216">
        <f t="shared" si="0"/>
        <v>3</v>
      </c>
      <c r="F24" s="216">
        <v>0</v>
      </c>
      <c r="G24" s="216">
        <f t="shared" si="1"/>
        <v>0</v>
      </c>
      <c r="H24" s="216">
        <f t="shared" si="2"/>
        <v>0</v>
      </c>
      <c r="I24" s="217">
        <f t="shared" si="3"/>
        <v>0</v>
      </c>
      <c r="J24" s="30"/>
    </row>
    <row r="25" spans="1:10" x14ac:dyDescent="0.55000000000000004">
      <c r="A25" s="30"/>
      <c r="B25" s="301" t="s">
        <v>300</v>
      </c>
      <c r="C25" s="229">
        <v>0</v>
      </c>
      <c r="D25" s="229">
        <v>0</v>
      </c>
      <c r="E25" s="229">
        <f t="shared" si="0"/>
        <v>0</v>
      </c>
      <c r="F25" s="229">
        <v>0</v>
      </c>
      <c r="G25" s="229">
        <f t="shared" si="1"/>
        <v>0</v>
      </c>
      <c r="H25" s="229">
        <f t="shared" si="2"/>
        <v>0</v>
      </c>
      <c r="I25" s="230">
        <f t="shared" si="3"/>
        <v>0</v>
      </c>
      <c r="J25" s="30"/>
    </row>
    <row r="26" spans="1:10" x14ac:dyDescent="0.55000000000000004">
      <c r="A26" s="30"/>
      <c r="B26" s="301" t="s">
        <v>301</v>
      </c>
      <c r="C26" s="229">
        <v>0</v>
      </c>
      <c r="D26" s="229">
        <v>0</v>
      </c>
      <c r="E26" s="229">
        <f t="shared" si="0"/>
        <v>0</v>
      </c>
      <c r="F26" s="229">
        <v>0</v>
      </c>
      <c r="G26" s="229">
        <f t="shared" si="1"/>
        <v>0</v>
      </c>
      <c r="H26" s="229">
        <f t="shared" si="2"/>
        <v>0</v>
      </c>
      <c r="I26" s="230">
        <f t="shared" si="3"/>
        <v>0</v>
      </c>
      <c r="J26" s="30"/>
    </row>
    <row r="27" spans="1:10" x14ac:dyDescent="0.55000000000000004">
      <c r="A27" s="30"/>
      <c r="B27" s="301" t="s">
        <v>302</v>
      </c>
      <c r="C27" s="216">
        <v>0</v>
      </c>
      <c r="D27" s="216">
        <v>0</v>
      </c>
      <c r="E27" s="216">
        <f t="shared" si="0"/>
        <v>0</v>
      </c>
      <c r="F27" s="216">
        <v>0</v>
      </c>
      <c r="G27" s="216">
        <f t="shared" si="1"/>
        <v>0</v>
      </c>
      <c r="H27" s="216">
        <f t="shared" si="2"/>
        <v>0</v>
      </c>
      <c r="I27" s="217">
        <f t="shared" si="3"/>
        <v>0</v>
      </c>
      <c r="J27" s="30"/>
    </row>
    <row r="28" spans="1:10" x14ac:dyDescent="0.55000000000000004">
      <c r="A28" s="30"/>
      <c r="B28" s="301" t="s">
        <v>303</v>
      </c>
      <c r="C28" s="216">
        <v>273.5</v>
      </c>
      <c r="D28" s="216">
        <v>515</v>
      </c>
      <c r="E28" s="216">
        <f t="shared" si="0"/>
        <v>-241.5</v>
      </c>
      <c r="F28" s="216">
        <v>0</v>
      </c>
      <c r="G28" s="216">
        <f t="shared" si="1"/>
        <v>0</v>
      </c>
      <c r="H28" s="216">
        <f t="shared" si="2"/>
        <v>0</v>
      </c>
      <c r="I28" s="217">
        <f t="shared" si="3"/>
        <v>0</v>
      </c>
      <c r="J28" s="30"/>
    </row>
    <row r="29" spans="1:10" x14ac:dyDescent="0.55000000000000004">
      <c r="A29" s="30"/>
      <c r="B29" s="301" t="s">
        <v>304</v>
      </c>
      <c r="C29" s="229">
        <v>0</v>
      </c>
      <c r="D29" s="229">
        <v>0</v>
      </c>
      <c r="E29" s="229">
        <f t="shared" si="0"/>
        <v>0</v>
      </c>
      <c r="F29" s="229">
        <v>0</v>
      </c>
      <c r="G29" s="229">
        <f t="shared" si="1"/>
        <v>0</v>
      </c>
      <c r="H29" s="229">
        <f t="shared" si="2"/>
        <v>0</v>
      </c>
      <c r="I29" s="230">
        <f t="shared" si="3"/>
        <v>0</v>
      </c>
      <c r="J29" s="30"/>
    </row>
    <row r="30" spans="1:10" x14ac:dyDescent="0.55000000000000004">
      <c r="A30" s="30"/>
      <c r="B30" s="301" t="s">
        <v>305</v>
      </c>
      <c r="C30" s="229">
        <v>0</v>
      </c>
      <c r="D30" s="229">
        <v>0</v>
      </c>
      <c r="E30" s="229">
        <f t="shared" si="0"/>
        <v>0</v>
      </c>
      <c r="F30" s="229">
        <v>0</v>
      </c>
      <c r="G30" s="229">
        <f t="shared" si="1"/>
        <v>0</v>
      </c>
      <c r="H30" s="229">
        <f t="shared" si="2"/>
        <v>0</v>
      </c>
      <c r="I30" s="230">
        <f t="shared" si="3"/>
        <v>0</v>
      </c>
      <c r="J30" s="30"/>
    </row>
    <row r="31" spans="1:10" x14ac:dyDescent="0.55000000000000004">
      <c r="A31" s="30"/>
      <c r="B31" s="301" t="s">
        <v>306</v>
      </c>
      <c r="C31" s="216">
        <v>252.60000000000005</v>
      </c>
      <c r="D31" s="216">
        <v>76.8</v>
      </c>
      <c r="E31" s="216">
        <f t="shared" si="0"/>
        <v>175.80000000000007</v>
      </c>
      <c r="F31" s="216">
        <v>0</v>
      </c>
      <c r="G31" s="216">
        <f t="shared" si="1"/>
        <v>0</v>
      </c>
      <c r="H31" s="216">
        <f t="shared" si="2"/>
        <v>0</v>
      </c>
      <c r="I31" s="217">
        <f t="shared" si="3"/>
        <v>0</v>
      </c>
      <c r="J31" s="30"/>
    </row>
    <row r="32" spans="1:10" x14ac:dyDescent="0.55000000000000004">
      <c r="A32" s="30"/>
      <c r="B32" s="301" t="s">
        <v>307</v>
      </c>
      <c r="C32" s="229">
        <v>0</v>
      </c>
      <c r="D32" s="229">
        <v>0</v>
      </c>
      <c r="E32" s="229">
        <f t="shared" si="0"/>
        <v>0</v>
      </c>
      <c r="F32" s="229">
        <v>0</v>
      </c>
      <c r="G32" s="229">
        <f t="shared" si="1"/>
        <v>0</v>
      </c>
      <c r="H32" s="229">
        <f t="shared" si="2"/>
        <v>0</v>
      </c>
      <c r="I32" s="230">
        <f t="shared" si="3"/>
        <v>0</v>
      </c>
      <c r="J32" s="30"/>
    </row>
    <row r="33" spans="1:10" x14ac:dyDescent="0.55000000000000004">
      <c r="A33" s="30"/>
      <c r="B33" s="301" t="s">
        <v>308</v>
      </c>
      <c r="C33" s="229">
        <v>0</v>
      </c>
      <c r="D33" s="229">
        <v>0</v>
      </c>
      <c r="E33" s="229">
        <f t="shared" si="0"/>
        <v>0</v>
      </c>
      <c r="F33" s="229">
        <v>0</v>
      </c>
      <c r="G33" s="229">
        <f t="shared" si="1"/>
        <v>0</v>
      </c>
      <c r="H33" s="229">
        <f t="shared" si="2"/>
        <v>0</v>
      </c>
      <c r="I33" s="230">
        <f t="shared" si="3"/>
        <v>0</v>
      </c>
      <c r="J33" s="30"/>
    </row>
    <row r="34" spans="1:10" x14ac:dyDescent="0.55000000000000004">
      <c r="A34" s="30"/>
      <c r="B34" s="301" t="s">
        <v>309</v>
      </c>
      <c r="C34" s="216">
        <v>0</v>
      </c>
      <c r="D34" s="216">
        <v>0</v>
      </c>
      <c r="E34" s="216">
        <f t="shared" si="0"/>
        <v>0</v>
      </c>
      <c r="F34" s="216">
        <v>0</v>
      </c>
      <c r="G34" s="216">
        <f t="shared" si="1"/>
        <v>0</v>
      </c>
      <c r="H34" s="216">
        <f t="shared" si="2"/>
        <v>0</v>
      </c>
      <c r="I34" s="217">
        <f t="shared" si="3"/>
        <v>0</v>
      </c>
      <c r="J34" s="30"/>
    </row>
    <row r="35" spans="1:10" ht="14.7" thickBot="1" x14ac:dyDescent="0.6">
      <c r="A35" s="30"/>
      <c r="B35" s="304" t="s">
        <v>337</v>
      </c>
      <c r="C35" s="305">
        <f>SUM(C9:C33)</f>
        <v>7135.25</v>
      </c>
      <c r="D35" s="305">
        <f>SUM(D9:D33)</f>
        <v>3636.45</v>
      </c>
      <c r="E35" s="305">
        <f t="shared" si="0"/>
        <v>3498.8</v>
      </c>
      <c r="F35" s="305">
        <v>0</v>
      </c>
      <c r="G35" s="305">
        <f>SUM(G9:G33)</f>
        <v>166920.30949999997</v>
      </c>
      <c r="H35" s="305">
        <f>SUM(H9:H33)</f>
        <v>4865.7559999999994</v>
      </c>
      <c r="I35" s="306">
        <f>SUM(I9:I33)</f>
        <v>162054.55349999998</v>
      </c>
      <c r="J35" s="30"/>
    </row>
    <row r="36" spans="1:10" x14ac:dyDescent="0.55000000000000004">
      <c r="A36" s="30"/>
      <c r="B36" s="30"/>
      <c r="C36" s="30"/>
      <c r="D36" s="30"/>
      <c r="E36" s="30"/>
      <c r="F36" s="30"/>
      <c r="G36" s="30"/>
      <c r="H36" s="30"/>
      <c r="I36" s="30"/>
      <c r="J36" s="30"/>
    </row>
    <row r="37" spans="1:10" ht="14.7" thickBot="1" x14ac:dyDescent="0.6">
      <c r="A37" s="120" t="s">
        <v>35</v>
      </c>
      <c r="B37" s="128"/>
      <c r="C37" s="128"/>
      <c r="D37" s="128"/>
      <c r="E37" s="128"/>
      <c r="F37" s="128"/>
      <c r="G37" s="128"/>
      <c r="H37" s="128"/>
      <c r="I37" s="128"/>
      <c r="J37" s="30"/>
    </row>
    <row r="38" spans="1:10" x14ac:dyDescent="0.55000000000000004">
      <c r="A38" s="119">
        <v>1</v>
      </c>
      <c r="B38" s="694" t="s">
        <v>370</v>
      </c>
      <c r="C38" s="694"/>
      <c r="D38" s="694"/>
      <c r="E38" s="694"/>
      <c r="F38" s="694"/>
      <c r="G38" s="694"/>
      <c r="H38" s="694"/>
      <c r="I38" s="694"/>
      <c r="J38" s="30"/>
    </row>
    <row r="39" spans="1:10" x14ac:dyDescent="0.55000000000000004">
      <c r="A39" s="141">
        <v>2</v>
      </c>
      <c r="B39" s="141" t="s">
        <v>371</v>
      </c>
      <c r="C39" s="30"/>
      <c r="D39" s="30"/>
      <c r="E39" s="30"/>
      <c r="F39" s="30"/>
      <c r="G39" s="30"/>
      <c r="H39" s="30"/>
      <c r="I39" s="30"/>
      <c r="J39" s="30"/>
    </row>
  </sheetData>
  <mergeCells count="2">
    <mergeCell ref="B6:J6"/>
    <mergeCell ref="B38:I3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1323-D59E-4AD4-B15E-77A3FB5DD380}">
  <sheetPr>
    <tabColor rgb="FFB4C6E7"/>
  </sheetPr>
  <dimension ref="A1:W144"/>
  <sheetViews>
    <sheetView topLeftCell="A129" zoomScale="89" zoomScaleNormal="89" workbookViewId="0">
      <selection activeCell="I122" sqref="I122"/>
    </sheetView>
  </sheetViews>
  <sheetFormatPr defaultColWidth="9.15625" defaultRowHeight="14.4" x14ac:dyDescent="0.55000000000000004"/>
  <cols>
    <col min="1" max="1" width="9.15625" style="164"/>
    <col min="2" max="3" width="21.578125" style="138" customWidth="1"/>
    <col min="4" max="12" width="13" style="138" customWidth="1"/>
    <col min="13" max="15" width="15.41796875" style="138" customWidth="1"/>
    <col min="16" max="16384" width="9.15625" style="138"/>
  </cols>
  <sheetData>
    <row r="1" spans="1:23" s="29" customFormat="1" ht="13.8" x14ac:dyDescent="0.45">
      <c r="A1" s="182"/>
      <c r="B1" s="127"/>
      <c r="C1" s="127"/>
      <c r="D1" s="122"/>
      <c r="E1" s="122"/>
      <c r="F1" s="122"/>
      <c r="G1" s="123"/>
      <c r="H1" s="123"/>
      <c r="I1" s="123"/>
      <c r="J1" s="123"/>
      <c r="K1" s="123"/>
      <c r="L1" s="123"/>
      <c r="M1" s="123"/>
      <c r="N1" s="123"/>
      <c r="P1" s="121"/>
    </row>
    <row r="2" spans="1:23" s="118" customFormat="1" ht="20.100000000000001" x14ac:dyDescent="0.7">
      <c r="A2" s="183"/>
      <c r="B2" s="31" t="s">
        <v>0</v>
      </c>
      <c r="C2" s="31"/>
      <c r="D2" s="124"/>
      <c r="E2" s="124"/>
      <c r="F2" s="124"/>
      <c r="G2" s="124"/>
      <c r="H2" s="124"/>
      <c r="I2" s="124"/>
      <c r="J2" s="124"/>
      <c r="K2" s="124"/>
      <c r="L2" s="124"/>
      <c r="M2" s="124"/>
      <c r="N2" s="124"/>
      <c r="O2" s="117"/>
      <c r="P2" s="117"/>
    </row>
    <row r="3" spans="1:23" s="118" customFormat="1" ht="21.6" customHeight="1" x14ac:dyDescent="0.6">
      <c r="A3" s="183"/>
      <c r="B3" s="32" t="s">
        <v>1</v>
      </c>
      <c r="C3" s="32"/>
      <c r="D3" s="124"/>
      <c r="E3" s="124"/>
      <c r="F3" s="124"/>
      <c r="G3" s="124"/>
      <c r="H3" s="124"/>
      <c r="I3" s="124"/>
      <c r="J3" s="124"/>
      <c r="K3" s="124"/>
      <c r="L3" s="124"/>
      <c r="M3" s="124"/>
      <c r="N3" s="124"/>
      <c r="O3" s="117"/>
    </row>
    <row r="4" spans="1:23" s="118" customFormat="1" ht="20.100000000000001" x14ac:dyDescent="0.7">
      <c r="A4" s="183"/>
      <c r="B4" s="31"/>
      <c r="C4" s="31"/>
      <c r="D4" s="124"/>
      <c r="E4" s="124"/>
      <c r="F4" s="124"/>
      <c r="G4" s="124"/>
      <c r="H4" s="124"/>
      <c r="I4" s="124"/>
      <c r="J4" s="124"/>
      <c r="K4" s="124"/>
      <c r="L4" s="124"/>
      <c r="M4" s="124"/>
      <c r="N4" s="124"/>
      <c r="O4" s="117"/>
      <c r="P4" s="117"/>
    </row>
    <row r="5" spans="1:23" s="118" customFormat="1" ht="17.7" x14ac:dyDescent="0.6">
      <c r="A5" s="183"/>
      <c r="B5" s="34" t="s">
        <v>372</v>
      </c>
      <c r="C5" s="34"/>
      <c r="D5" s="124"/>
      <c r="E5" s="124"/>
      <c r="F5" s="124"/>
      <c r="G5" s="124"/>
      <c r="H5" s="124"/>
      <c r="I5" s="124"/>
      <c r="J5" s="124"/>
      <c r="K5" s="124"/>
      <c r="L5" s="124"/>
      <c r="M5" s="124"/>
      <c r="N5" s="124"/>
      <c r="O5" s="117"/>
    </row>
    <row r="6" spans="1:23" s="118" customFormat="1" ht="30.6" customHeight="1" x14ac:dyDescent="0.5">
      <c r="A6" s="184"/>
      <c r="B6" s="693" t="s">
        <v>22</v>
      </c>
      <c r="C6" s="693"/>
      <c r="D6" s="693"/>
      <c r="E6" s="693"/>
      <c r="F6" s="693"/>
      <c r="G6" s="693"/>
      <c r="H6" s="693"/>
      <c r="I6" s="693"/>
      <c r="J6" s="693"/>
      <c r="K6" s="693"/>
      <c r="L6" s="693"/>
      <c r="M6" s="693"/>
      <c r="N6" s="693"/>
      <c r="O6" s="693"/>
    </row>
    <row r="7" spans="1:23" s="118" customFormat="1" ht="15.3" thickBot="1" x14ac:dyDescent="0.55000000000000004">
      <c r="A7" s="140" t="s">
        <v>35</v>
      </c>
      <c r="B7" s="35"/>
      <c r="C7" s="35"/>
      <c r="D7" s="125"/>
      <c r="E7" s="125"/>
      <c r="F7" s="125"/>
      <c r="G7" s="126"/>
      <c r="H7" s="126"/>
      <c r="I7" s="126"/>
      <c r="J7" s="126"/>
      <c r="K7" s="126"/>
      <c r="L7" s="126"/>
      <c r="M7" s="126"/>
      <c r="N7" s="126"/>
    </row>
    <row r="8" spans="1:23" s="118" customFormat="1" ht="17.7" x14ac:dyDescent="0.6">
      <c r="A8" s="119"/>
      <c r="B8" s="161">
        <v>1</v>
      </c>
      <c r="C8" s="162" t="s">
        <v>373</v>
      </c>
      <c r="D8" s="162"/>
      <c r="E8" s="162"/>
      <c r="F8" s="162"/>
      <c r="G8" s="162"/>
      <c r="H8" s="162"/>
      <c r="I8" s="162"/>
      <c r="J8" s="162"/>
      <c r="K8" s="162"/>
      <c r="L8" s="162"/>
      <c r="M8" s="162"/>
      <c r="N8" s="162"/>
      <c r="O8" s="163"/>
      <c r="P8" s="126"/>
      <c r="Q8" s="126"/>
      <c r="R8" s="126"/>
      <c r="S8" s="126"/>
      <c r="T8" s="126"/>
      <c r="U8" s="126"/>
      <c r="V8" s="126"/>
      <c r="W8" s="126"/>
    </row>
    <row r="9" spans="1:23" s="118" customFormat="1" ht="14.1" x14ac:dyDescent="0.5">
      <c r="A9" s="119"/>
      <c r="B9" s="180">
        <v>1.01</v>
      </c>
      <c r="C9" s="178" t="s">
        <v>311</v>
      </c>
      <c r="D9" s="179"/>
      <c r="E9" s="179"/>
      <c r="F9" s="179"/>
      <c r="G9" s="179"/>
      <c r="H9" s="179"/>
      <c r="I9" s="179"/>
      <c r="J9" s="179"/>
      <c r="K9" s="179"/>
      <c r="L9" s="179"/>
      <c r="M9" s="179"/>
      <c r="N9" s="179"/>
      <c r="O9" s="181"/>
      <c r="P9" s="126"/>
      <c r="Q9" s="126"/>
      <c r="R9" s="126"/>
      <c r="S9" s="126"/>
      <c r="T9" s="126"/>
      <c r="U9" s="126"/>
      <c r="V9" s="126"/>
      <c r="W9" s="126"/>
    </row>
    <row r="10" spans="1:23" s="30" customFormat="1" ht="42.75" customHeight="1" x14ac:dyDescent="0.5">
      <c r="A10" s="158"/>
      <c r="B10" s="371"/>
      <c r="C10" s="609" t="s">
        <v>374</v>
      </c>
      <c r="D10" s="744" t="s">
        <v>375</v>
      </c>
      <c r="E10" s="745"/>
      <c r="F10" s="746"/>
      <c r="G10" s="747" t="s">
        <v>376</v>
      </c>
      <c r="H10" s="745"/>
      <c r="I10" s="745"/>
      <c r="J10" s="745" t="s">
        <v>377</v>
      </c>
      <c r="K10" s="745"/>
      <c r="L10" s="745"/>
      <c r="M10" s="751" t="s">
        <v>378</v>
      </c>
      <c r="N10" s="752"/>
      <c r="O10" s="753"/>
      <c r="P10" s="126"/>
      <c r="Q10" s="126"/>
      <c r="R10" s="126"/>
      <c r="S10" s="126"/>
      <c r="T10" s="126"/>
      <c r="U10" s="126"/>
      <c r="V10" s="126"/>
      <c r="W10" s="126"/>
    </row>
    <row r="11" spans="1:23" ht="43.5" customHeight="1" x14ac:dyDescent="0.55000000000000004">
      <c r="B11" s="370" t="s">
        <v>379</v>
      </c>
      <c r="C11" s="607"/>
      <c r="D11" s="603" t="s">
        <v>380</v>
      </c>
      <c r="E11" s="604" t="s">
        <v>381</v>
      </c>
      <c r="F11" s="605" t="s">
        <v>382</v>
      </c>
      <c r="G11" s="606" t="s">
        <v>380</v>
      </c>
      <c r="H11" s="604" t="s">
        <v>381</v>
      </c>
      <c r="I11" s="604" t="s">
        <v>382</v>
      </c>
      <c r="J11" s="604" t="s">
        <v>380</v>
      </c>
      <c r="K11" s="604" t="s">
        <v>381</v>
      </c>
      <c r="L11" s="604" t="s">
        <v>382</v>
      </c>
      <c r="M11" s="604" t="s">
        <v>380</v>
      </c>
      <c r="N11" s="604" t="s">
        <v>381</v>
      </c>
      <c r="O11" s="605" t="s">
        <v>382</v>
      </c>
      <c r="P11" s="126"/>
      <c r="Q11" s="126"/>
      <c r="R11" s="126"/>
      <c r="S11" s="126"/>
      <c r="T11" s="126"/>
      <c r="U11" s="126"/>
      <c r="V11" s="126"/>
      <c r="W11" s="126"/>
    </row>
    <row r="12" spans="1:23" ht="43.5" customHeight="1" x14ac:dyDescent="0.55000000000000004">
      <c r="A12" s="164">
        <v>1</v>
      </c>
      <c r="B12" s="366" t="s">
        <v>383</v>
      </c>
      <c r="C12" s="360">
        <v>429.5</v>
      </c>
      <c r="D12" s="342">
        <v>36</v>
      </c>
      <c r="E12" s="144">
        <v>74.000000000000014</v>
      </c>
      <c r="F12" s="145">
        <v>1</v>
      </c>
      <c r="G12" s="332">
        <v>3</v>
      </c>
      <c r="H12" s="144">
        <v>0</v>
      </c>
      <c r="I12" s="144">
        <v>0</v>
      </c>
      <c r="J12" s="144">
        <v>0</v>
      </c>
      <c r="K12" s="144">
        <v>0</v>
      </c>
      <c r="L12" s="144">
        <v>0</v>
      </c>
      <c r="M12" s="142">
        <f t="shared" ref="M12:O17" si="0">+G12-J12</f>
        <v>3</v>
      </c>
      <c r="N12" s="142">
        <f t="shared" si="0"/>
        <v>0</v>
      </c>
      <c r="O12" s="143">
        <f t="shared" si="0"/>
        <v>0</v>
      </c>
      <c r="P12" s="126"/>
      <c r="Q12" s="126"/>
      <c r="R12" s="126"/>
      <c r="S12" s="126"/>
      <c r="T12" s="126"/>
      <c r="U12" s="126"/>
      <c r="V12" s="126"/>
      <c r="W12" s="126"/>
    </row>
    <row r="13" spans="1:23" ht="43.5" customHeight="1" x14ac:dyDescent="0.55000000000000004">
      <c r="B13" s="367" t="s">
        <v>384</v>
      </c>
      <c r="C13" s="360">
        <v>429.5</v>
      </c>
      <c r="D13" s="342">
        <v>11</v>
      </c>
      <c r="E13" s="144">
        <v>22.000000000000004</v>
      </c>
      <c r="F13" s="145">
        <v>0</v>
      </c>
      <c r="G13" s="332">
        <v>5</v>
      </c>
      <c r="H13" s="144">
        <v>10</v>
      </c>
      <c r="I13" s="144">
        <v>0</v>
      </c>
      <c r="J13" s="144">
        <v>2</v>
      </c>
      <c r="K13" s="144">
        <v>0</v>
      </c>
      <c r="L13" s="144">
        <v>0</v>
      </c>
      <c r="M13" s="144">
        <f t="shared" si="0"/>
        <v>3</v>
      </c>
      <c r="N13" s="144">
        <f t="shared" si="0"/>
        <v>10</v>
      </c>
      <c r="O13" s="145">
        <f t="shared" si="0"/>
        <v>0</v>
      </c>
      <c r="P13" s="126"/>
      <c r="Q13" s="126"/>
      <c r="R13" s="126"/>
      <c r="S13" s="126"/>
      <c r="T13" s="126"/>
      <c r="U13" s="126"/>
      <c r="V13" s="126"/>
      <c r="W13" s="126"/>
    </row>
    <row r="14" spans="1:23" ht="43.5" customHeight="1" x14ac:dyDescent="0.55000000000000004">
      <c r="B14" s="367" t="s">
        <v>385</v>
      </c>
      <c r="C14" s="360">
        <v>429.5</v>
      </c>
      <c r="D14" s="343">
        <v>7</v>
      </c>
      <c r="E14" s="146">
        <v>28.999999999999996</v>
      </c>
      <c r="F14" s="147">
        <v>0</v>
      </c>
      <c r="G14" s="165">
        <v>2</v>
      </c>
      <c r="H14" s="146">
        <v>5</v>
      </c>
      <c r="I14" s="146">
        <v>0</v>
      </c>
      <c r="J14" s="146">
        <v>0</v>
      </c>
      <c r="K14" s="146">
        <v>0</v>
      </c>
      <c r="L14" s="146">
        <v>0</v>
      </c>
      <c r="M14" s="146">
        <f t="shared" si="0"/>
        <v>2</v>
      </c>
      <c r="N14" s="146">
        <f t="shared" si="0"/>
        <v>5</v>
      </c>
      <c r="O14" s="147">
        <f t="shared" si="0"/>
        <v>0</v>
      </c>
      <c r="P14" s="126"/>
      <c r="Q14" s="126"/>
      <c r="R14" s="126"/>
      <c r="S14" s="126"/>
      <c r="T14" s="126"/>
      <c r="U14" s="126"/>
      <c r="V14" s="126"/>
      <c r="W14" s="126"/>
    </row>
    <row r="15" spans="1:23" ht="43.5" customHeight="1" x14ac:dyDescent="0.55000000000000004">
      <c r="B15" s="368" t="s">
        <v>386</v>
      </c>
      <c r="C15" s="361">
        <v>429.5</v>
      </c>
      <c r="D15" s="344">
        <v>3</v>
      </c>
      <c r="E15" s="148">
        <v>10</v>
      </c>
      <c r="F15" s="149">
        <v>1</v>
      </c>
      <c r="G15" s="166">
        <v>0</v>
      </c>
      <c r="H15" s="148">
        <v>6.9999999999999991</v>
      </c>
      <c r="I15" s="148">
        <v>0</v>
      </c>
      <c r="J15" s="148">
        <v>0</v>
      </c>
      <c r="K15" s="148">
        <v>0</v>
      </c>
      <c r="L15" s="148">
        <v>0</v>
      </c>
      <c r="M15" s="148">
        <f t="shared" si="0"/>
        <v>0</v>
      </c>
      <c r="N15" s="148">
        <f t="shared" si="0"/>
        <v>6.9999999999999991</v>
      </c>
      <c r="O15" s="149">
        <f t="shared" si="0"/>
        <v>0</v>
      </c>
    </row>
    <row r="16" spans="1:23" ht="43.5" customHeight="1" x14ac:dyDescent="0.55000000000000004">
      <c r="B16" s="367" t="s">
        <v>387</v>
      </c>
      <c r="C16" s="360">
        <v>429.5</v>
      </c>
      <c r="D16" s="342">
        <v>3</v>
      </c>
      <c r="E16" s="144">
        <v>2</v>
      </c>
      <c r="F16" s="145">
        <v>0</v>
      </c>
      <c r="G16" s="332">
        <v>1</v>
      </c>
      <c r="H16" s="144">
        <v>7</v>
      </c>
      <c r="I16" s="144">
        <v>0</v>
      </c>
      <c r="J16" s="144">
        <v>0</v>
      </c>
      <c r="K16" s="144">
        <v>0</v>
      </c>
      <c r="L16" s="144">
        <v>0</v>
      </c>
      <c r="M16" s="144">
        <f t="shared" si="0"/>
        <v>1</v>
      </c>
      <c r="N16" s="144">
        <f t="shared" si="0"/>
        <v>7</v>
      </c>
      <c r="O16" s="145">
        <f t="shared" si="0"/>
        <v>0</v>
      </c>
    </row>
    <row r="17" spans="1:15" ht="43.5" customHeight="1" thickBot="1" x14ac:dyDescent="0.6">
      <c r="B17" s="369" t="s">
        <v>388</v>
      </c>
      <c r="C17" s="362">
        <v>429.5</v>
      </c>
      <c r="D17" s="345">
        <v>0</v>
      </c>
      <c r="E17" s="150">
        <v>4</v>
      </c>
      <c r="F17" s="151">
        <v>0</v>
      </c>
      <c r="G17" s="333">
        <v>0</v>
      </c>
      <c r="H17" s="150">
        <v>1</v>
      </c>
      <c r="I17" s="150">
        <v>0</v>
      </c>
      <c r="J17" s="150">
        <v>0</v>
      </c>
      <c r="K17" s="150">
        <v>0</v>
      </c>
      <c r="L17" s="150">
        <v>0</v>
      </c>
      <c r="M17" s="150">
        <f t="shared" si="0"/>
        <v>0</v>
      </c>
      <c r="N17" s="150">
        <f t="shared" si="0"/>
        <v>1</v>
      </c>
      <c r="O17" s="151">
        <f t="shared" si="0"/>
        <v>0</v>
      </c>
    </row>
    <row r="19" spans="1:15" x14ac:dyDescent="0.55000000000000004">
      <c r="B19" s="180">
        <v>1.02</v>
      </c>
      <c r="C19" s="178" t="s">
        <v>312</v>
      </c>
      <c r="D19" s="179"/>
      <c r="E19" s="179"/>
      <c r="F19" s="179"/>
      <c r="G19" s="179"/>
      <c r="H19" s="179"/>
      <c r="I19" s="179"/>
      <c r="J19" s="179"/>
      <c r="K19" s="179"/>
      <c r="L19" s="179"/>
      <c r="M19" s="179"/>
      <c r="N19" s="179"/>
      <c r="O19" s="181"/>
    </row>
    <row r="20" spans="1:15" ht="48.75" customHeight="1" x14ac:dyDescent="0.55000000000000004">
      <c r="B20" s="355"/>
      <c r="C20" s="607" t="s">
        <v>374</v>
      </c>
      <c r="D20" s="739" t="s">
        <v>375</v>
      </c>
      <c r="E20" s="740"/>
      <c r="F20" s="741"/>
      <c r="G20" s="743" t="s">
        <v>376</v>
      </c>
      <c r="H20" s="740"/>
      <c r="I20" s="740"/>
      <c r="J20" s="740" t="s">
        <v>377</v>
      </c>
      <c r="K20" s="740"/>
      <c r="L20" s="740"/>
      <c r="M20" s="750" t="s">
        <v>378</v>
      </c>
      <c r="N20" s="748"/>
      <c r="O20" s="730"/>
    </row>
    <row r="21" spans="1:15" ht="43.5" customHeight="1" x14ac:dyDescent="0.55000000000000004">
      <c r="B21" s="370" t="s">
        <v>379</v>
      </c>
      <c r="C21" s="607"/>
      <c r="D21" s="603" t="s">
        <v>380</v>
      </c>
      <c r="E21" s="604" t="s">
        <v>381</v>
      </c>
      <c r="F21" s="605" t="s">
        <v>382</v>
      </c>
      <c r="G21" s="606" t="s">
        <v>380</v>
      </c>
      <c r="H21" s="604" t="s">
        <v>381</v>
      </c>
      <c r="I21" s="604" t="s">
        <v>382</v>
      </c>
      <c r="J21" s="604" t="s">
        <v>380</v>
      </c>
      <c r="K21" s="604" t="s">
        <v>381</v>
      </c>
      <c r="L21" s="604" t="s">
        <v>382</v>
      </c>
      <c r="M21" s="604" t="s">
        <v>380</v>
      </c>
      <c r="N21" s="604" t="s">
        <v>381</v>
      </c>
      <c r="O21" s="605" t="s">
        <v>382</v>
      </c>
    </row>
    <row r="22" spans="1:15" ht="43.5" customHeight="1" x14ac:dyDescent="0.55000000000000004">
      <c r="A22" s="164">
        <v>1</v>
      </c>
      <c r="B22" s="366" t="s">
        <v>383</v>
      </c>
      <c r="C22" s="360">
        <v>174.20000000000002</v>
      </c>
      <c r="D22" s="342">
        <v>72</v>
      </c>
      <c r="E22" s="144">
        <v>37</v>
      </c>
      <c r="F22" s="145">
        <v>0</v>
      </c>
      <c r="G22" s="332">
        <v>2</v>
      </c>
      <c r="H22" s="144">
        <v>1</v>
      </c>
      <c r="I22" s="144">
        <v>0</v>
      </c>
      <c r="J22" s="144">
        <v>1</v>
      </c>
      <c r="K22" s="144">
        <v>0</v>
      </c>
      <c r="L22" s="144">
        <v>0</v>
      </c>
      <c r="M22" s="142">
        <f t="shared" ref="M22:O27" si="1">+G22-J22</f>
        <v>1</v>
      </c>
      <c r="N22" s="142">
        <f t="shared" si="1"/>
        <v>1</v>
      </c>
      <c r="O22" s="143">
        <f t="shared" si="1"/>
        <v>0</v>
      </c>
    </row>
    <row r="23" spans="1:15" ht="43.5" customHeight="1" x14ac:dyDescent="0.55000000000000004">
      <c r="B23" s="367" t="s">
        <v>384</v>
      </c>
      <c r="C23" s="360">
        <v>174.20000000000002</v>
      </c>
      <c r="D23" s="342">
        <v>28</v>
      </c>
      <c r="E23" s="144">
        <v>13</v>
      </c>
      <c r="F23" s="145">
        <v>1</v>
      </c>
      <c r="G23" s="332">
        <v>2</v>
      </c>
      <c r="H23" s="144">
        <v>0</v>
      </c>
      <c r="I23" s="144">
        <v>0</v>
      </c>
      <c r="J23" s="144">
        <v>0</v>
      </c>
      <c r="K23" s="144">
        <v>0</v>
      </c>
      <c r="L23" s="144">
        <v>0</v>
      </c>
      <c r="M23" s="144">
        <f t="shared" si="1"/>
        <v>2</v>
      </c>
      <c r="N23" s="144">
        <f t="shared" si="1"/>
        <v>0</v>
      </c>
      <c r="O23" s="145">
        <f t="shared" si="1"/>
        <v>0</v>
      </c>
    </row>
    <row r="24" spans="1:15" ht="43.5" customHeight="1" x14ac:dyDescent="0.55000000000000004">
      <c r="B24" s="367" t="s">
        <v>385</v>
      </c>
      <c r="C24" s="360">
        <v>174.20000000000002</v>
      </c>
      <c r="D24" s="343">
        <v>25.999999999999996</v>
      </c>
      <c r="E24" s="146">
        <v>8</v>
      </c>
      <c r="F24" s="147">
        <v>0</v>
      </c>
      <c r="G24" s="165">
        <v>3</v>
      </c>
      <c r="H24" s="146">
        <v>11</v>
      </c>
      <c r="I24" s="146">
        <v>0</v>
      </c>
      <c r="J24" s="146">
        <v>0</v>
      </c>
      <c r="K24" s="146">
        <v>2</v>
      </c>
      <c r="L24" s="146">
        <v>0</v>
      </c>
      <c r="M24" s="146">
        <f t="shared" si="1"/>
        <v>3</v>
      </c>
      <c r="N24" s="146">
        <f t="shared" si="1"/>
        <v>9</v>
      </c>
      <c r="O24" s="147">
        <f t="shared" si="1"/>
        <v>0</v>
      </c>
    </row>
    <row r="25" spans="1:15" ht="43.5" customHeight="1" x14ac:dyDescent="0.55000000000000004">
      <c r="B25" s="368" t="s">
        <v>386</v>
      </c>
      <c r="C25" s="361">
        <v>174.20000000000002</v>
      </c>
      <c r="D25" s="344">
        <v>3</v>
      </c>
      <c r="E25" s="148">
        <v>1</v>
      </c>
      <c r="F25" s="149">
        <v>0</v>
      </c>
      <c r="G25" s="166">
        <v>1</v>
      </c>
      <c r="H25" s="148">
        <v>0</v>
      </c>
      <c r="I25" s="148">
        <v>0</v>
      </c>
      <c r="J25" s="148">
        <v>0</v>
      </c>
      <c r="K25" s="148">
        <v>0</v>
      </c>
      <c r="L25" s="148">
        <v>0</v>
      </c>
      <c r="M25" s="148">
        <f t="shared" si="1"/>
        <v>1</v>
      </c>
      <c r="N25" s="148">
        <f t="shared" si="1"/>
        <v>0</v>
      </c>
      <c r="O25" s="149">
        <f t="shared" si="1"/>
        <v>0</v>
      </c>
    </row>
    <row r="26" spans="1:15" ht="43.5" customHeight="1" x14ac:dyDescent="0.55000000000000004">
      <c r="B26" s="367" t="s">
        <v>387</v>
      </c>
      <c r="C26" s="360">
        <v>174.20000000000002</v>
      </c>
      <c r="D26" s="342">
        <v>3</v>
      </c>
      <c r="E26" s="144">
        <v>4</v>
      </c>
      <c r="F26" s="145">
        <v>0</v>
      </c>
      <c r="G26" s="332">
        <v>5</v>
      </c>
      <c r="H26" s="144">
        <v>0</v>
      </c>
      <c r="I26" s="144">
        <v>0</v>
      </c>
      <c r="J26" s="144">
        <v>0</v>
      </c>
      <c r="K26" s="144">
        <v>0</v>
      </c>
      <c r="L26" s="144">
        <v>0</v>
      </c>
      <c r="M26" s="144">
        <f t="shared" si="1"/>
        <v>5</v>
      </c>
      <c r="N26" s="144">
        <f t="shared" si="1"/>
        <v>0</v>
      </c>
      <c r="O26" s="145">
        <f t="shared" si="1"/>
        <v>0</v>
      </c>
    </row>
    <row r="27" spans="1:15" ht="43.5" customHeight="1" thickBot="1" x14ac:dyDescent="0.6">
      <c r="B27" s="369" t="s">
        <v>388</v>
      </c>
      <c r="C27" s="362">
        <v>174.20000000000002</v>
      </c>
      <c r="D27" s="345">
        <v>1</v>
      </c>
      <c r="E27" s="150">
        <v>6</v>
      </c>
      <c r="F27" s="151">
        <v>0</v>
      </c>
      <c r="G27" s="333">
        <v>0</v>
      </c>
      <c r="H27" s="150">
        <v>2</v>
      </c>
      <c r="I27" s="150">
        <v>0</v>
      </c>
      <c r="J27" s="150">
        <v>0</v>
      </c>
      <c r="K27" s="150">
        <v>0</v>
      </c>
      <c r="L27" s="150">
        <v>0</v>
      </c>
      <c r="M27" s="150">
        <f t="shared" si="1"/>
        <v>0</v>
      </c>
      <c r="N27" s="150">
        <f t="shared" si="1"/>
        <v>2</v>
      </c>
      <c r="O27" s="151">
        <f t="shared" si="1"/>
        <v>0</v>
      </c>
    </row>
    <row r="28" spans="1:15" ht="14.7" thickBot="1" x14ac:dyDescent="0.6"/>
    <row r="29" spans="1:15" ht="17.7" x14ac:dyDescent="0.6">
      <c r="B29" s="161">
        <v>2</v>
      </c>
      <c r="C29" s="162" t="s">
        <v>389</v>
      </c>
      <c r="D29" s="162"/>
      <c r="E29" s="162"/>
      <c r="F29" s="162"/>
      <c r="G29" s="162"/>
      <c r="H29" s="162"/>
      <c r="I29" s="162"/>
      <c r="J29" s="162"/>
      <c r="K29" s="162"/>
      <c r="L29" s="162"/>
      <c r="M29" s="162"/>
      <c r="N29" s="162"/>
      <c r="O29" s="163"/>
    </row>
    <row r="30" spans="1:15" x14ac:dyDescent="0.55000000000000004">
      <c r="B30" s="180">
        <v>2.0099999999999998</v>
      </c>
      <c r="C30" s="178" t="s">
        <v>311</v>
      </c>
      <c r="D30" s="179"/>
      <c r="E30" s="179"/>
      <c r="F30" s="179"/>
      <c r="G30" s="179"/>
      <c r="H30" s="179"/>
      <c r="I30" s="179"/>
      <c r="J30" s="179"/>
      <c r="K30" s="179"/>
      <c r="L30" s="179"/>
      <c r="M30" s="179"/>
      <c r="N30" s="179"/>
      <c r="O30" s="181"/>
    </row>
    <row r="31" spans="1:15" ht="24.6" x14ac:dyDescent="0.55000000000000004">
      <c r="B31" s="355"/>
      <c r="C31" s="607" t="s">
        <v>374</v>
      </c>
      <c r="D31" s="739" t="s">
        <v>375</v>
      </c>
      <c r="E31" s="740"/>
      <c r="F31" s="741"/>
      <c r="G31" s="743" t="s">
        <v>376</v>
      </c>
      <c r="H31" s="740"/>
      <c r="I31" s="740"/>
      <c r="J31" s="740" t="s">
        <v>377</v>
      </c>
      <c r="K31" s="740"/>
      <c r="L31" s="740"/>
      <c r="M31" s="750" t="s">
        <v>378</v>
      </c>
      <c r="N31" s="748"/>
      <c r="O31" s="730"/>
    </row>
    <row r="32" spans="1:15" ht="43.5" customHeight="1" x14ac:dyDescent="0.55000000000000004">
      <c r="B32" s="370" t="s">
        <v>379</v>
      </c>
      <c r="C32" s="607"/>
      <c r="D32" s="603" t="s">
        <v>380</v>
      </c>
      <c r="E32" s="604" t="s">
        <v>381</v>
      </c>
      <c r="F32" s="605" t="s">
        <v>382</v>
      </c>
      <c r="G32" s="606" t="s">
        <v>380</v>
      </c>
      <c r="H32" s="604" t="s">
        <v>381</v>
      </c>
      <c r="I32" s="604" t="s">
        <v>382</v>
      </c>
      <c r="J32" s="604" t="s">
        <v>380</v>
      </c>
      <c r="K32" s="604" t="s">
        <v>381</v>
      </c>
      <c r="L32" s="604" t="s">
        <v>382</v>
      </c>
      <c r="M32" s="604" t="s">
        <v>380</v>
      </c>
      <c r="N32" s="604" t="s">
        <v>381</v>
      </c>
      <c r="O32" s="605" t="s">
        <v>382</v>
      </c>
    </row>
    <row r="33" spans="1:15" ht="43.5" customHeight="1" x14ac:dyDescent="0.55000000000000004">
      <c r="A33" s="164">
        <v>1</v>
      </c>
      <c r="B33" s="366" t="s">
        <v>383</v>
      </c>
      <c r="C33" s="360">
        <v>116.99999999999997</v>
      </c>
      <c r="D33" s="342">
        <v>9</v>
      </c>
      <c r="E33" s="144">
        <v>190.99999999999997</v>
      </c>
      <c r="F33" s="145">
        <v>0</v>
      </c>
      <c r="G33" s="332">
        <v>2</v>
      </c>
      <c r="H33" s="144">
        <v>7</v>
      </c>
      <c r="I33" s="144">
        <v>0</v>
      </c>
      <c r="J33" s="144">
        <v>0</v>
      </c>
      <c r="K33" s="144">
        <v>0</v>
      </c>
      <c r="L33" s="144">
        <v>0</v>
      </c>
      <c r="M33" s="142">
        <f t="shared" ref="M33:O34" si="2">+G33-J33</f>
        <v>2</v>
      </c>
      <c r="N33" s="142">
        <f t="shared" si="2"/>
        <v>7</v>
      </c>
      <c r="O33" s="143">
        <f t="shared" si="2"/>
        <v>0</v>
      </c>
    </row>
    <row r="34" spans="1:15" ht="43.5" customHeight="1" x14ac:dyDescent="0.55000000000000004">
      <c r="B34" s="367" t="s">
        <v>384</v>
      </c>
      <c r="C34" s="360">
        <v>116.99999999999997</v>
      </c>
      <c r="D34" s="342">
        <v>5</v>
      </c>
      <c r="E34" s="144">
        <v>68.999999999999986</v>
      </c>
      <c r="F34" s="145">
        <v>0</v>
      </c>
      <c r="G34" s="332">
        <v>0</v>
      </c>
      <c r="H34" s="144">
        <v>20</v>
      </c>
      <c r="I34" s="144">
        <v>0</v>
      </c>
      <c r="J34" s="144">
        <v>0</v>
      </c>
      <c r="K34" s="144">
        <v>0</v>
      </c>
      <c r="L34" s="144">
        <v>0</v>
      </c>
      <c r="M34" s="144">
        <f t="shared" si="2"/>
        <v>0</v>
      </c>
      <c r="N34" s="144">
        <f t="shared" si="2"/>
        <v>20</v>
      </c>
      <c r="O34" s="145">
        <f t="shared" si="2"/>
        <v>0</v>
      </c>
    </row>
    <row r="35" spans="1:15" ht="43.5" customHeight="1" x14ac:dyDescent="0.55000000000000004">
      <c r="B35" s="367" t="s">
        <v>385</v>
      </c>
      <c r="C35" s="360">
        <v>116.99999999999997</v>
      </c>
      <c r="D35" s="343">
        <v>2</v>
      </c>
      <c r="E35" s="146">
        <v>59</v>
      </c>
      <c r="F35" s="147">
        <v>0</v>
      </c>
      <c r="G35" s="165">
        <v>3</v>
      </c>
      <c r="H35" s="146">
        <v>11</v>
      </c>
      <c r="I35" s="144">
        <v>0</v>
      </c>
      <c r="J35" s="144">
        <v>0</v>
      </c>
      <c r="K35" s="144">
        <v>0</v>
      </c>
      <c r="L35" s="144">
        <v>0</v>
      </c>
      <c r="M35" s="146">
        <f t="shared" ref="M35:O38" si="3">+G35-J35</f>
        <v>3</v>
      </c>
      <c r="N35" s="146">
        <f t="shared" si="3"/>
        <v>11</v>
      </c>
      <c r="O35" s="147">
        <f t="shared" si="3"/>
        <v>0</v>
      </c>
    </row>
    <row r="36" spans="1:15" ht="43.5" customHeight="1" x14ac:dyDescent="0.55000000000000004">
      <c r="B36" s="368" t="s">
        <v>386</v>
      </c>
      <c r="C36" s="361">
        <v>116.99999999999997</v>
      </c>
      <c r="D36" s="344">
        <v>0</v>
      </c>
      <c r="E36" s="148">
        <v>22</v>
      </c>
      <c r="F36" s="149">
        <v>0</v>
      </c>
      <c r="G36" s="166">
        <v>2</v>
      </c>
      <c r="H36" s="148">
        <v>8</v>
      </c>
      <c r="I36" s="144">
        <v>0</v>
      </c>
      <c r="J36" s="144">
        <v>0</v>
      </c>
      <c r="K36" s="144">
        <v>0</v>
      </c>
      <c r="L36" s="144">
        <v>0</v>
      </c>
      <c r="M36" s="148">
        <f t="shared" si="3"/>
        <v>2</v>
      </c>
      <c r="N36" s="148">
        <f t="shared" si="3"/>
        <v>8</v>
      </c>
      <c r="O36" s="149">
        <f t="shared" si="3"/>
        <v>0</v>
      </c>
    </row>
    <row r="37" spans="1:15" ht="43.5" customHeight="1" x14ac:dyDescent="0.55000000000000004">
      <c r="B37" s="367" t="s">
        <v>387</v>
      </c>
      <c r="C37" s="360">
        <v>116.99999999999997</v>
      </c>
      <c r="D37" s="342">
        <v>0</v>
      </c>
      <c r="E37" s="144">
        <v>9</v>
      </c>
      <c r="F37" s="145">
        <v>0</v>
      </c>
      <c r="G37" s="332">
        <v>3</v>
      </c>
      <c r="H37" s="144">
        <v>13.999999999999998</v>
      </c>
      <c r="I37" s="144">
        <v>0</v>
      </c>
      <c r="J37" s="144">
        <v>0</v>
      </c>
      <c r="K37" s="144">
        <v>0</v>
      </c>
      <c r="L37" s="144">
        <v>0</v>
      </c>
      <c r="M37" s="144">
        <f t="shared" si="3"/>
        <v>3</v>
      </c>
      <c r="N37" s="144">
        <f t="shared" si="3"/>
        <v>13.999999999999998</v>
      </c>
      <c r="O37" s="145">
        <f t="shared" si="3"/>
        <v>0</v>
      </c>
    </row>
    <row r="38" spans="1:15" ht="43.5" customHeight="1" thickBot="1" x14ac:dyDescent="0.6">
      <c r="B38" s="369" t="s">
        <v>388</v>
      </c>
      <c r="C38" s="362">
        <v>116.99999999999997</v>
      </c>
      <c r="D38" s="345">
        <v>0</v>
      </c>
      <c r="E38" s="150">
        <v>14.999999999999998</v>
      </c>
      <c r="F38" s="151">
        <v>0</v>
      </c>
      <c r="G38" s="333">
        <v>0</v>
      </c>
      <c r="H38" s="150">
        <v>0</v>
      </c>
      <c r="I38" s="150">
        <v>0</v>
      </c>
      <c r="J38" s="150">
        <v>0</v>
      </c>
      <c r="K38" s="150">
        <v>0</v>
      </c>
      <c r="L38" s="150">
        <v>0</v>
      </c>
      <c r="M38" s="150">
        <f t="shared" si="3"/>
        <v>0</v>
      </c>
      <c r="N38" s="150">
        <f t="shared" si="3"/>
        <v>0</v>
      </c>
      <c r="O38" s="151">
        <f t="shared" si="3"/>
        <v>0</v>
      </c>
    </row>
    <row r="40" spans="1:15" x14ac:dyDescent="0.55000000000000004">
      <c r="B40" s="180">
        <v>2.02</v>
      </c>
      <c r="C40" s="178" t="s">
        <v>312</v>
      </c>
      <c r="D40" s="179"/>
      <c r="E40" s="179"/>
      <c r="F40" s="179"/>
      <c r="G40" s="179"/>
      <c r="H40" s="179"/>
      <c r="I40" s="179"/>
      <c r="J40" s="179"/>
      <c r="K40" s="179"/>
      <c r="L40" s="179"/>
      <c r="M40" s="179"/>
      <c r="N40" s="179"/>
      <c r="O40" s="181"/>
    </row>
    <row r="41" spans="1:15" ht="24.6" x14ac:dyDescent="0.55000000000000004">
      <c r="B41" s="355"/>
      <c r="C41" s="607" t="s">
        <v>374</v>
      </c>
      <c r="D41" s="739" t="s">
        <v>375</v>
      </c>
      <c r="E41" s="740"/>
      <c r="F41" s="741"/>
      <c r="G41" s="743" t="s">
        <v>376</v>
      </c>
      <c r="H41" s="740"/>
      <c r="I41" s="740"/>
      <c r="J41" s="740" t="s">
        <v>377</v>
      </c>
      <c r="K41" s="740"/>
      <c r="L41" s="740"/>
      <c r="M41" s="750" t="s">
        <v>378</v>
      </c>
      <c r="N41" s="748"/>
      <c r="O41" s="730"/>
    </row>
    <row r="42" spans="1:15" ht="43.5" customHeight="1" x14ac:dyDescent="0.55000000000000004">
      <c r="B42" s="370" t="s">
        <v>379</v>
      </c>
      <c r="C42" s="607"/>
      <c r="D42" s="603" t="s">
        <v>380</v>
      </c>
      <c r="E42" s="604" t="s">
        <v>381</v>
      </c>
      <c r="F42" s="605" t="s">
        <v>382</v>
      </c>
      <c r="G42" s="606" t="s">
        <v>380</v>
      </c>
      <c r="H42" s="604" t="s">
        <v>381</v>
      </c>
      <c r="I42" s="604" t="s">
        <v>382</v>
      </c>
      <c r="J42" s="604" t="s">
        <v>380</v>
      </c>
      <c r="K42" s="604" t="s">
        <v>381</v>
      </c>
      <c r="L42" s="604" t="s">
        <v>382</v>
      </c>
      <c r="M42" s="604" t="s">
        <v>380</v>
      </c>
      <c r="N42" s="604" t="s">
        <v>381</v>
      </c>
      <c r="O42" s="605" t="s">
        <v>382</v>
      </c>
    </row>
    <row r="43" spans="1:15" ht="43.5" customHeight="1" x14ac:dyDescent="0.55000000000000004">
      <c r="A43" s="164">
        <v>1</v>
      </c>
      <c r="B43" s="366" t="s">
        <v>383</v>
      </c>
      <c r="C43" s="360">
        <v>91.8</v>
      </c>
      <c r="D43" s="342">
        <v>1</v>
      </c>
      <c r="E43" s="144">
        <v>122</v>
      </c>
      <c r="F43" s="144">
        <v>0</v>
      </c>
      <c r="G43" s="332">
        <v>1</v>
      </c>
      <c r="H43" s="144">
        <v>3</v>
      </c>
      <c r="I43" s="144">
        <v>0</v>
      </c>
      <c r="J43" s="144">
        <v>0</v>
      </c>
      <c r="K43" s="144">
        <v>0</v>
      </c>
      <c r="L43" s="144">
        <v>0</v>
      </c>
      <c r="M43" s="142">
        <f t="shared" ref="M43:O48" si="4">+G43-J43</f>
        <v>1</v>
      </c>
      <c r="N43" s="142">
        <f t="shared" si="4"/>
        <v>3</v>
      </c>
      <c r="O43" s="143">
        <f t="shared" si="4"/>
        <v>0</v>
      </c>
    </row>
    <row r="44" spans="1:15" ht="43.5" customHeight="1" x14ac:dyDescent="0.55000000000000004">
      <c r="B44" s="367" t="s">
        <v>384</v>
      </c>
      <c r="C44" s="360">
        <v>91.8</v>
      </c>
      <c r="D44" s="144">
        <v>0</v>
      </c>
      <c r="E44" s="144">
        <v>29.999999999999996</v>
      </c>
      <c r="F44" s="144">
        <v>0</v>
      </c>
      <c r="G44" s="332">
        <v>1</v>
      </c>
      <c r="H44" s="144">
        <v>12</v>
      </c>
      <c r="I44" s="144">
        <v>0</v>
      </c>
      <c r="J44" s="144">
        <v>0</v>
      </c>
      <c r="K44" s="144">
        <v>0</v>
      </c>
      <c r="L44" s="144">
        <v>0</v>
      </c>
      <c r="M44" s="144">
        <f t="shared" si="4"/>
        <v>1</v>
      </c>
      <c r="N44" s="144">
        <f t="shared" si="4"/>
        <v>12</v>
      </c>
      <c r="O44" s="145">
        <f t="shared" si="4"/>
        <v>0</v>
      </c>
    </row>
    <row r="45" spans="1:15" ht="43.5" customHeight="1" x14ac:dyDescent="0.55000000000000004">
      <c r="B45" s="367" t="s">
        <v>385</v>
      </c>
      <c r="C45" s="360">
        <v>91.8</v>
      </c>
      <c r="D45" s="144">
        <v>0</v>
      </c>
      <c r="E45" s="146">
        <v>34.999999999999993</v>
      </c>
      <c r="F45" s="144">
        <v>0</v>
      </c>
      <c r="G45" s="165">
        <v>1</v>
      </c>
      <c r="H45" s="146">
        <v>12</v>
      </c>
      <c r="I45" s="144">
        <v>0</v>
      </c>
      <c r="J45" s="144">
        <v>0</v>
      </c>
      <c r="K45" s="144">
        <v>0</v>
      </c>
      <c r="L45" s="144">
        <v>0</v>
      </c>
      <c r="M45" s="146">
        <f t="shared" si="4"/>
        <v>1</v>
      </c>
      <c r="N45" s="146">
        <f t="shared" si="4"/>
        <v>12</v>
      </c>
      <c r="O45" s="147">
        <f t="shared" si="4"/>
        <v>0</v>
      </c>
    </row>
    <row r="46" spans="1:15" ht="43.5" customHeight="1" x14ac:dyDescent="0.55000000000000004">
      <c r="B46" s="368" t="s">
        <v>386</v>
      </c>
      <c r="C46" s="361">
        <v>91.8</v>
      </c>
      <c r="D46" s="144">
        <v>0</v>
      </c>
      <c r="E46" s="148">
        <v>13</v>
      </c>
      <c r="F46" s="144">
        <v>0</v>
      </c>
      <c r="G46" s="166">
        <v>2</v>
      </c>
      <c r="H46" s="148">
        <v>4</v>
      </c>
      <c r="I46" s="144">
        <v>0</v>
      </c>
      <c r="J46" s="144">
        <v>0</v>
      </c>
      <c r="K46" s="144">
        <v>0</v>
      </c>
      <c r="L46" s="144">
        <v>0</v>
      </c>
      <c r="M46" s="148">
        <f t="shared" si="4"/>
        <v>2</v>
      </c>
      <c r="N46" s="148">
        <f t="shared" si="4"/>
        <v>4</v>
      </c>
      <c r="O46" s="149">
        <f t="shared" si="4"/>
        <v>0</v>
      </c>
    </row>
    <row r="47" spans="1:15" ht="43.5" customHeight="1" x14ac:dyDescent="0.55000000000000004">
      <c r="B47" s="367" t="s">
        <v>387</v>
      </c>
      <c r="C47" s="360">
        <v>91.8</v>
      </c>
      <c r="D47" s="144">
        <v>0</v>
      </c>
      <c r="E47" s="144">
        <v>4</v>
      </c>
      <c r="F47" s="144">
        <v>0</v>
      </c>
      <c r="G47" s="332">
        <v>0</v>
      </c>
      <c r="H47" s="144">
        <v>2</v>
      </c>
      <c r="I47" s="144">
        <v>0</v>
      </c>
      <c r="J47" s="144">
        <v>0</v>
      </c>
      <c r="K47" s="144">
        <v>0</v>
      </c>
      <c r="L47" s="144">
        <v>0</v>
      </c>
      <c r="M47" s="144">
        <f t="shared" si="4"/>
        <v>0</v>
      </c>
      <c r="N47" s="144">
        <f t="shared" si="4"/>
        <v>2</v>
      </c>
      <c r="O47" s="145">
        <f t="shared" si="4"/>
        <v>0</v>
      </c>
    </row>
    <row r="48" spans="1:15" ht="43.5" customHeight="1" thickBot="1" x14ac:dyDescent="0.6">
      <c r="B48" s="369" t="s">
        <v>388</v>
      </c>
      <c r="C48" s="362">
        <v>91.8</v>
      </c>
      <c r="D48" s="345">
        <v>1</v>
      </c>
      <c r="E48" s="150">
        <v>3</v>
      </c>
      <c r="F48" s="150">
        <v>0</v>
      </c>
      <c r="G48" s="333">
        <v>1</v>
      </c>
      <c r="H48" s="150">
        <v>0</v>
      </c>
      <c r="I48" s="150">
        <v>0</v>
      </c>
      <c r="J48" s="150">
        <v>0</v>
      </c>
      <c r="K48" s="150">
        <v>0</v>
      </c>
      <c r="L48" s="150">
        <v>0</v>
      </c>
      <c r="M48" s="150">
        <f t="shared" si="4"/>
        <v>1</v>
      </c>
      <c r="N48" s="150">
        <f t="shared" si="4"/>
        <v>0</v>
      </c>
      <c r="O48" s="151">
        <f t="shared" si="4"/>
        <v>0</v>
      </c>
    </row>
    <row r="49" spans="1:15" ht="14.7" thickBot="1" x14ac:dyDescent="0.6"/>
    <row r="50" spans="1:15" ht="17.7" x14ac:dyDescent="0.6">
      <c r="B50" s="161">
        <v>3</v>
      </c>
      <c r="C50" s="162" t="s">
        <v>390</v>
      </c>
      <c r="D50" s="162"/>
      <c r="E50" s="162"/>
      <c r="F50" s="162"/>
      <c r="G50" s="162"/>
      <c r="H50" s="162"/>
      <c r="I50" s="162"/>
      <c r="J50" s="162"/>
      <c r="K50" s="162"/>
      <c r="L50" s="162"/>
      <c r="M50" s="162"/>
      <c r="N50" s="162"/>
      <c r="O50" s="163"/>
    </row>
    <row r="51" spans="1:15" x14ac:dyDescent="0.55000000000000004">
      <c r="B51" s="180">
        <v>3.01</v>
      </c>
      <c r="C51" s="178" t="s">
        <v>311</v>
      </c>
      <c r="D51" s="179"/>
      <c r="E51" s="179"/>
      <c r="F51" s="179"/>
      <c r="G51" s="179"/>
      <c r="H51" s="179"/>
      <c r="I51" s="179"/>
      <c r="J51" s="179"/>
      <c r="K51" s="179"/>
      <c r="L51" s="179"/>
      <c r="M51" s="179"/>
      <c r="N51" s="179"/>
      <c r="O51" s="181"/>
    </row>
    <row r="52" spans="1:15" ht="24.6" x14ac:dyDescent="0.55000000000000004">
      <c r="B52" s="355"/>
      <c r="C52" s="607" t="s">
        <v>374</v>
      </c>
      <c r="D52" s="739" t="s">
        <v>375</v>
      </c>
      <c r="E52" s="740"/>
      <c r="F52" s="741"/>
      <c r="G52" s="743" t="s">
        <v>376</v>
      </c>
      <c r="H52" s="740"/>
      <c r="I52" s="740"/>
      <c r="J52" s="740" t="s">
        <v>377</v>
      </c>
      <c r="K52" s="740"/>
      <c r="L52" s="740"/>
      <c r="M52" s="750" t="s">
        <v>378</v>
      </c>
      <c r="N52" s="748"/>
      <c r="O52" s="730"/>
    </row>
    <row r="53" spans="1:15" ht="43.5" customHeight="1" x14ac:dyDescent="0.55000000000000004">
      <c r="B53" s="370" t="s">
        <v>379</v>
      </c>
      <c r="C53" s="607"/>
      <c r="D53" s="603" t="s">
        <v>380</v>
      </c>
      <c r="E53" s="604" t="s">
        <v>381</v>
      </c>
      <c r="F53" s="605" t="s">
        <v>382</v>
      </c>
      <c r="G53" s="606" t="s">
        <v>380</v>
      </c>
      <c r="H53" s="604" t="s">
        <v>381</v>
      </c>
      <c r="I53" s="604" t="s">
        <v>382</v>
      </c>
      <c r="J53" s="604" t="s">
        <v>380</v>
      </c>
      <c r="K53" s="604" t="s">
        <v>381</v>
      </c>
      <c r="L53" s="604" t="s">
        <v>382</v>
      </c>
      <c r="M53" s="604" t="s">
        <v>380</v>
      </c>
      <c r="N53" s="604" t="s">
        <v>381</v>
      </c>
      <c r="O53" s="605" t="s">
        <v>382</v>
      </c>
    </row>
    <row r="54" spans="1:15" ht="43.5" customHeight="1" x14ac:dyDescent="0.55000000000000004">
      <c r="A54" s="164">
        <v>1</v>
      </c>
      <c r="B54" s="366" t="s">
        <v>383</v>
      </c>
      <c r="C54" s="338">
        <v>66.5</v>
      </c>
      <c r="D54" s="346">
        <v>0</v>
      </c>
      <c r="E54" s="142">
        <v>79</v>
      </c>
      <c r="F54" s="143">
        <v>0</v>
      </c>
      <c r="G54" s="334">
        <v>0</v>
      </c>
      <c r="H54" s="142">
        <v>6</v>
      </c>
      <c r="I54" s="142">
        <v>0</v>
      </c>
      <c r="J54" s="142">
        <v>0</v>
      </c>
      <c r="K54" s="142">
        <v>1</v>
      </c>
      <c r="L54" s="142">
        <v>0</v>
      </c>
      <c r="M54" s="142">
        <f t="shared" ref="M54:O59" si="5">+G54-J54</f>
        <v>0</v>
      </c>
      <c r="N54" s="142">
        <f t="shared" si="5"/>
        <v>5</v>
      </c>
      <c r="O54" s="143">
        <f t="shared" si="5"/>
        <v>0</v>
      </c>
    </row>
    <row r="55" spans="1:15" ht="43.5" customHeight="1" x14ac:dyDescent="0.55000000000000004">
      <c r="B55" s="367" t="s">
        <v>384</v>
      </c>
      <c r="C55" s="339">
        <v>66.5</v>
      </c>
      <c r="D55" s="342">
        <v>0</v>
      </c>
      <c r="E55" s="144">
        <v>21</v>
      </c>
      <c r="F55" s="145">
        <v>0</v>
      </c>
      <c r="G55" s="332">
        <v>0</v>
      </c>
      <c r="H55" s="144">
        <v>1</v>
      </c>
      <c r="I55" s="144">
        <v>0</v>
      </c>
      <c r="J55" s="144">
        <v>0</v>
      </c>
      <c r="K55" s="144">
        <v>0</v>
      </c>
      <c r="L55" s="144">
        <v>0</v>
      </c>
      <c r="M55" s="144">
        <f t="shared" si="5"/>
        <v>0</v>
      </c>
      <c r="N55" s="144">
        <f t="shared" si="5"/>
        <v>1</v>
      </c>
      <c r="O55" s="145">
        <f t="shared" si="5"/>
        <v>0</v>
      </c>
    </row>
    <row r="56" spans="1:15" ht="43.5" customHeight="1" x14ac:dyDescent="0.55000000000000004">
      <c r="B56" s="367" t="s">
        <v>385</v>
      </c>
      <c r="C56" s="339">
        <v>66.5</v>
      </c>
      <c r="D56" s="343">
        <v>0</v>
      </c>
      <c r="E56" s="146">
        <v>32</v>
      </c>
      <c r="F56" s="147">
        <v>0</v>
      </c>
      <c r="G56" s="165">
        <v>0</v>
      </c>
      <c r="H56" s="146">
        <v>7</v>
      </c>
      <c r="I56" s="146">
        <v>0</v>
      </c>
      <c r="J56" s="144">
        <v>0</v>
      </c>
      <c r="K56" s="144">
        <v>0</v>
      </c>
      <c r="L56" s="144">
        <v>0</v>
      </c>
      <c r="M56" s="146">
        <f t="shared" si="5"/>
        <v>0</v>
      </c>
      <c r="N56" s="146">
        <f t="shared" si="5"/>
        <v>7</v>
      </c>
      <c r="O56" s="147">
        <f t="shared" si="5"/>
        <v>0</v>
      </c>
    </row>
    <row r="57" spans="1:15" ht="43.5" customHeight="1" x14ac:dyDescent="0.55000000000000004">
      <c r="B57" s="368" t="s">
        <v>386</v>
      </c>
      <c r="C57" s="340">
        <v>66.5</v>
      </c>
      <c r="D57" s="344">
        <v>0</v>
      </c>
      <c r="E57" s="148">
        <v>20</v>
      </c>
      <c r="F57" s="149">
        <v>0</v>
      </c>
      <c r="G57" s="166">
        <v>0</v>
      </c>
      <c r="H57" s="148">
        <v>6</v>
      </c>
      <c r="I57" s="148">
        <v>0</v>
      </c>
      <c r="J57" s="144">
        <v>0</v>
      </c>
      <c r="K57" s="144">
        <v>0</v>
      </c>
      <c r="L57" s="144">
        <v>0</v>
      </c>
      <c r="M57" s="148">
        <f t="shared" si="5"/>
        <v>0</v>
      </c>
      <c r="N57" s="148">
        <f t="shared" si="5"/>
        <v>6</v>
      </c>
      <c r="O57" s="149">
        <f t="shared" si="5"/>
        <v>0</v>
      </c>
    </row>
    <row r="58" spans="1:15" ht="43.5" customHeight="1" x14ac:dyDescent="0.55000000000000004">
      <c r="B58" s="367" t="s">
        <v>387</v>
      </c>
      <c r="C58" s="339">
        <v>66.5</v>
      </c>
      <c r="D58" s="342">
        <v>0</v>
      </c>
      <c r="E58" s="144">
        <v>9</v>
      </c>
      <c r="F58" s="145">
        <v>0</v>
      </c>
      <c r="G58" s="332">
        <v>0</v>
      </c>
      <c r="H58" s="144">
        <v>15</v>
      </c>
      <c r="I58" s="144">
        <v>0</v>
      </c>
      <c r="J58" s="144">
        <v>0</v>
      </c>
      <c r="K58" s="144">
        <v>0</v>
      </c>
      <c r="L58" s="144">
        <v>0</v>
      </c>
      <c r="M58" s="144">
        <f t="shared" si="5"/>
        <v>0</v>
      </c>
      <c r="N58" s="144">
        <f t="shared" si="5"/>
        <v>15</v>
      </c>
      <c r="O58" s="145">
        <f t="shared" si="5"/>
        <v>0</v>
      </c>
    </row>
    <row r="59" spans="1:15" ht="43.5" customHeight="1" thickBot="1" x14ac:dyDescent="0.6">
      <c r="B59" s="369" t="s">
        <v>388</v>
      </c>
      <c r="C59" s="341">
        <v>66.5</v>
      </c>
      <c r="D59" s="345">
        <v>0</v>
      </c>
      <c r="E59" s="150">
        <v>2</v>
      </c>
      <c r="F59" s="151">
        <v>0</v>
      </c>
      <c r="G59" s="333">
        <v>0</v>
      </c>
      <c r="H59" s="150">
        <v>0</v>
      </c>
      <c r="I59" s="150">
        <v>0</v>
      </c>
      <c r="J59" s="150">
        <v>0</v>
      </c>
      <c r="K59" s="150">
        <v>0</v>
      </c>
      <c r="L59" s="150">
        <v>0</v>
      </c>
      <c r="M59" s="150">
        <f t="shared" si="5"/>
        <v>0</v>
      </c>
      <c r="N59" s="150">
        <f t="shared" si="5"/>
        <v>0</v>
      </c>
      <c r="O59" s="151">
        <f t="shared" si="5"/>
        <v>0</v>
      </c>
    </row>
    <row r="61" spans="1:15" x14ac:dyDescent="0.55000000000000004">
      <c r="B61" s="180">
        <v>3.02</v>
      </c>
      <c r="C61" s="178" t="s">
        <v>312</v>
      </c>
      <c r="D61" s="179"/>
      <c r="E61" s="179"/>
      <c r="F61" s="179"/>
      <c r="G61" s="179"/>
      <c r="H61" s="179"/>
      <c r="I61" s="179"/>
      <c r="J61" s="179"/>
      <c r="K61" s="179"/>
      <c r="L61" s="179"/>
      <c r="M61" s="179"/>
      <c r="N61" s="179"/>
      <c r="O61" s="181"/>
    </row>
    <row r="62" spans="1:15" ht="24.6" x14ac:dyDescent="0.55000000000000004">
      <c r="B62" s="355"/>
      <c r="C62" s="607" t="s">
        <v>374</v>
      </c>
      <c r="D62" s="739" t="s">
        <v>375</v>
      </c>
      <c r="E62" s="740"/>
      <c r="F62" s="742"/>
      <c r="G62" s="743" t="s">
        <v>376</v>
      </c>
      <c r="H62" s="740"/>
      <c r="I62" s="740"/>
      <c r="J62" s="740" t="s">
        <v>377</v>
      </c>
      <c r="K62" s="740"/>
      <c r="L62" s="740"/>
      <c r="M62" s="750" t="s">
        <v>378</v>
      </c>
      <c r="N62" s="748"/>
      <c r="O62" s="730"/>
    </row>
    <row r="63" spans="1:15" ht="43.5" customHeight="1" x14ac:dyDescent="0.55000000000000004">
      <c r="B63" s="370" t="s">
        <v>379</v>
      </c>
      <c r="C63" s="607"/>
      <c r="D63" s="603" t="s">
        <v>380</v>
      </c>
      <c r="E63" s="604" t="s">
        <v>381</v>
      </c>
      <c r="F63" s="605" t="s">
        <v>382</v>
      </c>
      <c r="G63" s="606" t="s">
        <v>380</v>
      </c>
      <c r="H63" s="604" t="s">
        <v>381</v>
      </c>
      <c r="I63" s="604" t="s">
        <v>382</v>
      </c>
      <c r="J63" s="604" t="s">
        <v>380</v>
      </c>
      <c r="K63" s="604" t="s">
        <v>381</v>
      </c>
      <c r="L63" s="604" t="s">
        <v>382</v>
      </c>
      <c r="M63" s="604" t="s">
        <v>380</v>
      </c>
      <c r="N63" s="604" t="s">
        <v>381</v>
      </c>
      <c r="O63" s="605" t="s">
        <v>382</v>
      </c>
    </row>
    <row r="64" spans="1:15" ht="43.5" customHeight="1" x14ac:dyDescent="0.55000000000000004">
      <c r="A64" s="164">
        <v>1</v>
      </c>
      <c r="B64" s="366" t="s">
        <v>383</v>
      </c>
      <c r="C64" s="338">
        <v>45.7</v>
      </c>
      <c r="D64" s="346">
        <v>3</v>
      </c>
      <c r="E64" s="142">
        <v>41</v>
      </c>
      <c r="F64" s="143">
        <v>15</v>
      </c>
      <c r="G64" s="334">
        <v>0</v>
      </c>
      <c r="H64" s="142">
        <v>2</v>
      </c>
      <c r="I64" s="142">
        <v>0</v>
      </c>
      <c r="J64" s="142">
        <v>0</v>
      </c>
      <c r="K64" s="142">
        <v>0</v>
      </c>
      <c r="L64" s="142">
        <v>0</v>
      </c>
      <c r="M64" s="142">
        <f t="shared" ref="M64:O69" si="6">+G64-J64</f>
        <v>0</v>
      </c>
      <c r="N64" s="142">
        <f t="shared" si="6"/>
        <v>2</v>
      </c>
      <c r="O64" s="143">
        <f t="shared" si="6"/>
        <v>0</v>
      </c>
    </row>
    <row r="65" spans="2:15" ht="43.5" customHeight="1" x14ac:dyDescent="0.55000000000000004">
      <c r="B65" s="367" t="s">
        <v>384</v>
      </c>
      <c r="C65" s="339">
        <v>45.7</v>
      </c>
      <c r="D65" s="342">
        <v>3</v>
      </c>
      <c r="E65" s="144">
        <v>17.000000000000004</v>
      </c>
      <c r="F65" s="145">
        <v>5</v>
      </c>
      <c r="G65" s="332">
        <v>0</v>
      </c>
      <c r="H65" s="144">
        <v>4</v>
      </c>
      <c r="I65" s="144">
        <v>1</v>
      </c>
      <c r="J65" s="144">
        <v>0</v>
      </c>
      <c r="K65" s="144">
        <v>0</v>
      </c>
      <c r="L65" s="144">
        <v>0</v>
      </c>
      <c r="M65" s="144">
        <f t="shared" si="6"/>
        <v>0</v>
      </c>
      <c r="N65" s="144">
        <f t="shared" si="6"/>
        <v>4</v>
      </c>
      <c r="O65" s="145">
        <f t="shared" si="6"/>
        <v>1</v>
      </c>
    </row>
    <row r="66" spans="2:15" ht="43.5" customHeight="1" x14ac:dyDescent="0.55000000000000004">
      <c r="B66" s="367" t="s">
        <v>385</v>
      </c>
      <c r="C66" s="339">
        <v>45.7</v>
      </c>
      <c r="D66" s="343">
        <v>1</v>
      </c>
      <c r="E66" s="146">
        <v>13</v>
      </c>
      <c r="F66" s="147">
        <v>2</v>
      </c>
      <c r="G66" s="165">
        <v>1</v>
      </c>
      <c r="H66" s="146">
        <v>6</v>
      </c>
      <c r="I66" s="146">
        <v>0</v>
      </c>
      <c r="J66" s="144">
        <v>0</v>
      </c>
      <c r="K66" s="144">
        <v>0</v>
      </c>
      <c r="L66" s="144">
        <v>0</v>
      </c>
      <c r="M66" s="146">
        <f t="shared" si="6"/>
        <v>1</v>
      </c>
      <c r="N66" s="146">
        <f t="shared" si="6"/>
        <v>6</v>
      </c>
      <c r="O66" s="147">
        <f t="shared" si="6"/>
        <v>0</v>
      </c>
    </row>
    <row r="67" spans="2:15" ht="43.5" customHeight="1" x14ac:dyDescent="0.55000000000000004">
      <c r="B67" s="368" t="s">
        <v>386</v>
      </c>
      <c r="C67" s="340">
        <v>45.7</v>
      </c>
      <c r="D67" s="344">
        <v>0</v>
      </c>
      <c r="E67" s="148">
        <v>0</v>
      </c>
      <c r="F67" s="149">
        <v>0</v>
      </c>
      <c r="G67" s="166">
        <v>0</v>
      </c>
      <c r="H67" s="148">
        <v>1</v>
      </c>
      <c r="I67" s="148">
        <v>0</v>
      </c>
      <c r="J67" s="144">
        <v>0</v>
      </c>
      <c r="K67" s="144">
        <v>0</v>
      </c>
      <c r="L67" s="144">
        <v>0</v>
      </c>
      <c r="M67" s="148">
        <f t="shared" si="6"/>
        <v>0</v>
      </c>
      <c r="N67" s="148">
        <f t="shared" si="6"/>
        <v>1</v>
      </c>
      <c r="O67" s="149">
        <f t="shared" si="6"/>
        <v>0</v>
      </c>
    </row>
    <row r="68" spans="2:15" ht="43.5" customHeight="1" x14ac:dyDescent="0.55000000000000004">
      <c r="B68" s="367" t="s">
        <v>387</v>
      </c>
      <c r="C68" s="339">
        <v>45.7</v>
      </c>
      <c r="D68" s="342">
        <v>0</v>
      </c>
      <c r="E68" s="144">
        <v>14</v>
      </c>
      <c r="F68" s="145">
        <v>0</v>
      </c>
      <c r="G68" s="332">
        <v>0</v>
      </c>
      <c r="H68" s="144">
        <v>0</v>
      </c>
      <c r="I68" s="144">
        <v>0</v>
      </c>
      <c r="J68" s="144">
        <v>0</v>
      </c>
      <c r="K68" s="144">
        <v>0</v>
      </c>
      <c r="L68" s="144">
        <v>0</v>
      </c>
      <c r="M68" s="144">
        <f t="shared" si="6"/>
        <v>0</v>
      </c>
      <c r="N68" s="144">
        <f t="shared" si="6"/>
        <v>0</v>
      </c>
      <c r="O68" s="145">
        <f t="shared" si="6"/>
        <v>0</v>
      </c>
    </row>
    <row r="69" spans="2:15" ht="43.5" customHeight="1" thickBot="1" x14ac:dyDescent="0.6">
      <c r="B69" s="369" t="s">
        <v>388</v>
      </c>
      <c r="C69" s="341">
        <v>45.7</v>
      </c>
      <c r="D69" s="345">
        <v>0</v>
      </c>
      <c r="E69" s="150">
        <v>5</v>
      </c>
      <c r="F69" s="151">
        <v>0</v>
      </c>
      <c r="G69" s="333">
        <v>0</v>
      </c>
      <c r="H69" s="150">
        <v>2</v>
      </c>
      <c r="I69" s="150">
        <v>0</v>
      </c>
      <c r="J69" s="150">
        <v>0</v>
      </c>
      <c r="K69" s="150">
        <v>0</v>
      </c>
      <c r="L69" s="150">
        <v>0</v>
      </c>
      <c r="M69" s="150">
        <f t="shared" si="6"/>
        <v>0</v>
      </c>
      <c r="N69" s="150">
        <f t="shared" si="6"/>
        <v>2</v>
      </c>
      <c r="O69" s="151">
        <f t="shared" si="6"/>
        <v>0</v>
      </c>
    </row>
    <row r="70" spans="2:15" ht="14.7" thickBot="1" x14ac:dyDescent="0.6"/>
    <row r="71" spans="2:15" ht="17.7" x14ac:dyDescent="0.6">
      <c r="B71" s="161">
        <v>4</v>
      </c>
      <c r="C71" s="162" t="s">
        <v>391</v>
      </c>
      <c r="D71" s="162"/>
      <c r="E71" s="162"/>
      <c r="F71" s="162"/>
      <c r="G71" s="162"/>
      <c r="H71" s="162"/>
      <c r="I71" s="162"/>
      <c r="J71" s="162"/>
      <c r="K71" s="162"/>
      <c r="L71" s="162"/>
      <c r="M71" s="162"/>
      <c r="N71" s="162"/>
      <c r="O71" s="163"/>
    </row>
    <row r="72" spans="2:15" x14ac:dyDescent="0.55000000000000004">
      <c r="B72" s="180">
        <v>4.01</v>
      </c>
      <c r="C72" s="178" t="s">
        <v>311</v>
      </c>
      <c r="D72" s="179"/>
      <c r="E72" s="179"/>
      <c r="F72" s="179"/>
      <c r="G72" s="179"/>
      <c r="H72" s="179"/>
      <c r="I72" s="179"/>
      <c r="J72" s="179"/>
      <c r="K72" s="179"/>
      <c r="L72" s="179"/>
      <c r="M72" s="179"/>
      <c r="N72" s="179"/>
      <c r="O72" s="181"/>
    </row>
    <row r="73" spans="2:15" ht="24.6" x14ac:dyDescent="0.55000000000000004">
      <c r="B73" s="355"/>
      <c r="C73" s="607" t="s">
        <v>374</v>
      </c>
      <c r="D73" s="740" t="s">
        <v>375</v>
      </c>
      <c r="E73" s="740"/>
      <c r="F73" s="741"/>
      <c r="G73" s="743" t="s">
        <v>376</v>
      </c>
      <c r="H73" s="740"/>
      <c r="I73" s="740"/>
      <c r="J73" s="740" t="s">
        <v>377</v>
      </c>
      <c r="K73" s="740"/>
      <c r="L73" s="740"/>
      <c r="M73" s="750" t="s">
        <v>392</v>
      </c>
      <c r="N73" s="748"/>
      <c r="O73" s="730"/>
    </row>
    <row r="74" spans="2:15" ht="43.5" customHeight="1" x14ac:dyDescent="0.55000000000000004">
      <c r="B74" s="370" t="s">
        <v>379</v>
      </c>
      <c r="C74" s="607"/>
      <c r="D74" s="604" t="s">
        <v>380</v>
      </c>
      <c r="E74" s="608" t="s">
        <v>381</v>
      </c>
      <c r="F74" s="605" t="s">
        <v>382</v>
      </c>
      <c r="G74" s="606" t="s">
        <v>380</v>
      </c>
      <c r="H74" s="604" t="s">
        <v>381</v>
      </c>
      <c r="I74" s="604" t="s">
        <v>382</v>
      </c>
      <c r="J74" s="604" t="s">
        <v>380</v>
      </c>
      <c r="K74" s="604" t="s">
        <v>381</v>
      </c>
      <c r="L74" s="604" t="s">
        <v>382</v>
      </c>
      <c r="M74" s="604" t="s">
        <v>380</v>
      </c>
      <c r="N74" s="604" t="s">
        <v>381</v>
      </c>
      <c r="O74" s="605" t="s">
        <v>382</v>
      </c>
    </row>
    <row r="75" spans="2:15" ht="43.5" customHeight="1" x14ac:dyDescent="0.55000000000000004">
      <c r="B75" s="366" t="s">
        <v>383</v>
      </c>
      <c r="C75" s="347"/>
      <c r="D75" s="349">
        <f>D12+D33+D54</f>
        <v>45</v>
      </c>
      <c r="E75" s="336">
        <f>E12+E33+E54</f>
        <v>344</v>
      </c>
      <c r="F75" s="350">
        <f>F12+F33+F54</f>
        <v>1</v>
      </c>
      <c r="G75" s="173">
        <f>G12+G33+G54</f>
        <v>5</v>
      </c>
      <c r="H75" s="173">
        <f>H12+H33+H54</f>
        <v>13</v>
      </c>
      <c r="I75" s="173">
        <f t="shared" ref="I75:L76" si="7">I12+I33+I54</f>
        <v>0</v>
      </c>
      <c r="J75" s="173">
        <f t="shared" si="7"/>
        <v>0</v>
      </c>
      <c r="K75" s="173">
        <f t="shared" si="7"/>
        <v>1</v>
      </c>
      <c r="L75" s="173">
        <f t="shared" si="7"/>
        <v>0</v>
      </c>
      <c r="M75" s="142">
        <f t="shared" ref="M75:O80" si="8">+G75-J75</f>
        <v>5</v>
      </c>
      <c r="N75" s="142">
        <f t="shared" si="8"/>
        <v>12</v>
      </c>
      <c r="O75" s="143">
        <f t="shared" si="8"/>
        <v>0</v>
      </c>
    </row>
    <row r="76" spans="2:15" ht="43.5" customHeight="1" x14ac:dyDescent="0.55000000000000004">
      <c r="B76" s="367" t="s">
        <v>384</v>
      </c>
      <c r="C76" s="347"/>
      <c r="D76" s="349">
        <f t="shared" ref="D76:L80" si="9">D13+D34+D55</f>
        <v>16</v>
      </c>
      <c r="E76" s="336">
        <f t="shared" si="9"/>
        <v>111.99999999999999</v>
      </c>
      <c r="F76" s="350">
        <f t="shared" si="9"/>
        <v>0</v>
      </c>
      <c r="G76" s="173">
        <f t="shared" si="9"/>
        <v>5</v>
      </c>
      <c r="H76" s="173">
        <f t="shared" si="9"/>
        <v>31</v>
      </c>
      <c r="I76" s="173">
        <f t="shared" si="7"/>
        <v>0</v>
      </c>
      <c r="J76" s="173">
        <f t="shared" si="7"/>
        <v>2</v>
      </c>
      <c r="K76" s="173">
        <f t="shared" si="7"/>
        <v>0</v>
      </c>
      <c r="L76" s="173">
        <f t="shared" si="7"/>
        <v>0</v>
      </c>
      <c r="M76" s="144">
        <f t="shared" si="8"/>
        <v>3</v>
      </c>
      <c r="N76" s="144">
        <f t="shared" si="8"/>
        <v>31</v>
      </c>
      <c r="O76" s="145">
        <f t="shared" si="8"/>
        <v>0</v>
      </c>
    </row>
    <row r="77" spans="2:15" ht="43.5" customHeight="1" x14ac:dyDescent="0.55000000000000004">
      <c r="B77" s="367" t="s">
        <v>385</v>
      </c>
      <c r="C77" s="347"/>
      <c r="D77" s="349">
        <f t="shared" si="9"/>
        <v>9</v>
      </c>
      <c r="E77" s="336">
        <f t="shared" si="9"/>
        <v>120</v>
      </c>
      <c r="F77" s="350">
        <f t="shared" si="9"/>
        <v>0</v>
      </c>
      <c r="G77" s="173">
        <f t="shared" si="9"/>
        <v>5</v>
      </c>
      <c r="H77" s="173">
        <f t="shared" si="9"/>
        <v>23</v>
      </c>
      <c r="I77" s="173">
        <f t="shared" si="9"/>
        <v>0</v>
      </c>
      <c r="J77" s="173">
        <f t="shared" si="9"/>
        <v>0</v>
      </c>
      <c r="K77" s="173">
        <f t="shared" si="9"/>
        <v>0</v>
      </c>
      <c r="L77" s="173">
        <f t="shared" si="9"/>
        <v>0</v>
      </c>
      <c r="M77" s="146">
        <f t="shared" si="8"/>
        <v>5</v>
      </c>
      <c r="N77" s="146">
        <f t="shared" si="8"/>
        <v>23</v>
      </c>
      <c r="O77" s="147">
        <f t="shared" si="8"/>
        <v>0</v>
      </c>
    </row>
    <row r="78" spans="2:15" ht="43.5" customHeight="1" x14ac:dyDescent="0.55000000000000004">
      <c r="B78" s="368" t="s">
        <v>386</v>
      </c>
      <c r="C78" s="347"/>
      <c r="D78" s="349">
        <f t="shared" si="9"/>
        <v>3</v>
      </c>
      <c r="E78" s="336">
        <f t="shared" si="9"/>
        <v>52</v>
      </c>
      <c r="F78" s="350">
        <f t="shared" si="9"/>
        <v>1</v>
      </c>
      <c r="G78" s="173">
        <f t="shared" si="9"/>
        <v>2</v>
      </c>
      <c r="H78" s="173">
        <f t="shared" si="9"/>
        <v>21</v>
      </c>
      <c r="I78" s="173">
        <f t="shared" si="9"/>
        <v>0</v>
      </c>
      <c r="J78" s="173">
        <f t="shared" si="9"/>
        <v>0</v>
      </c>
      <c r="K78" s="173">
        <f t="shared" si="9"/>
        <v>0</v>
      </c>
      <c r="L78" s="173">
        <f t="shared" si="9"/>
        <v>0</v>
      </c>
      <c r="M78" s="148">
        <f t="shared" si="8"/>
        <v>2</v>
      </c>
      <c r="N78" s="148">
        <f t="shared" si="8"/>
        <v>21</v>
      </c>
      <c r="O78" s="149">
        <f t="shared" si="8"/>
        <v>0</v>
      </c>
    </row>
    <row r="79" spans="2:15" ht="43.5" customHeight="1" x14ac:dyDescent="0.55000000000000004">
      <c r="B79" s="367" t="s">
        <v>387</v>
      </c>
      <c r="C79" s="347"/>
      <c r="D79" s="349">
        <f t="shared" si="9"/>
        <v>3</v>
      </c>
      <c r="E79" s="336">
        <f t="shared" si="9"/>
        <v>20</v>
      </c>
      <c r="F79" s="350">
        <f t="shared" si="9"/>
        <v>0</v>
      </c>
      <c r="G79" s="173">
        <f t="shared" si="9"/>
        <v>4</v>
      </c>
      <c r="H79" s="173">
        <f t="shared" si="9"/>
        <v>36</v>
      </c>
      <c r="I79" s="173">
        <f t="shared" si="9"/>
        <v>0</v>
      </c>
      <c r="J79" s="173">
        <f t="shared" si="9"/>
        <v>0</v>
      </c>
      <c r="K79" s="173">
        <f t="shared" si="9"/>
        <v>0</v>
      </c>
      <c r="L79" s="173">
        <f t="shared" si="9"/>
        <v>0</v>
      </c>
      <c r="M79" s="144">
        <f t="shared" si="8"/>
        <v>4</v>
      </c>
      <c r="N79" s="144">
        <f t="shared" si="8"/>
        <v>36</v>
      </c>
      <c r="O79" s="145">
        <f t="shared" si="8"/>
        <v>0</v>
      </c>
    </row>
    <row r="80" spans="2:15" ht="43.5" customHeight="1" thickBot="1" x14ac:dyDescent="0.6">
      <c r="B80" s="369" t="s">
        <v>388</v>
      </c>
      <c r="C80" s="348"/>
      <c r="D80" s="351">
        <f t="shared" si="9"/>
        <v>0</v>
      </c>
      <c r="E80" s="337">
        <f t="shared" si="9"/>
        <v>21</v>
      </c>
      <c r="F80" s="352">
        <f t="shared" si="9"/>
        <v>0</v>
      </c>
      <c r="G80" s="174">
        <f t="shared" si="9"/>
        <v>0</v>
      </c>
      <c r="H80" s="174">
        <f t="shared" si="9"/>
        <v>1</v>
      </c>
      <c r="I80" s="174">
        <f t="shared" si="9"/>
        <v>0</v>
      </c>
      <c r="J80" s="174">
        <f t="shared" si="9"/>
        <v>0</v>
      </c>
      <c r="K80" s="174">
        <f t="shared" si="9"/>
        <v>0</v>
      </c>
      <c r="L80" s="174">
        <f t="shared" si="9"/>
        <v>0</v>
      </c>
      <c r="M80" s="150">
        <f t="shared" si="8"/>
        <v>0</v>
      </c>
      <c r="N80" s="150">
        <f t="shared" si="8"/>
        <v>1</v>
      </c>
      <c r="O80" s="151">
        <f t="shared" si="8"/>
        <v>0</v>
      </c>
    </row>
    <row r="82" spans="2:15" x14ac:dyDescent="0.55000000000000004">
      <c r="B82" s="180">
        <v>4.0199999999999996</v>
      </c>
      <c r="C82" s="178" t="s">
        <v>312</v>
      </c>
      <c r="D82" s="179"/>
      <c r="E82" s="179"/>
      <c r="F82" s="179"/>
      <c r="G82" s="179"/>
      <c r="H82" s="179"/>
      <c r="I82" s="179"/>
      <c r="J82" s="179"/>
      <c r="K82" s="179"/>
      <c r="L82" s="179"/>
      <c r="M82" s="179"/>
      <c r="N82" s="179"/>
      <c r="O82" s="181"/>
    </row>
    <row r="83" spans="2:15" ht="24.6" x14ac:dyDescent="0.55000000000000004">
      <c r="B83" s="355"/>
      <c r="C83" s="607" t="s">
        <v>374</v>
      </c>
      <c r="D83" s="740" t="s">
        <v>375</v>
      </c>
      <c r="E83" s="740"/>
      <c r="F83" s="742"/>
      <c r="G83" s="743" t="s">
        <v>376</v>
      </c>
      <c r="H83" s="740"/>
      <c r="I83" s="740"/>
      <c r="J83" s="740" t="s">
        <v>377</v>
      </c>
      <c r="K83" s="740"/>
      <c r="L83" s="740"/>
      <c r="M83" s="750" t="s">
        <v>393</v>
      </c>
      <c r="N83" s="748"/>
      <c r="O83" s="730"/>
    </row>
    <row r="84" spans="2:15" ht="43.5" customHeight="1" x14ac:dyDescent="0.55000000000000004">
      <c r="B84" s="355" t="s">
        <v>379</v>
      </c>
      <c r="C84" s="607"/>
      <c r="D84" s="604" t="s">
        <v>380</v>
      </c>
      <c r="E84" s="604" t="s">
        <v>381</v>
      </c>
      <c r="F84" s="605" t="s">
        <v>382</v>
      </c>
      <c r="G84" s="606" t="s">
        <v>380</v>
      </c>
      <c r="H84" s="604" t="s">
        <v>381</v>
      </c>
      <c r="I84" s="604" t="s">
        <v>382</v>
      </c>
      <c r="J84" s="604" t="s">
        <v>380</v>
      </c>
      <c r="K84" s="604" t="s">
        <v>381</v>
      </c>
      <c r="L84" s="604" t="s">
        <v>382</v>
      </c>
      <c r="M84" s="604" t="s">
        <v>380</v>
      </c>
      <c r="N84" s="604" t="s">
        <v>381</v>
      </c>
      <c r="O84" s="605" t="s">
        <v>382</v>
      </c>
    </row>
    <row r="85" spans="2:15" ht="43.5" customHeight="1" x14ac:dyDescent="0.55000000000000004">
      <c r="B85" s="366" t="s">
        <v>383</v>
      </c>
      <c r="C85" s="353"/>
      <c r="D85" s="142">
        <f t="shared" ref="D85:L85" si="10">D22+D43+D64</f>
        <v>76</v>
      </c>
      <c r="E85" s="142">
        <f t="shared" si="10"/>
        <v>200</v>
      </c>
      <c r="F85" s="143">
        <f t="shared" si="10"/>
        <v>15</v>
      </c>
      <c r="G85" s="334">
        <f t="shared" si="10"/>
        <v>3</v>
      </c>
      <c r="H85" s="142">
        <f t="shared" si="10"/>
        <v>6</v>
      </c>
      <c r="I85" s="142">
        <f t="shared" si="10"/>
        <v>0</v>
      </c>
      <c r="J85" s="142">
        <f t="shared" si="10"/>
        <v>1</v>
      </c>
      <c r="K85" s="142">
        <f t="shared" si="10"/>
        <v>0</v>
      </c>
      <c r="L85" s="142">
        <f t="shared" si="10"/>
        <v>0</v>
      </c>
      <c r="M85" s="142">
        <f t="shared" ref="M85:O90" si="11">+G85-J85</f>
        <v>2</v>
      </c>
      <c r="N85" s="142">
        <f t="shared" si="11"/>
        <v>6</v>
      </c>
      <c r="O85" s="143">
        <f t="shared" si="11"/>
        <v>0</v>
      </c>
    </row>
    <row r="86" spans="2:15" ht="43.5" customHeight="1" x14ac:dyDescent="0.55000000000000004">
      <c r="B86" s="367" t="s">
        <v>384</v>
      </c>
      <c r="C86" s="353"/>
      <c r="D86" s="142">
        <f t="shared" ref="D86:L86" si="12">D23+D44+D65</f>
        <v>31</v>
      </c>
      <c r="E86" s="142">
        <f t="shared" si="12"/>
        <v>60</v>
      </c>
      <c r="F86" s="143">
        <f t="shared" si="12"/>
        <v>6</v>
      </c>
      <c r="G86" s="334">
        <f t="shared" si="12"/>
        <v>3</v>
      </c>
      <c r="H86" s="142">
        <f t="shared" si="12"/>
        <v>16</v>
      </c>
      <c r="I86" s="142">
        <f t="shared" si="12"/>
        <v>1</v>
      </c>
      <c r="J86" s="142">
        <f t="shared" si="12"/>
        <v>0</v>
      </c>
      <c r="K86" s="142">
        <f t="shared" si="12"/>
        <v>0</v>
      </c>
      <c r="L86" s="142">
        <f t="shared" si="12"/>
        <v>0</v>
      </c>
      <c r="M86" s="144">
        <f t="shared" si="11"/>
        <v>3</v>
      </c>
      <c r="N86" s="144">
        <f t="shared" si="11"/>
        <v>16</v>
      </c>
      <c r="O86" s="145">
        <f t="shared" si="11"/>
        <v>1</v>
      </c>
    </row>
    <row r="87" spans="2:15" ht="43.5" customHeight="1" x14ac:dyDescent="0.55000000000000004">
      <c r="B87" s="367" t="s">
        <v>385</v>
      </c>
      <c r="C87" s="353"/>
      <c r="D87" s="142">
        <f t="shared" ref="D87:L87" si="13">D24+D45+D66</f>
        <v>26.999999999999996</v>
      </c>
      <c r="E87" s="142">
        <f t="shared" si="13"/>
        <v>55.999999999999993</v>
      </c>
      <c r="F87" s="143">
        <f t="shared" si="13"/>
        <v>2</v>
      </c>
      <c r="G87" s="334">
        <f t="shared" si="13"/>
        <v>5</v>
      </c>
      <c r="H87" s="142">
        <f t="shared" si="13"/>
        <v>29</v>
      </c>
      <c r="I87" s="142">
        <f t="shared" si="13"/>
        <v>0</v>
      </c>
      <c r="J87" s="142">
        <f t="shared" si="13"/>
        <v>0</v>
      </c>
      <c r="K87" s="142">
        <f t="shared" si="13"/>
        <v>2</v>
      </c>
      <c r="L87" s="142">
        <f t="shared" si="13"/>
        <v>0</v>
      </c>
      <c r="M87" s="146">
        <f t="shared" si="11"/>
        <v>5</v>
      </c>
      <c r="N87" s="146">
        <f t="shared" si="11"/>
        <v>27</v>
      </c>
      <c r="O87" s="147">
        <f t="shared" si="11"/>
        <v>0</v>
      </c>
    </row>
    <row r="88" spans="2:15" ht="43.5" customHeight="1" x14ac:dyDescent="0.55000000000000004">
      <c r="B88" s="368" t="s">
        <v>386</v>
      </c>
      <c r="C88" s="353"/>
      <c r="D88" s="142">
        <f t="shared" ref="D88:L88" si="14">D25+D46+D67</f>
        <v>3</v>
      </c>
      <c r="E88" s="142">
        <f t="shared" si="14"/>
        <v>14</v>
      </c>
      <c r="F88" s="143">
        <f t="shared" si="14"/>
        <v>0</v>
      </c>
      <c r="G88" s="334">
        <f t="shared" si="14"/>
        <v>3</v>
      </c>
      <c r="H88" s="142">
        <f t="shared" si="14"/>
        <v>5</v>
      </c>
      <c r="I88" s="142">
        <f t="shared" si="14"/>
        <v>0</v>
      </c>
      <c r="J88" s="142">
        <f t="shared" si="14"/>
        <v>0</v>
      </c>
      <c r="K88" s="142">
        <f t="shared" si="14"/>
        <v>0</v>
      </c>
      <c r="L88" s="142">
        <f t="shared" si="14"/>
        <v>0</v>
      </c>
      <c r="M88" s="148">
        <f t="shared" si="11"/>
        <v>3</v>
      </c>
      <c r="N88" s="148">
        <f t="shared" si="11"/>
        <v>5</v>
      </c>
      <c r="O88" s="149">
        <f t="shared" si="11"/>
        <v>0</v>
      </c>
    </row>
    <row r="89" spans="2:15" ht="43.5" customHeight="1" x14ac:dyDescent="0.55000000000000004">
      <c r="B89" s="367" t="s">
        <v>387</v>
      </c>
      <c r="C89" s="353"/>
      <c r="D89" s="142">
        <f t="shared" ref="D89:L89" si="15">D26+D47+D68</f>
        <v>3</v>
      </c>
      <c r="E89" s="142">
        <f t="shared" si="15"/>
        <v>22</v>
      </c>
      <c r="F89" s="143">
        <f t="shared" si="15"/>
        <v>0</v>
      </c>
      <c r="G89" s="334">
        <f t="shared" si="15"/>
        <v>5</v>
      </c>
      <c r="H89" s="142">
        <f t="shared" si="15"/>
        <v>2</v>
      </c>
      <c r="I89" s="142">
        <f t="shared" si="15"/>
        <v>0</v>
      </c>
      <c r="J89" s="142">
        <f t="shared" si="15"/>
        <v>0</v>
      </c>
      <c r="K89" s="142">
        <f t="shared" si="15"/>
        <v>0</v>
      </c>
      <c r="L89" s="142">
        <f t="shared" si="15"/>
        <v>0</v>
      </c>
      <c r="M89" s="144">
        <f t="shared" si="11"/>
        <v>5</v>
      </c>
      <c r="N89" s="144">
        <f t="shared" si="11"/>
        <v>2</v>
      </c>
      <c r="O89" s="145">
        <f t="shared" si="11"/>
        <v>0</v>
      </c>
    </row>
    <row r="90" spans="2:15" ht="43.5" customHeight="1" thickBot="1" x14ac:dyDescent="0.6">
      <c r="B90" s="369" t="s">
        <v>388</v>
      </c>
      <c r="C90" s="354"/>
      <c r="D90" s="150">
        <f t="shared" ref="D90:L90" si="16">D27+D48+D69</f>
        <v>2</v>
      </c>
      <c r="E90" s="150">
        <f t="shared" si="16"/>
        <v>14</v>
      </c>
      <c r="F90" s="151">
        <f t="shared" si="16"/>
        <v>0</v>
      </c>
      <c r="G90" s="333">
        <f t="shared" si="16"/>
        <v>1</v>
      </c>
      <c r="H90" s="150">
        <f t="shared" si="16"/>
        <v>4</v>
      </c>
      <c r="I90" s="150">
        <f t="shared" si="16"/>
        <v>0</v>
      </c>
      <c r="J90" s="150">
        <f t="shared" si="16"/>
        <v>0</v>
      </c>
      <c r="K90" s="150">
        <f t="shared" si="16"/>
        <v>0</v>
      </c>
      <c r="L90" s="150">
        <f t="shared" si="16"/>
        <v>0</v>
      </c>
      <c r="M90" s="150">
        <f t="shared" si="11"/>
        <v>1</v>
      </c>
      <c r="N90" s="150">
        <f t="shared" si="11"/>
        <v>4</v>
      </c>
      <c r="O90" s="151">
        <f t="shared" si="11"/>
        <v>0</v>
      </c>
    </row>
    <row r="91" spans="2:15" ht="14.7" thickBot="1" x14ac:dyDescent="0.6"/>
    <row r="92" spans="2:15" ht="17.7" x14ac:dyDescent="0.6">
      <c r="B92" s="161">
        <v>5</v>
      </c>
      <c r="C92" s="162" t="s">
        <v>394</v>
      </c>
      <c r="D92" s="162"/>
      <c r="E92" s="162"/>
      <c r="F92" s="162"/>
      <c r="G92" s="162"/>
      <c r="H92" s="162"/>
      <c r="I92" s="162"/>
      <c r="J92" s="162"/>
      <c r="K92" s="162"/>
      <c r="L92" s="162"/>
      <c r="M92" s="162"/>
      <c r="N92" s="162"/>
      <c r="O92" s="163"/>
    </row>
    <row r="93" spans="2:15" ht="15" customHeight="1" x14ac:dyDescent="0.55000000000000004">
      <c r="B93" s="729"/>
      <c r="C93" s="730"/>
      <c r="D93" s="748" t="s">
        <v>375</v>
      </c>
      <c r="E93" s="748"/>
      <c r="F93" s="749"/>
      <c r="G93" s="748" t="s">
        <v>376</v>
      </c>
      <c r="H93" s="748"/>
      <c r="I93" s="743"/>
      <c r="J93" s="750" t="s">
        <v>377</v>
      </c>
      <c r="K93" s="748"/>
      <c r="L93" s="743"/>
      <c r="M93" s="750" t="s">
        <v>395</v>
      </c>
      <c r="N93" s="748"/>
      <c r="O93" s="730"/>
    </row>
    <row r="94" spans="2:15" ht="24.6" x14ac:dyDescent="0.55000000000000004">
      <c r="B94" s="729" t="s">
        <v>379</v>
      </c>
      <c r="C94" s="730"/>
      <c r="D94" s="606" t="s">
        <v>380</v>
      </c>
      <c r="E94" s="608" t="s">
        <v>381</v>
      </c>
      <c r="F94" s="605" t="s">
        <v>382</v>
      </c>
      <c r="G94" s="606" t="s">
        <v>380</v>
      </c>
      <c r="H94" s="604" t="s">
        <v>381</v>
      </c>
      <c r="I94" s="604" t="s">
        <v>382</v>
      </c>
      <c r="J94" s="604" t="s">
        <v>380</v>
      </c>
      <c r="K94" s="604" t="s">
        <v>381</v>
      </c>
      <c r="L94" s="604" t="s">
        <v>382</v>
      </c>
      <c r="M94" s="604" t="s">
        <v>380</v>
      </c>
      <c r="N94" s="604" t="s">
        <v>381</v>
      </c>
      <c r="O94" s="605" t="s">
        <v>382</v>
      </c>
    </row>
    <row r="95" spans="2:15" x14ac:dyDescent="0.55000000000000004">
      <c r="B95" s="734" t="s">
        <v>383</v>
      </c>
      <c r="C95" s="735"/>
      <c r="D95" s="522">
        <f>D75-D85</f>
        <v>-31</v>
      </c>
      <c r="E95" s="335">
        <f t="shared" ref="E95:L95" si="17">E75-E85</f>
        <v>144</v>
      </c>
      <c r="F95" s="523">
        <f t="shared" si="17"/>
        <v>-14</v>
      </c>
      <c r="G95" s="334">
        <f t="shared" si="17"/>
        <v>2</v>
      </c>
      <c r="H95" s="142">
        <f t="shared" si="17"/>
        <v>7</v>
      </c>
      <c r="I95" s="142">
        <f t="shared" si="17"/>
        <v>0</v>
      </c>
      <c r="J95" s="525">
        <f t="shared" si="17"/>
        <v>-1</v>
      </c>
      <c r="K95" s="142">
        <f t="shared" si="17"/>
        <v>1</v>
      </c>
      <c r="L95" s="142">
        <f t="shared" si="17"/>
        <v>0</v>
      </c>
      <c r="M95" s="142">
        <f t="shared" ref="M95:O100" si="18">+G95-J95</f>
        <v>3</v>
      </c>
      <c r="N95" s="142">
        <f t="shared" si="18"/>
        <v>6</v>
      </c>
      <c r="O95" s="143">
        <f t="shared" si="18"/>
        <v>0</v>
      </c>
    </row>
    <row r="96" spans="2:15" ht="33" customHeight="1" x14ac:dyDescent="0.55000000000000004">
      <c r="B96" s="734" t="s">
        <v>384</v>
      </c>
      <c r="C96" s="735"/>
      <c r="D96" s="522">
        <f t="shared" ref="D96:L100" si="19">D76-D86</f>
        <v>-15</v>
      </c>
      <c r="E96" s="335">
        <f t="shared" si="19"/>
        <v>51.999999999999986</v>
      </c>
      <c r="F96" s="143">
        <f t="shared" si="19"/>
        <v>-6</v>
      </c>
      <c r="G96" s="334">
        <f t="shared" si="19"/>
        <v>2</v>
      </c>
      <c r="H96" s="142">
        <f t="shared" si="19"/>
        <v>15</v>
      </c>
      <c r="I96" s="525">
        <f t="shared" si="19"/>
        <v>-1</v>
      </c>
      <c r="J96" s="142">
        <f t="shared" si="19"/>
        <v>2</v>
      </c>
      <c r="K96" s="142">
        <f t="shared" si="19"/>
        <v>0</v>
      </c>
      <c r="L96" s="142">
        <f t="shared" si="19"/>
        <v>0</v>
      </c>
      <c r="M96" s="144">
        <f t="shared" si="18"/>
        <v>0</v>
      </c>
      <c r="N96" s="144">
        <f t="shared" si="18"/>
        <v>15</v>
      </c>
      <c r="O96" s="532">
        <f t="shared" si="18"/>
        <v>-1</v>
      </c>
    </row>
    <row r="97" spans="1:15" ht="30.6" customHeight="1" x14ac:dyDescent="0.55000000000000004">
      <c r="B97" s="734" t="s">
        <v>385</v>
      </c>
      <c r="C97" s="735"/>
      <c r="D97" s="522">
        <f t="shared" si="19"/>
        <v>-17.999999999999996</v>
      </c>
      <c r="E97" s="335">
        <f t="shared" si="19"/>
        <v>64</v>
      </c>
      <c r="F97" s="523">
        <f t="shared" si="19"/>
        <v>-2</v>
      </c>
      <c r="G97" s="334">
        <f t="shared" si="19"/>
        <v>0</v>
      </c>
      <c r="H97" s="525">
        <f t="shared" si="19"/>
        <v>-6</v>
      </c>
      <c r="I97" s="142">
        <f t="shared" si="19"/>
        <v>0</v>
      </c>
      <c r="J97" s="142">
        <f t="shared" si="19"/>
        <v>0</v>
      </c>
      <c r="K97" s="525">
        <f t="shared" si="19"/>
        <v>-2</v>
      </c>
      <c r="L97" s="142">
        <f t="shared" si="19"/>
        <v>0</v>
      </c>
      <c r="M97" s="146">
        <f t="shared" si="18"/>
        <v>0</v>
      </c>
      <c r="N97" s="531">
        <f t="shared" si="18"/>
        <v>-4</v>
      </c>
      <c r="O97" s="147">
        <f t="shared" si="18"/>
        <v>0</v>
      </c>
    </row>
    <row r="98" spans="1:15" ht="25.15" customHeight="1" x14ac:dyDescent="0.55000000000000004">
      <c r="B98" s="734" t="s">
        <v>386</v>
      </c>
      <c r="C98" s="735"/>
      <c r="D98" s="334">
        <f t="shared" si="19"/>
        <v>0</v>
      </c>
      <c r="E98" s="335">
        <f t="shared" si="19"/>
        <v>38</v>
      </c>
      <c r="F98" s="143">
        <f t="shared" si="19"/>
        <v>1</v>
      </c>
      <c r="G98" s="522">
        <f t="shared" si="19"/>
        <v>-1</v>
      </c>
      <c r="H98" s="142">
        <f t="shared" si="19"/>
        <v>16</v>
      </c>
      <c r="I98" s="142">
        <f t="shared" si="19"/>
        <v>0</v>
      </c>
      <c r="J98" s="142">
        <f t="shared" si="19"/>
        <v>0</v>
      </c>
      <c r="K98" s="142">
        <f t="shared" si="19"/>
        <v>0</v>
      </c>
      <c r="L98" s="142">
        <f t="shared" si="19"/>
        <v>0</v>
      </c>
      <c r="M98" s="529">
        <f t="shared" si="18"/>
        <v>-1</v>
      </c>
      <c r="N98" s="148">
        <f t="shared" si="18"/>
        <v>16</v>
      </c>
      <c r="O98" s="149">
        <f t="shared" si="18"/>
        <v>0</v>
      </c>
    </row>
    <row r="99" spans="1:15" ht="31.9" customHeight="1" x14ac:dyDescent="0.55000000000000004">
      <c r="B99" s="734" t="s">
        <v>387</v>
      </c>
      <c r="C99" s="735"/>
      <c r="D99" s="334">
        <f t="shared" si="19"/>
        <v>0</v>
      </c>
      <c r="E99" s="524">
        <f t="shared" si="19"/>
        <v>-2</v>
      </c>
      <c r="F99" s="143">
        <f t="shared" si="19"/>
        <v>0</v>
      </c>
      <c r="G99" s="522">
        <f t="shared" si="19"/>
        <v>-1</v>
      </c>
      <c r="H99" s="142">
        <f t="shared" si="19"/>
        <v>34</v>
      </c>
      <c r="I99" s="142">
        <f t="shared" si="19"/>
        <v>0</v>
      </c>
      <c r="J99" s="142">
        <f t="shared" si="19"/>
        <v>0</v>
      </c>
      <c r="K99" s="142">
        <f t="shared" si="19"/>
        <v>0</v>
      </c>
      <c r="L99" s="142">
        <f t="shared" si="19"/>
        <v>0</v>
      </c>
      <c r="M99" s="530">
        <f t="shared" si="18"/>
        <v>-1</v>
      </c>
      <c r="N99" s="144">
        <f t="shared" si="18"/>
        <v>34</v>
      </c>
      <c r="O99" s="145">
        <f t="shared" si="18"/>
        <v>0</v>
      </c>
    </row>
    <row r="100" spans="1:15" ht="15.75" customHeight="1" x14ac:dyDescent="0.55000000000000004">
      <c r="B100" s="734" t="s">
        <v>388</v>
      </c>
      <c r="C100" s="735"/>
      <c r="D100" s="522">
        <f t="shared" si="19"/>
        <v>-2</v>
      </c>
      <c r="E100" s="335">
        <f t="shared" si="19"/>
        <v>7</v>
      </c>
      <c r="F100" s="143">
        <f t="shared" si="19"/>
        <v>0</v>
      </c>
      <c r="G100" s="522">
        <f t="shared" si="19"/>
        <v>-1</v>
      </c>
      <c r="H100" s="525">
        <f t="shared" si="19"/>
        <v>-3</v>
      </c>
      <c r="I100" s="142">
        <f t="shared" si="19"/>
        <v>0</v>
      </c>
      <c r="J100" s="142">
        <f t="shared" si="19"/>
        <v>0</v>
      </c>
      <c r="K100" s="142">
        <f t="shared" si="19"/>
        <v>0</v>
      </c>
      <c r="L100" s="142">
        <f t="shared" si="19"/>
        <v>0</v>
      </c>
      <c r="M100" s="525">
        <f t="shared" si="18"/>
        <v>-1</v>
      </c>
      <c r="N100" s="530">
        <f t="shared" si="18"/>
        <v>-3</v>
      </c>
      <c r="O100" s="145">
        <f t="shared" si="18"/>
        <v>0</v>
      </c>
    </row>
    <row r="101" spans="1:15" ht="14.7" thickBot="1" x14ac:dyDescent="0.6">
      <c r="B101" s="732" t="s">
        <v>337</v>
      </c>
      <c r="C101" s="733"/>
      <c r="D101" s="526">
        <f t="shared" ref="D101:O101" si="20">SUM(D95:D100)</f>
        <v>-66</v>
      </c>
      <c r="E101" s="364">
        <f t="shared" si="20"/>
        <v>303</v>
      </c>
      <c r="F101" s="527">
        <f t="shared" si="20"/>
        <v>-21</v>
      </c>
      <c r="G101" s="363">
        <f t="shared" si="20"/>
        <v>1</v>
      </c>
      <c r="H101" s="365">
        <f t="shared" si="20"/>
        <v>63</v>
      </c>
      <c r="I101" s="528">
        <f t="shared" si="20"/>
        <v>-1</v>
      </c>
      <c r="J101" s="365">
        <f t="shared" si="20"/>
        <v>1</v>
      </c>
      <c r="K101" s="528">
        <f t="shared" si="20"/>
        <v>-1</v>
      </c>
      <c r="L101" s="365">
        <f t="shared" si="20"/>
        <v>0</v>
      </c>
      <c r="M101" s="365">
        <f t="shared" si="20"/>
        <v>0</v>
      </c>
      <c r="N101" s="365">
        <f t="shared" si="20"/>
        <v>64</v>
      </c>
      <c r="O101" s="527">
        <f t="shared" si="20"/>
        <v>-1</v>
      </c>
    </row>
    <row r="102" spans="1:15" ht="14.7" thickBot="1" x14ac:dyDescent="0.6"/>
    <row r="103" spans="1:15" ht="17.7" x14ac:dyDescent="0.6">
      <c r="B103" s="161">
        <v>5</v>
      </c>
      <c r="C103" s="162" t="s">
        <v>396</v>
      </c>
      <c r="D103" s="162"/>
      <c r="E103" s="162"/>
      <c r="F103" s="162"/>
      <c r="G103" s="162"/>
      <c r="H103" s="162"/>
      <c r="I103" s="162"/>
      <c r="J103" s="162"/>
      <c r="K103" s="162"/>
      <c r="L103" s="162"/>
      <c r="M103" s="162"/>
      <c r="N103" s="162"/>
      <c r="O103" s="163"/>
    </row>
    <row r="104" spans="1:15" x14ac:dyDescent="0.55000000000000004">
      <c r="A104" s="164">
        <v>2</v>
      </c>
      <c r="B104" s="180">
        <v>5.01</v>
      </c>
      <c r="C104" s="178" t="s">
        <v>397</v>
      </c>
      <c r="D104" s="179"/>
      <c r="E104" s="179"/>
      <c r="F104" s="179"/>
      <c r="G104" s="179"/>
      <c r="H104" s="179"/>
      <c r="I104" s="179"/>
      <c r="J104" s="179"/>
      <c r="K104" s="179"/>
      <c r="L104" s="179"/>
      <c r="M104" s="179"/>
      <c r="N104" s="179"/>
      <c r="O104" s="181"/>
    </row>
    <row r="105" spans="1:15" ht="35.25" customHeight="1" x14ac:dyDescent="0.55000000000000004">
      <c r="B105" s="729"/>
      <c r="C105" s="731"/>
      <c r="D105" s="743" t="s">
        <v>398</v>
      </c>
      <c r="E105" s="740"/>
      <c r="F105" s="740"/>
      <c r="G105" s="740" t="s">
        <v>399</v>
      </c>
      <c r="H105" s="740"/>
      <c r="I105" s="740"/>
      <c r="J105" s="740" t="s">
        <v>400</v>
      </c>
      <c r="K105" s="740"/>
      <c r="L105" s="740"/>
      <c r="M105" s="740" t="s">
        <v>401</v>
      </c>
      <c r="N105" s="740"/>
      <c r="O105" s="742"/>
    </row>
    <row r="106" spans="1:15" ht="24.6" x14ac:dyDescent="0.55000000000000004">
      <c r="B106" s="729" t="s">
        <v>379</v>
      </c>
      <c r="C106" s="731"/>
      <c r="D106" s="606" t="s">
        <v>380</v>
      </c>
      <c r="E106" s="604" t="s">
        <v>381</v>
      </c>
      <c r="F106" s="604" t="s">
        <v>382</v>
      </c>
      <c r="G106" s="604" t="s">
        <v>380</v>
      </c>
      <c r="H106" s="604" t="s">
        <v>381</v>
      </c>
      <c r="I106" s="604" t="s">
        <v>382</v>
      </c>
      <c r="J106" s="604" t="s">
        <v>380</v>
      </c>
      <c r="K106" s="604" t="s">
        <v>381</v>
      </c>
      <c r="L106" s="604" t="s">
        <v>382</v>
      </c>
      <c r="M106" s="604" t="s">
        <v>380</v>
      </c>
      <c r="N106" s="604" t="s">
        <v>381</v>
      </c>
      <c r="O106" s="605" t="s">
        <v>382</v>
      </c>
    </row>
    <row r="107" spans="1:15" x14ac:dyDescent="0.55000000000000004">
      <c r="B107" s="734" t="s">
        <v>383</v>
      </c>
      <c r="C107" s="736"/>
      <c r="D107" s="533">
        <f>D95*'Cattle Prices'!C10</f>
        <v>-232500</v>
      </c>
      <c r="E107" s="416">
        <f>E95*'Cattle Prices'!D10</f>
        <v>1872000</v>
      </c>
      <c r="F107" s="521">
        <f>F95*'Cattle Prices'!E10</f>
        <v>-252000</v>
      </c>
      <c r="G107" s="415">
        <f>M95*'Cattle Prices'!C10</f>
        <v>22500</v>
      </c>
      <c r="H107" s="418">
        <f>N95*'Cattle Prices'!D10</f>
        <v>78000</v>
      </c>
      <c r="I107" s="418">
        <f>O95*'Cattle Prices'!E10</f>
        <v>0</v>
      </c>
      <c r="J107" s="418">
        <f>G75*'Cattle Prices'!C10</f>
        <v>37500</v>
      </c>
      <c r="K107" s="418">
        <f>H75*'Cattle Prices'!D10</f>
        <v>169000</v>
      </c>
      <c r="L107" s="418">
        <f>I75*'Cattle Prices'!E10</f>
        <v>0</v>
      </c>
      <c r="M107" s="418">
        <f>G85*'Cattle Prices'!C10</f>
        <v>22500</v>
      </c>
      <c r="N107" s="418">
        <f>H85*'Cattle Prices'!D10</f>
        <v>78000</v>
      </c>
      <c r="O107" s="417">
        <f>I85*'Cattle Prices'!E10</f>
        <v>0</v>
      </c>
    </row>
    <row r="108" spans="1:15" x14ac:dyDescent="0.55000000000000004">
      <c r="B108" s="734" t="s">
        <v>402</v>
      </c>
      <c r="C108" s="736"/>
      <c r="D108" s="533">
        <f>D96*'Cattle Prices'!C11</f>
        <v>-75000</v>
      </c>
      <c r="E108" s="416">
        <f>E96*'Cattle Prices'!D11</f>
        <v>415999.99999999988</v>
      </c>
      <c r="F108" s="521">
        <f>F96*'Cattle Prices'!E11</f>
        <v>-78000</v>
      </c>
      <c r="G108" s="415">
        <f>M96*'Cattle Prices'!C11</f>
        <v>0</v>
      </c>
      <c r="H108" s="418">
        <f>N96*'Cattle Prices'!D11</f>
        <v>120000</v>
      </c>
      <c r="I108" s="418">
        <f>O96*'Cattle Prices'!E11</f>
        <v>-13000</v>
      </c>
      <c r="J108" s="418">
        <f>G76*'Cattle Prices'!C11</f>
        <v>25000</v>
      </c>
      <c r="K108" s="418">
        <f>H76*'Cattle Prices'!D11</f>
        <v>248000</v>
      </c>
      <c r="L108" s="418">
        <f>I76*'Cattle Prices'!E11</f>
        <v>0</v>
      </c>
      <c r="M108" s="419">
        <f>G86*'Cattle Prices'!C11</f>
        <v>15000</v>
      </c>
      <c r="N108" s="419">
        <f>H86*'Cattle Prices'!D11</f>
        <v>128000</v>
      </c>
      <c r="O108" s="420">
        <f>I86*'Cattle Prices'!E11</f>
        <v>13000</v>
      </c>
    </row>
    <row r="109" spans="1:15" x14ac:dyDescent="0.55000000000000004">
      <c r="B109" s="734" t="s">
        <v>385</v>
      </c>
      <c r="C109" s="736"/>
      <c r="D109" s="533">
        <f>D97*'Cattle Prices'!C12</f>
        <v>-35999.999999999993</v>
      </c>
      <c r="E109" s="416">
        <f>E97*'Cattle Prices'!D12</f>
        <v>192000</v>
      </c>
      <c r="F109" s="521">
        <f>F97*'Cattle Prices'!E12</f>
        <v>-8000</v>
      </c>
      <c r="G109" s="415">
        <f>M97*'Cattle Prices'!C12</f>
        <v>0</v>
      </c>
      <c r="H109" s="418">
        <f>N97*'Cattle Prices'!D12</f>
        <v>-12000</v>
      </c>
      <c r="I109" s="418">
        <f>O97*'Cattle Prices'!E12</f>
        <v>0</v>
      </c>
      <c r="J109" s="418">
        <f>G77*'Cattle Prices'!C12</f>
        <v>10000</v>
      </c>
      <c r="K109" s="418">
        <f>H77*'Cattle Prices'!D12</f>
        <v>69000</v>
      </c>
      <c r="L109" s="418">
        <f>I77*'Cattle Prices'!E12</f>
        <v>0</v>
      </c>
      <c r="M109" s="421">
        <f>G87*'Cattle Prices'!C12</f>
        <v>10000</v>
      </c>
      <c r="N109" s="421">
        <f>H87*'Cattle Prices'!D12</f>
        <v>87000</v>
      </c>
      <c r="O109" s="422">
        <f>I87*'Cattle Prices'!E12</f>
        <v>0</v>
      </c>
    </row>
    <row r="110" spans="1:15" x14ac:dyDescent="0.55000000000000004">
      <c r="B110" s="734" t="s">
        <v>386</v>
      </c>
      <c r="C110" s="736"/>
      <c r="D110" s="415">
        <f>D98*'Cattle Prices'!C13</f>
        <v>0</v>
      </c>
      <c r="E110" s="416">
        <f>E98*'Cattle Prices'!D13</f>
        <v>342000</v>
      </c>
      <c r="F110" s="417">
        <f>F98*'Cattle Prices'!E13</f>
        <v>12000</v>
      </c>
      <c r="G110" s="415">
        <f>M98*'Cattle Prices'!C13</f>
        <v>-7000</v>
      </c>
      <c r="H110" s="418">
        <f>N98*'Cattle Prices'!D13</f>
        <v>144000</v>
      </c>
      <c r="I110" s="418">
        <f>O98*'Cattle Prices'!E13</f>
        <v>0</v>
      </c>
      <c r="J110" s="418">
        <f>G78*'Cattle Prices'!C13</f>
        <v>14000</v>
      </c>
      <c r="K110" s="418">
        <f>H78*'Cattle Prices'!D13</f>
        <v>189000</v>
      </c>
      <c r="L110" s="418">
        <f>I78*'Cattle Prices'!E13</f>
        <v>0</v>
      </c>
      <c r="M110" s="423">
        <f>G88*'Cattle Prices'!C13</f>
        <v>21000</v>
      </c>
      <c r="N110" s="423">
        <f>H88*'Cattle Prices'!D13</f>
        <v>45000</v>
      </c>
      <c r="O110" s="424">
        <f>I88*'Cattle Prices'!E13</f>
        <v>0</v>
      </c>
    </row>
    <row r="111" spans="1:15" x14ac:dyDescent="0.55000000000000004">
      <c r="B111" s="734" t="s">
        <v>387</v>
      </c>
      <c r="C111" s="736"/>
      <c r="D111" s="415">
        <f>D99*'Cattle Prices'!C14</f>
        <v>0</v>
      </c>
      <c r="E111" s="535">
        <f>E99*'Cattle Prices'!D14</f>
        <v>-32000</v>
      </c>
      <c r="F111" s="417">
        <f>F99*'Cattle Prices'!E14</f>
        <v>0</v>
      </c>
      <c r="G111" s="415">
        <f>M99*'Cattle Prices'!C14</f>
        <v>-12000</v>
      </c>
      <c r="H111" s="418">
        <f>N99*'Cattle Prices'!D14</f>
        <v>544000</v>
      </c>
      <c r="I111" s="418">
        <f>O99*'Cattle Prices'!E14</f>
        <v>0</v>
      </c>
      <c r="J111" s="418">
        <f>G79*'Cattle Prices'!C14</f>
        <v>48000</v>
      </c>
      <c r="K111" s="418">
        <f>H79*'Cattle Prices'!D14</f>
        <v>576000</v>
      </c>
      <c r="L111" s="418">
        <f>I79*'Cattle Prices'!E14</f>
        <v>0</v>
      </c>
      <c r="M111" s="419">
        <f>G89*'Cattle Prices'!C14</f>
        <v>60000</v>
      </c>
      <c r="N111" s="419">
        <f>H89*'Cattle Prices'!D14</f>
        <v>32000</v>
      </c>
      <c r="O111" s="420">
        <f>I89*'Cattle Prices'!E14</f>
        <v>0</v>
      </c>
    </row>
    <row r="112" spans="1:15" x14ac:dyDescent="0.55000000000000004">
      <c r="B112" s="734" t="s">
        <v>388</v>
      </c>
      <c r="C112" s="736"/>
      <c r="D112" s="533">
        <f>D100*'Cattle Prices'!C15</f>
        <v>-24000</v>
      </c>
      <c r="E112" s="416">
        <f>E100*'Cattle Prices'!D15</f>
        <v>112000</v>
      </c>
      <c r="F112" s="417">
        <f>F100*'Cattle Prices'!E15</f>
        <v>0</v>
      </c>
      <c r="G112" s="415">
        <f>M100*'Cattle Prices'!C15</f>
        <v>-12000</v>
      </c>
      <c r="H112" s="418">
        <f>N100*'Cattle Prices'!D15</f>
        <v>-48000</v>
      </c>
      <c r="I112" s="418">
        <f>O100*'Cattle Prices'!E15</f>
        <v>0</v>
      </c>
      <c r="J112" s="418">
        <f>G80*'Cattle Prices'!C15</f>
        <v>0</v>
      </c>
      <c r="K112" s="418">
        <f>H80*'Cattle Prices'!D15</f>
        <v>16000</v>
      </c>
      <c r="L112" s="418">
        <f>I80*'Cattle Prices'!E15</f>
        <v>0</v>
      </c>
      <c r="M112" s="418">
        <f>G90*'Cattle Prices'!C15</f>
        <v>12000</v>
      </c>
      <c r="N112" s="419">
        <f>H90*'Cattle Prices'!D15</f>
        <v>64000</v>
      </c>
      <c r="O112" s="420">
        <f>I90*'Cattle Prices'!E15</f>
        <v>0</v>
      </c>
    </row>
    <row r="113" spans="1:15" ht="14.7" thickBot="1" x14ac:dyDescent="0.6">
      <c r="B113" s="737" t="s">
        <v>337</v>
      </c>
      <c r="C113" s="738"/>
      <c r="D113" s="534">
        <f t="shared" ref="D113:O113" si="21">SUM(D107:D112)</f>
        <v>-367500</v>
      </c>
      <c r="E113" s="426">
        <f t="shared" si="21"/>
        <v>2902000</v>
      </c>
      <c r="F113" s="536">
        <f t="shared" si="21"/>
        <v>-326000</v>
      </c>
      <c r="G113" s="425">
        <f t="shared" si="21"/>
        <v>-8500</v>
      </c>
      <c r="H113" s="428">
        <f t="shared" si="21"/>
        <v>826000</v>
      </c>
      <c r="I113" s="428">
        <f t="shared" si="21"/>
        <v>-13000</v>
      </c>
      <c r="J113" s="428">
        <f t="shared" si="21"/>
        <v>134500</v>
      </c>
      <c r="K113" s="428">
        <f t="shared" si="21"/>
        <v>1267000</v>
      </c>
      <c r="L113" s="428">
        <f t="shared" si="21"/>
        <v>0</v>
      </c>
      <c r="M113" s="428">
        <f t="shared" si="21"/>
        <v>140500</v>
      </c>
      <c r="N113" s="428">
        <f t="shared" si="21"/>
        <v>434000</v>
      </c>
      <c r="O113" s="427">
        <f t="shared" si="21"/>
        <v>13000</v>
      </c>
    </row>
    <row r="114" spans="1:15" ht="14.7" thickBot="1" x14ac:dyDescent="0.6"/>
    <row r="115" spans="1:15" x14ac:dyDescent="0.55000000000000004">
      <c r="A115" s="164">
        <v>3</v>
      </c>
      <c r="B115" s="177">
        <v>5.0199999999999996</v>
      </c>
      <c r="C115" s="177" t="s">
        <v>403</v>
      </c>
      <c r="D115" s="175"/>
      <c r="E115" s="176"/>
      <c r="F115" s="429"/>
      <c r="G115" s="175"/>
      <c r="H115" s="176"/>
    </row>
    <row r="116" spans="1:15" ht="35.25" customHeight="1" x14ac:dyDescent="0.55000000000000004">
      <c r="B116" s="601"/>
      <c r="C116" s="739" t="s">
        <v>404</v>
      </c>
      <c r="D116" s="740"/>
      <c r="E116" s="741"/>
      <c r="F116" s="739" t="s">
        <v>405</v>
      </c>
      <c r="G116" s="740"/>
      <c r="H116" s="742"/>
    </row>
    <row r="117" spans="1:15" ht="43.5" customHeight="1" x14ac:dyDescent="0.55000000000000004">
      <c r="B117" s="601" t="s">
        <v>379</v>
      </c>
      <c r="C117" s="603" t="s">
        <v>380</v>
      </c>
      <c r="D117" s="604" t="s">
        <v>381</v>
      </c>
      <c r="E117" s="605" t="s">
        <v>382</v>
      </c>
      <c r="F117" s="603" t="s">
        <v>380</v>
      </c>
      <c r="G117" s="604" t="s">
        <v>381</v>
      </c>
      <c r="H117" s="605" t="s">
        <v>382</v>
      </c>
    </row>
    <row r="118" spans="1:15" ht="43.5" customHeight="1" x14ac:dyDescent="0.55000000000000004">
      <c r="B118" s="431" t="s">
        <v>383</v>
      </c>
      <c r="C118" s="432">
        <f>M95*'Cattle Prices'!F10</f>
        <v>7500</v>
      </c>
      <c r="D118" s="419">
        <f>N95*'Cattle Prices'!G10</f>
        <v>15000</v>
      </c>
      <c r="E118" s="420">
        <f>O95*'Cattle Prices'!H10</f>
        <v>0</v>
      </c>
      <c r="F118" s="432">
        <f t="shared" ref="F118:H123" si="22">G107-C118</f>
        <v>15000</v>
      </c>
      <c r="G118" s="419">
        <f t="shared" si="22"/>
        <v>63000</v>
      </c>
      <c r="H118" s="417">
        <f t="shared" si="22"/>
        <v>0</v>
      </c>
    </row>
    <row r="119" spans="1:15" ht="43.5" customHeight="1" x14ac:dyDescent="0.55000000000000004">
      <c r="B119" s="431" t="s">
        <v>402</v>
      </c>
      <c r="C119" s="432">
        <f>M96*'Cattle Prices'!F11</f>
        <v>0</v>
      </c>
      <c r="D119" s="419">
        <f>N96*'Cattle Prices'!G11</f>
        <v>34500</v>
      </c>
      <c r="E119" s="537">
        <f>O96*'Cattle Prices'!H11</f>
        <v>-3000</v>
      </c>
      <c r="F119" s="432">
        <f t="shared" si="22"/>
        <v>0</v>
      </c>
      <c r="G119" s="419">
        <f t="shared" si="22"/>
        <v>85500</v>
      </c>
      <c r="H119" s="521">
        <f t="shared" si="22"/>
        <v>-10000</v>
      </c>
    </row>
    <row r="120" spans="1:15" ht="43.5" customHeight="1" x14ac:dyDescent="0.55000000000000004">
      <c r="B120" s="431" t="s">
        <v>385</v>
      </c>
      <c r="C120" s="432">
        <f>M97*'Cattle Prices'!F12</f>
        <v>0</v>
      </c>
      <c r="D120" s="538">
        <f>N97*'Cattle Prices'!G12</f>
        <v>-2400</v>
      </c>
      <c r="E120" s="420">
        <f>O97*'Cattle Prices'!H12</f>
        <v>0</v>
      </c>
      <c r="F120" s="432">
        <f t="shared" si="22"/>
        <v>0</v>
      </c>
      <c r="G120" s="419">
        <f t="shared" si="22"/>
        <v>-9600</v>
      </c>
      <c r="H120" s="417">
        <f t="shared" si="22"/>
        <v>0</v>
      </c>
    </row>
    <row r="121" spans="1:15" ht="43.5" customHeight="1" x14ac:dyDescent="0.55000000000000004">
      <c r="B121" s="431" t="s">
        <v>386</v>
      </c>
      <c r="C121" s="539">
        <f>M98*'Cattle Prices'!F13</f>
        <v>-4000</v>
      </c>
      <c r="D121" s="419">
        <f>N98*'Cattle Prices'!G13</f>
        <v>64000</v>
      </c>
      <c r="E121" s="420">
        <f>O98*'Cattle Prices'!H13</f>
        <v>0</v>
      </c>
      <c r="F121" s="432">
        <f t="shared" si="22"/>
        <v>-3000</v>
      </c>
      <c r="G121" s="419">
        <f t="shared" si="22"/>
        <v>80000</v>
      </c>
      <c r="H121" s="417">
        <f t="shared" si="22"/>
        <v>0</v>
      </c>
    </row>
    <row r="122" spans="1:15" ht="43.5" customHeight="1" x14ac:dyDescent="0.55000000000000004">
      <c r="B122" s="431" t="s">
        <v>387</v>
      </c>
      <c r="C122" s="539">
        <f>M99*'Cattle Prices'!F14</f>
        <v>-4000</v>
      </c>
      <c r="D122" s="419">
        <f>N99*'Cattle Prices'!G14</f>
        <v>362100</v>
      </c>
      <c r="E122" s="420">
        <f>O99*'Cattle Prices'!H14</f>
        <v>0</v>
      </c>
      <c r="F122" s="432">
        <f t="shared" si="22"/>
        <v>-8000</v>
      </c>
      <c r="G122" s="419">
        <f t="shared" si="22"/>
        <v>181900</v>
      </c>
      <c r="H122" s="417">
        <f t="shared" si="22"/>
        <v>0</v>
      </c>
    </row>
    <row r="123" spans="1:15" ht="43.5" customHeight="1" x14ac:dyDescent="0.55000000000000004">
      <c r="B123" s="431" t="s">
        <v>388</v>
      </c>
      <c r="C123" s="539">
        <f>M100*'Cattle Prices'!F15</f>
        <v>-6800.0000000000009</v>
      </c>
      <c r="D123" s="538">
        <f>N100*'Cattle Prices'!G15</f>
        <v>-31500</v>
      </c>
      <c r="E123" s="420">
        <f>O100*'Cattle Prices'!H15</f>
        <v>0</v>
      </c>
      <c r="F123" s="432">
        <f t="shared" si="22"/>
        <v>-5199.9999999999991</v>
      </c>
      <c r="G123" s="419">
        <f t="shared" si="22"/>
        <v>-16500</v>
      </c>
      <c r="H123" s="417">
        <f t="shared" si="22"/>
        <v>0</v>
      </c>
    </row>
    <row r="124" spans="1:15" ht="43.5" customHeight="1" thickBot="1" x14ac:dyDescent="0.6">
      <c r="B124" s="602" t="s">
        <v>337</v>
      </c>
      <c r="C124" s="540">
        <f t="shared" ref="C124:H124" si="23">SUM(C118:C123)</f>
        <v>-7300.0000000000009</v>
      </c>
      <c r="D124" s="434">
        <f t="shared" si="23"/>
        <v>441700</v>
      </c>
      <c r="E124" s="541">
        <f t="shared" si="23"/>
        <v>-3000</v>
      </c>
      <c r="F124" s="433">
        <f t="shared" si="23"/>
        <v>-1199.9999999999991</v>
      </c>
      <c r="G124" s="434">
        <f t="shared" si="23"/>
        <v>384300</v>
      </c>
      <c r="H124" s="430">
        <f t="shared" si="23"/>
        <v>-10000</v>
      </c>
    </row>
    <row r="125" spans="1:15" ht="14.7" thickBot="1" x14ac:dyDescent="0.6"/>
    <row r="126" spans="1:15" ht="17.7" x14ac:dyDescent="0.6">
      <c r="B126" s="161">
        <v>6</v>
      </c>
      <c r="C126" s="163" t="s">
        <v>406</v>
      </c>
    </row>
    <row r="127" spans="1:15" x14ac:dyDescent="0.55000000000000004">
      <c r="B127" s="170" t="s">
        <v>379</v>
      </c>
      <c r="C127" s="605"/>
    </row>
    <row r="128" spans="1:15" x14ac:dyDescent="0.55000000000000004">
      <c r="B128" s="167" t="s">
        <v>407</v>
      </c>
      <c r="C128" s="171">
        <f>SUM(C12,-C22,C33,-C43,C54,-C64)</f>
        <v>301.29999999999995</v>
      </c>
    </row>
    <row r="129" spans="1:9" ht="27.6" x14ac:dyDescent="0.55000000000000004">
      <c r="B129" s="185" t="s">
        <v>408</v>
      </c>
      <c r="C129" s="171">
        <f>SUM(D113:F113)/C128</f>
        <v>7329.90375041487</v>
      </c>
    </row>
    <row r="130" spans="1:9" ht="27.6" x14ac:dyDescent="0.55000000000000004">
      <c r="B130" s="185" t="s">
        <v>409</v>
      </c>
      <c r="C130" s="171">
        <f>SUM(F124:H124)/C128</f>
        <v>1238.3006969797545</v>
      </c>
    </row>
    <row r="131" spans="1:9" x14ac:dyDescent="0.55000000000000004">
      <c r="B131" s="168" t="s">
        <v>410</v>
      </c>
      <c r="C131" s="171">
        <f>SUM(C124:E124)/SUM(D101:F101)</f>
        <v>1997.2222222222222</v>
      </c>
    </row>
    <row r="132" spans="1:9" x14ac:dyDescent="0.55000000000000004">
      <c r="B132" s="168" t="s">
        <v>411</v>
      </c>
      <c r="C132" s="171">
        <f>SUM(D101:F101)/C128</f>
        <v>0.71689346166611356</v>
      </c>
    </row>
    <row r="133" spans="1:9" x14ac:dyDescent="0.55000000000000004">
      <c r="B133" s="168" t="s">
        <v>412</v>
      </c>
      <c r="C133" s="171">
        <f>C131*C132</f>
        <v>1431.7955526053768</v>
      </c>
    </row>
    <row r="134" spans="1:9" x14ac:dyDescent="0.55000000000000004">
      <c r="B134" s="168" t="s">
        <v>413</v>
      </c>
      <c r="C134" s="171">
        <f>SUM(G113:I113)/SUM(D101:F101)</f>
        <v>3724.537037037037</v>
      </c>
    </row>
    <row r="135" spans="1:9" ht="27.6" x14ac:dyDescent="0.55000000000000004">
      <c r="B135" s="168" t="s">
        <v>414</v>
      </c>
      <c r="C135" s="171">
        <f>C134*C132</f>
        <v>2670.0962495851313</v>
      </c>
    </row>
    <row r="136" spans="1:9" ht="27.9" thickBot="1" x14ac:dyDescent="0.6">
      <c r="A136" s="164">
        <v>4</v>
      </c>
      <c r="B136" s="169" t="s">
        <v>415</v>
      </c>
      <c r="C136" s="172">
        <f>C135+'Dairy Production'!F53</f>
        <v>2770.3103219382679</v>
      </c>
    </row>
    <row r="139" spans="1:9" ht="14.7" thickBot="1" x14ac:dyDescent="0.6">
      <c r="A139" s="120" t="s">
        <v>35</v>
      </c>
      <c r="B139" s="128"/>
      <c r="C139" s="128"/>
      <c r="D139" s="128"/>
      <c r="E139" s="128"/>
      <c r="F139" s="128"/>
      <c r="G139" s="128"/>
      <c r="H139" s="128"/>
      <c r="I139" s="128"/>
    </row>
    <row r="140" spans="1:9" ht="15" customHeight="1" x14ac:dyDescent="0.55000000000000004">
      <c r="A140" s="119">
        <v>1</v>
      </c>
      <c r="B140" s="694" t="s">
        <v>315</v>
      </c>
      <c r="C140" s="694"/>
      <c r="D140" s="694"/>
      <c r="E140" s="694"/>
      <c r="F140" s="694"/>
      <c r="G140" s="694"/>
      <c r="H140" s="694"/>
      <c r="I140" s="694"/>
    </row>
    <row r="141" spans="1:9" ht="15" customHeight="1" x14ac:dyDescent="0.55000000000000004">
      <c r="A141" s="158">
        <v>2</v>
      </c>
      <c r="B141" s="692" t="s">
        <v>416</v>
      </c>
      <c r="C141" s="692"/>
      <c r="D141" s="692"/>
      <c r="E141" s="692"/>
      <c r="F141" s="692"/>
      <c r="G141" s="692"/>
      <c r="H141" s="692"/>
      <c r="I141" s="692"/>
    </row>
    <row r="142" spans="1:9" x14ac:dyDescent="0.55000000000000004">
      <c r="A142" s="158">
        <v>3</v>
      </c>
      <c r="B142" s="692" t="s">
        <v>417</v>
      </c>
      <c r="C142" s="692"/>
      <c r="D142" s="692"/>
      <c r="E142" s="692"/>
      <c r="F142" s="692"/>
      <c r="G142" s="692"/>
      <c r="H142" s="692"/>
      <c r="I142" s="692"/>
    </row>
    <row r="143" spans="1:9" x14ac:dyDescent="0.55000000000000004">
      <c r="A143" s="158">
        <v>4</v>
      </c>
      <c r="B143" s="692" t="s">
        <v>418</v>
      </c>
      <c r="C143" s="692"/>
      <c r="D143" s="692"/>
      <c r="E143" s="692"/>
      <c r="F143" s="692"/>
      <c r="G143" s="692"/>
      <c r="H143" s="692"/>
      <c r="I143" s="692"/>
    </row>
    <row r="144" spans="1:9" x14ac:dyDescent="0.55000000000000004">
      <c r="A144" s="158">
        <v>5</v>
      </c>
      <c r="B144" s="692" t="s">
        <v>419</v>
      </c>
      <c r="C144" s="692"/>
      <c r="D144" s="692"/>
      <c r="E144" s="692"/>
      <c r="F144" s="692"/>
      <c r="G144" s="692"/>
      <c r="H144" s="692"/>
      <c r="I144" s="692"/>
    </row>
  </sheetData>
  <mergeCells count="66">
    <mergeCell ref="B6:O6"/>
    <mergeCell ref="D93:F93"/>
    <mergeCell ref="G93:I93"/>
    <mergeCell ref="J93:L93"/>
    <mergeCell ref="M93:O93"/>
    <mergeCell ref="D83:F83"/>
    <mergeCell ref="G83:I83"/>
    <mergeCell ref="J83:L83"/>
    <mergeCell ref="M83:O83"/>
    <mergeCell ref="M10:O10"/>
    <mergeCell ref="M20:O20"/>
    <mergeCell ref="M31:O31"/>
    <mergeCell ref="M52:O52"/>
    <mergeCell ref="M73:O73"/>
    <mergeCell ref="M41:O41"/>
    <mergeCell ref="M62:O62"/>
    <mergeCell ref="J52:L52"/>
    <mergeCell ref="D62:F62"/>
    <mergeCell ref="G62:I62"/>
    <mergeCell ref="J62:L62"/>
    <mergeCell ref="D73:F73"/>
    <mergeCell ref="G73:I73"/>
    <mergeCell ref="J73:L73"/>
    <mergeCell ref="J105:L105"/>
    <mergeCell ref="M105:O105"/>
    <mergeCell ref="D10:F10"/>
    <mergeCell ref="G10:I10"/>
    <mergeCell ref="J10:L10"/>
    <mergeCell ref="D20:F20"/>
    <mergeCell ref="G20:I20"/>
    <mergeCell ref="J20:L20"/>
    <mergeCell ref="D31:F31"/>
    <mergeCell ref="G31:I31"/>
    <mergeCell ref="J31:L31"/>
    <mergeCell ref="D41:F41"/>
    <mergeCell ref="G41:I41"/>
    <mergeCell ref="J41:L41"/>
    <mergeCell ref="D52:F52"/>
    <mergeCell ref="G52:I52"/>
    <mergeCell ref="B107:C107"/>
    <mergeCell ref="B113:C113"/>
    <mergeCell ref="C116:E116"/>
    <mergeCell ref="F116:H116"/>
    <mergeCell ref="D105:F105"/>
    <mergeCell ref="G105:I105"/>
    <mergeCell ref="B108:C108"/>
    <mergeCell ref="B109:C109"/>
    <mergeCell ref="B110:C110"/>
    <mergeCell ref="B111:C111"/>
    <mergeCell ref="B112:C112"/>
    <mergeCell ref="B144:I144"/>
    <mergeCell ref="B141:I141"/>
    <mergeCell ref="B142:I142"/>
    <mergeCell ref="B143:I143"/>
    <mergeCell ref="B93:C93"/>
    <mergeCell ref="B140:I140"/>
    <mergeCell ref="B106:C106"/>
    <mergeCell ref="B105:C105"/>
    <mergeCell ref="B101:C101"/>
    <mergeCell ref="B94:C94"/>
    <mergeCell ref="B95:C95"/>
    <mergeCell ref="B96:C96"/>
    <mergeCell ref="B97:C97"/>
    <mergeCell ref="B98:C98"/>
    <mergeCell ref="B99:C99"/>
    <mergeCell ref="B100:C100"/>
  </mergeCells>
  <conditionalFormatting sqref="G107:O113 F118:H124">
    <cfRule type="cellIs" dxfId="0" priority="1" operator="lessThan">
      <formula>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BA55-4B26-4A89-AE3C-BCE7EA0CCB3E}">
  <sheetPr>
    <tabColor rgb="FFB4C6E7"/>
  </sheetPr>
  <dimension ref="A1:M18"/>
  <sheetViews>
    <sheetView topLeftCell="A11" zoomScaleNormal="100" workbookViewId="0"/>
  </sheetViews>
  <sheetFormatPr defaultColWidth="9.15625" defaultRowHeight="14.4" x14ac:dyDescent="0.55000000000000004"/>
  <cols>
    <col min="1" max="1" width="9.15625" style="138"/>
    <col min="2" max="2" width="20.578125" style="138" customWidth="1"/>
    <col min="3" max="8" width="15.41796875" style="138" customWidth="1"/>
    <col min="9" max="16384" width="9.15625" style="138"/>
  </cols>
  <sheetData>
    <row r="1" spans="1:13" s="133" customFormat="1" ht="13.8" x14ac:dyDescent="0.45">
      <c r="A1" s="29"/>
      <c r="B1" s="127"/>
      <c r="C1" s="122"/>
      <c r="D1" s="122"/>
      <c r="E1" s="123"/>
      <c r="F1" s="123"/>
      <c r="G1" s="123"/>
      <c r="H1" s="123"/>
      <c r="I1" s="123"/>
      <c r="J1" s="123"/>
      <c r="K1" s="29"/>
      <c r="L1" s="121"/>
      <c r="M1" s="29"/>
    </row>
    <row r="2" spans="1:13" s="134" customFormat="1" ht="20.100000000000001" x14ac:dyDescent="0.7">
      <c r="A2" s="117"/>
      <c r="B2" s="31" t="s">
        <v>0</v>
      </c>
      <c r="C2" s="124"/>
      <c r="D2" s="124"/>
      <c r="E2" s="124"/>
      <c r="F2" s="124"/>
      <c r="G2" s="124"/>
      <c r="H2" s="124"/>
      <c r="I2" s="124"/>
      <c r="J2" s="124"/>
      <c r="K2" s="117"/>
      <c r="L2" s="117"/>
      <c r="M2" s="118"/>
    </row>
    <row r="3" spans="1:13" s="134" customFormat="1" ht="21.6" customHeight="1" x14ac:dyDescent="0.6">
      <c r="A3" s="117"/>
      <c r="B3" s="32" t="s">
        <v>1</v>
      </c>
      <c r="C3" s="124"/>
      <c r="D3" s="124"/>
      <c r="E3" s="124"/>
      <c r="F3" s="124"/>
      <c r="G3" s="124"/>
      <c r="H3" s="124"/>
      <c r="I3" s="124"/>
      <c r="J3" s="124"/>
      <c r="K3" s="117"/>
      <c r="L3" s="118"/>
      <c r="M3" s="118"/>
    </row>
    <row r="4" spans="1:13" s="134" customFormat="1" ht="20.100000000000001" x14ac:dyDescent="0.7">
      <c r="A4" s="117"/>
      <c r="B4" s="31"/>
      <c r="C4" s="124"/>
      <c r="D4" s="124"/>
      <c r="E4" s="124"/>
      <c r="F4" s="124"/>
      <c r="G4" s="124"/>
      <c r="H4" s="124"/>
      <c r="I4" s="124"/>
      <c r="J4" s="124"/>
      <c r="K4" s="117"/>
      <c r="L4" s="117"/>
      <c r="M4" s="118"/>
    </row>
    <row r="5" spans="1:13" s="134" customFormat="1" ht="17.7" x14ac:dyDescent="0.6">
      <c r="A5" s="117"/>
      <c r="B5" s="34" t="s">
        <v>420</v>
      </c>
      <c r="C5" s="124"/>
      <c r="D5" s="124"/>
      <c r="E5" s="124"/>
      <c r="F5" s="124"/>
      <c r="G5" s="124"/>
      <c r="H5" s="124"/>
      <c r="I5" s="124"/>
      <c r="J5" s="124"/>
      <c r="K5" s="117"/>
      <c r="L5" s="118"/>
      <c r="M5" s="118"/>
    </row>
    <row r="6" spans="1:13" s="134" customFormat="1" ht="30.75" customHeight="1" x14ac:dyDescent="0.5">
      <c r="A6" s="118"/>
      <c r="B6" s="693" t="s">
        <v>24</v>
      </c>
      <c r="C6" s="693"/>
      <c r="D6" s="693"/>
      <c r="E6" s="693"/>
      <c r="F6" s="693"/>
      <c r="G6" s="693"/>
      <c r="H6" s="693"/>
      <c r="I6" s="693"/>
      <c r="J6" s="693"/>
      <c r="K6" s="693"/>
      <c r="L6" s="693"/>
      <c r="M6" s="693"/>
    </row>
    <row r="7" spans="1:13" s="134" customFormat="1" ht="15.3" thickBot="1" x14ac:dyDescent="0.55000000000000004">
      <c r="A7" s="140" t="s">
        <v>35</v>
      </c>
      <c r="B7" s="35"/>
      <c r="C7" s="125"/>
      <c r="D7" s="125"/>
      <c r="E7" s="126"/>
      <c r="F7" s="126"/>
      <c r="G7" s="126"/>
      <c r="H7" s="126"/>
      <c r="I7" s="126"/>
      <c r="J7" s="126"/>
      <c r="K7" s="118"/>
      <c r="L7" s="118"/>
      <c r="M7" s="118"/>
    </row>
    <row r="8" spans="1:13" ht="15" customHeight="1" x14ac:dyDescent="0.55000000000000004">
      <c r="A8" s="164">
        <v>1</v>
      </c>
      <c r="B8" s="132"/>
      <c r="C8" s="755" t="s">
        <v>421</v>
      </c>
      <c r="D8" s="755"/>
      <c r="E8" s="697"/>
      <c r="F8" s="755" t="s">
        <v>422</v>
      </c>
      <c r="G8" s="755"/>
      <c r="H8" s="697"/>
    </row>
    <row r="9" spans="1:13" ht="44.25" customHeight="1" x14ac:dyDescent="0.55000000000000004">
      <c r="B9" s="375" t="s">
        <v>379</v>
      </c>
      <c r="C9" s="372" t="s">
        <v>380</v>
      </c>
      <c r="D9" s="376" t="s">
        <v>381</v>
      </c>
      <c r="E9" s="160" t="s">
        <v>382</v>
      </c>
      <c r="F9" s="372" t="s">
        <v>380</v>
      </c>
      <c r="G9" s="159" t="s">
        <v>381</v>
      </c>
      <c r="H9" s="160" t="s">
        <v>382</v>
      </c>
    </row>
    <row r="10" spans="1:13" ht="60" customHeight="1" x14ac:dyDescent="0.55000000000000004">
      <c r="B10" s="356" t="s">
        <v>383</v>
      </c>
      <c r="C10" s="373">
        <v>7500</v>
      </c>
      <c r="D10" s="377">
        <v>13000</v>
      </c>
      <c r="E10" s="234">
        <v>18000</v>
      </c>
      <c r="F10" s="373">
        <v>2500</v>
      </c>
      <c r="G10" s="233">
        <v>2500</v>
      </c>
      <c r="H10" s="234">
        <v>3500</v>
      </c>
    </row>
    <row r="11" spans="1:13" ht="60" customHeight="1" x14ac:dyDescent="0.55000000000000004">
      <c r="B11" s="357" t="s">
        <v>384</v>
      </c>
      <c r="C11" s="373">
        <v>5000</v>
      </c>
      <c r="D11" s="377">
        <v>8000</v>
      </c>
      <c r="E11" s="234">
        <v>13000</v>
      </c>
      <c r="F11" s="373">
        <v>2300</v>
      </c>
      <c r="G11" s="233">
        <v>2300</v>
      </c>
      <c r="H11" s="234">
        <v>3000</v>
      </c>
    </row>
    <row r="12" spans="1:13" ht="60" customHeight="1" x14ac:dyDescent="0.55000000000000004">
      <c r="B12" s="357" t="s">
        <v>385</v>
      </c>
      <c r="C12" s="373">
        <v>2000</v>
      </c>
      <c r="D12" s="377">
        <v>3000</v>
      </c>
      <c r="E12" s="234">
        <v>4000</v>
      </c>
      <c r="F12" s="373">
        <v>600</v>
      </c>
      <c r="G12" s="233">
        <v>600</v>
      </c>
      <c r="H12" s="234">
        <v>1000</v>
      </c>
    </row>
    <row r="13" spans="1:13" ht="60" customHeight="1" x14ac:dyDescent="0.55000000000000004">
      <c r="B13" s="358" t="s">
        <v>386</v>
      </c>
      <c r="C13" s="373">
        <v>7000</v>
      </c>
      <c r="D13" s="377">
        <v>9000</v>
      </c>
      <c r="E13" s="234">
        <v>12000</v>
      </c>
      <c r="F13" s="373">
        <v>4000</v>
      </c>
      <c r="G13" s="233">
        <v>4000</v>
      </c>
      <c r="H13" s="234">
        <v>5000</v>
      </c>
    </row>
    <row r="14" spans="1:13" ht="60" customHeight="1" x14ac:dyDescent="0.55000000000000004">
      <c r="B14" s="357" t="s">
        <v>387</v>
      </c>
      <c r="C14" s="373">
        <v>12000</v>
      </c>
      <c r="D14" s="377">
        <v>16000</v>
      </c>
      <c r="E14" s="234">
        <v>20000</v>
      </c>
      <c r="F14" s="373">
        <v>4000</v>
      </c>
      <c r="G14" s="233">
        <v>10650</v>
      </c>
      <c r="H14" s="234">
        <v>13600.000000000002</v>
      </c>
    </row>
    <row r="15" spans="1:13" ht="60" customHeight="1" thickBot="1" x14ac:dyDescent="0.6">
      <c r="B15" s="359" t="s">
        <v>388</v>
      </c>
      <c r="C15" s="374">
        <v>12000</v>
      </c>
      <c r="D15" s="378">
        <v>16000</v>
      </c>
      <c r="E15" s="236">
        <v>20000</v>
      </c>
      <c r="F15" s="374">
        <v>6800.0000000000009</v>
      </c>
      <c r="G15" s="235">
        <v>10500</v>
      </c>
      <c r="H15" s="236">
        <v>14200</v>
      </c>
    </row>
    <row r="17" spans="1:9" ht="14.7" thickBot="1" x14ac:dyDescent="0.6">
      <c r="A17" s="120" t="s">
        <v>35</v>
      </c>
      <c r="B17" s="128"/>
      <c r="C17" s="128"/>
      <c r="D17" s="128"/>
      <c r="E17" s="128"/>
      <c r="F17" s="128"/>
      <c r="G17" s="128"/>
      <c r="H17" s="128"/>
      <c r="I17" s="128"/>
    </row>
    <row r="18" spans="1:9" x14ac:dyDescent="0.55000000000000004">
      <c r="A18" s="119">
        <v>1</v>
      </c>
      <c r="B18" s="754" t="s">
        <v>423</v>
      </c>
      <c r="C18" s="754"/>
      <c r="D18" s="754"/>
      <c r="E18" s="754"/>
      <c r="F18" s="754"/>
      <c r="G18" s="754"/>
      <c r="H18" s="754"/>
      <c r="I18" s="754"/>
    </row>
  </sheetData>
  <mergeCells count="4">
    <mergeCell ref="B6:M6"/>
    <mergeCell ref="B18:I18"/>
    <mergeCell ref="C8:E8"/>
    <mergeCell ref="F8:H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1A91-2048-4618-9AA0-0391EFE8ECF7}">
  <sheetPr>
    <tabColor rgb="FFB4C6E7"/>
  </sheetPr>
  <dimension ref="A1:M58"/>
  <sheetViews>
    <sheetView topLeftCell="A30" zoomScale="85" zoomScaleNormal="85" workbookViewId="0">
      <selection activeCell="H53" sqref="H53"/>
    </sheetView>
  </sheetViews>
  <sheetFormatPr defaultColWidth="9.15625" defaultRowHeight="14.4" x14ac:dyDescent="0.55000000000000004"/>
  <cols>
    <col min="1" max="1" width="9.15625" style="138"/>
    <col min="2" max="2" width="33.41796875" style="138" customWidth="1"/>
    <col min="3" max="4" width="14.41796875" style="138" customWidth="1"/>
    <col min="5" max="11" width="13.41796875" style="138" customWidth="1"/>
    <col min="12" max="16384" width="9.15625" style="138"/>
  </cols>
  <sheetData>
    <row r="1" spans="1:13" s="133" customFormat="1" ht="13.8" x14ac:dyDescent="0.45">
      <c r="A1" s="29"/>
      <c r="B1" s="127"/>
      <c r="C1" s="122"/>
      <c r="D1" s="122"/>
      <c r="E1" s="123"/>
      <c r="F1" s="123"/>
      <c r="G1" s="123"/>
      <c r="H1" s="123"/>
      <c r="I1" s="123"/>
      <c r="J1" s="123"/>
      <c r="K1" s="29"/>
      <c r="L1" s="121"/>
      <c r="M1" s="29"/>
    </row>
    <row r="2" spans="1:13" s="134" customFormat="1" ht="20.100000000000001" x14ac:dyDescent="0.7">
      <c r="A2" s="117"/>
      <c r="B2" s="31" t="s">
        <v>0</v>
      </c>
      <c r="C2" s="124"/>
      <c r="D2" s="124"/>
      <c r="E2" s="124"/>
      <c r="F2" s="124"/>
      <c r="G2" s="124"/>
      <c r="H2" s="124"/>
      <c r="I2" s="124"/>
      <c r="J2" s="124"/>
      <c r="K2" s="117"/>
      <c r="L2" s="117"/>
      <c r="M2" s="118"/>
    </row>
    <row r="3" spans="1:13" s="134" customFormat="1" ht="21.6" customHeight="1" x14ac:dyDescent="0.6">
      <c r="A3" s="117"/>
      <c r="B3" s="32" t="s">
        <v>1</v>
      </c>
      <c r="C3" s="124"/>
      <c r="D3" s="124"/>
      <c r="E3" s="124"/>
      <c r="F3" s="124"/>
      <c r="G3" s="124"/>
      <c r="H3" s="124"/>
      <c r="I3" s="124"/>
      <c r="J3" s="124"/>
      <c r="K3" s="117"/>
      <c r="L3" s="118"/>
      <c r="M3" s="118"/>
    </row>
    <row r="4" spans="1:13" s="134" customFormat="1" ht="20.100000000000001" x14ac:dyDescent="0.7">
      <c r="A4" s="117"/>
      <c r="B4" s="31"/>
      <c r="C4" s="124"/>
      <c r="D4" s="124"/>
      <c r="E4" s="124"/>
      <c r="F4" s="124"/>
      <c r="G4" s="124"/>
      <c r="H4" s="124"/>
      <c r="I4" s="124"/>
      <c r="J4" s="124"/>
      <c r="K4" s="117"/>
      <c r="L4" s="117"/>
      <c r="M4" s="118"/>
    </row>
    <row r="5" spans="1:13" s="134" customFormat="1" ht="17.7" x14ac:dyDescent="0.6">
      <c r="A5" s="117"/>
      <c r="B5" s="34" t="s">
        <v>25</v>
      </c>
      <c r="C5" s="124"/>
      <c r="D5" s="124"/>
      <c r="E5" s="124"/>
      <c r="F5" s="124"/>
      <c r="G5" s="124"/>
      <c r="H5" s="124"/>
      <c r="I5" s="124"/>
      <c r="J5" s="124"/>
      <c r="K5" s="117"/>
      <c r="L5" s="118"/>
      <c r="M5" s="118"/>
    </row>
    <row r="6" spans="1:13" s="134" customFormat="1" ht="32.1" customHeight="1" x14ac:dyDescent="0.5">
      <c r="A6" s="118"/>
      <c r="B6" s="693" t="s">
        <v>424</v>
      </c>
      <c r="C6" s="693"/>
      <c r="D6" s="693"/>
      <c r="E6" s="693"/>
      <c r="F6" s="693"/>
      <c r="G6" s="693"/>
      <c r="H6" s="693"/>
      <c r="I6" s="693"/>
      <c r="J6" s="693"/>
      <c r="K6" s="693"/>
      <c r="L6" s="693"/>
      <c r="M6" s="693"/>
    </row>
    <row r="7" spans="1:13" s="134" customFormat="1" ht="15" x14ac:dyDescent="0.5">
      <c r="A7" s="140" t="s">
        <v>35</v>
      </c>
      <c r="B7" s="35"/>
      <c r="C7" s="125"/>
      <c r="D7" s="125"/>
      <c r="E7" s="126"/>
      <c r="F7" s="126"/>
      <c r="G7" s="126"/>
      <c r="H7" s="126"/>
      <c r="I7" s="126"/>
      <c r="J7" s="126"/>
      <c r="K7" s="118"/>
      <c r="L7" s="118"/>
      <c r="M7" s="118"/>
    </row>
    <row r="8" spans="1:13" ht="14.7" thickBot="1" x14ac:dyDescent="0.6"/>
    <row r="9" spans="1:13" x14ac:dyDescent="0.55000000000000004">
      <c r="A9" s="164">
        <v>1</v>
      </c>
      <c r="B9" s="129" t="s">
        <v>382</v>
      </c>
      <c r="C9" s="755"/>
      <c r="D9" s="755"/>
      <c r="E9" s="755"/>
      <c r="F9" s="755"/>
      <c r="G9" s="755"/>
      <c r="H9" s="697"/>
      <c r="I9" s="129"/>
      <c r="J9" s="755"/>
      <c r="K9" s="697"/>
    </row>
    <row r="10" spans="1:13" ht="49.2" x14ac:dyDescent="0.55000000000000004">
      <c r="B10" s="379" t="s">
        <v>425</v>
      </c>
      <c r="C10" s="604"/>
      <c r="D10" s="604" t="s">
        <v>374</v>
      </c>
      <c r="E10" s="604" t="s">
        <v>426</v>
      </c>
      <c r="F10" s="604" t="s">
        <v>427</v>
      </c>
      <c r="G10" s="604" t="s">
        <v>428</v>
      </c>
      <c r="H10" s="604" t="s">
        <v>429</v>
      </c>
      <c r="I10" s="604" t="s">
        <v>430</v>
      </c>
      <c r="J10" s="604" t="s">
        <v>431</v>
      </c>
      <c r="K10" s="605" t="s">
        <v>432</v>
      </c>
    </row>
    <row r="11" spans="1:13" x14ac:dyDescent="0.55000000000000004">
      <c r="B11" s="762" t="s">
        <v>433</v>
      </c>
      <c r="C11" s="186" t="s">
        <v>311</v>
      </c>
      <c r="D11" s="237">
        <v>429.5</v>
      </c>
      <c r="E11" s="237">
        <v>1</v>
      </c>
      <c r="F11" s="237">
        <v>6</v>
      </c>
      <c r="G11" s="237">
        <v>900</v>
      </c>
      <c r="H11" s="237"/>
      <c r="I11" s="237">
        <v>450</v>
      </c>
      <c r="J11" s="237">
        <v>6</v>
      </c>
      <c r="K11" s="238">
        <v>450</v>
      </c>
    </row>
    <row r="12" spans="1:13" x14ac:dyDescent="0.55000000000000004">
      <c r="B12" s="762"/>
      <c r="C12" s="186" t="s">
        <v>312</v>
      </c>
      <c r="D12" s="237">
        <v>174.20000000000002</v>
      </c>
      <c r="E12" s="237"/>
      <c r="F12" s="237"/>
      <c r="G12" s="237"/>
      <c r="H12" s="237"/>
      <c r="I12" s="237"/>
      <c r="J12" s="237"/>
      <c r="K12" s="238"/>
    </row>
    <row r="13" spans="1:13" x14ac:dyDescent="0.55000000000000004">
      <c r="B13" s="762" t="s">
        <v>434</v>
      </c>
      <c r="C13" s="186" t="s">
        <v>311</v>
      </c>
      <c r="D13" s="237">
        <v>116.99999999999996</v>
      </c>
      <c r="E13" s="237"/>
      <c r="F13" s="237"/>
      <c r="G13" s="237"/>
      <c r="H13" s="237"/>
      <c r="I13" s="237"/>
      <c r="J13" s="237"/>
      <c r="K13" s="238"/>
    </row>
    <row r="14" spans="1:13" x14ac:dyDescent="0.55000000000000004">
      <c r="B14" s="762"/>
      <c r="C14" s="186" t="s">
        <v>312</v>
      </c>
      <c r="D14" s="237">
        <v>91.8</v>
      </c>
      <c r="E14" s="237"/>
      <c r="F14" s="237"/>
      <c r="G14" s="237"/>
      <c r="H14" s="237"/>
      <c r="I14" s="237"/>
      <c r="J14" s="237"/>
      <c r="K14" s="238"/>
    </row>
    <row r="15" spans="1:13" x14ac:dyDescent="0.55000000000000004">
      <c r="B15" s="762" t="s">
        <v>435</v>
      </c>
      <c r="C15" s="186" t="s">
        <v>311</v>
      </c>
      <c r="D15" s="237">
        <v>66.5</v>
      </c>
      <c r="E15" s="237"/>
      <c r="F15" s="237"/>
      <c r="G15" s="237"/>
      <c r="H15" s="237"/>
      <c r="I15" s="237"/>
      <c r="J15" s="237"/>
      <c r="K15" s="238"/>
    </row>
    <row r="16" spans="1:13" ht="14.7" thickBot="1" x14ac:dyDescent="0.6">
      <c r="B16" s="763"/>
      <c r="C16" s="187" t="s">
        <v>312</v>
      </c>
      <c r="D16" s="239">
        <v>45.699999999999996</v>
      </c>
      <c r="E16" s="239">
        <v>11</v>
      </c>
      <c r="F16" s="239">
        <v>6</v>
      </c>
      <c r="G16" s="239">
        <v>18000</v>
      </c>
      <c r="H16" s="239">
        <v>16560</v>
      </c>
      <c r="I16" s="239">
        <v>990</v>
      </c>
      <c r="J16" s="239">
        <v>10</v>
      </c>
      <c r="K16" s="240">
        <v>450</v>
      </c>
    </row>
    <row r="17" spans="1:11" ht="15.6" thickBot="1" x14ac:dyDescent="0.6">
      <c r="B17" s="153"/>
      <c r="C17" s="153"/>
      <c r="D17" s="153"/>
      <c r="E17" s="153"/>
      <c r="F17" s="153"/>
      <c r="G17" s="153"/>
      <c r="H17" s="153"/>
      <c r="I17" s="153"/>
      <c r="J17" s="153"/>
      <c r="K17" s="153"/>
    </row>
    <row r="18" spans="1:11" ht="15.75" customHeight="1" x14ac:dyDescent="0.55000000000000004">
      <c r="A18" s="164">
        <v>1</v>
      </c>
      <c r="B18" s="129" t="s">
        <v>381</v>
      </c>
      <c r="C18" s="755"/>
      <c r="D18" s="755"/>
      <c r="E18" s="755"/>
      <c r="F18" s="755"/>
      <c r="G18" s="755"/>
      <c r="H18" s="697"/>
      <c r="I18" s="129"/>
      <c r="J18" s="755"/>
      <c r="K18" s="697"/>
    </row>
    <row r="19" spans="1:11" ht="49.2" x14ac:dyDescent="0.55000000000000004">
      <c r="B19" s="379" t="s">
        <v>425</v>
      </c>
      <c r="C19" s="604"/>
      <c r="D19" s="604" t="s">
        <v>374</v>
      </c>
      <c r="E19" s="604" t="s">
        <v>426</v>
      </c>
      <c r="F19" s="604" t="s">
        <v>427</v>
      </c>
      <c r="G19" s="604" t="s">
        <v>428</v>
      </c>
      <c r="H19" s="604" t="s">
        <v>429</v>
      </c>
      <c r="I19" s="604" t="s">
        <v>430</v>
      </c>
      <c r="J19" s="604" t="s">
        <v>431</v>
      </c>
      <c r="K19" s="605" t="s">
        <v>432</v>
      </c>
    </row>
    <row r="20" spans="1:11" ht="15.75" customHeight="1" x14ac:dyDescent="0.55000000000000004">
      <c r="B20" s="762" t="s">
        <v>433</v>
      </c>
      <c r="C20" s="186" t="s">
        <v>311</v>
      </c>
      <c r="D20" s="237">
        <v>429.5</v>
      </c>
      <c r="E20" s="237">
        <v>52</v>
      </c>
      <c r="F20" s="237">
        <v>5.3749999999999991</v>
      </c>
      <c r="G20" s="237">
        <v>35420</v>
      </c>
      <c r="H20" s="237">
        <v>12380</v>
      </c>
      <c r="I20" s="237">
        <v>22130</v>
      </c>
      <c r="J20" s="237">
        <v>171.5</v>
      </c>
      <c r="K20" s="238">
        <v>7610</v>
      </c>
    </row>
    <row r="21" spans="1:11" x14ac:dyDescent="0.55000000000000004">
      <c r="B21" s="762"/>
      <c r="C21" s="186" t="s">
        <v>312</v>
      </c>
      <c r="D21" s="237">
        <v>174.20000000000002</v>
      </c>
      <c r="E21" s="237">
        <v>24</v>
      </c>
      <c r="F21" s="237">
        <v>5.7</v>
      </c>
      <c r="G21" s="237">
        <v>22280</v>
      </c>
      <c r="H21" s="237">
        <v>14400</v>
      </c>
      <c r="I21" s="237">
        <v>4160</v>
      </c>
      <c r="J21" s="237">
        <v>90.499999999999986</v>
      </c>
      <c r="K21" s="238">
        <v>3720</v>
      </c>
    </row>
    <row r="22" spans="1:11" x14ac:dyDescent="0.55000000000000004">
      <c r="B22" s="762" t="s">
        <v>434</v>
      </c>
      <c r="C22" s="186" t="s">
        <v>311</v>
      </c>
      <c r="D22" s="237">
        <v>116.99999999999996</v>
      </c>
      <c r="E22" s="237">
        <v>125</v>
      </c>
      <c r="F22" s="237">
        <v>5.5384615384615383</v>
      </c>
      <c r="G22" s="237">
        <v>133429.99999999997</v>
      </c>
      <c r="H22" s="237">
        <v>112130</v>
      </c>
      <c r="I22" s="237">
        <v>15019.999999999998</v>
      </c>
      <c r="J22" s="237">
        <v>163.99999999999997</v>
      </c>
      <c r="K22" s="238">
        <v>6280.0000000000018</v>
      </c>
    </row>
    <row r="23" spans="1:11" x14ac:dyDescent="0.55000000000000004">
      <c r="B23" s="762"/>
      <c r="C23" s="186" t="s">
        <v>312</v>
      </c>
      <c r="D23" s="237">
        <v>91.8</v>
      </c>
      <c r="E23" s="237">
        <v>87</v>
      </c>
      <c r="F23" s="237">
        <v>5.3999999999999995</v>
      </c>
      <c r="G23" s="237">
        <v>70760</v>
      </c>
      <c r="H23" s="237">
        <v>51429.999999999993</v>
      </c>
      <c r="I23" s="237">
        <v>12449.999999999998</v>
      </c>
      <c r="J23" s="237">
        <v>179.50000000000003</v>
      </c>
      <c r="K23" s="238">
        <v>6880.0000000000009</v>
      </c>
    </row>
    <row r="24" spans="1:11" ht="15.75" customHeight="1" x14ac:dyDescent="0.55000000000000004">
      <c r="B24" s="762" t="s">
        <v>435</v>
      </c>
      <c r="C24" s="186" t="s">
        <v>311</v>
      </c>
      <c r="D24" s="237">
        <v>66.5</v>
      </c>
      <c r="E24" s="237">
        <v>72</v>
      </c>
      <c r="F24" s="237">
        <v>5</v>
      </c>
      <c r="G24" s="237">
        <v>75250</v>
      </c>
      <c r="H24" s="237">
        <v>62660.000000000015</v>
      </c>
      <c r="I24" s="237">
        <v>10150</v>
      </c>
      <c r="J24" s="237">
        <v>71.5</v>
      </c>
      <c r="K24" s="238">
        <v>2439.9999999999995</v>
      </c>
    </row>
    <row r="25" spans="1:11" ht="14.7" thickBot="1" x14ac:dyDescent="0.6">
      <c r="B25" s="763"/>
      <c r="C25" s="187" t="s">
        <v>312</v>
      </c>
      <c r="D25" s="239">
        <v>45.699999999999996</v>
      </c>
      <c r="E25" s="239">
        <v>26</v>
      </c>
      <c r="F25" s="239">
        <v>6</v>
      </c>
      <c r="G25" s="239">
        <v>42120</v>
      </c>
      <c r="H25" s="239">
        <v>36360</v>
      </c>
      <c r="I25" s="239">
        <v>3860.0000000000005</v>
      </c>
      <c r="J25" s="239">
        <v>44</v>
      </c>
      <c r="K25" s="240">
        <v>1900</v>
      </c>
    </row>
    <row r="26" spans="1:11" ht="15.6" thickBot="1" x14ac:dyDescent="0.6">
      <c r="B26" s="153"/>
      <c r="C26" s="153"/>
      <c r="D26" s="153"/>
      <c r="E26" s="153"/>
      <c r="F26" s="153"/>
      <c r="G26" s="153"/>
      <c r="H26" s="153"/>
      <c r="I26" s="153"/>
      <c r="J26" s="153"/>
      <c r="K26" s="153"/>
    </row>
    <row r="27" spans="1:11" ht="15.75" customHeight="1" x14ac:dyDescent="0.55000000000000004">
      <c r="A27" s="164">
        <v>1</v>
      </c>
      <c r="B27" s="129" t="s">
        <v>380</v>
      </c>
      <c r="C27" s="755"/>
      <c r="D27" s="755"/>
      <c r="E27" s="755"/>
      <c r="F27" s="755"/>
      <c r="G27" s="755"/>
      <c r="H27" s="697"/>
      <c r="I27" s="129"/>
      <c r="J27" s="755"/>
      <c r="K27" s="697"/>
    </row>
    <row r="28" spans="1:11" ht="49.2" x14ac:dyDescent="0.55000000000000004">
      <c r="B28" s="379" t="s">
        <v>425</v>
      </c>
      <c r="C28" s="604"/>
      <c r="D28" s="604" t="s">
        <v>374</v>
      </c>
      <c r="E28" s="604" t="s">
        <v>426</v>
      </c>
      <c r="F28" s="604" t="s">
        <v>427</v>
      </c>
      <c r="G28" s="604" t="s">
        <v>428</v>
      </c>
      <c r="H28" s="604" t="s">
        <v>429</v>
      </c>
      <c r="I28" s="604" t="s">
        <v>430</v>
      </c>
      <c r="J28" s="604" t="s">
        <v>431</v>
      </c>
      <c r="K28" s="605" t="s">
        <v>432</v>
      </c>
    </row>
    <row r="29" spans="1:11" ht="15.75" customHeight="1" x14ac:dyDescent="0.55000000000000004">
      <c r="B29" s="762" t="s">
        <v>433</v>
      </c>
      <c r="C29" s="186" t="s">
        <v>311</v>
      </c>
      <c r="D29" s="237">
        <v>429.5</v>
      </c>
      <c r="E29" s="237">
        <v>24.000000000000004</v>
      </c>
      <c r="F29" s="237">
        <v>4.7692307692307692</v>
      </c>
      <c r="G29" s="237">
        <v>8700</v>
      </c>
      <c r="H29" s="237">
        <v>2000</v>
      </c>
      <c r="I29" s="237">
        <v>5280</v>
      </c>
      <c r="J29" s="237">
        <v>28</v>
      </c>
      <c r="K29" s="238">
        <v>1420.0000000000002</v>
      </c>
    </row>
    <row r="30" spans="1:11" x14ac:dyDescent="0.55000000000000004">
      <c r="B30" s="762"/>
      <c r="C30" s="186" t="s">
        <v>312</v>
      </c>
      <c r="D30" s="237">
        <v>174.20000000000002</v>
      </c>
      <c r="E30" s="237">
        <v>53.999999999999993</v>
      </c>
      <c r="F30" s="237">
        <v>4.7777777777777768</v>
      </c>
      <c r="G30" s="237">
        <v>18010</v>
      </c>
      <c r="H30" s="237">
        <v>3040.0000000000005</v>
      </c>
      <c r="I30" s="237">
        <v>9870</v>
      </c>
      <c r="J30" s="237">
        <v>108</v>
      </c>
      <c r="K30" s="238">
        <v>5100</v>
      </c>
    </row>
    <row r="31" spans="1:11" x14ac:dyDescent="0.55000000000000004">
      <c r="B31" s="762" t="s">
        <v>434</v>
      </c>
      <c r="C31" s="186" t="s">
        <v>311</v>
      </c>
      <c r="D31" s="237">
        <v>116.99999999999996</v>
      </c>
      <c r="E31" s="237">
        <v>7</v>
      </c>
      <c r="F31" s="237">
        <v>4.5</v>
      </c>
      <c r="G31" s="237">
        <v>5000</v>
      </c>
      <c r="H31" s="237">
        <v>3140</v>
      </c>
      <c r="I31" s="237">
        <v>1000</v>
      </c>
      <c r="J31" s="237">
        <v>17</v>
      </c>
      <c r="K31" s="238">
        <v>860</v>
      </c>
    </row>
    <row r="32" spans="1:11" x14ac:dyDescent="0.55000000000000004">
      <c r="B32" s="762"/>
      <c r="C32" s="186" t="s">
        <v>312</v>
      </c>
      <c r="D32" s="237">
        <v>91.8</v>
      </c>
      <c r="E32" s="237"/>
      <c r="F32" s="237"/>
      <c r="G32" s="237"/>
      <c r="H32" s="237"/>
      <c r="I32" s="237"/>
      <c r="J32" s="237"/>
      <c r="K32" s="238"/>
    </row>
    <row r="33" spans="2:11" ht="15.75" customHeight="1" x14ac:dyDescent="0.55000000000000004">
      <c r="B33" s="762" t="s">
        <v>435</v>
      </c>
      <c r="C33" s="186" t="s">
        <v>311</v>
      </c>
      <c r="D33" s="237">
        <v>66.5</v>
      </c>
      <c r="E33" s="237"/>
      <c r="F33" s="237"/>
      <c r="G33" s="237"/>
      <c r="H33" s="237"/>
      <c r="I33" s="237"/>
      <c r="J33" s="237"/>
      <c r="K33" s="238"/>
    </row>
    <row r="34" spans="2:11" ht="14.7" thickBot="1" x14ac:dyDescent="0.6">
      <c r="B34" s="763"/>
      <c r="C34" s="187" t="s">
        <v>312</v>
      </c>
      <c r="D34" s="239">
        <v>45.699999999999996</v>
      </c>
      <c r="E34" s="239">
        <v>2</v>
      </c>
      <c r="F34" s="239">
        <v>6</v>
      </c>
      <c r="G34" s="239">
        <v>1260</v>
      </c>
      <c r="H34" s="239">
        <v>1080</v>
      </c>
      <c r="I34" s="239">
        <v>180</v>
      </c>
      <c r="J34" s="239"/>
      <c r="K34" s="240">
        <v>0</v>
      </c>
    </row>
    <row r="35" spans="2:11" ht="15.6" thickBot="1" x14ac:dyDescent="0.6">
      <c r="B35" s="115"/>
      <c r="C35" s="115"/>
      <c r="D35" s="115"/>
      <c r="E35" s="115"/>
      <c r="F35" s="115"/>
      <c r="G35" s="115"/>
      <c r="H35" s="153"/>
      <c r="I35" s="153"/>
      <c r="J35" s="153"/>
      <c r="K35" s="153"/>
    </row>
    <row r="36" spans="2:11" ht="15.75" customHeight="1" x14ac:dyDescent="0.55000000000000004">
      <c r="B36" s="129" t="s">
        <v>436</v>
      </c>
      <c r="C36" s="755"/>
      <c r="D36" s="755"/>
      <c r="E36" s="755"/>
      <c r="F36" s="755"/>
      <c r="G36" s="755"/>
      <c r="H36" s="697"/>
      <c r="I36" s="129"/>
      <c r="J36" s="755"/>
      <c r="K36" s="697"/>
    </row>
    <row r="37" spans="2:11" ht="49.2" x14ac:dyDescent="0.55000000000000004">
      <c r="B37" s="379" t="s">
        <v>425</v>
      </c>
      <c r="C37" s="604" t="s">
        <v>345</v>
      </c>
      <c r="D37" s="604" t="s">
        <v>374</v>
      </c>
      <c r="E37" s="604" t="s">
        <v>426</v>
      </c>
      <c r="F37" s="604" t="s">
        <v>427</v>
      </c>
      <c r="G37" s="604" t="s">
        <v>428</v>
      </c>
      <c r="H37" s="604" t="s">
        <v>429</v>
      </c>
      <c r="I37" s="604" t="s">
        <v>430</v>
      </c>
      <c r="J37" s="604" t="s">
        <v>431</v>
      </c>
      <c r="K37" s="605" t="s">
        <v>432</v>
      </c>
    </row>
    <row r="38" spans="2:11" ht="15.75" customHeight="1" x14ac:dyDescent="0.55000000000000004">
      <c r="B38" s="762" t="s">
        <v>433</v>
      </c>
      <c r="C38" s="186" t="s">
        <v>311</v>
      </c>
      <c r="D38" s="237">
        <v>429.5</v>
      </c>
      <c r="E38" s="237">
        <f t="shared" ref="E38:K43" si="0">E11+E20+E29</f>
        <v>77</v>
      </c>
      <c r="F38" s="237">
        <f t="shared" si="0"/>
        <v>16.14423076923077</v>
      </c>
      <c r="G38" s="237">
        <f t="shared" si="0"/>
        <v>45020</v>
      </c>
      <c r="H38" s="237">
        <f t="shared" si="0"/>
        <v>14380</v>
      </c>
      <c r="I38" s="237">
        <f t="shared" si="0"/>
        <v>27860</v>
      </c>
      <c r="J38" s="237">
        <f t="shared" si="0"/>
        <v>205.5</v>
      </c>
      <c r="K38" s="238">
        <f t="shared" si="0"/>
        <v>9480</v>
      </c>
    </row>
    <row r="39" spans="2:11" x14ac:dyDescent="0.55000000000000004">
      <c r="B39" s="762"/>
      <c r="C39" s="186" t="s">
        <v>312</v>
      </c>
      <c r="D39" s="237">
        <v>174.20000000000002</v>
      </c>
      <c r="E39" s="237">
        <f t="shared" si="0"/>
        <v>78</v>
      </c>
      <c r="F39" s="237">
        <f t="shared" si="0"/>
        <v>10.477777777777778</v>
      </c>
      <c r="G39" s="237">
        <f t="shared" si="0"/>
        <v>40290</v>
      </c>
      <c r="H39" s="237">
        <f t="shared" si="0"/>
        <v>17440</v>
      </c>
      <c r="I39" s="237">
        <f t="shared" si="0"/>
        <v>14030</v>
      </c>
      <c r="J39" s="237">
        <f t="shared" si="0"/>
        <v>198.5</v>
      </c>
      <c r="K39" s="238">
        <f t="shared" si="0"/>
        <v>8820</v>
      </c>
    </row>
    <row r="40" spans="2:11" x14ac:dyDescent="0.55000000000000004">
      <c r="B40" s="762" t="s">
        <v>434</v>
      </c>
      <c r="C40" s="186" t="s">
        <v>311</v>
      </c>
      <c r="D40" s="237">
        <v>116.99999999999996</v>
      </c>
      <c r="E40" s="237">
        <f t="shared" si="0"/>
        <v>132</v>
      </c>
      <c r="F40" s="237">
        <f t="shared" si="0"/>
        <v>10.038461538461538</v>
      </c>
      <c r="G40" s="237">
        <f t="shared" si="0"/>
        <v>138429.99999999997</v>
      </c>
      <c r="H40" s="237">
        <f t="shared" si="0"/>
        <v>115270</v>
      </c>
      <c r="I40" s="237">
        <f t="shared" si="0"/>
        <v>16019.999999999998</v>
      </c>
      <c r="J40" s="237">
        <f t="shared" si="0"/>
        <v>180.99999999999997</v>
      </c>
      <c r="K40" s="238">
        <f t="shared" si="0"/>
        <v>7140.0000000000018</v>
      </c>
    </row>
    <row r="41" spans="2:11" x14ac:dyDescent="0.55000000000000004">
      <c r="B41" s="762"/>
      <c r="C41" s="186" t="s">
        <v>312</v>
      </c>
      <c r="D41" s="237">
        <v>91.8</v>
      </c>
      <c r="E41" s="237">
        <f t="shared" si="0"/>
        <v>87</v>
      </c>
      <c r="F41" s="237">
        <f t="shared" si="0"/>
        <v>5.3999999999999995</v>
      </c>
      <c r="G41" s="237">
        <f t="shared" si="0"/>
        <v>70760</v>
      </c>
      <c r="H41" s="237">
        <f t="shared" si="0"/>
        <v>51429.999999999993</v>
      </c>
      <c r="I41" s="237">
        <f t="shared" si="0"/>
        <v>12449.999999999998</v>
      </c>
      <c r="J41" s="237">
        <f t="shared" si="0"/>
        <v>179.50000000000003</v>
      </c>
      <c r="K41" s="238">
        <f t="shared" si="0"/>
        <v>6880.0000000000009</v>
      </c>
    </row>
    <row r="42" spans="2:11" ht="15.75" customHeight="1" x14ac:dyDescent="0.55000000000000004">
      <c r="B42" s="762" t="s">
        <v>435</v>
      </c>
      <c r="C42" s="186" t="s">
        <v>311</v>
      </c>
      <c r="D42" s="237">
        <v>66.5</v>
      </c>
      <c r="E42" s="237">
        <f t="shared" si="0"/>
        <v>72</v>
      </c>
      <c r="F42" s="237">
        <f t="shared" si="0"/>
        <v>5</v>
      </c>
      <c r="G42" s="237">
        <f t="shared" si="0"/>
        <v>75250</v>
      </c>
      <c r="H42" s="237">
        <f t="shared" si="0"/>
        <v>62660.000000000015</v>
      </c>
      <c r="I42" s="237">
        <f t="shared" si="0"/>
        <v>10150</v>
      </c>
      <c r="J42" s="237">
        <f t="shared" si="0"/>
        <v>71.5</v>
      </c>
      <c r="K42" s="238">
        <f t="shared" si="0"/>
        <v>2439.9999999999995</v>
      </c>
    </row>
    <row r="43" spans="2:11" ht="14.7" thickBot="1" x14ac:dyDescent="0.6">
      <c r="B43" s="763"/>
      <c r="C43" s="187" t="s">
        <v>312</v>
      </c>
      <c r="D43" s="239">
        <v>45.699999999999996</v>
      </c>
      <c r="E43" s="239">
        <f t="shared" si="0"/>
        <v>39</v>
      </c>
      <c r="F43" s="239">
        <f t="shared" si="0"/>
        <v>18</v>
      </c>
      <c r="G43" s="239">
        <f t="shared" si="0"/>
        <v>61380</v>
      </c>
      <c r="H43" s="239">
        <f t="shared" si="0"/>
        <v>54000</v>
      </c>
      <c r="I43" s="239">
        <f t="shared" si="0"/>
        <v>5030</v>
      </c>
      <c r="J43" s="239">
        <f t="shared" si="0"/>
        <v>54</v>
      </c>
      <c r="K43" s="240">
        <f t="shared" si="0"/>
        <v>2350</v>
      </c>
    </row>
    <row r="44" spans="2:11" ht="15.6" thickBot="1" x14ac:dyDescent="0.6">
      <c r="B44" s="152"/>
      <c r="C44" s="153"/>
      <c r="D44" s="154"/>
      <c r="E44" s="155"/>
      <c r="F44" s="154"/>
      <c r="G44" s="155"/>
      <c r="H44" s="155"/>
      <c r="I44" s="155"/>
      <c r="J44" s="155"/>
      <c r="K44" s="155"/>
    </row>
    <row r="45" spans="2:11" x14ac:dyDescent="0.55000000000000004">
      <c r="B45" s="129" t="s">
        <v>437</v>
      </c>
      <c r="C45" s="755"/>
      <c r="D45" s="755"/>
      <c r="E45" s="755"/>
      <c r="F45" s="755"/>
      <c r="G45" s="755"/>
      <c r="H45" s="697"/>
      <c r="I45" s="129"/>
      <c r="J45" s="755"/>
      <c r="K45" s="697"/>
    </row>
    <row r="46" spans="2:11" ht="49.2" x14ac:dyDescent="0.55000000000000004">
      <c r="B46" s="760" t="s">
        <v>345</v>
      </c>
      <c r="C46" s="761"/>
      <c r="D46" s="604" t="s">
        <v>374</v>
      </c>
      <c r="E46" s="604" t="s">
        <v>426</v>
      </c>
      <c r="F46" s="604" t="s">
        <v>427</v>
      </c>
      <c r="G46" s="604" t="s">
        <v>428</v>
      </c>
      <c r="H46" s="604" t="s">
        <v>429</v>
      </c>
      <c r="I46" s="604" t="s">
        <v>430</v>
      </c>
      <c r="J46" s="604" t="s">
        <v>431</v>
      </c>
      <c r="K46" s="605" t="s">
        <v>432</v>
      </c>
    </row>
    <row r="47" spans="2:11" x14ac:dyDescent="0.55000000000000004">
      <c r="B47" s="756" t="s">
        <v>311</v>
      </c>
      <c r="C47" s="757"/>
      <c r="D47" s="237">
        <f>SUM(D38,D40,D42)</f>
        <v>613</v>
      </c>
      <c r="E47" s="237">
        <f t="shared" ref="E47:K48" si="1">SUM(E38,E40,E42)</f>
        <v>281</v>
      </c>
      <c r="F47" s="237">
        <f t="shared" si="1"/>
        <v>31.182692307692307</v>
      </c>
      <c r="G47" s="237">
        <f t="shared" si="1"/>
        <v>258699.99999999997</v>
      </c>
      <c r="H47" s="237">
        <f t="shared" si="1"/>
        <v>192310</v>
      </c>
      <c r="I47" s="237">
        <f t="shared" si="1"/>
        <v>54030</v>
      </c>
      <c r="J47" s="237">
        <f t="shared" si="1"/>
        <v>458</v>
      </c>
      <c r="K47" s="238">
        <f t="shared" si="1"/>
        <v>19060</v>
      </c>
    </row>
    <row r="48" spans="2:11" x14ac:dyDescent="0.55000000000000004">
      <c r="B48" s="756" t="s">
        <v>312</v>
      </c>
      <c r="C48" s="757" t="s">
        <v>312</v>
      </c>
      <c r="D48" s="237">
        <f>SUM(D39,D41,D43)</f>
        <v>311.7</v>
      </c>
      <c r="E48" s="237">
        <f t="shared" si="1"/>
        <v>204</v>
      </c>
      <c r="F48" s="237">
        <f t="shared" si="1"/>
        <v>33.87777777777778</v>
      </c>
      <c r="G48" s="237">
        <f t="shared" si="1"/>
        <v>172430</v>
      </c>
      <c r="H48" s="237">
        <f t="shared" si="1"/>
        <v>122870</v>
      </c>
      <c r="I48" s="237">
        <f t="shared" si="1"/>
        <v>31510</v>
      </c>
      <c r="J48" s="237">
        <f t="shared" si="1"/>
        <v>432</v>
      </c>
      <c r="K48" s="238">
        <f t="shared" si="1"/>
        <v>18050</v>
      </c>
    </row>
    <row r="49" spans="1:11" ht="14.7" thickBot="1" x14ac:dyDescent="0.6">
      <c r="B49" s="758" t="s">
        <v>350</v>
      </c>
      <c r="C49" s="759" t="s">
        <v>350</v>
      </c>
      <c r="D49" s="239">
        <f>D47-D48</f>
        <v>301.3</v>
      </c>
      <c r="E49" s="239">
        <f t="shared" ref="E49:K49" si="2">E47-E48</f>
        <v>77</v>
      </c>
      <c r="F49" s="239">
        <f t="shared" si="2"/>
        <v>-2.6950854700854734</v>
      </c>
      <c r="G49" s="239">
        <f t="shared" si="2"/>
        <v>86269.999999999971</v>
      </c>
      <c r="H49" s="239">
        <f t="shared" si="2"/>
        <v>69440</v>
      </c>
      <c r="I49" s="239">
        <f t="shared" si="2"/>
        <v>22520</v>
      </c>
      <c r="J49" s="239">
        <f t="shared" si="2"/>
        <v>26</v>
      </c>
      <c r="K49" s="240">
        <f t="shared" si="2"/>
        <v>1010</v>
      </c>
    </row>
    <row r="50" spans="1:11" ht="15.6" thickBot="1" x14ac:dyDescent="0.6">
      <c r="B50" s="152"/>
      <c r="C50" s="152"/>
      <c r="D50" s="155"/>
      <c r="E50" s="155"/>
      <c r="F50" s="155"/>
      <c r="G50" s="155"/>
      <c r="H50" s="155"/>
      <c r="I50" s="155"/>
      <c r="J50" s="155"/>
      <c r="K50" s="155"/>
    </row>
    <row r="51" spans="1:11" ht="17.5" customHeight="1" x14ac:dyDescent="0.55000000000000004">
      <c r="B51" s="767" t="s">
        <v>438</v>
      </c>
      <c r="C51" s="768"/>
      <c r="D51" s="768"/>
      <c r="E51" s="768"/>
      <c r="F51" s="769"/>
      <c r="G51" s="155"/>
      <c r="H51" s="155"/>
      <c r="I51" s="155"/>
      <c r="J51" s="155"/>
      <c r="K51" s="155"/>
    </row>
    <row r="52" spans="1:11" ht="15.75" customHeight="1" x14ac:dyDescent="0.55000000000000004">
      <c r="A52" s="610" t="s">
        <v>439</v>
      </c>
      <c r="B52" s="764" t="s">
        <v>440</v>
      </c>
      <c r="C52" s="765"/>
      <c r="D52" s="765"/>
      <c r="E52" s="765"/>
      <c r="F52" s="474">
        <v>30194.5</v>
      </c>
      <c r="G52" s="157"/>
      <c r="H52" s="155"/>
      <c r="I52" s="155"/>
      <c r="J52" s="155"/>
      <c r="K52" s="155"/>
    </row>
    <row r="53" spans="1:11" ht="15.75" customHeight="1" thickBot="1" x14ac:dyDescent="0.6">
      <c r="B53" s="763" t="s">
        <v>441</v>
      </c>
      <c r="C53" s="766"/>
      <c r="D53" s="766"/>
      <c r="E53" s="766"/>
      <c r="F53" s="380">
        <f>F52/D49</f>
        <v>100.2140723531364</v>
      </c>
      <c r="G53" s="155"/>
      <c r="H53" s="155"/>
      <c r="I53" s="155"/>
      <c r="J53" s="155"/>
      <c r="K53" s="155"/>
    </row>
    <row r="55" spans="1:11" ht="14.7" thickBot="1" x14ac:dyDescent="0.6">
      <c r="A55" s="120" t="s">
        <v>35</v>
      </c>
      <c r="B55" s="128"/>
      <c r="C55" s="128"/>
      <c r="D55" s="128"/>
      <c r="E55" s="128"/>
      <c r="F55" s="128"/>
      <c r="G55" s="128"/>
      <c r="H55" s="128"/>
      <c r="I55" s="128"/>
    </row>
    <row r="56" spans="1:11" x14ac:dyDescent="0.55000000000000004">
      <c r="A56" s="119">
        <v>1</v>
      </c>
      <c r="B56" s="754" t="s">
        <v>315</v>
      </c>
      <c r="C56" s="754"/>
      <c r="D56" s="754"/>
      <c r="E56" s="754"/>
      <c r="F56" s="754"/>
      <c r="G56" s="754"/>
      <c r="H56" s="754"/>
      <c r="I56" s="754"/>
    </row>
    <row r="57" spans="1:11" ht="15" customHeight="1" x14ac:dyDescent="0.55000000000000004">
      <c r="A57" s="164">
        <v>2</v>
      </c>
      <c r="B57" s="141" t="s">
        <v>442</v>
      </c>
    </row>
    <row r="58" spans="1:11" x14ac:dyDescent="0.55000000000000004">
      <c r="A58" s="164">
        <v>3</v>
      </c>
      <c r="B58" s="164" t="s">
        <v>443</v>
      </c>
    </row>
  </sheetData>
  <mergeCells count="36">
    <mergeCell ref="B24:B25"/>
    <mergeCell ref="J27:K27"/>
    <mergeCell ref="C36:E36"/>
    <mergeCell ref="B6:M6"/>
    <mergeCell ref="B56:I56"/>
    <mergeCell ref="B11:B12"/>
    <mergeCell ref="B13:B14"/>
    <mergeCell ref="B15:B16"/>
    <mergeCell ref="B20:B21"/>
    <mergeCell ref="B22:B23"/>
    <mergeCell ref="C27:E27"/>
    <mergeCell ref="F27:H27"/>
    <mergeCell ref="B52:E52"/>
    <mergeCell ref="B53:E53"/>
    <mergeCell ref="B51:F51"/>
    <mergeCell ref="B47:C47"/>
    <mergeCell ref="B48:C48"/>
    <mergeCell ref="B49:C49"/>
    <mergeCell ref="B46:C46"/>
    <mergeCell ref="B29:B30"/>
    <mergeCell ref="B31:B32"/>
    <mergeCell ref="B33:B34"/>
    <mergeCell ref="B38:B39"/>
    <mergeCell ref="B40:B41"/>
    <mergeCell ref="B42:B43"/>
    <mergeCell ref="C9:E9"/>
    <mergeCell ref="F9:H9"/>
    <mergeCell ref="J9:K9"/>
    <mergeCell ref="C18:E18"/>
    <mergeCell ref="F18:H18"/>
    <mergeCell ref="J18:K18"/>
    <mergeCell ref="F36:H36"/>
    <mergeCell ref="J36:K36"/>
    <mergeCell ref="C45:E45"/>
    <mergeCell ref="F45:H45"/>
    <mergeCell ref="J45:K4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767F-017B-489D-AE72-A8F32017AB64}">
  <sheetPr>
    <tabColor rgb="FFB4C6E7"/>
  </sheetPr>
  <dimension ref="A1:L38"/>
  <sheetViews>
    <sheetView zoomScale="80" zoomScaleNormal="80" workbookViewId="0">
      <selection activeCell="C19" sqref="C19"/>
    </sheetView>
  </sheetViews>
  <sheetFormatPr defaultColWidth="8.83984375" defaultRowHeight="13.8" x14ac:dyDescent="0.45"/>
  <cols>
    <col min="1" max="1" width="8.83984375" style="30"/>
    <col min="2" max="2" width="85.41796875" style="30" customWidth="1"/>
    <col min="3" max="10" width="19.578125" style="116" customWidth="1"/>
    <col min="11" max="16384" width="8.83984375" style="30"/>
  </cols>
  <sheetData>
    <row r="1" spans="1:12" s="29" customFormat="1" x14ac:dyDescent="0.45">
      <c r="B1" s="127"/>
      <c r="C1" s="122"/>
      <c r="D1" s="122"/>
      <c r="E1" s="123"/>
      <c r="F1" s="123"/>
      <c r="G1" s="123"/>
      <c r="H1" s="123"/>
      <c r="I1" s="123"/>
      <c r="J1" s="123"/>
      <c r="L1" s="121"/>
    </row>
    <row r="2" spans="1:12" s="118" customFormat="1" ht="20.100000000000001" x14ac:dyDescent="0.7">
      <c r="A2" s="117"/>
      <c r="B2" s="31" t="s">
        <v>0</v>
      </c>
      <c r="C2"/>
      <c r="D2" s="124"/>
      <c r="E2" s="124"/>
      <c r="F2" s="30"/>
      <c r="G2" s="124"/>
      <c r="H2" s="124"/>
      <c r="I2" s="124"/>
      <c r="J2" s="124"/>
      <c r="K2" s="117"/>
      <c r="L2" s="117"/>
    </row>
    <row r="3" spans="1:12" s="118" customFormat="1" ht="21.6" customHeight="1" x14ac:dyDescent="0.6">
      <c r="A3" s="117"/>
      <c r="B3" s="32" t="s">
        <v>1</v>
      </c>
      <c r="C3" s="124"/>
      <c r="E3" s="124"/>
      <c r="F3" s="124"/>
      <c r="G3" s="124"/>
      <c r="H3" s="124"/>
      <c r="I3" s="124"/>
      <c r="J3" s="124"/>
      <c r="K3" s="117"/>
    </row>
    <row r="4" spans="1:12" s="118" customFormat="1" ht="20.100000000000001" x14ac:dyDescent="0.7">
      <c r="A4" s="117"/>
      <c r="B4" s="31"/>
      <c r="C4" s="124"/>
      <c r="D4" s="124"/>
      <c r="E4" s="124"/>
      <c r="F4" s="124"/>
      <c r="G4" s="124"/>
      <c r="H4" s="124"/>
      <c r="I4" s="124"/>
      <c r="J4" s="124"/>
      <c r="K4" s="117"/>
      <c r="L4" s="117"/>
    </row>
    <row r="5" spans="1:12" s="118" customFormat="1" ht="17.7" x14ac:dyDescent="0.6">
      <c r="A5" s="117"/>
      <c r="B5" s="34" t="s">
        <v>444</v>
      </c>
      <c r="C5" s="124"/>
      <c r="D5" s="124"/>
      <c r="E5" s="124"/>
      <c r="F5" s="124"/>
      <c r="G5" s="124"/>
      <c r="H5" s="124"/>
      <c r="I5" s="124"/>
      <c r="J5" s="124"/>
      <c r="K5" s="117"/>
    </row>
    <row r="6" spans="1:12" s="118" customFormat="1" ht="34" customHeight="1" x14ac:dyDescent="0.5">
      <c r="B6" s="728" t="s">
        <v>445</v>
      </c>
      <c r="C6" s="770"/>
      <c r="D6" s="770"/>
      <c r="E6" s="770"/>
      <c r="F6" s="770"/>
      <c r="G6" s="770"/>
      <c r="H6" s="770"/>
      <c r="I6" s="770"/>
      <c r="J6" s="770"/>
    </row>
    <row r="7" spans="1:12" s="118" customFormat="1" ht="15.3" thickBot="1" x14ac:dyDescent="0.55000000000000004">
      <c r="A7" s="119" t="s">
        <v>35</v>
      </c>
      <c r="B7" s="35"/>
      <c r="C7" s="125"/>
      <c r="D7" s="125"/>
      <c r="E7" s="126"/>
      <c r="F7" s="126"/>
      <c r="G7" s="126"/>
      <c r="H7" s="126"/>
      <c r="I7" s="126"/>
      <c r="J7" s="126"/>
    </row>
    <row r="8" spans="1:12" ht="14.1" x14ac:dyDescent="0.45">
      <c r="B8" s="129" t="s">
        <v>446</v>
      </c>
      <c r="C8" s="130"/>
      <c r="D8" s="130"/>
      <c r="E8" s="130"/>
      <c r="F8" s="130"/>
      <c r="G8" s="130"/>
      <c r="H8" s="130"/>
      <c r="I8" s="130"/>
      <c r="J8" s="131"/>
    </row>
    <row r="9" spans="1:12" ht="28.5" thickBot="1" x14ac:dyDescent="0.5">
      <c r="B9" s="583" t="s">
        <v>425</v>
      </c>
      <c r="C9" s="386" t="s">
        <v>345</v>
      </c>
      <c r="D9" s="386" t="s">
        <v>447</v>
      </c>
      <c r="E9" s="386" t="s">
        <v>448</v>
      </c>
      <c r="F9" s="386" t="s">
        <v>449</v>
      </c>
      <c r="G9" s="386" t="s">
        <v>450</v>
      </c>
      <c r="H9" s="386" t="s">
        <v>451</v>
      </c>
      <c r="I9" s="386" t="s">
        <v>452</v>
      </c>
      <c r="J9" s="387" t="s">
        <v>453</v>
      </c>
    </row>
    <row r="10" spans="1:12" ht="14.1" x14ac:dyDescent="0.5">
      <c r="A10" s="158">
        <v>1</v>
      </c>
      <c r="B10" s="772" t="s">
        <v>433</v>
      </c>
      <c r="C10" s="249" t="s">
        <v>311</v>
      </c>
      <c r="D10" s="241">
        <v>697400.00000000012</v>
      </c>
      <c r="E10" s="242"/>
      <c r="F10" s="242"/>
      <c r="G10" s="242">
        <v>1435000</v>
      </c>
      <c r="H10" s="242">
        <v>70000</v>
      </c>
      <c r="I10" s="242"/>
      <c r="J10" s="243"/>
    </row>
    <row r="11" spans="1:12" ht="14.1" x14ac:dyDescent="0.5">
      <c r="A11" s="158"/>
      <c r="B11" s="772"/>
      <c r="C11" s="249" t="s">
        <v>312</v>
      </c>
      <c r="D11" s="241"/>
      <c r="E11" s="242"/>
      <c r="F11" s="242"/>
      <c r="G11" s="242"/>
      <c r="H11" s="242"/>
      <c r="I11" s="242"/>
      <c r="J11" s="243"/>
    </row>
    <row r="12" spans="1:12" ht="14.1" x14ac:dyDescent="0.5">
      <c r="A12" s="158"/>
      <c r="B12" s="772" t="s">
        <v>434</v>
      </c>
      <c r="C12" s="249" t="s">
        <v>311</v>
      </c>
      <c r="D12" s="241">
        <v>204850</v>
      </c>
      <c r="E12" s="242"/>
      <c r="F12" s="242"/>
      <c r="G12" s="242">
        <v>613999.99999999977</v>
      </c>
      <c r="H12" s="242">
        <v>140000</v>
      </c>
      <c r="I12" s="242"/>
      <c r="J12" s="243"/>
    </row>
    <row r="13" spans="1:12" ht="14.1" x14ac:dyDescent="0.5">
      <c r="A13" s="158"/>
      <c r="B13" s="772"/>
      <c r="C13" s="249" t="s">
        <v>312</v>
      </c>
      <c r="D13" s="241"/>
      <c r="E13" s="242"/>
      <c r="F13" s="242"/>
      <c r="G13" s="242"/>
      <c r="H13" s="242"/>
      <c r="I13" s="242"/>
      <c r="J13" s="243"/>
    </row>
    <row r="14" spans="1:12" ht="14.1" x14ac:dyDescent="0.5">
      <c r="A14" s="158"/>
      <c r="B14" s="772" t="s">
        <v>435</v>
      </c>
      <c r="C14" s="249" t="s">
        <v>311</v>
      </c>
      <c r="D14" s="241">
        <v>92300</v>
      </c>
      <c r="E14" s="242"/>
      <c r="F14" s="242"/>
      <c r="G14" s="242">
        <v>216500</v>
      </c>
      <c r="H14" s="242"/>
      <c r="I14" s="242"/>
      <c r="J14" s="243"/>
    </row>
    <row r="15" spans="1:12" ht="14.1" x14ac:dyDescent="0.5">
      <c r="A15" s="158"/>
      <c r="B15" s="772"/>
      <c r="C15" s="249" t="s">
        <v>312</v>
      </c>
      <c r="D15" s="241">
        <v>102500</v>
      </c>
      <c r="E15" s="242"/>
      <c r="F15" s="242"/>
      <c r="G15" s="242">
        <v>44500</v>
      </c>
      <c r="H15" s="242"/>
      <c r="I15" s="242"/>
      <c r="J15" s="243"/>
    </row>
    <row r="16" spans="1:12" ht="14.4" thickBot="1" x14ac:dyDescent="0.55000000000000004">
      <c r="A16" s="158"/>
      <c r="B16" s="385" t="s">
        <v>454</v>
      </c>
      <c r="C16" s="251" t="s">
        <v>350</v>
      </c>
      <c r="D16" s="244">
        <f>+(D10+D12+D14)-(D11+D13+D15)</f>
        <v>892050.00000000012</v>
      </c>
      <c r="E16" s="245">
        <f>+(E10+E12+E14)-(E11+E13+E15)</f>
        <v>0</v>
      </c>
      <c r="F16" s="245">
        <f>+(F10+F12+F14)-(F11+F13+F15)</f>
        <v>0</v>
      </c>
      <c r="G16" s="245">
        <f>+(G10+G12+G14)-(G11+G13+G15)</f>
        <v>2221000</v>
      </c>
      <c r="H16" s="245">
        <f>+(H10+H12+H14)-(H11+H13+H15)</f>
        <v>210000</v>
      </c>
      <c r="I16" s="246"/>
      <c r="J16" s="247">
        <f>SUM(D16:I16)</f>
        <v>3323050</v>
      </c>
    </row>
    <row r="17" spans="1:6" ht="14.4" thickBot="1" x14ac:dyDescent="0.55000000000000004">
      <c r="A17" s="158"/>
    </row>
    <row r="18" spans="1:6" ht="14.1" x14ac:dyDescent="0.5">
      <c r="A18" s="158"/>
      <c r="B18" s="129" t="s">
        <v>455</v>
      </c>
      <c r="C18" s="130"/>
      <c r="D18" s="130"/>
      <c r="E18" s="130"/>
      <c r="F18" s="131"/>
    </row>
    <row r="19" spans="1:6" ht="28.5" thickBot="1" x14ac:dyDescent="0.55000000000000004">
      <c r="A19" s="158"/>
      <c r="B19" s="583" t="s">
        <v>425</v>
      </c>
      <c r="C19" s="386" t="s">
        <v>345</v>
      </c>
      <c r="D19" s="386" t="s">
        <v>456</v>
      </c>
      <c r="E19" s="386" t="s">
        <v>457</v>
      </c>
      <c r="F19" s="387" t="s">
        <v>458</v>
      </c>
    </row>
    <row r="20" spans="1:6" ht="14.1" x14ac:dyDescent="0.5">
      <c r="A20" s="158"/>
      <c r="B20" s="772" t="s">
        <v>433</v>
      </c>
      <c r="C20" s="249" t="s">
        <v>311</v>
      </c>
      <c r="D20" s="242">
        <v>67.5</v>
      </c>
      <c r="E20" s="242">
        <v>1.5</v>
      </c>
      <c r="F20" s="243">
        <v>56.75</v>
      </c>
    </row>
    <row r="21" spans="1:6" ht="14.1" x14ac:dyDescent="0.5">
      <c r="A21" s="158"/>
      <c r="B21" s="772"/>
      <c r="C21" s="249" t="s">
        <v>312</v>
      </c>
      <c r="D21" s="242"/>
      <c r="E21" s="242"/>
      <c r="F21" s="243"/>
    </row>
    <row r="22" spans="1:6" ht="14.1" x14ac:dyDescent="0.5">
      <c r="A22" s="158"/>
      <c r="B22" s="772" t="s">
        <v>434</v>
      </c>
      <c r="C22" s="249" t="s">
        <v>311</v>
      </c>
      <c r="D22" s="242">
        <v>23.7</v>
      </c>
      <c r="E22" s="242">
        <v>4.5</v>
      </c>
      <c r="F22" s="243">
        <v>32.4</v>
      </c>
    </row>
    <row r="23" spans="1:6" ht="14.1" x14ac:dyDescent="0.5">
      <c r="A23" s="158"/>
      <c r="B23" s="772"/>
      <c r="C23" s="249" t="s">
        <v>312</v>
      </c>
      <c r="D23" s="242"/>
      <c r="E23" s="242"/>
      <c r="F23" s="243"/>
    </row>
    <row r="24" spans="1:6" ht="14.25" customHeight="1" x14ac:dyDescent="0.5">
      <c r="A24" s="158"/>
      <c r="B24" s="772" t="s">
        <v>435</v>
      </c>
      <c r="C24" s="249" t="s">
        <v>311</v>
      </c>
      <c r="D24" s="242"/>
      <c r="E24" s="242"/>
      <c r="F24" s="243">
        <v>39.1</v>
      </c>
    </row>
    <row r="25" spans="1:6" ht="14.25" customHeight="1" x14ac:dyDescent="0.5">
      <c r="A25" s="158"/>
      <c r="B25" s="772"/>
      <c r="C25" s="249" t="s">
        <v>312</v>
      </c>
      <c r="D25" s="242">
        <v>9.7999999999999989</v>
      </c>
      <c r="E25" s="242"/>
      <c r="F25" s="243">
        <v>15.45</v>
      </c>
    </row>
    <row r="26" spans="1:6" ht="14.4" thickBot="1" x14ac:dyDescent="0.55000000000000004">
      <c r="A26" s="158"/>
      <c r="B26" s="250"/>
      <c r="C26" s="251" t="s">
        <v>350</v>
      </c>
      <c r="D26" s="246">
        <f>+(D20+D22+D24)-(D21+D23+D25)</f>
        <v>81.400000000000006</v>
      </c>
      <c r="E26" s="246">
        <f>+(E20+E22+E24)-(E21+E23+E25)</f>
        <v>6</v>
      </c>
      <c r="F26" s="248">
        <f>+(F20+F22+F24)-(F21+F23+F25)</f>
        <v>112.8</v>
      </c>
    </row>
    <row r="27" spans="1:6" ht="14.1" x14ac:dyDescent="0.5">
      <c r="A27" s="158"/>
    </row>
    <row r="28" spans="1:6" ht="14.4" thickBot="1" x14ac:dyDescent="0.55000000000000004">
      <c r="A28" s="158"/>
    </row>
    <row r="29" spans="1:6" ht="14.4" thickBot="1" x14ac:dyDescent="0.55000000000000004">
      <c r="A29" s="158"/>
      <c r="B29" s="129" t="s">
        <v>406</v>
      </c>
      <c r="C29" s="132"/>
    </row>
    <row r="30" spans="1:6" ht="14.1" x14ac:dyDescent="0.5">
      <c r="A30" s="158"/>
      <c r="B30" s="381" t="s">
        <v>459</v>
      </c>
      <c r="C30" s="252">
        <f>J16</f>
        <v>3323050</v>
      </c>
    </row>
    <row r="31" spans="1:6" ht="14.1" x14ac:dyDescent="0.5">
      <c r="A31" s="158"/>
      <c r="B31" s="382" t="s">
        <v>455</v>
      </c>
      <c r="C31" s="253">
        <f>+F26+E26+D26</f>
        <v>200.2</v>
      </c>
    </row>
    <row r="32" spans="1:6" ht="14.1" x14ac:dyDescent="0.5">
      <c r="A32" s="158"/>
      <c r="B32" s="382" t="s">
        <v>460</v>
      </c>
      <c r="C32" s="253">
        <f>+C30/C31</f>
        <v>16598.65134865135</v>
      </c>
    </row>
    <row r="33" spans="1:9" ht="14.1" x14ac:dyDescent="0.5">
      <c r="A33" s="158">
        <v>2</v>
      </c>
      <c r="B33" s="383" t="s">
        <v>461</v>
      </c>
      <c r="C33" s="254">
        <f>9200/46000</f>
        <v>0.2</v>
      </c>
      <c r="E33" s="137"/>
    </row>
    <row r="34" spans="1:9" ht="14.4" thickBot="1" x14ac:dyDescent="0.55000000000000004">
      <c r="A34" s="158"/>
      <c r="B34" s="384" t="s">
        <v>462</v>
      </c>
      <c r="C34" s="255">
        <f>+C32*C33</f>
        <v>3319.7302697302703</v>
      </c>
    </row>
    <row r="36" spans="1:9" ht="14.1" thickBot="1" x14ac:dyDescent="0.5">
      <c r="A36" s="120" t="s">
        <v>35</v>
      </c>
      <c r="B36" s="128"/>
      <c r="C36" s="128"/>
      <c r="D36" s="128"/>
      <c r="E36" s="128"/>
      <c r="F36" s="128"/>
      <c r="G36" s="128"/>
      <c r="H36" s="128"/>
      <c r="I36" s="128"/>
    </row>
    <row r="37" spans="1:9" ht="24.6" customHeight="1" x14ac:dyDescent="0.45">
      <c r="A37" s="119">
        <v>1</v>
      </c>
      <c r="B37" s="754" t="s">
        <v>463</v>
      </c>
      <c r="C37" s="754"/>
      <c r="D37" s="754"/>
      <c r="E37" s="754"/>
      <c r="F37" s="754"/>
      <c r="G37" s="754"/>
      <c r="H37" s="754"/>
      <c r="I37" s="754"/>
    </row>
    <row r="38" spans="1:9" x14ac:dyDescent="0.45">
      <c r="A38" s="119">
        <v>2</v>
      </c>
      <c r="B38" s="771" t="s">
        <v>464</v>
      </c>
      <c r="C38" s="771"/>
      <c r="D38" s="771"/>
      <c r="E38" s="771"/>
      <c r="F38" s="771"/>
      <c r="G38" s="771"/>
      <c r="H38" s="771"/>
      <c r="I38" s="771"/>
    </row>
  </sheetData>
  <mergeCells count="9">
    <mergeCell ref="B6:J6"/>
    <mergeCell ref="B38:I38"/>
    <mergeCell ref="B20:B21"/>
    <mergeCell ref="B22:B23"/>
    <mergeCell ref="B24:B25"/>
    <mergeCell ref="B10:B11"/>
    <mergeCell ref="B12:B13"/>
    <mergeCell ref="B14:B15"/>
    <mergeCell ref="B37:I3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7A35-9B74-4CAE-AAFA-1959465B5E2E}">
  <sheetPr>
    <tabColor rgb="FFB4C6E7"/>
  </sheetPr>
  <dimension ref="A1:BF28"/>
  <sheetViews>
    <sheetView zoomScale="77" zoomScaleNormal="77" workbookViewId="0">
      <selection activeCell="C33" sqref="C33"/>
    </sheetView>
  </sheetViews>
  <sheetFormatPr defaultColWidth="9.15625" defaultRowHeight="13.8" x14ac:dyDescent="0.45"/>
  <cols>
    <col min="1" max="1" width="9.15625" style="30"/>
    <col min="2" max="2" width="64.15625" style="30" customWidth="1"/>
    <col min="3" max="4" width="11.15625" style="30" bestFit="1" customWidth="1"/>
    <col min="5" max="5" width="10.68359375" style="30" bestFit="1" customWidth="1"/>
    <col min="6" max="6" width="11.15625" style="30" bestFit="1" customWidth="1"/>
    <col min="7" max="8" width="10.68359375" style="30" bestFit="1" customWidth="1"/>
    <col min="9" max="9" width="11.15625" style="30" bestFit="1" customWidth="1"/>
    <col min="10" max="17" width="10.68359375" style="30" bestFit="1" customWidth="1"/>
    <col min="18" max="18" width="11.15625" style="30" bestFit="1" customWidth="1"/>
    <col min="19" max="16384" width="9.15625" style="30"/>
  </cols>
  <sheetData>
    <row r="1" spans="1:58" s="29" customFormat="1" ht="15.75" customHeight="1" x14ac:dyDescent="0.45">
      <c r="A1" s="182"/>
      <c r="B1" s="127"/>
      <c r="C1" s="122"/>
      <c r="D1" s="122"/>
      <c r="E1" s="123"/>
      <c r="F1" s="123"/>
      <c r="G1" s="123"/>
      <c r="H1" s="123"/>
      <c r="I1" s="123"/>
      <c r="J1" s="123"/>
      <c r="L1" s="121"/>
    </row>
    <row r="2" spans="1:58" s="118" customFormat="1" ht="15.75" customHeight="1" x14ac:dyDescent="0.7">
      <c r="A2" s="183"/>
      <c r="B2" s="31" t="s">
        <v>0</v>
      </c>
      <c r="C2" s="124"/>
      <c r="D2" s="124"/>
      <c r="E2" s="124"/>
      <c r="F2" s="124"/>
      <c r="G2" s="124"/>
      <c r="H2" s="124"/>
      <c r="I2" s="124"/>
      <c r="J2" s="124"/>
      <c r="K2" s="117"/>
      <c r="L2" s="117"/>
    </row>
    <row r="3" spans="1:58" s="118" customFormat="1" ht="15.75" customHeight="1" x14ac:dyDescent="0.6">
      <c r="A3" s="183"/>
      <c r="B3" s="32" t="s">
        <v>1</v>
      </c>
      <c r="C3" s="124"/>
      <c r="D3" s="124"/>
      <c r="E3" s="124"/>
      <c r="F3" s="124"/>
      <c r="G3" s="199"/>
      <c r="H3" s="124"/>
      <c r="I3" s="124"/>
      <c r="J3" s="124"/>
      <c r="K3" s="117"/>
    </row>
    <row r="4" spans="1:58" s="118" customFormat="1" ht="15.75" customHeight="1" x14ac:dyDescent="0.7">
      <c r="A4" s="183"/>
      <c r="B4" s="31"/>
      <c r="C4" s="124"/>
      <c r="D4" s="124"/>
      <c r="E4" s="124"/>
      <c r="F4" s="124"/>
      <c r="G4" s="124"/>
      <c r="H4" s="124"/>
      <c r="I4" s="124"/>
      <c r="J4" s="124"/>
      <c r="K4" s="117"/>
      <c r="L4" s="117"/>
    </row>
    <row r="5" spans="1:58" s="118" customFormat="1" ht="15.75" customHeight="1" x14ac:dyDescent="0.6">
      <c r="A5" s="183"/>
      <c r="B5" s="34" t="s">
        <v>29</v>
      </c>
      <c r="C5" s="124"/>
      <c r="D5" s="124"/>
      <c r="E5" s="124"/>
      <c r="F5" s="124"/>
      <c r="G5" s="124"/>
      <c r="H5" s="124"/>
      <c r="I5" s="124"/>
      <c r="J5" s="124"/>
      <c r="K5" s="117"/>
    </row>
    <row r="6" spans="1:58" s="118" customFormat="1" ht="15.75" customHeight="1" x14ac:dyDescent="0.5">
      <c r="A6" s="184"/>
      <c r="B6" s="693" t="s">
        <v>30</v>
      </c>
      <c r="C6" s="693"/>
      <c r="D6" s="693"/>
      <c r="E6" s="693"/>
      <c r="F6" s="693"/>
      <c r="G6" s="693"/>
      <c r="H6" s="693"/>
      <c r="I6" s="693"/>
      <c r="J6" s="693"/>
      <c r="K6" s="693"/>
      <c r="L6" s="693"/>
    </row>
    <row r="7" spans="1:58" s="118" customFormat="1" ht="15.75" customHeight="1" x14ac:dyDescent="0.5">
      <c r="A7" s="184"/>
      <c r="B7" s="598"/>
      <c r="C7" s="598"/>
      <c r="D7" s="598"/>
      <c r="E7" s="598"/>
      <c r="F7" s="598"/>
      <c r="G7" s="598"/>
      <c r="H7" s="598"/>
      <c r="I7" s="598"/>
      <c r="J7" s="598"/>
      <c r="K7" s="598"/>
      <c r="L7" s="598"/>
    </row>
    <row r="8" spans="1:58" x14ac:dyDescent="0.45">
      <c r="A8" s="48" t="s">
        <v>35</v>
      </c>
    </row>
    <row r="9" spans="1:58" ht="14.1" x14ac:dyDescent="0.5">
      <c r="B9" s="395" t="s">
        <v>465</v>
      </c>
      <c r="C9" s="395"/>
      <c r="D9" s="395"/>
      <c r="E9" s="395"/>
      <c r="F9" s="395"/>
      <c r="G9" s="395"/>
      <c r="H9" s="395"/>
      <c r="I9" s="395"/>
      <c r="J9" s="395"/>
      <c r="K9" s="395"/>
      <c r="L9" s="395"/>
      <c r="M9" s="395"/>
      <c r="N9" s="395"/>
      <c r="O9" s="395"/>
      <c r="P9" s="395"/>
      <c r="Q9" s="395"/>
      <c r="R9" s="395"/>
    </row>
    <row r="10" spans="1:58" ht="14.1" thickBot="1" x14ac:dyDescent="0.5">
      <c r="A10" s="48"/>
      <c r="B10" s="42"/>
      <c r="C10" s="42">
        <v>2011</v>
      </c>
      <c r="D10" s="42">
        <v>2012</v>
      </c>
      <c r="E10" s="42">
        <v>2013</v>
      </c>
      <c r="F10" s="42">
        <v>2014</v>
      </c>
      <c r="G10" s="42">
        <v>2015</v>
      </c>
      <c r="H10" s="42">
        <v>2016</v>
      </c>
      <c r="I10" s="42">
        <v>2017</v>
      </c>
      <c r="J10" s="42">
        <v>2018</v>
      </c>
      <c r="K10" s="42">
        <v>2019</v>
      </c>
      <c r="L10" s="42">
        <v>2020</v>
      </c>
      <c r="M10" s="42">
        <v>2021</v>
      </c>
      <c r="N10" s="42">
        <v>2022</v>
      </c>
      <c r="O10" s="42">
        <v>2023</v>
      </c>
      <c r="P10" s="42">
        <v>2024</v>
      </c>
      <c r="Q10" s="42">
        <v>2025</v>
      </c>
      <c r="R10" s="42">
        <v>2026</v>
      </c>
    </row>
    <row r="11" spans="1:58" ht="14.1" x14ac:dyDescent="0.5">
      <c r="A11" s="158">
        <v>1</v>
      </c>
      <c r="B11" s="398" t="s">
        <v>466</v>
      </c>
      <c r="C11" s="397">
        <v>0.7</v>
      </c>
      <c r="D11" s="397">
        <v>0.7</v>
      </c>
      <c r="E11" s="397">
        <v>1.6</v>
      </c>
      <c r="F11" s="397">
        <v>0.4</v>
      </c>
      <c r="G11" s="397">
        <v>1.4</v>
      </c>
      <c r="H11" s="397">
        <v>1.5</v>
      </c>
      <c r="I11" s="397">
        <v>0.7</v>
      </c>
      <c r="J11" s="397">
        <v>1.6</v>
      </c>
      <c r="K11" s="397">
        <v>0.2</v>
      </c>
      <c r="L11" s="397">
        <v>0.6</v>
      </c>
      <c r="M11" s="477">
        <v>0.8</v>
      </c>
      <c r="N11" s="477">
        <v>1.2</v>
      </c>
      <c r="O11" s="477">
        <v>1.6</v>
      </c>
      <c r="P11" s="477">
        <v>1.8</v>
      </c>
      <c r="Q11" s="477">
        <v>2</v>
      </c>
      <c r="R11" s="477">
        <v>2</v>
      </c>
    </row>
    <row r="12" spans="1:58" ht="14.1" x14ac:dyDescent="0.5">
      <c r="A12" s="158">
        <v>1</v>
      </c>
      <c r="B12" s="400" t="s">
        <v>467</v>
      </c>
      <c r="C12" s="399">
        <v>0.5</v>
      </c>
      <c r="D12" s="399">
        <v>2.1</v>
      </c>
      <c r="E12" s="399">
        <v>0.2</v>
      </c>
      <c r="F12" s="399">
        <v>1.5</v>
      </c>
      <c r="G12" s="399">
        <v>0.6</v>
      </c>
      <c r="H12" s="399">
        <v>1.7</v>
      </c>
      <c r="I12" s="399">
        <v>1.7</v>
      </c>
      <c r="J12" s="399">
        <v>0.1</v>
      </c>
      <c r="K12" s="399">
        <v>1</v>
      </c>
      <c r="L12" s="399">
        <v>-0.9</v>
      </c>
      <c r="M12" s="478">
        <v>0.8</v>
      </c>
      <c r="N12" s="478">
        <v>1.2</v>
      </c>
      <c r="O12" s="478">
        <v>1.6</v>
      </c>
      <c r="P12" s="478">
        <v>1.8</v>
      </c>
      <c r="Q12" s="478">
        <v>2</v>
      </c>
      <c r="R12" s="478">
        <v>2</v>
      </c>
    </row>
    <row r="13" spans="1:58" ht="14.1" x14ac:dyDescent="0.5">
      <c r="A13" s="221" t="s">
        <v>439</v>
      </c>
      <c r="B13" s="398" t="s">
        <v>468</v>
      </c>
      <c r="C13" s="397">
        <v>100.90692490969199</v>
      </c>
      <c r="D13" s="397">
        <v>102.205720544155</v>
      </c>
      <c r="E13" s="397">
        <v>104.127857197756</v>
      </c>
      <c r="F13" s="397">
        <v>104.588425178695</v>
      </c>
      <c r="G13" s="397">
        <v>106.217815694412</v>
      </c>
      <c r="H13" s="397">
        <v>107.95480747060201</v>
      </c>
      <c r="I13" s="397">
        <v>108.76950272846101</v>
      </c>
      <c r="J13" s="397">
        <v>110.73161396510601</v>
      </c>
      <c r="K13" s="397">
        <v>111.06755821996801</v>
      </c>
      <c r="L13" s="397">
        <v>111.851660373914</v>
      </c>
      <c r="M13" s="479">
        <f t="shared" ref="M13:R13" si="0">(1+(M11/100))*L13</f>
        <v>112.74647365690531</v>
      </c>
      <c r="N13" s="479">
        <f t="shared" si="0"/>
        <v>114.09943134078817</v>
      </c>
      <c r="O13" s="479">
        <f t="shared" si="0"/>
        <v>115.92502224224079</v>
      </c>
      <c r="P13" s="479">
        <f t="shared" si="0"/>
        <v>118.01167264260113</v>
      </c>
      <c r="Q13" s="479">
        <f t="shared" si="0"/>
        <v>120.37190609545316</v>
      </c>
      <c r="R13" s="479">
        <f t="shared" si="0"/>
        <v>122.77934421736222</v>
      </c>
    </row>
    <row r="14" spans="1:58" ht="14.1" x14ac:dyDescent="0.5">
      <c r="A14" s="158">
        <v>3</v>
      </c>
      <c r="B14" s="398" t="s">
        <v>469</v>
      </c>
      <c r="C14" s="550">
        <f>C13/$I$13</f>
        <v>0.92771339739965863</v>
      </c>
      <c r="D14" s="550">
        <f t="shared" ref="D14:R14" si="1">D13/$I$13</f>
        <v>0.93965420435273805</v>
      </c>
      <c r="E14" s="550">
        <f t="shared" si="1"/>
        <v>0.95732585500282463</v>
      </c>
      <c r="F14" s="550">
        <f t="shared" si="1"/>
        <v>0.96156020350480131</v>
      </c>
      <c r="G14" s="550">
        <f t="shared" si="1"/>
        <v>0.97654041831542426</v>
      </c>
      <c r="H14" s="550">
        <f t="shared" si="1"/>
        <v>0.99250989259468381</v>
      </c>
      <c r="I14" s="550">
        <f t="shared" si="1"/>
        <v>1</v>
      </c>
      <c r="J14" s="550">
        <f t="shared" si="1"/>
        <v>1.0180391671141804</v>
      </c>
      <c r="K14" s="550">
        <f t="shared" si="1"/>
        <v>1.0211277557942322</v>
      </c>
      <c r="L14" s="550">
        <f t="shared" si="1"/>
        <v>1.0283365977423606</v>
      </c>
      <c r="M14" s="550">
        <f t="shared" si="1"/>
        <v>1.0365632905242994</v>
      </c>
      <c r="N14" s="550">
        <f t="shared" si="1"/>
        <v>1.049002050010591</v>
      </c>
      <c r="O14" s="550">
        <f t="shared" si="1"/>
        <v>1.0657860828107606</v>
      </c>
      <c r="P14" s="550">
        <f t="shared" si="1"/>
        <v>1.0849702323013544</v>
      </c>
      <c r="Q14" s="550">
        <f t="shared" si="1"/>
        <v>1.1066696369473814</v>
      </c>
      <c r="R14" s="550">
        <f t="shared" si="1"/>
        <v>1.1288030296863292</v>
      </c>
    </row>
    <row r="15" spans="1:58" ht="14.1" x14ac:dyDescent="0.5">
      <c r="A15" s="158"/>
    </row>
    <row r="16" spans="1:58" ht="14.1" x14ac:dyDescent="0.5">
      <c r="B16" s="395" t="s">
        <v>470</v>
      </c>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6"/>
      <c r="AR16" s="396"/>
      <c r="AS16" s="396"/>
      <c r="AT16" s="396"/>
      <c r="AU16" s="396"/>
      <c r="AV16" s="396"/>
      <c r="AW16" s="396"/>
      <c r="AX16" s="396"/>
      <c r="AY16" s="396"/>
      <c r="AZ16" s="396"/>
      <c r="BA16" s="396"/>
      <c r="BB16" s="396"/>
      <c r="BC16" s="396"/>
      <c r="BD16" s="396"/>
      <c r="BE16" s="396"/>
      <c r="BF16" s="396"/>
    </row>
    <row r="17" spans="1:58" s="213" customFormat="1" ht="15.75" customHeight="1" thickBot="1" x14ac:dyDescent="0.5">
      <c r="B17" s="42"/>
      <c r="C17" s="42">
        <v>2011</v>
      </c>
      <c r="D17" s="42">
        <v>2012</v>
      </c>
      <c r="E17" s="42">
        <v>2013</v>
      </c>
      <c r="F17" s="42">
        <v>2014</v>
      </c>
      <c r="G17" s="42">
        <v>2015</v>
      </c>
      <c r="H17" s="42">
        <v>2016</v>
      </c>
      <c r="I17" s="42">
        <v>2017</v>
      </c>
      <c r="J17" s="42">
        <v>2018</v>
      </c>
      <c r="K17" s="42">
        <v>2019</v>
      </c>
      <c r="L17" s="42">
        <v>2020</v>
      </c>
      <c r="M17" s="42">
        <v>2021</v>
      </c>
      <c r="N17" s="42">
        <v>2022</v>
      </c>
      <c r="O17" s="42">
        <v>2023</v>
      </c>
      <c r="P17" s="42">
        <v>2024</v>
      </c>
      <c r="Q17" s="42">
        <v>2025</v>
      </c>
      <c r="R17" s="42">
        <v>2026</v>
      </c>
      <c r="S17" s="42">
        <v>2027</v>
      </c>
      <c r="T17" s="42">
        <v>2028</v>
      </c>
      <c r="U17" s="42">
        <v>2029</v>
      </c>
      <c r="V17" s="42">
        <v>2030</v>
      </c>
      <c r="W17" s="42">
        <v>2031</v>
      </c>
      <c r="X17" s="42">
        <v>2032</v>
      </c>
      <c r="Y17" s="42">
        <v>2033</v>
      </c>
      <c r="Z17" s="42">
        <v>2034</v>
      </c>
      <c r="AA17" s="42">
        <v>2035</v>
      </c>
      <c r="AB17" s="42">
        <v>2036</v>
      </c>
      <c r="AC17" s="42">
        <v>2037</v>
      </c>
      <c r="AD17" s="42">
        <v>2038</v>
      </c>
      <c r="AE17" s="42">
        <v>2039</v>
      </c>
      <c r="AF17" s="42">
        <v>2040</v>
      </c>
      <c r="AG17" s="42">
        <v>2041</v>
      </c>
      <c r="AH17" s="42">
        <v>2042</v>
      </c>
      <c r="AI17" s="42">
        <v>2043</v>
      </c>
      <c r="AJ17" s="42">
        <v>2044</v>
      </c>
      <c r="AK17" s="42">
        <v>2045</v>
      </c>
      <c r="AL17" s="42">
        <v>2046</v>
      </c>
      <c r="AM17" s="42">
        <v>2047</v>
      </c>
      <c r="AN17" s="42">
        <v>2048</v>
      </c>
      <c r="AO17" s="42">
        <v>2049</v>
      </c>
      <c r="AP17" s="42">
        <v>2050</v>
      </c>
      <c r="AQ17" s="42">
        <v>2051</v>
      </c>
      <c r="AR17" s="42">
        <v>2052</v>
      </c>
      <c r="AS17" s="42">
        <v>2053</v>
      </c>
      <c r="AT17" s="42">
        <v>2054</v>
      </c>
      <c r="AU17" s="42">
        <v>2055</v>
      </c>
      <c r="AV17" s="42">
        <v>2056</v>
      </c>
      <c r="AW17" s="42">
        <v>2057</v>
      </c>
      <c r="AX17" s="42">
        <v>2058</v>
      </c>
      <c r="AY17" s="42">
        <v>2059</v>
      </c>
      <c r="AZ17" s="42">
        <v>2060</v>
      </c>
      <c r="BA17" s="42">
        <v>2061</v>
      </c>
      <c r="BB17" s="42">
        <v>2062</v>
      </c>
      <c r="BC17" s="42">
        <v>2063</v>
      </c>
      <c r="BD17" s="42">
        <v>2064</v>
      </c>
      <c r="BE17" s="42">
        <v>2065</v>
      </c>
      <c r="BF17" s="42">
        <v>2066</v>
      </c>
    </row>
    <row r="18" spans="1:58" s="397" customFormat="1" ht="15.75" customHeight="1" x14ac:dyDescent="0.5">
      <c r="A18" s="158">
        <v>2</v>
      </c>
      <c r="B18" s="397" t="s">
        <v>471</v>
      </c>
      <c r="C18" s="397">
        <v>3.1568415686220601</v>
      </c>
      <c r="D18" s="397">
        <v>2.0693372652605899</v>
      </c>
      <c r="E18" s="397">
        <v>1.46483265562714</v>
      </c>
      <c r="F18" s="397">
        <v>1.62222297740821</v>
      </c>
      <c r="G18" s="397">
        <v>0.118627135552435</v>
      </c>
      <c r="H18" s="397">
        <v>1.26158320570537</v>
      </c>
      <c r="I18" s="397">
        <v>2.1301100036596301</v>
      </c>
      <c r="J18" s="397">
        <v>2.4425832969281802</v>
      </c>
      <c r="K18" s="397">
        <v>1.81221007526015</v>
      </c>
      <c r="L18" s="397">
        <v>1.2</v>
      </c>
      <c r="M18" s="397">
        <f t="shared" ref="M18:BF18" si="2">$C$22</f>
        <v>1.9116216453883328</v>
      </c>
      <c r="N18" s="397">
        <f t="shared" si="2"/>
        <v>1.9116216453883328</v>
      </c>
      <c r="O18" s="397">
        <f t="shared" si="2"/>
        <v>1.9116216453883328</v>
      </c>
      <c r="P18" s="397">
        <f t="shared" si="2"/>
        <v>1.9116216453883328</v>
      </c>
      <c r="Q18" s="397">
        <f t="shared" si="2"/>
        <v>1.9116216453883328</v>
      </c>
      <c r="R18" s="397">
        <f t="shared" si="2"/>
        <v>1.9116216453883328</v>
      </c>
      <c r="S18" s="397">
        <f t="shared" si="2"/>
        <v>1.9116216453883328</v>
      </c>
      <c r="T18" s="397">
        <f t="shared" si="2"/>
        <v>1.9116216453883328</v>
      </c>
      <c r="U18" s="397">
        <f t="shared" si="2"/>
        <v>1.9116216453883328</v>
      </c>
      <c r="V18" s="397">
        <f t="shared" si="2"/>
        <v>1.9116216453883328</v>
      </c>
      <c r="W18" s="397">
        <f t="shared" si="2"/>
        <v>1.9116216453883328</v>
      </c>
      <c r="X18" s="397">
        <f t="shared" si="2"/>
        <v>1.9116216453883328</v>
      </c>
      <c r="Y18" s="397">
        <f t="shared" si="2"/>
        <v>1.9116216453883328</v>
      </c>
      <c r="Z18" s="397">
        <f t="shared" si="2"/>
        <v>1.9116216453883328</v>
      </c>
      <c r="AA18" s="397">
        <f t="shared" si="2"/>
        <v>1.9116216453883328</v>
      </c>
      <c r="AB18" s="397">
        <f t="shared" si="2"/>
        <v>1.9116216453883328</v>
      </c>
      <c r="AC18" s="397">
        <f t="shared" si="2"/>
        <v>1.9116216453883328</v>
      </c>
      <c r="AD18" s="397">
        <f t="shared" si="2"/>
        <v>1.9116216453883328</v>
      </c>
      <c r="AE18" s="397">
        <f t="shared" si="2"/>
        <v>1.9116216453883328</v>
      </c>
      <c r="AF18" s="397">
        <f t="shared" si="2"/>
        <v>1.9116216453883328</v>
      </c>
      <c r="AG18" s="397">
        <f t="shared" si="2"/>
        <v>1.9116216453883328</v>
      </c>
      <c r="AH18" s="397">
        <f t="shared" si="2"/>
        <v>1.9116216453883328</v>
      </c>
      <c r="AI18" s="397">
        <f t="shared" si="2"/>
        <v>1.9116216453883328</v>
      </c>
      <c r="AJ18" s="397">
        <f t="shared" si="2"/>
        <v>1.9116216453883328</v>
      </c>
      <c r="AK18" s="397">
        <f t="shared" si="2"/>
        <v>1.9116216453883328</v>
      </c>
      <c r="AL18" s="397">
        <f t="shared" si="2"/>
        <v>1.9116216453883328</v>
      </c>
      <c r="AM18" s="397">
        <f t="shared" si="2"/>
        <v>1.9116216453883328</v>
      </c>
      <c r="AN18" s="397">
        <f t="shared" si="2"/>
        <v>1.9116216453883328</v>
      </c>
      <c r="AO18" s="397">
        <f t="shared" si="2"/>
        <v>1.9116216453883328</v>
      </c>
      <c r="AP18" s="397">
        <f t="shared" si="2"/>
        <v>1.9116216453883328</v>
      </c>
      <c r="AQ18" s="397">
        <f t="shared" si="2"/>
        <v>1.9116216453883328</v>
      </c>
      <c r="AR18" s="397">
        <f t="shared" si="2"/>
        <v>1.9116216453883328</v>
      </c>
      <c r="AS18" s="397">
        <f t="shared" si="2"/>
        <v>1.9116216453883328</v>
      </c>
      <c r="AT18" s="397">
        <f t="shared" si="2"/>
        <v>1.9116216453883328</v>
      </c>
      <c r="AU18" s="397">
        <f t="shared" si="2"/>
        <v>1.9116216453883328</v>
      </c>
      <c r="AV18" s="397">
        <f t="shared" si="2"/>
        <v>1.9116216453883328</v>
      </c>
      <c r="AW18" s="397">
        <f t="shared" si="2"/>
        <v>1.9116216453883328</v>
      </c>
      <c r="AX18" s="397">
        <f t="shared" si="2"/>
        <v>1.9116216453883328</v>
      </c>
      <c r="AY18" s="397">
        <f t="shared" si="2"/>
        <v>1.9116216453883328</v>
      </c>
      <c r="AZ18" s="397">
        <f t="shared" si="2"/>
        <v>1.9116216453883328</v>
      </c>
      <c r="BA18" s="397">
        <f t="shared" si="2"/>
        <v>1.9116216453883328</v>
      </c>
      <c r="BB18" s="397">
        <f t="shared" si="2"/>
        <v>1.9116216453883328</v>
      </c>
      <c r="BC18" s="397">
        <f t="shared" si="2"/>
        <v>1.9116216453883328</v>
      </c>
      <c r="BD18" s="397">
        <f t="shared" si="2"/>
        <v>1.9116216453883328</v>
      </c>
      <c r="BE18" s="397">
        <f t="shared" si="2"/>
        <v>1.9116216453883328</v>
      </c>
      <c r="BF18" s="397">
        <f t="shared" si="2"/>
        <v>1.9116216453883328</v>
      </c>
    </row>
    <row r="19" spans="1:58" s="397" customFormat="1" ht="15.75" customHeight="1" x14ac:dyDescent="0.5">
      <c r="A19" s="158">
        <v>2</v>
      </c>
      <c r="B19" s="397" t="s">
        <v>468</v>
      </c>
      <c r="C19" s="397">
        <v>103.156841568622</v>
      </c>
      <c r="D19" s="397">
        <v>105.29150453286699</v>
      </c>
      <c r="E19" s="397">
        <v>106.83384887486601</v>
      </c>
      <c r="F19" s="397">
        <v>108.566932118964</v>
      </c>
      <c r="G19" s="397">
        <v>108.69572196069301</v>
      </c>
      <c r="H19" s="397">
        <v>110.06700893427001</v>
      </c>
      <c r="I19" s="397">
        <v>112.411557302308</v>
      </c>
      <c r="J19" s="397">
        <v>115.15730322479099</v>
      </c>
      <c r="K19" s="397">
        <v>117.244195476228</v>
      </c>
      <c r="L19" s="397">
        <v>118.6905</v>
      </c>
      <c r="M19" s="397">
        <f t="shared" ref="M19:BF19" si="3">(L19*(M18/100))+L19</f>
        <v>120.95941328901964</v>
      </c>
      <c r="N19" s="397">
        <f t="shared" si="3"/>
        <v>123.27169961558727</v>
      </c>
      <c r="O19" s="397">
        <f t="shared" si="3"/>
        <v>125.62818810807691</v>
      </c>
      <c r="P19" s="397">
        <f t="shared" si="3"/>
        <v>128.02972374466009</v>
      </c>
      <c r="Q19" s="397">
        <f t="shared" si="3"/>
        <v>130.47716765629389</v>
      </c>
      <c r="R19" s="397">
        <f>(Q19*(R18/100))+Q19</f>
        <v>132.97139743550122</v>
      </c>
      <c r="S19" s="397">
        <f t="shared" si="3"/>
        <v>135.51330745105361</v>
      </c>
      <c r="T19" s="397">
        <f t="shared" si="3"/>
        <v>138.10380916866959</v>
      </c>
      <c r="U19" s="397">
        <f t="shared" si="3"/>
        <v>140.74383147784366</v>
      </c>
      <c r="V19" s="397">
        <f t="shared" si="3"/>
        <v>143.43432102492298</v>
      </c>
      <c r="W19" s="397">
        <f t="shared" si="3"/>
        <v>146.1762425525512</v>
      </c>
      <c r="X19" s="397">
        <f t="shared" si="3"/>
        <v>148.97057924560113</v>
      </c>
      <c r="Y19" s="397">
        <f t="shared" si="3"/>
        <v>151.81833308372043</v>
      </c>
      <c r="Z19" s="397">
        <f t="shared" si="3"/>
        <v>154.72052520061658</v>
      </c>
      <c r="AA19" s="397">
        <f t="shared" si="3"/>
        <v>157.67819625021008</v>
      </c>
      <c r="AB19" s="397">
        <f t="shared" si="3"/>
        <v>160.69240677978698</v>
      </c>
      <c r="AC19" s="397">
        <f t="shared" si="3"/>
        <v>163.76423761028485</v>
      </c>
      <c r="AD19" s="397">
        <f t="shared" si="3"/>
        <v>166.89479022384825</v>
      </c>
      <c r="AE19" s="397">
        <f t="shared" si="3"/>
        <v>170.08518715879279</v>
      </c>
      <c r="AF19" s="397">
        <f t="shared" si="3"/>
        <v>173.33657241211952</v>
      </c>
      <c r="AG19" s="397">
        <f t="shared" si="3"/>
        <v>176.65011184972383</v>
      </c>
      <c r="AH19" s="397">
        <f t="shared" si="3"/>
        <v>180.02699362444585</v>
      </c>
      <c r="AI19" s="397">
        <f t="shared" si="3"/>
        <v>183.46842860211262</v>
      </c>
      <c r="AJ19" s="397">
        <f t="shared" si="3"/>
        <v>186.97565079572445</v>
      </c>
      <c r="AK19" s="397">
        <f t="shared" si="3"/>
        <v>190.54991780794123</v>
      </c>
      <c r="AL19" s="397">
        <f t="shared" si="3"/>
        <v>194.19251128202751</v>
      </c>
      <c r="AM19" s="397">
        <f t="shared" si="3"/>
        <v>197.90473736141792</v>
      </c>
      <c r="AN19" s="397">
        <f t="shared" si="3"/>
        <v>201.68792715806771</v>
      </c>
      <c r="AO19" s="397">
        <f t="shared" si="3"/>
        <v>205.54343722975639</v>
      </c>
      <c r="AP19" s="397">
        <f t="shared" si="3"/>
        <v>209.4726500665156</v>
      </c>
      <c r="AQ19" s="397">
        <f t="shared" si="3"/>
        <v>213.47697458635568</v>
      </c>
      <c r="AR19" s="397">
        <f t="shared" si="3"/>
        <v>217.5578466404686</v>
      </c>
      <c r="AS19" s="397">
        <f t="shared" si="3"/>
        <v>221.71672952808854</v>
      </c>
      <c r="AT19" s="397">
        <f t="shared" si="3"/>
        <v>225.95511452119459</v>
      </c>
      <c r="AU19" s="397">
        <f t="shared" si="3"/>
        <v>230.27452139924375</v>
      </c>
      <c r="AV19" s="397">
        <f t="shared" si="3"/>
        <v>234.67649899412609</v>
      </c>
      <c r="AW19" s="397">
        <f t="shared" si="3"/>
        <v>239.16262574553733</v>
      </c>
      <c r="AX19" s="397">
        <f t="shared" si="3"/>
        <v>243.7345102669681</v>
      </c>
      <c r="AY19" s="397">
        <f t="shared" si="3"/>
        <v>248.39379192251272</v>
      </c>
      <c r="AZ19" s="397">
        <f t="shared" si="3"/>
        <v>253.14214141470433</v>
      </c>
      <c r="BA19" s="397">
        <f t="shared" si="3"/>
        <v>257.98126138358737</v>
      </c>
      <c r="BB19" s="397">
        <f t="shared" si="3"/>
        <v>262.91288701724187</v>
      </c>
      <c r="BC19" s="397">
        <f t="shared" si="3"/>
        <v>267.93878667397883</v>
      </c>
      <c r="BD19" s="397">
        <f t="shared" si="3"/>
        <v>273.06076251642946</v>
      </c>
      <c r="BE19" s="397">
        <f t="shared" si="3"/>
        <v>278.28065115775598</v>
      </c>
      <c r="BF19" s="397">
        <f t="shared" si="3"/>
        <v>283.60032432021524</v>
      </c>
    </row>
    <row r="20" spans="1:58" s="397" customFormat="1" ht="15.75" customHeight="1" x14ac:dyDescent="0.5">
      <c r="A20" s="467">
        <v>3</v>
      </c>
      <c r="B20" s="398" t="s">
        <v>469</v>
      </c>
      <c r="C20" s="550">
        <f>C19/$I$19</f>
        <v>0.91767113670707967</v>
      </c>
      <c r="D20" s="550">
        <f t="shared" ref="D20:BF20" si="4">D19/$I$19</f>
        <v>0.93666084751149681</v>
      </c>
      <c r="E20" s="550">
        <f t="shared" si="4"/>
        <v>0.95038136147832308</v>
      </c>
      <c r="F20" s="550">
        <f t="shared" si="4"/>
        <v>0.96579866629723266</v>
      </c>
      <c r="G20" s="550">
        <f t="shared" si="4"/>
        <v>0.96694436559025676</v>
      </c>
      <c r="H20" s="550">
        <f t="shared" si="4"/>
        <v>0.97914317331506395</v>
      </c>
      <c r="I20" s="550">
        <f t="shared" si="4"/>
        <v>1</v>
      </c>
      <c r="J20" s="550">
        <f t="shared" si="4"/>
        <v>1.0244258329692815</v>
      </c>
      <c r="K20" s="550">
        <f t="shared" si="4"/>
        <v>1.0429905811279139</v>
      </c>
      <c r="L20" s="550">
        <f t="shared" si="4"/>
        <v>1.0558567361610876</v>
      </c>
      <c r="M20" s="550">
        <f t="shared" si="4"/>
        <v>1.0760407220738337</v>
      </c>
      <c r="N20" s="550">
        <f t="shared" si="4"/>
        <v>1.0966105494301901</v>
      </c>
      <c r="O20" s="550">
        <f t="shared" si="4"/>
        <v>1.1175735940587095</v>
      </c>
      <c r="P20" s="550">
        <f t="shared" si="4"/>
        <v>1.13893737278588</v>
      </c>
      <c r="Q20" s="550">
        <f t="shared" si="4"/>
        <v>1.160709546131472</v>
      </c>
      <c r="R20" s="550">
        <f t="shared" si="4"/>
        <v>1.18289792105541</v>
      </c>
      <c r="S20" s="550">
        <f t="shared" si="4"/>
        <v>1.2055104537571537</v>
      </c>
      <c r="T20" s="550">
        <f t="shared" si="4"/>
        <v>1.2285552525285945</v>
      </c>
      <c r="U20" s="550">
        <f t="shared" si="4"/>
        <v>1.2520405806614865</v>
      </c>
      <c r="V20" s="550">
        <f t="shared" si="4"/>
        <v>1.275974859410457</v>
      </c>
      <c r="W20" s="550">
        <f t="shared" si="4"/>
        <v>1.3003666710126607</v>
      </c>
      <c r="X20" s="550">
        <f t="shared" si="4"/>
        <v>1.3252247617651545</v>
      </c>
      <c r="Y20" s="550">
        <f t="shared" si="4"/>
        <v>1.3505580451611032</v>
      </c>
      <c r="Z20" s="550">
        <f t="shared" si="4"/>
        <v>1.3763756050859364</v>
      </c>
      <c r="AA20" s="550">
        <f t="shared" si="4"/>
        <v>1.4026866990746039</v>
      </c>
      <c r="AB20" s="550">
        <f t="shared" si="4"/>
        <v>1.4295007616310969</v>
      </c>
      <c r="AC20" s="550">
        <f t="shared" si="4"/>
        <v>1.456827407611428</v>
      </c>
      <c r="AD20" s="550">
        <f t="shared" si="4"/>
        <v>1.4846764356712778</v>
      </c>
      <c r="AE20" s="550">
        <f t="shared" si="4"/>
        <v>1.51305783177955</v>
      </c>
      <c r="AF20" s="550">
        <f t="shared" si="4"/>
        <v>1.5419817727990912</v>
      </c>
      <c r="AG20" s="550">
        <f t="shared" si="4"/>
        <v>1.5714586301358615</v>
      </c>
      <c r="AH20" s="550">
        <f t="shared" si="4"/>
        <v>1.6014989734578617</v>
      </c>
      <c r="AI20" s="550">
        <f t="shared" si="4"/>
        <v>1.632113574485154</v>
      </c>
      <c r="AJ20" s="550">
        <f t="shared" si="4"/>
        <v>1.6633134108523335</v>
      </c>
      <c r="AK20" s="550">
        <f t="shared" si="4"/>
        <v>1.6951096700448338</v>
      </c>
      <c r="AL20" s="550">
        <f t="shared" si="4"/>
        <v>1.7275137534104814</v>
      </c>
      <c r="AM20" s="550">
        <f t="shared" si="4"/>
        <v>1.7605372802477366</v>
      </c>
      <c r="AN20" s="550">
        <f t="shared" si="4"/>
        <v>1.7941920919720833</v>
      </c>
      <c r="AO20" s="550">
        <f t="shared" si="4"/>
        <v>1.8284902563620675</v>
      </c>
      <c r="AP20" s="550">
        <f t="shared" si="4"/>
        <v>1.8634440718865015</v>
      </c>
      <c r="AQ20" s="550">
        <f t="shared" si="4"/>
        <v>1.8990660721143897</v>
      </c>
      <c r="AR20" s="550">
        <f t="shared" si="4"/>
        <v>1.9353690302091542</v>
      </c>
      <c r="AS20" s="550">
        <f t="shared" si="4"/>
        <v>1.9723659635087745</v>
      </c>
      <c r="AT20" s="550">
        <f t="shared" si="4"/>
        <v>2.0100701381934805</v>
      </c>
      <c r="AU20" s="550">
        <f t="shared" si="4"/>
        <v>2.0484950740426742</v>
      </c>
      <c r="AV20" s="550">
        <f t="shared" si="4"/>
        <v>2.0876545492827878</v>
      </c>
      <c r="AW20" s="550">
        <f t="shared" si="4"/>
        <v>2.1275626055278116</v>
      </c>
      <c r="AX20" s="550">
        <f t="shared" si="4"/>
        <v>2.1682335528142693</v>
      </c>
      <c r="AY20" s="550">
        <f t="shared" si="4"/>
        <v>2.2096819747324394</v>
      </c>
      <c r="AZ20" s="550">
        <f t="shared" si="4"/>
        <v>2.2519227336556691</v>
      </c>
      <c r="BA20" s="550">
        <f t="shared" si="4"/>
        <v>2.2949709760696515</v>
      </c>
      <c r="BB20" s="550">
        <f t="shared" si="4"/>
        <v>2.3388421380035789</v>
      </c>
      <c r="BC20" s="550">
        <f t="shared" si="4"/>
        <v>2.3835519505651184</v>
      </c>
      <c r="BD20" s="550">
        <f t="shared" si="4"/>
        <v>2.4291164455811969</v>
      </c>
      <c r="BE20" s="550">
        <f t="shared" si="4"/>
        <v>2.475551961346615</v>
      </c>
      <c r="BF20" s="550">
        <f t="shared" si="4"/>
        <v>2.5228751484825525</v>
      </c>
    </row>
    <row r="21" spans="1:58" s="397" customFormat="1" ht="14.1" x14ac:dyDescent="0.5">
      <c r="A21" s="480"/>
    </row>
    <row r="22" spans="1:58" s="397" customFormat="1" x14ac:dyDescent="0.45">
      <c r="B22" s="397" t="s">
        <v>472</v>
      </c>
      <c r="C22" s="549">
        <f>AVERAGE(H18:K18)</f>
        <v>1.9116216453883328</v>
      </c>
    </row>
    <row r="23" spans="1:58" x14ac:dyDescent="0.45">
      <c r="A23" s="394"/>
      <c r="F23" s="773"/>
      <c r="G23" s="773"/>
      <c r="H23" s="773"/>
      <c r="I23" s="773"/>
      <c r="J23" s="773"/>
      <c r="K23" s="773"/>
      <c r="L23" s="773"/>
    </row>
    <row r="25" spans="1:58" ht="14.1" thickBot="1" x14ac:dyDescent="0.5">
      <c r="A25" s="120" t="s">
        <v>35</v>
      </c>
      <c r="B25" s="128"/>
      <c r="C25" s="128"/>
      <c r="D25" s="128"/>
      <c r="E25" s="128"/>
      <c r="F25" s="128"/>
      <c r="G25" s="128"/>
      <c r="H25" s="128"/>
      <c r="I25" s="128"/>
      <c r="J25" s="116"/>
    </row>
    <row r="26" spans="1:58" ht="24.6" customHeight="1" x14ac:dyDescent="0.45">
      <c r="A26" s="119">
        <v>1</v>
      </c>
      <c r="B26" s="774" t="s">
        <v>473</v>
      </c>
      <c r="C26" s="774"/>
      <c r="D26" s="774"/>
      <c r="E26" s="774"/>
      <c r="F26" s="774"/>
      <c r="G26" s="774"/>
      <c r="H26" s="774"/>
      <c r="I26" s="774"/>
      <c r="J26" s="116"/>
    </row>
    <row r="27" spans="1:58" x14ac:dyDescent="0.45">
      <c r="A27" s="119">
        <v>2</v>
      </c>
      <c r="B27" s="625" t="s">
        <v>474</v>
      </c>
      <c r="C27" s="625"/>
      <c r="D27" s="625"/>
      <c r="E27" s="625"/>
      <c r="F27" s="625"/>
      <c r="G27" s="625"/>
      <c r="H27" s="625"/>
      <c r="I27" s="625"/>
    </row>
    <row r="28" spans="1:58" x14ac:dyDescent="0.45">
      <c r="A28" s="119">
        <v>3</v>
      </c>
      <c r="B28" s="588" t="s">
        <v>475</v>
      </c>
    </row>
  </sheetData>
  <mergeCells count="4">
    <mergeCell ref="F23:L23"/>
    <mergeCell ref="B6:L6"/>
    <mergeCell ref="B26:I26"/>
    <mergeCell ref="B27:I27"/>
  </mergeCells>
  <pageMargins left="0.7" right="0.7" top="0.75" bottom="0.75" header="0.3" footer="0.3"/>
  <pageSetup orientation="portrait" horizontalDpi="1200" verticalDpi="1200" r:id="rId1"/>
  <headerFooter>
    <oddHeader>&amp;C&amp;"Calibri"&amp;12&amp;K008000 UNCLASSIFIED&amp;1#_x000D_</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CD38-5101-49BF-8027-E92EA96ECA3B}">
  <sheetPr>
    <tabColor rgb="FFB4C6E7"/>
  </sheetPr>
  <dimension ref="A1:AN43"/>
  <sheetViews>
    <sheetView zoomScale="86" zoomScaleNormal="86" workbookViewId="0">
      <selection activeCell="J13" sqref="J13"/>
    </sheetView>
  </sheetViews>
  <sheetFormatPr defaultColWidth="9.15625" defaultRowHeight="14.4" x14ac:dyDescent="0.55000000000000004"/>
  <cols>
    <col min="1" max="1" width="9.15625" style="138"/>
    <col min="2" max="2" width="33.578125" style="138" customWidth="1"/>
    <col min="3" max="3" width="17.41796875" style="138" customWidth="1"/>
    <col min="4" max="4" width="13.83984375" style="138" customWidth="1"/>
    <col min="5" max="16384" width="9.15625" style="138"/>
  </cols>
  <sheetData>
    <row r="1" spans="1:40" x14ac:dyDescent="0.55000000000000004">
      <c r="B1" s="500"/>
    </row>
    <row r="2" spans="1:40" ht="20.399999999999999" x14ac:dyDescent="0.75">
      <c r="B2" s="501" t="s">
        <v>0</v>
      </c>
      <c r="J2" s="502"/>
      <c r="K2" s="502"/>
      <c r="T2" s="502"/>
      <c r="U2" s="502"/>
      <c r="V2" s="502"/>
      <c r="W2" s="502"/>
    </row>
    <row r="3" spans="1:40" ht="18.3" x14ac:dyDescent="0.7">
      <c r="B3" s="503" t="s">
        <v>1</v>
      </c>
      <c r="J3" s="502"/>
      <c r="K3" s="502"/>
      <c r="T3" s="502"/>
      <c r="U3" s="502"/>
      <c r="V3" s="502"/>
      <c r="W3" s="502"/>
    </row>
    <row r="4" spans="1:40" ht="18.3" x14ac:dyDescent="0.7">
      <c r="B4" s="503"/>
      <c r="J4" s="502"/>
      <c r="K4" s="502"/>
      <c r="T4" s="502"/>
      <c r="U4" s="502"/>
      <c r="V4" s="502"/>
      <c r="W4" s="502"/>
    </row>
    <row r="5" spans="1:40" ht="18.3" x14ac:dyDescent="0.7">
      <c r="B5" s="504" t="s">
        <v>31</v>
      </c>
      <c r="J5" s="502"/>
      <c r="K5" s="502"/>
      <c r="T5" s="502"/>
      <c r="U5" s="502"/>
      <c r="V5" s="502"/>
      <c r="W5" s="502"/>
    </row>
    <row r="6" spans="1:40" ht="15.6" x14ac:dyDescent="0.6">
      <c r="B6" s="505" t="s">
        <v>32</v>
      </c>
    </row>
    <row r="7" spans="1:40" x14ac:dyDescent="0.55000000000000004">
      <c r="A7" s="506"/>
    </row>
    <row r="9" spans="1:40" ht="18.3" x14ac:dyDescent="0.55000000000000004">
      <c r="A9" s="506"/>
      <c r="B9" s="775" t="s">
        <v>476</v>
      </c>
      <c r="C9" s="775"/>
      <c r="D9" s="775"/>
      <c r="E9" s="775"/>
      <c r="F9" s="775"/>
      <c r="G9" s="775"/>
      <c r="H9" s="775"/>
      <c r="I9" s="775"/>
      <c r="J9" s="775"/>
      <c r="K9" s="775"/>
      <c r="L9" s="775"/>
    </row>
    <row r="10" spans="1:40" x14ac:dyDescent="0.55000000000000004">
      <c r="B10" s="507" t="s">
        <v>465</v>
      </c>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row>
    <row r="11" spans="1:40" ht="14.7" thickBot="1" x14ac:dyDescent="0.6">
      <c r="A11" s="506"/>
      <c r="B11" s="508"/>
      <c r="C11" s="508">
        <v>2011</v>
      </c>
      <c r="D11" s="508">
        <v>2012</v>
      </c>
      <c r="E11" s="508">
        <v>2013</v>
      </c>
      <c r="F11" s="508">
        <v>2014</v>
      </c>
      <c r="G11" s="508">
        <v>2015</v>
      </c>
      <c r="H11" s="508">
        <v>2016</v>
      </c>
      <c r="I11" s="508">
        <v>2017</v>
      </c>
      <c r="J11" s="508">
        <v>2018</v>
      </c>
      <c r="K11" s="508">
        <v>2019</v>
      </c>
      <c r="L11" s="508">
        <v>2020</v>
      </c>
      <c r="M11" s="508">
        <v>2021</v>
      </c>
      <c r="N11" s="508">
        <v>2022</v>
      </c>
      <c r="O11" s="508">
        <v>2023</v>
      </c>
      <c r="P11" s="508">
        <v>2024</v>
      </c>
      <c r="Q11" s="508">
        <v>2025</v>
      </c>
      <c r="R11" s="508">
        <v>2026</v>
      </c>
      <c r="S11" s="508">
        <v>2027</v>
      </c>
      <c r="T11" s="508">
        <v>2028</v>
      </c>
      <c r="U11" s="508">
        <v>2029</v>
      </c>
      <c r="V11" s="508">
        <v>2030</v>
      </c>
      <c r="W11" s="508">
        <v>2031</v>
      </c>
      <c r="X11" s="508">
        <v>2032</v>
      </c>
      <c r="Y11" s="508">
        <v>2033</v>
      </c>
      <c r="Z11" s="508">
        <v>2034</v>
      </c>
      <c r="AA11" s="508">
        <v>2035</v>
      </c>
      <c r="AB11" s="508">
        <v>2036</v>
      </c>
    </row>
    <row r="12" spans="1:40" x14ac:dyDescent="0.55000000000000004">
      <c r="A12" s="138">
        <v>1</v>
      </c>
      <c r="B12" s="509" t="s">
        <v>477</v>
      </c>
      <c r="C12" s="510">
        <v>8.0898749999999993</v>
      </c>
      <c r="D12" s="510">
        <v>8.6284445833333301</v>
      </c>
      <c r="E12" s="510">
        <v>8.4055039167442995</v>
      </c>
      <c r="F12" s="510">
        <v>8.4063366882615203</v>
      </c>
      <c r="G12" s="510">
        <v>9.7643482795011103</v>
      </c>
      <c r="H12" s="510">
        <v>9.8074760315024996</v>
      </c>
      <c r="I12" s="510">
        <v>9.6919978888288991</v>
      </c>
      <c r="J12" s="510">
        <v>9.3861024209197197</v>
      </c>
      <c r="K12" s="510">
        <v>9.6170760995074396</v>
      </c>
      <c r="L12" s="510">
        <v>9.4968473222196899</v>
      </c>
      <c r="M12" s="511"/>
      <c r="N12" s="511"/>
      <c r="O12" s="511"/>
      <c r="P12" s="511"/>
      <c r="Q12" s="512"/>
      <c r="R12" s="511"/>
      <c r="S12" s="511"/>
      <c r="T12" s="511"/>
      <c r="U12" s="511"/>
      <c r="V12" s="511"/>
      <c r="W12" s="511"/>
      <c r="X12" s="511"/>
      <c r="Y12" s="511"/>
      <c r="Z12" s="511"/>
      <c r="AA12" s="511"/>
      <c r="AB12" s="511"/>
      <c r="AC12" s="390"/>
      <c r="AD12" s="390"/>
      <c r="AE12" s="390"/>
      <c r="AF12" s="390"/>
      <c r="AG12" s="390"/>
      <c r="AH12" s="390"/>
      <c r="AI12" s="390"/>
      <c r="AJ12" s="390"/>
      <c r="AK12" s="390"/>
      <c r="AL12" s="390"/>
      <c r="AM12" s="390"/>
      <c r="AN12" s="390"/>
    </row>
    <row r="13" spans="1:40" x14ac:dyDescent="0.55000000000000004">
      <c r="A13" s="389"/>
      <c r="B13" s="513" t="s">
        <v>478</v>
      </c>
      <c r="C13" s="514">
        <f t="shared" ref="C13:L13" si="0">1/C12</f>
        <v>0.12361130425377402</v>
      </c>
      <c r="D13" s="514">
        <f t="shared" si="0"/>
        <v>0.11589574347288457</v>
      </c>
      <c r="E13" s="514">
        <f t="shared" si="0"/>
        <v>0.11896966676892938</v>
      </c>
      <c r="F13" s="514">
        <f t="shared" si="0"/>
        <v>0.11895788107040546</v>
      </c>
      <c r="G13" s="514">
        <f t="shared" si="0"/>
        <v>0.10241338913518282</v>
      </c>
      <c r="H13" s="514">
        <f t="shared" si="0"/>
        <v>0.10196303277090962</v>
      </c>
      <c r="I13" s="514">
        <f t="shared" si="0"/>
        <v>0.10317790113766025</v>
      </c>
      <c r="J13" s="514">
        <f t="shared" si="0"/>
        <v>0.10654049520823497</v>
      </c>
      <c r="K13" s="514">
        <f t="shared" si="0"/>
        <v>0.10398170812553072</v>
      </c>
      <c r="L13" s="514">
        <f t="shared" si="0"/>
        <v>0.10529810220917302</v>
      </c>
      <c r="M13" s="514">
        <f>L13</f>
        <v>0.10529810220917302</v>
      </c>
      <c r="N13" s="514">
        <f t="shared" ref="N13:U13" si="1">M13</f>
        <v>0.10529810220917302</v>
      </c>
      <c r="O13" s="514">
        <f t="shared" si="1"/>
        <v>0.10529810220917302</v>
      </c>
      <c r="P13" s="514">
        <f t="shared" si="1"/>
        <v>0.10529810220917302</v>
      </c>
      <c r="Q13" s="514">
        <f t="shared" si="1"/>
        <v>0.10529810220917302</v>
      </c>
      <c r="R13" s="514">
        <f t="shared" si="1"/>
        <v>0.10529810220917302</v>
      </c>
      <c r="S13" s="514">
        <f t="shared" si="1"/>
        <v>0.10529810220917302</v>
      </c>
      <c r="T13" s="514">
        <f t="shared" si="1"/>
        <v>0.10529810220917302</v>
      </c>
      <c r="U13" s="514">
        <f t="shared" si="1"/>
        <v>0.10529810220917302</v>
      </c>
      <c r="V13" s="514">
        <f>U13</f>
        <v>0.10529810220917302</v>
      </c>
      <c r="W13" s="514">
        <f t="shared" ref="W13:AB13" si="2">V13</f>
        <v>0.10529810220917302</v>
      </c>
      <c r="X13" s="514">
        <f t="shared" si="2"/>
        <v>0.10529810220917302</v>
      </c>
      <c r="Y13" s="514">
        <f t="shared" si="2"/>
        <v>0.10529810220917302</v>
      </c>
      <c r="Z13" s="514">
        <f t="shared" si="2"/>
        <v>0.10529810220917302</v>
      </c>
      <c r="AA13" s="514">
        <f t="shared" si="2"/>
        <v>0.10529810220917302</v>
      </c>
      <c r="AB13" s="514">
        <f t="shared" si="2"/>
        <v>0.10529810220917302</v>
      </c>
      <c r="AC13" s="391"/>
      <c r="AD13" s="391"/>
      <c r="AE13" s="391"/>
      <c r="AF13" s="391"/>
      <c r="AG13" s="391"/>
      <c r="AH13" s="391"/>
      <c r="AI13" s="391"/>
      <c r="AJ13" s="391"/>
      <c r="AK13" s="391"/>
      <c r="AL13" s="391"/>
      <c r="AM13" s="391"/>
      <c r="AN13" s="391"/>
    </row>
    <row r="14" spans="1:40" x14ac:dyDescent="0.55000000000000004">
      <c r="C14" s="515"/>
    </row>
    <row r="15" spans="1:40" x14ac:dyDescent="0.55000000000000004">
      <c r="B15" s="138" t="s">
        <v>479</v>
      </c>
    </row>
    <row r="16" spans="1:40" x14ac:dyDescent="0.55000000000000004">
      <c r="A16" s="138">
        <v>1</v>
      </c>
      <c r="B16" s="516" t="s">
        <v>480</v>
      </c>
      <c r="C16" s="516" t="s">
        <v>481</v>
      </c>
      <c r="D16" s="138" t="s">
        <v>482</v>
      </c>
    </row>
    <row r="17" spans="2:16" x14ac:dyDescent="0.55000000000000004">
      <c r="B17" s="138">
        <v>2000</v>
      </c>
      <c r="C17" s="138">
        <v>10.6256361666667</v>
      </c>
    </row>
    <row r="18" spans="2:16" ht="15" customHeight="1" x14ac:dyDescent="0.55000000000000004">
      <c r="B18" s="138">
        <v>2001</v>
      </c>
      <c r="C18" s="138">
        <v>11.302975</v>
      </c>
      <c r="D18" s="392">
        <f>(C18-C17)/C17</f>
        <v>6.3745720511130907E-2</v>
      </c>
    </row>
    <row r="19" spans="2:16" x14ac:dyDescent="0.55000000000000004">
      <c r="B19" s="138">
        <v>2002</v>
      </c>
      <c r="C19" s="138">
        <v>11.020583333333301</v>
      </c>
      <c r="D19" s="392">
        <f t="shared" ref="D19:D37" si="3">(C19-C18)/C18</f>
        <v>-2.498383537667731E-2</v>
      </c>
    </row>
    <row r="20" spans="2:16" x14ac:dyDescent="0.55000000000000004">
      <c r="B20" s="138">
        <v>2003</v>
      </c>
      <c r="C20" s="138">
        <v>9.5743833333333299</v>
      </c>
      <c r="D20" s="392">
        <f t="shared" si="3"/>
        <v>-0.13122717339523543</v>
      </c>
    </row>
    <row r="21" spans="2:16" ht="15" customHeight="1" x14ac:dyDescent="0.55000000000000004">
      <c r="B21" s="138">
        <v>2004</v>
      </c>
      <c r="C21" s="138">
        <v>8.8680166666666693</v>
      </c>
      <c r="D21" s="392">
        <f t="shared" si="3"/>
        <v>-7.3776727134732184E-2</v>
      </c>
    </row>
    <row r="22" spans="2:16" x14ac:dyDescent="0.55000000000000004">
      <c r="B22" s="138">
        <v>2005</v>
      </c>
      <c r="C22" s="138">
        <v>8.8650083333333303</v>
      </c>
      <c r="D22" s="392">
        <f t="shared" si="3"/>
        <v>-3.3923406398714316E-4</v>
      </c>
    </row>
    <row r="23" spans="2:16" x14ac:dyDescent="0.55000000000000004">
      <c r="B23" s="138">
        <v>2006</v>
      </c>
      <c r="C23" s="138">
        <v>8.7955833333333295</v>
      </c>
      <c r="D23" s="392">
        <f t="shared" si="3"/>
        <v>-7.8313519163829438E-3</v>
      </c>
    </row>
    <row r="24" spans="2:16" x14ac:dyDescent="0.55000000000000004">
      <c r="B24" s="138">
        <v>2007</v>
      </c>
      <c r="C24" s="138">
        <v>8.1923333333333304</v>
      </c>
      <c r="D24" s="392">
        <f t="shared" si="3"/>
        <v>-6.8585559040048441E-2</v>
      </c>
    </row>
    <row r="25" spans="2:16" x14ac:dyDescent="0.55000000000000004">
      <c r="B25" s="138">
        <v>2008</v>
      </c>
      <c r="C25" s="138">
        <v>7.7503250000000001</v>
      </c>
      <c r="D25" s="392">
        <f t="shared" si="3"/>
        <v>-5.3953899987793104E-2</v>
      </c>
    </row>
    <row r="26" spans="2:16" ht="14.5" customHeight="1" x14ac:dyDescent="0.55000000000000004">
      <c r="B26" s="138">
        <v>2009</v>
      </c>
      <c r="C26" s="138">
        <v>8.0571000000000002</v>
      </c>
      <c r="D26" s="392">
        <f t="shared" si="3"/>
        <v>3.9582211068568095E-2</v>
      </c>
      <c r="F26" s="164"/>
      <c r="G26" s="393"/>
      <c r="H26" s="393"/>
      <c r="I26" s="393"/>
      <c r="J26" s="393"/>
      <c r="K26" s="393"/>
      <c r="L26" s="393"/>
      <c r="M26" s="393"/>
      <c r="N26" s="393"/>
      <c r="O26" s="393"/>
      <c r="P26" s="393"/>
    </row>
    <row r="27" spans="2:16" x14ac:dyDescent="0.55000000000000004">
      <c r="B27" s="138">
        <v>2010</v>
      </c>
      <c r="C27" s="138">
        <v>8.4171583333333295</v>
      </c>
      <c r="D27" s="392">
        <f t="shared" si="3"/>
        <v>4.4688328720424143E-2</v>
      </c>
      <c r="E27" s="517"/>
      <c r="H27" s="517"/>
    </row>
    <row r="28" spans="2:16" x14ac:dyDescent="0.55000000000000004">
      <c r="B28" s="138">
        <v>2011</v>
      </c>
      <c r="C28" s="138">
        <v>8.0898749999999993</v>
      </c>
      <c r="D28" s="392">
        <f t="shared" si="3"/>
        <v>-3.8882877138859857E-2</v>
      </c>
    </row>
    <row r="29" spans="2:16" x14ac:dyDescent="0.55000000000000004">
      <c r="B29" s="138">
        <v>2012</v>
      </c>
      <c r="C29" s="138">
        <v>8.6284445833333301</v>
      </c>
      <c r="D29" s="392">
        <f t="shared" si="3"/>
        <v>6.6573288627244653E-2</v>
      </c>
    </row>
    <row r="30" spans="2:16" x14ac:dyDescent="0.55000000000000004">
      <c r="B30" s="138">
        <v>2013</v>
      </c>
      <c r="C30" s="138">
        <v>8.4055039167442995</v>
      </c>
      <c r="D30" s="392">
        <f t="shared" si="3"/>
        <v>-2.5837874304676173E-2</v>
      </c>
    </row>
    <row r="31" spans="2:16" x14ac:dyDescent="0.55000000000000004">
      <c r="B31" s="138">
        <v>2014</v>
      </c>
      <c r="C31" s="138">
        <v>8.4063366882615203</v>
      </c>
      <c r="D31" s="392">
        <f t="shared" si="3"/>
        <v>9.9074549898404868E-5</v>
      </c>
    </row>
    <row r="32" spans="2:16" x14ac:dyDescent="0.55000000000000004">
      <c r="B32" s="138">
        <v>2015</v>
      </c>
      <c r="C32" s="138">
        <v>9.7643482795011103</v>
      </c>
      <c r="D32" s="392">
        <f t="shared" si="3"/>
        <v>0.16154618136291121</v>
      </c>
    </row>
    <row r="33" spans="1:13" x14ac:dyDescent="0.55000000000000004">
      <c r="B33" s="138">
        <v>2016</v>
      </c>
      <c r="C33" s="138">
        <v>9.8074760315024996</v>
      </c>
      <c r="D33" s="392">
        <f t="shared" si="3"/>
        <v>4.4168592482439414E-3</v>
      </c>
    </row>
    <row r="34" spans="1:13" x14ac:dyDescent="0.55000000000000004">
      <c r="B34" s="138">
        <v>2017</v>
      </c>
      <c r="C34" s="138">
        <v>9.6919978888288991</v>
      </c>
      <c r="D34" s="392">
        <f t="shared" si="3"/>
        <v>-1.1774501645752101E-2</v>
      </c>
    </row>
    <row r="35" spans="1:13" x14ac:dyDescent="0.55000000000000004">
      <c r="B35" s="138">
        <v>2018</v>
      </c>
      <c r="C35" s="138">
        <v>9.3861024209197197</v>
      </c>
      <c r="D35" s="392">
        <f t="shared" si="3"/>
        <v>-3.156165234639164E-2</v>
      </c>
    </row>
    <row r="36" spans="1:13" x14ac:dyDescent="0.55000000000000004">
      <c r="B36" s="138">
        <v>2019</v>
      </c>
      <c r="C36" s="138">
        <v>9.6170760995074396</v>
      </c>
      <c r="D36" s="392">
        <f t="shared" si="3"/>
        <v>2.4608050096803374E-2</v>
      </c>
    </row>
    <row r="37" spans="1:13" x14ac:dyDescent="0.55000000000000004">
      <c r="B37" s="138">
        <v>2020</v>
      </c>
      <c r="C37" s="138">
        <v>9.4968473222196899</v>
      </c>
      <c r="D37" s="392">
        <f t="shared" si="3"/>
        <v>-1.2501593628224228E-2</v>
      </c>
    </row>
    <row r="38" spans="1:13" x14ac:dyDescent="0.55000000000000004">
      <c r="B38" s="516" t="s">
        <v>483</v>
      </c>
    </row>
    <row r="39" spans="1:13" ht="14.7" thickBot="1" x14ac:dyDescent="0.6">
      <c r="A39" s="519" t="s">
        <v>484</v>
      </c>
      <c r="B39" s="508"/>
      <c r="C39" s="508"/>
      <c r="D39" s="508"/>
      <c r="E39" s="508"/>
      <c r="F39" s="508"/>
      <c r="G39" s="508"/>
      <c r="H39" s="508"/>
      <c r="I39" s="508"/>
      <c r="J39" s="508"/>
      <c r="K39" s="508"/>
      <c r="L39" s="508"/>
      <c r="M39" s="508"/>
    </row>
    <row r="40" spans="1:13" x14ac:dyDescent="0.55000000000000004">
      <c r="A40" s="776">
        <v>1</v>
      </c>
      <c r="B40" s="777" t="s">
        <v>485</v>
      </c>
      <c r="C40" s="777"/>
      <c r="D40" s="777"/>
      <c r="E40" s="777"/>
      <c r="F40" s="777"/>
      <c r="G40" s="777"/>
      <c r="H40" s="777"/>
      <c r="I40" s="777"/>
      <c r="J40" s="777"/>
      <c r="K40" s="777"/>
    </row>
    <row r="41" spans="1:13" x14ac:dyDescent="0.55000000000000004">
      <c r="A41" s="776"/>
      <c r="B41" s="777"/>
      <c r="C41" s="777"/>
      <c r="D41" s="777"/>
      <c r="E41" s="777"/>
      <c r="F41" s="777"/>
      <c r="G41" s="777"/>
      <c r="H41" s="777"/>
      <c r="I41" s="777"/>
      <c r="J41" s="777"/>
      <c r="K41" s="777"/>
    </row>
    <row r="42" spans="1:13" x14ac:dyDescent="0.55000000000000004">
      <c r="A42" s="776"/>
      <c r="B42" s="777"/>
      <c r="C42" s="777"/>
      <c r="D42" s="777"/>
      <c r="E42" s="777"/>
      <c r="F42" s="777"/>
      <c r="G42" s="777"/>
      <c r="H42" s="777"/>
      <c r="I42" s="777"/>
      <c r="J42" s="777"/>
      <c r="K42" s="777"/>
    </row>
    <row r="43" spans="1:13" x14ac:dyDescent="0.55000000000000004">
      <c r="A43" s="610">
        <v>2</v>
      </c>
      <c r="B43" s="499" t="s">
        <v>486</v>
      </c>
      <c r="C43" s="611"/>
      <c r="D43" s="611"/>
      <c r="E43" s="518"/>
      <c r="F43" s="611"/>
      <c r="G43" s="611"/>
      <c r="H43" s="611"/>
      <c r="I43" s="611"/>
      <c r="J43" s="611"/>
      <c r="K43" s="611"/>
    </row>
  </sheetData>
  <mergeCells count="3">
    <mergeCell ref="B9:L9"/>
    <mergeCell ref="A40:A42"/>
    <mergeCell ref="B40:K42"/>
  </mergeCells>
  <pageMargins left="0.7" right="0.7" top="0.75" bottom="0.75" header="0.3" footer="0.3"/>
  <headerFooter>
    <oddHeader>&amp;C&amp;"Calibri"&amp;12&amp;K008000 UNCLASSIFIED&amp;1#_x000D_</oddHead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FB1B-A7F3-46D4-9584-4AD6520C08AA}">
  <sheetPr>
    <tabColor rgb="FFB4C6E7"/>
  </sheetPr>
  <dimension ref="A1:I32"/>
  <sheetViews>
    <sheetView zoomScale="86" zoomScaleNormal="86" workbookViewId="0">
      <selection activeCell="D22" sqref="D22"/>
    </sheetView>
  </sheetViews>
  <sheetFormatPr defaultColWidth="9.15625" defaultRowHeight="14.4" x14ac:dyDescent="0.55000000000000004"/>
  <cols>
    <col min="1" max="1" width="9.15625" style="138"/>
    <col min="2" max="2" width="36.15625" style="138" customWidth="1"/>
    <col min="3" max="8" width="14.41796875" style="138" customWidth="1"/>
    <col min="9" max="9" width="15.68359375" style="138" customWidth="1"/>
    <col min="10" max="16384" width="9.15625" style="138"/>
  </cols>
  <sheetData>
    <row r="1" spans="1:9" s="30" customFormat="1" ht="13.8" x14ac:dyDescent="0.45">
      <c r="B1" s="29"/>
    </row>
    <row r="2" spans="1:9" s="30" customFormat="1" ht="20.100000000000001" x14ac:dyDescent="0.7">
      <c r="B2" s="31" t="s">
        <v>0</v>
      </c>
      <c r="E2" s="36"/>
    </row>
    <row r="3" spans="1:9" s="30" customFormat="1" ht="17.7" x14ac:dyDescent="0.6">
      <c r="B3" s="32" t="s">
        <v>1</v>
      </c>
      <c r="E3" s="36"/>
    </row>
    <row r="4" spans="1:9" s="30" customFormat="1" ht="14.1" x14ac:dyDescent="0.5">
      <c r="B4" s="33"/>
      <c r="E4" s="36"/>
    </row>
    <row r="5" spans="1:9" s="30" customFormat="1" ht="17.7" x14ac:dyDescent="0.6">
      <c r="B5" s="34" t="s">
        <v>487</v>
      </c>
      <c r="E5" s="36"/>
    </row>
    <row r="6" spans="1:9" s="30" customFormat="1" ht="15" x14ac:dyDescent="0.5">
      <c r="B6" s="35" t="s">
        <v>488</v>
      </c>
    </row>
    <row r="7" spans="1:9" s="30" customFormat="1" ht="14.7" thickBot="1" x14ac:dyDescent="0.6">
      <c r="B7"/>
    </row>
    <row r="8" spans="1:9" x14ac:dyDescent="0.55000000000000004">
      <c r="A8" s="48" t="s">
        <v>35</v>
      </c>
      <c r="B8" s="401" t="s">
        <v>489</v>
      </c>
      <c r="C8" s="402" t="s">
        <v>490</v>
      </c>
      <c r="D8" s="402" t="s">
        <v>491</v>
      </c>
      <c r="E8" s="402" t="s">
        <v>492</v>
      </c>
      <c r="F8" s="402" t="s">
        <v>493</v>
      </c>
      <c r="G8" s="402" t="s">
        <v>494</v>
      </c>
      <c r="H8" s="402" t="s">
        <v>495</v>
      </c>
      <c r="I8" s="403" t="s">
        <v>337</v>
      </c>
    </row>
    <row r="9" spans="1:9" ht="28.2" x14ac:dyDescent="0.55000000000000004">
      <c r="B9" s="404" t="s">
        <v>496</v>
      </c>
      <c r="C9" s="405"/>
      <c r="D9" s="405"/>
      <c r="E9" s="405"/>
      <c r="F9" s="405"/>
      <c r="G9" s="405"/>
      <c r="H9" s="405"/>
      <c r="I9" s="406"/>
    </row>
    <row r="10" spans="1:9" x14ac:dyDescent="0.55000000000000004">
      <c r="B10" s="407" t="s">
        <v>497</v>
      </c>
      <c r="C10" s="408">
        <v>2500000</v>
      </c>
      <c r="D10" s="408">
        <v>12294000</v>
      </c>
      <c r="E10" s="408">
        <v>29014000</v>
      </c>
      <c r="F10" s="408">
        <v>29964000</v>
      </c>
      <c r="G10" s="408">
        <v>29114000</v>
      </c>
      <c r="H10" s="408">
        <v>9694000</v>
      </c>
      <c r="I10" s="409">
        <v>112580000</v>
      </c>
    </row>
    <row r="11" spans="1:9" x14ac:dyDescent="0.55000000000000004">
      <c r="B11" s="407" t="s">
        <v>498</v>
      </c>
      <c r="C11" s="408">
        <v>2150000</v>
      </c>
      <c r="D11" s="408">
        <v>5450000</v>
      </c>
      <c r="E11" s="408">
        <v>19600000</v>
      </c>
      <c r="F11" s="408">
        <v>37900000</v>
      </c>
      <c r="G11" s="408">
        <v>30850000</v>
      </c>
      <c r="H11" s="408">
        <v>11470000</v>
      </c>
      <c r="I11" s="409">
        <v>107420000</v>
      </c>
    </row>
    <row r="12" spans="1:9" x14ac:dyDescent="0.55000000000000004">
      <c r="B12" s="404" t="s">
        <v>499</v>
      </c>
      <c r="C12" s="410">
        <v>4650000</v>
      </c>
      <c r="D12" s="410">
        <v>17744000</v>
      </c>
      <c r="E12" s="410">
        <v>48614000</v>
      </c>
      <c r="F12" s="410">
        <v>67864000</v>
      </c>
      <c r="G12" s="410">
        <v>59964000</v>
      </c>
      <c r="H12" s="410">
        <v>21164000</v>
      </c>
      <c r="I12" s="409">
        <v>220000000</v>
      </c>
    </row>
    <row r="13" spans="1:9" x14ac:dyDescent="0.55000000000000004">
      <c r="B13" s="404" t="s">
        <v>500</v>
      </c>
      <c r="C13" s="405"/>
      <c r="D13" s="405"/>
      <c r="E13" s="405"/>
      <c r="F13" s="405"/>
      <c r="G13" s="405"/>
      <c r="H13" s="405"/>
      <c r="I13" s="406"/>
    </row>
    <row r="14" spans="1:9" x14ac:dyDescent="0.55000000000000004">
      <c r="B14" s="407" t="s">
        <v>501</v>
      </c>
      <c r="C14" s="408">
        <v>1888000</v>
      </c>
      <c r="D14" s="408">
        <v>1672000</v>
      </c>
      <c r="E14" s="408">
        <v>432000</v>
      </c>
      <c r="F14" s="408">
        <v>1289000</v>
      </c>
      <c r="G14" s="408">
        <v>2322000</v>
      </c>
      <c r="H14" s="408">
        <v>2897000</v>
      </c>
      <c r="I14" s="409">
        <v>10500000</v>
      </c>
    </row>
    <row r="15" spans="1:9" x14ac:dyDescent="0.55000000000000004">
      <c r="B15" s="487" t="s">
        <v>502</v>
      </c>
      <c r="C15" s="488">
        <v>0</v>
      </c>
      <c r="D15" s="489">
        <v>3136000</v>
      </c>
      <c r="E15" s="489">
        <v>7578000</v>
      </c>
      <c r="F15" s="489">
        <v>6625000</v>
      </c>
      <c r="G15" s="489">
        <v>9570000</v>
      </c>
      <c r="H15" s="489">
        <v>6091000</v>
      </c>
      <c r="I15" s="490">
        <v>33000000</v>
      </c>
    </row>
    <row r="16" spans="1:9" x14ac:dyDescent="0.55000000000000004">
      <c r="A16" s="164">
        <v>1</v>
      </c>
      <c r="B16" s="491" t="s">
        <v>503</v>
      </c>
      <c r="C16" s="486">
        <f>C15/C$28*C22</f>
        <v>0</v>
      </c>
      <c r="D16" s="486">
        <f t="shared" ref="D16:I16" si="0">D15/D$28*D22</f>
        <v>73837.33428878538</v>
      </c>
      <c r="E16" s="486">
        <f t="shared" si="0"/>
        <v>110475.09957566448</v>
      </c>
      <c r="F16" s="486">
        <f t="shared" si="0"/>
        <v>132920.19933984856</v>
      </c>
      <c r="G16" s="486">
        <f t="shared" si="0"/>
        <v>235352.73905107926</v>
      </c>
      <c r="H16" s="486">
        <f t="shared" si="0"/>
        <v>181572.64762771645</v>
      </c>
      <c r="I16" s="492">
        <f t="shared" si="0"/>
        <v>733333.33333333337</v>
      </c>
    </row>
    <row r="17" spans="1:9" x14ac:dyDescent="0.55000000000000004">
      <c r="A17" s="164">
        <v>1</v>
      </c>
      <c r="B17" s="491" t="s">
        <v>504</v>
      </c>
      <c r="C17" s="486">
        <f>C16/C$28*C27</f>
        <v>0</v>
      </c>
      <c r="D17" s="486">
        <f t="shared" ref="D17:I17" si="1">D16/D$28*D27</f>
        <v>14953.033378388665</v>
      </c>
      <c r="E17" s="486">
        <f t="shared" si="1"/>
        <v>11479.482465734642</v>
      </c>
      <c r="F17" s="486">
        <f t="shared" si="1"/>
        <v>9841.480036553412</v>
      </c>
      <c r="G17" s="486">
        <f t="shared" si="1"/>
        <v>16149.859335575897</v>
      </c>
      <c r="H17" s="486">
        <f t="shared" si="1"/>
        <v>22601.032711880966</v>
      </c>
      <c r="I17" s="492">
        <f t="shared" si="1"/>
        <v>80666.666666666672</v>
      </c>
    </row>
    <row r="18" spans="1:9" x14ac:dyDescent="0.55000000000000004">
      <c r="B18" s="483" t="s">
        <v>505</v>
      </c>
      <c r="C18" s="484">
        <v>7866000</v>
      </c>
      <c r="D18" s="484">
        <v>7689000</v>
      </c>
      <c r="E18" s="484">
        <v>11099000</v>
      </c>
      <c r="F18" s="484">
        <v>22201000</v>
      </c>
      <c r="G18" s="484">
        <v>33967000</v>
      </c>
      <c r="H18" s="484">
        <v>44178000</v>
      </c>
      <c r="I18" s="485">
        <v>127000000</v>
      </c>
    </row>
    <row r="19" spans="1:9" x14ac:dyDescent="0.55000000000000004">
      <c r="B19" s="404" t="s">
        <v>499</v>
      </c>
      <c r="C19" s="410">
        <v>9754000</v>
      </c>
      <c r="D19" s="410">
        <v>12497000</v>
      </c>
      <c r="E19" s="410">
        <v>19109000</v>
      </c>
      <c r="F19" s="410">
        <v>30115000</v>
      </c>
      <c r="G19" s="410">
        <v>45859000</v>
      </c>
      <c r="H19" s="410">
        <v>53166000</v>
      </c>
      <c r="I19" s="409">
        <v>170500000</v>
      </c>
    </row>
    <row r="20" spans="1:9" x14ac:dyDescent="0.55000000000000004">
      <c r="B20" s="404" t="s">
        <v>506</v>
      </c>
      <c r="C20" s="405"/>
      <c r="D20" s="405"/>
      <c r="E20" s="405"/>
      <c r="F20" s="405"/>
      <c r="G20" s="405"/>
      <c r="H20" s="405"/>
      <c r="I20" s="406"/>
    </row>
    <row r="21" spans="1:9" x14ac:dyDescent="0.55000000000000004">
      <c r="B21" s="407" t="s">
        <v>507</v>
      </c>
      <c r="C21" s="408">
        <v>300000</v>
      </c>
      <c r="D21" s="408">
        <v>920000</v>
      </c>
      <c r="E21" s="408">
        <v>1120000</v>
      </c>
      <c r="F21" s="408">
        <v>2170000</v>
      </c>
      <c r="G21" s="408">
        <v>2870000</v>
      </c>
      <c r="H21" s="408">
        <v>2620000</v>
      </c>
      <c r="I21" s="411">
        <v>10000000</v>
      </c>
    </row>
    <row r="22" spans="1:9" x14ac:dyDescent="0.55000000000000004">
      <c r="B22" s="404" t="s">
        <v>499</v>
      </c>
      <c r="C22" s="410">
        <v>300000</v>
      </c>
      <c r="D22" s="410">
        <v>920000</v>
      </c>
      <c r="E22" s="410">
        <v>1120000</v>
      </c>
      <c r="F22" s="410">
        <v>2170000</v>
      </c>
      <c r="G22" s="410">
        <v>2870000</v>
      </c>
      <c r="H22" s="410">
        <v>2620000</v>
      </c>
      <c r="I22" s="409">
        <v>10000000</v>
      </c>
    </row>
    <row r="23" spans="1:9" ht="28.2" x14ac:dyDescent="0.55000000000000004">
      <c r="B23" s="404" t="s">
        <v>508</v>
      </c>
      <c r="C23" s="405"/>
      <c r="D23" s="405"/>
      <c r="E23" s="405"/>
      <c r="F23" s="405"/>
      <c r="G23" s="405"/>
      <c r="H23" s="405"/>
      <c r="I23" s="406"/>
    </row>
    <row r="24" spans="1:9" ht="27.6" x14ac:dyDescent="0.55000000000000004">
      <c r="B24" s="407" t="s">
        <v>509</v>
      </c>
      <c r="C24" s="408">
        <v>3973000</v>
      </c>
      <c r="D24" s="408">
        <v>5813000</v>
      </c>
      <c r="E24" s="408">
        <v>5813000</v>
      </c>
      <c r="F24" s="408">
        <v>5813000</v>
      </c>
      <c r="G24" s="408">
        <v>5813000</v>
      </c>
      <c r="H24" s="408">
        <v>7720000</v>
      </c>
      <c r="I24" s="409">
        <v>34945000</v>
      </c>
    </row>
    <row r="25" spans="1:9" x14ac:dyDescent="0.55000000000000004">
      <c r="B25" s="407" t="s">
        <v>510</v>
      </c>
      <c r="C25" s="408">
        <v>2600000</v>
      </c>
      <c r="D25" s="408">
        <v>2000000</v>
      </c>
      <c r="E25" s="408">
        <v>2070000</v>
      </c>
      <c r="F25" s="408">
        <v>2070000</v>
      </c>
      <c r="G25" s="408">
        <v>2070000</v>
      </c>
      <c r="H25" s="408">
        <v>3070000</v>
      </c>
      <c r="I25" s="409">
        <v>13880000</v>
      </c>
    </row>
    <row r="26" spans="1:9" x14ac:dyDescent="0.55000000000000004">
      <c r="B26" s="407" t="s">
        <v>511</v>
      </c>
      <c r="C26" s="408">
        <v>75000</v>
      </c>
      <c r="D26" s="408">
        <v>100000</v>
      </c>
      <c r="E26" s="408">
        <v>100000</v>
      </c>
      <c r="F26" s="408">
        <v>125000</v>
      </c>
      <c r="G26" s="408">
        <v>125000</v>
      </c>
      <c r="H26" s="408">
        <v>150000</v>
      </c>
      <c r="I26" s="411">
        <v>675000</v>
      </c>
    </row>
    <row r="27" spans="1:9" x14ac:dyDescent="0.55000000000000004">
      <c r="B27" s="404" t="s">
        <v>499</v>
      </c>
      <c r="C27" s="410">
        <v>6648000</v>
      </c>
      <c r="D27" s="410">
        <v>7913000</v>
      </c>
      <c r="E27" s="410">
        <v>7983000</v>
      </c>
      <c r="F27" s="410">
        <v>8008000</v>
      </c>
      <c r="G27" s="410">
        <v>8008000</v>
      </c>
      <c r="H27" s="410">
        <v>10940000</v>
      </c>
      <c r="I27" s="409">
        <v>49500000</v>
      </c>
    </row>
    <row r="28" spans="1:9" x14ac:dyDescent="0.55000000000000004">
      <c r="B28" s="404" t="s">
        <v>512</v>
      </c>
      <c r="C28" s="410">
        <v>21352000</v>
      </c>
      <c r="D28" s="410">
        <v>39074000</v>
      </c>
      <c r="E28" s="410">
        <v>76826000</v>
      </c>
      <c r="F28" s="410">
        <v>108157000</v>
      </c>
      <c r="G28" s="410">
        <v>116701000</v>
      </c>
      <c r="H28" s="410">
        <v>87890000</v>
      </c>
      <c r="I28" s="409">
        <v>450000000</v>
      </c>
    </row>
    <row r="29" spans="1:9" ht="14.7" thickBot="1" x14ac:dyDescent="0.6">
      <c r="B29" s="412" t="s">
        <v>513</v>
      </c>
      <c r="C29" s="413"/>
      <c r="D29" s="413"/>
      <c r="E29" s="413"/>
      <c r="F29" s="413"/>
      <c r="G29" s="413"/>
      <c r="H29" s="413"/>
      <c r="I29" s="414">
        <v>67500000</v>
      </c>
    </row>
    <row r="31" spans="1:9" ht="14.7" thickBot="1" x14ac:dyDescent="0.6">
      <c r="A31" s="120" t="s">
        <v>35</v>
      </c>
      <c r="B31" s="128"/>
      <c r="C31" s="128"/>
      <c r="D31" s="128"/>
      <c r="E31" s="128"/>
      <c r="F31" s="128"/>
      <c r="G31" s="128"/>
      <c r="H31" s="128"/>
      <c r="I31" s="128"/>
    </row>
    <row r="32" spans="1:9" x14ac:dyDescent="0.55000000000000004">
      <c r="A32" s="119">
        <v>1</v>
      </c>
      <c r="B32" s="774" t="s">
        <v>514</v>
      </c>
      <c r="C32" s="774"/>
      <c r="D32" s="774"/>
      <c r="E32" s="774"/>
      <c r="F32" s="774"/>
      <c r="G32" s="774"/>
      <c r="H32" s="774"/>
      <c r="I32" s="774"/>
    </row>
  </sheetData>
  <mergeCells count="1">
    <mergeCell ref="B32:I32"/>
  </mergeCells>
  <pageMargins left="0.7" right="0.7" top="0.75" bottom="0.75" header="0.3" footer="0.3"/>
  <headerFooter>
    <oddHeader>&amp;C&amp;"Calibri"&amp;12&amp;K008000 UNCLASSIFIED&amp;1#_x000D_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414B2-96EB-4D30-AF4B-532FD360231F}">
  <sheetPr>
    <tabColor rgb="FF325697"/>
    <pageSetUpPr autoPageBreaks="0"/>
  </sheetPr>
  <dimension ref="A1:I98"/>
  <sheetViews>
    <sheetView showGridLines="0" topLeftCell="A13" zoomScale="91" zoomScaleNormal="91" workbookViewId="0">
      <selection activeCell="B28" sqref="B28"/>
    </sheetView>
  </sheetViews>
  <sheetFormatPr defaultColWidth="9.41796875" defaultRowHeight="12.3" x14ac:dyDescent="0.4"/>
  <cols>
    <col min="1" max="1" width="8.83984375" style="296" customWidth="1"/>
    <col min="2" max="2" width="36.578125" style="296" customWidth="1"/>
    <col min="3" max="4" width="46.41796875" style="296" customWidth="1"/>
    <col min="5" max="5" width="54.41796875" style="296" customWidth="1"/>
    <col min="6" max="6" width="25.41796875" style="296" customWidth="1"/>
    <col min="7" max="16384" width="9.41796875" style="296"/>
  </cols>
  <sheetData>
    <row r="1" spans="1:7" x14ac:dyDescent="0.4">
      <c r="A1" s="10"/>
      <c r="B1" s="10"/>
      <c r="C1" s="10"/>
      <c r="D1" s="10"/>
      <c r="E1" s="11"/>
      <c r="F1" s="12"/>
      <c r="G1" s="10"/>
    </row>
    <row r="2" spans="1:7" ht="12.75" customHeight="1" x14ac:dyDescent="0.4">
      <c r="A2" s="10"/>
      <c r="B2" s="10"/>
      <c r="C2" s="10"/>
      <c r="D2" s="469"/>
      <c r="E2" s="469"/>
      <c r="F2" s="469"/>
      <c r="G2" s="10"/>
    </row>
    <row r="3" spans="1:7" ht="12.75" customHeight="1" x14ac:dyDescent="0.4">
      <c r="A3" s="10"/>
      <c r="B3" s="469"/>
      <c r="C3" s="469"/>
      <c r="D3" s="469"/>
      <c r="E3" s="469"/>
      <c r="F3" s="469"/>
      <c r="G3" s="10"/>
    </row>
    <row r="4" spans="1:7" ht="12.75" customHeight="1" x14ac:dyDescent="0.4">
      <c r="A4" s="10"/>
      <c r="B4" s="469"/>
      <c r="C4" s="469"/>
      <c r="D4" s="469"/>
      <c r="E4" s="469"/>
      <c r="F4" s="469"/>
      <c r="G4" s="10"/>
    </row>
    <row r="5" spans="1:7" ht="20.25" customHeight="1" x14ac:dyDescent="0.4">
      <c r="A5" s="10"/>
      <c r="B5" s="469"/>
      <c r="C5" s="623" t="s">
        <v>0</v>
      </c>
      <c r="D5" s="623"/>
      <c r="E5" s="469"/>
      <c r="F5" s="469"/>
      <c r="G5" s="10"/>
    </row>
    <row r="6" spans="1:7" ht="12.75" customHeight="1" x14ac:dyDescent="0.4">
      <c r="A6" s="10"/>
      <c r="B6" s="469"/>
      <c r="C6" s="469"/>
      <c r="D6" s="10"/>
      <c r="E6" s="469"/>
      <c r="F6" s="469"/>
      <c r="G6" s="10"/>
    </row>
    <row r="7" spans="1:7" ht="25.5" customHeight="1" x14ac:dyDescent="0.4">
      <c r="A7" s="10"/>
      <c r="B7" s="469"/>
      <c r="C7" s="624" t="s">
        <v>1</v>
      </c>
      <c r="D7" s="624"/>
      <c r="E7" s="469"/>
      <c r="F7" s="469"/>
      <c r="G7" s="10"/>
    </row>
    <row r="8" spans="1:7" ht="20.100000000000001" x14ac:dyDescent="0.4">
      <c r="A8" s="13" t="s">
        <v>35</v>
      </c>
      <c r="B8" s="10"/>
      <c r="C8" s="10"/>
      <c r="D8" s="10"/>
      <c r="E8" s="469"/>
      <c r="F8" s="10"/>
      <c r="G8" s="10"/>
    </row>
    <row r="9" spans="1:7" s="298" customFormat="1" ht="18" customHeight="1" x14ac:dyDescent="0.4">
      <c r="A9" s="14"/>
      <c r="B9" s="439" t="s">
        <v>36</v>
      </c>
      <c r="C9" s="439" t="s">
        <v>37</v>
      </c>
      <c r="D9" s="439" t="s">
        <v>2</v>
      </c>
      <c r="E9" s="469"/>
      <c r="F9" s="297"/>
      <c r="G9" s="1"/>
    </row>
    <row r="10" spans="1:7" s="298" customFormat="1" ht="18" customHeight="1" x14ac:dyDescent="0.4">
      <c r="A10" s="15"/>
      <c r="B10" s="440" t="s">
        <v>38</v>
      </c>
      <c r="C10" s="441">
        <v>42198</v>
      </c>
      <c r="D10" s="442">
        <v>44713</v>
      </c>
      <c r="E10" s="435"/>
      <c r="F10" s="551"/>
      <c r="G10" s="15"/>
    </row>
    <row r="11" spans="1:7" s="298" customFormat="1" ht="35.25" customHeight="1" x14ac:dyDescent="0.4">
      <c r="A11" s="15"/>
      <c r="B11" s="440" t="s">
        <v>39</v>
      </c>
      <c r="C11" s="441" t="s">
        <v>40</v>
      </c>
      <c r="D11" s="442">
        <v>45627</v>
      </c>
      <c r="E11" s="469"/>
      <c r="F11" s="551"/>
      <c r="G11" s="15"/>
    </row>
    <row r="12" spans="1:7" s="298" customFormat="1" ht="18" customHeight="1" x14ac:dyDescent="0.4">
      <c r="A12" s="438">
        <v>1</v>
      </c>
      <c r="B12" s="440" t="s">
        <v>41</v>
      </c>
      <c r="C12" s="436">
        <v>33000000</v>
      </c>
      <c r="D12" s="552">
        <v>33000000</v>
      </c>
      <c r="E12" s="469"/>
      <c r="F12" s="553"/>
      <c r="G12" s="15"/>
    </row>
    <row r="13" spans="1:7" ht="142" customHeight="1" x14ac:dyDescent="0.4">
      <c r="A13" s="10"/>
      <c r="B13" s="554" t="s">
        <v>4</v>
      </c>
      <c r="C13" s="443" t="s">
        <v>42</v>
      </c>
      <c r="D13" s="555" t="s">
        <v>43</v>
      </c>
      <c r="E13" s="469"/>
      <c r="F13" s="556"/>
      <c r="G13" s="10"/>
    </row>
    <row r="14" spans="1:7" ht="42.6" customHeight="1" x14ac:dyDescent="0.4">
      <c r="A14" s="10"/>
      <c r="B14" s="440" t="s">
        <v>44</v>
      </c>
      <c r="C14" s="444" t="s">
        <v>45</v>
      </c>
      <c r="D14" s="468" t="s">
        <v>45</v>
      </c>
      <c r="E14" s="469"/>
      <c r="F14" s="556"/>
      <c r="G14" s="10"/>
    </row>
    <row r="15" spans="1:7" ht="38.25" customHeight="1" x14ac:dyDescent="0.4">
      <c r="A15" s="10"/>
      <c r="B15" s="440" t="s">
        <v>46</v>
      </c>
      <c r="C15" s="444" t="s">
        <v>47</v>
      </c>
      <c r="D15" s="468" t="s">
        <v>47</v>
      </c>
      <c r="E15" s="469"/>
      <c r="F15" s="557"/>
      <c r="G15" s="10"/>
    </row>
    <row r="16" spans="1:7" ht="18" customHeight="1" x14ac:dyDescent="0.45">
      <c r="A16" s="437">
        <v>2</v>
      </c>
      <c r="B16" s="440" t="s">
        <v>48</v>
      </c>
      <c r="C16" s="443" t="s">
        <v>49</v>
      </c>
      <c r="D16" s="558" t="str">
        <f>_xlfn.CONCAT(ROUND('Sensitivity Analysis'!E26*100,2),"%,  ","20-year time horizon")</f>
        <v>17.8%,  20-year time horizon</v>
      </c>
      <c r="E16" s="482"/>
      <c r="F16" s="557"/>
      <c r="G16" s="10"/>
    </row>
    <row r="17" spans="1:9" ht="18" customHeight="1" x14ac:dyDescent="0.4">
      <c r="A17" s="10"/>
      <c r="B17" s="440" t="s">
        <v>50</v>
      </c>
      <c r="C17" s="444" t="s">
        <v>40</v>
      </c>
      <c r="D17" s="559">
        <f>'Cost-Benefit Summary'!G18</f>
        <v>0.98299999999999998</v>
      </c>
      <c r="E17" s="469"/>
      <c r="F17" s="557"/>
      <c r="G17" s="10"/>
      <c r="H17" s="10"/>
      <c r="I17" s="10"/>
    </row>
    <row r="18" spans="1:9" ht="18" customHeight="1" x14ac:dyDescent="0.45">
      <c r="A18" s="437">
        <v>4</v>
      </c>
      <c r="B18" s="440" t="s">
        <v>51</v>
      </c>
      <c r="C18" s="444" t="s">
        <v>40</v>
      </c>
      <c r="D18" s="560">
        <f>'Cost-Benefit Summary'!E19</f>
        <v>67532613.189060584</v>
      </c>
      <c r="E18" s="469"/>
      <c r="F18" s="557"/>
      <c r="G18" s="10"/>
      <c r="H18" s="10"/>
      <c r="I18" s="10"/>
    </row>
    <row r="19" spans="1:9" ht="18" customHeight="1" x14ac:dyDescent="0.45">
      <c r="A19" s="437">
        <v>3</v>
      </c>
      <c r="B19" s="440" t="s">
        <v>52</v>
      </c>
      <c r="C19" s="481">
        <v>81500</v>
      </c>
      <c r="D19" s="561">
        <v>136400</v>
      </c>
      <c r="E19" s="469"/>
      <c r="F19" s="557"/>
      <c r="G19" s="10"/>
      <c r="H19" s="10"/>
      <c r="I19" s="10"/>
    </row>
    <row r="20" spans="1:9" ht="37" customHeight="1" x14ac:dyDescent="0.4">
      <c r="A20" s="10"/>
      <c r="B20" s="562" t="s">
        <v>53</v>
      </c>
      <c r="C20" s="445" t="s">
        <v>54</v>
      </c>
      <c r="D20" s="472" t="s">
        <v>54</v>
      </c>
      <c r="E20" s="469"/>
      <c r="F20" s="557"/>
      <c r="G20" s="10"/>
      <c r="H20" s="10"/>
      <c r="I20" s="10"/>
    </row>
    <row r="21" spans="1:9" ht="18" customHeight="1" x14ac:dyDescent="0.4">
      <c r="A21" s="10"/>
      <c r="B21" s="563"/>
      <c r="C21" s="563"/>
      <c r="D21" s="564"/>
      <c r="E21" s="469"/>
      <c r="F21" s="469"/>
      <c r="G21" s="469"/>
      <c r="H21" s="469"/>
      <c r="I21" s="469"/>
    </row>
    <row r="22" spans="1:9" ht="20.399999999999999" thickBot="1" x14ac:dyDescent="0.5">
      <c r="A22" s="120" t="s">
        <v>35</v>
      </c>
      <c r="B22" s="128"/>
      <c r="C22" s="128"/>
      <c r="D22" s="128"/>
      <c r="E22" s="469"/>
      <c r="F22" s="469"/>
      <c r="G22" s="469"/>
      <c r="H22" s="469"/>
      <c r="I22" s="469"/>
    </row>
    <row r="23" spans="1:9" ht="27.75" customHeight="1" x14ac:dyDescent="0.45">
      <c r="A23" s="471">
        <v>1</v>
      </c>
      <c r="B23" s="625" t="s">
        <v>55</v>
      </c>
      <c r="C23" s="625"/>
      <c r="D23" s="625"/>
      <c r="E23" s="469"/>
      <c r="F23" s="10"/>
      <c r="G23" s="10"/>
      <c r="H23" s="10"/>
      <c r="I23" s="10"/>
    </row>
    <row r="24" spans="1:9" ht="27.75" customHeight="1" x14ac:dyDescent="0.45">
      <c r="A24" s="495">
        <v>2</v>
      </c>
      <c r="B24" s="625" t="s">
        <v>56</v>
      </c>
      <c r="C24" s="625"/>
      <c r="D24" s="625"/>
      <c r="E24" s="470"/>
      <c r="F24" s="622"/>
      <c r="G24" s="622"/>
      <c r="H24" s="622"/>
      <c r="I24" s="470"/>
    </row>
    <row r="25" spans="1:9" ht="27.75" customHeight="1" x14ac:dyDescent="0.45">
      <c r="A25" s="437">
        <v>3</v>
      </c>
      <c r="B25" s="621" t="s">
        <v>57</v>
      </c>
      <c r="C25" s="621"/>
      <c r="D25" s="621"/>
      <c r="E25" s="469"/>
      <c r="F25" s="10"/>
      <c r="G25" s="10"/>
      <c r="H25" s="10"/>
      <c r="I25" s="10"/>
    </row>
    <row r="26" spans="1:9" ht="25.5" customHeight="1" x14ac:dyDescent="0.45">
      <c r="A26" s="437">
        <v>4</v>
      </c>
      <c r="B26" s="620" t="s">
        <v>58</v>
      </c>
      <c r="C26" s="620"/>
      <c r="D26" s="620"/>
      <c r="E26" s="10"/>
      <c r="F26" s="10"/>
      <c r="G26" s="10"/>
      <c r="H26" s="10"/>
      <c r="I26" s="10"/>
    </row>
    <row r="27" spans="1:9" x14ac:dyDescent="0.4">
      <c r="A27" s="10"/>
      <c r="B27" s="10"/>
      <c r="C27" s="10"/>
      <c r="D27" s="10"/>
      <c r="E27" s="10"/>
      <c r="F27" s="10"/>
      <c r="G27" s="10"/>
      <c r="H27" s="10"/>
      <c r="I27" s="10"/>
    </row>
    <row r="71" spans="2:4" s="299" customFormat="1" x14ac:dyDescent="0.4">
      <c r="B71" s="556"/>
      <c r="C71" s="556"/>
      <c r="D71" s="565"/>
    </row>
    <row r="72" spans="2:4" s="299" customFormat="1" x14ac:dyDescent="0.4">
      <c r="B72" s="566"/>
      <c r="C72" s="566"/>
      <c r="D72" s="566"/>
    </row>
    <row r="73" spans="2:4" s="299" customFormat="1" x14ac:dyDescent="0.4">
      <c r="B73" s="10"/>
      <c r="C73" s="10"/>
      <c r="D73" s="556"/>
    </row>
    <row r="74" spans="2:4" s="299" customFormat="1" x14ac:dyDescent="0.4">
      <c r="B74" s="556"/>
      <c r="C74" s="556"/>
      <c r="D74" s="556"/>
    </row>
    <row r="75" spans="2:4" s="299" customFormat="1" x14ac:dyDescent="0.4">
      <c r="B75" s="566"/>
      <c r="C75" s="566"/>
      <c r="D75" s="565"/>
    </row>
    <row r="76" spans="2:4" s="299" customFormat="1" x14ac:dyDescent="0.4">
      <c r="B76" s="565"/>
      <c r="C76" s="565"/>
      <c r="D76" s="565"/>
    </row>
    <row r="77" spans="2:4" s="299" customFormat="1" x14ac:dyDescent="0.4">
      <c r="B77" s="556"/>
      <c r="C77" s="556"/>
      <c r="D77" s="565"/>
    </row>
    <row r="78" spans="2:4" s="299" customFormat="1" x14ac:dyDescent="0.4">
      <c r="B78" s="566"/>
      <c r="C78" s="566"/>
      <c r="D78" s="565"/>
    </row>
    <row r="79" spans="2:4" s="299" customFormat="1" x14ac:dyDescent="0.4">
      <c r="B79" s="567"/>
      <c r="C79" s="567"/>
      <c r="D79" s="565"/>
    </row>
    <row r="80" spans="2:4" s="299" customFormat="1" x14ac:dyDescent="0.4">
      <c r="B80" s="556"/>
      <c r="C80" s="556"/>
      <c r="D80" s="565"/>
    </row>
    <row r="81" spans="2:6" s="299" customFormat="1" ht="12.6" thickBot="1" x14ac:dyDescent="0.45">
      <c r="B81" s="566"/>
      <c r="C81" s="566"/>
      <c r="D81" s="565"/>
      <c r="E81" s="565"/>
      <c r="F81" s="565"/>
    </row>
    <row r="82" spans="2:6" s="299" customFormat="1" ht="12.9" thickTop="1" thickBot="1" x14ac:dyDescent="0.45">
      <c r="B82" s="568"/>
      <c r="C82" s="569"/>
      <c r="D82" s="565"/>
      <c r="E82" s="565"/>
      <c r="F82" s="565"/>
    </row>
    <row r="83" spans="2:6" s="299" customFormat="1" ht="12.6" thickTop="1" x14ac:dyDescent="0.4">
      <c r="B83" s="569"/>
      <c r="C83" s="569"/>
      <c r="D83" s="565"/>
      <c r="E83" s="565"/>
      <c r="F83" s="565"/>
    </row>
    <row r="84" spans="2:6" ht="12.6" thickBot="1" x14ac:dyDescent="0.45">
      <c r="B84" s="570"/>
      <c r="C84" s="570"/>
      <c r="D84" s="10"/>
      <c r="E84" s="10"/>
      <c r="F84" s="10"/>
    </row>
    <row r="85" spans="2:6" ht="12.9" thickTop="1" thickBot="1" x14ac:dyDescent="0.45">
      <c r="B85" s="571"/>
      <c r="C85" s="572"/>
      <c r="D85" s="10"/>
      <c r="E85" s="10"/>
      <c r="F85" s="10"/>
    </row>
    <row r="87" spans="2:6" ht="12.6" thickBot="1" x14ac:dyDescent="0.45">
      <c r="B87" s="570"/>
      <c r="C87" s="570"/>
      <c r="D87" s="10"/>
      <c r="E87" s="10"/>
      <c r="F87" s="10"/>
    </row>
    <row r="88" spans="2:6" ht="12.9" thickTop="1" thickBot="1" x14ac:dyDescent="0.45">
      <c r="B88" s="568"/>
      <c r="C88" s="569"/>
      <c r="D88" s="10"/>
      <c r="E88" s="10"/>
      <c r="F88" s="10"/>
    </row>
    <row r="89" spans="2:6" s="299" customFormat="1" ht="12.6" thickTop="1" x14ac:dyDescent="0.4">
      <c r="B89" s="556"/>
      <c r="C89" s="556"/>
      <c r="D89" s="565"/>
      <c r="E89" s="565"/>
      <c r="F89" s="565"/>
    </row>
    <row r="90" spans="2:6" x14ac:dyDescent="0.4">
      <c r="B90" s="573"/>
      <c r="C90" s="573"/>
      <c r="D90" s="300"/>
      <c r="E90" s="574"/>
      <c r="F90" s="565"/>
    </row>
    <row r="91" spans="2:6" x14ac:dyDescent="0.4">
      <c r="B91" s="565"/>
      <c r="C91" s="565"/>
      <c r="D91" s="565"/>
      <c r="E91" s="565"/>
      <c r="F91" s="565"/>
    </row>
    <row r="95" spans="2:6" ht="12.6" x14ac:dyDescent="0.45">
      <c r="B95" s="437"/>
      <c r="C95" s="437"/>
      <c r="D95" s="10"/>
      <c r="E95" s="10"/>
      <c r="F95" s="10"/>
    </row>
    <row r="98" spans="2:3" ht="12.6" x14ac:dyDescent="0.45">
      <c r="B98" s="437"/>
      <c r="C98" s="437"/>
    </row>
  </sheetData>
  <mergeCells count="7">
    <mergeCell ref="B26:D26"/>
    <mergeCell ref="B25:D25"/>
    <mergeCell ref="F24:H24"/>
    <mergeCell ref="C5:D5"/>
    <mergeCell ref="C7:D7"/>
    <mergeCell ref="B23:D23"/>
    <mergeCell ref="B24:D24"/>
  </mergeCells>
  <pageMargins left="0.7" right="0.7" top="0.75" bottom="0.75" header="0.3" footer="0.3"/>
  <pageSetup orientation="portrait" horizontalDpi="300" verticalDpi="300" r:id="rId1"/>
  <headerFooter>
    <oddHeader>&amp;C&amp;"Calibri"&amp;12&amp;K008000 UNCLASSIFIED&amp;1#_x000D_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CAED-5191-41B5-B173-6B73D534ACD2}">
  <sheetPr>
    <tabColor rgb="FF325697"/>
    <pageSetUpPr autoPageBreaks="0"/>
  </sheetPr>
  <dimension ref="A1:I43"/>
  <sheetViews>
    <sheetView showGridLines="0" tabSelected="1" zoomScale="79" zoomScaleNormal="144" workbookViewId="0">
      <selection activeCell="D12" sqref="D12"/>
    </sheetView>
  </sheetViews>
  <sheetFormatPr defaultColWidth="9.41796875" defaultRowHeight="12.3" x14ac:dyDescent="0.4"/>
  <cols>
    <col min="1" max="1" width="8.83984375" style="10" customWidth="1"/>
    <col min="2" max="2" width="108.578125" style="10" customWidth="1"/>
    <col min="3" max="3" width="9.41796875" style="10"/>
    <col min="4" max="4" width="20.578125" style="10" customWidth="1"/>
    <col min="5" max="16384" width="9.41796875" style="10"/>
  </cols>
  <sheetData>
    <row r="1" spans="1:2" x14ac:dyDescent="0.4">
      <c r="B1" s="7"/>
    </row>
    <row r="2" spans="1:2" ht="20.100000000000001" x14ac:dyDescent="0.7">
      <c r="B2" s="16" t="s">
        <v>0</v>
      </c>
    </row>
    <row r="3" spans="1:2" ht="17.7" x14ac:dyDescent="0.6">
      <c r="B3" s="17" t="s">
        <v>1</v>
      </c>
    </row>
    <row r="4" spans="1:2" ht="17.399999999999999" x14ac:dyDescent="0.55000000000000004">
      <c r="B4" s="18"/>
    </row>
    <row r="5" spans="1:2" ht="17.7" x14ac:dyDescent="0.6">
      <c r="A5" s="2"/>
      <c r="B5" s="17" t="s">
        <v>4</v>
      </c>
    </row>
    <row r="6" spans="1:2" ht="45" x14ac:dyDescent="0.5">
      <c r="B6" s="19" t="s">
        <v>5</v>
      </c>
    </row>
    <row r="7" spans="1:2" ht="15" x14ac:dyDescent="0.5">
      <c r="B7" s="19"/>
    </row>
    <row r="8" spans="1:2" s="3" customFormat="1" ht="14.85" customHeight="1" x14ac:dyDescent="0.55000000000000004">
      <c r="B8" s="28" t="s">
        <v>59</v>
      </c>
    </row>
    <row r="9" spans="1:2" ht="74.849999999999994" customHeight="1" x14ac:dyDescent="0.4">
      <c r="A9" s="626"/>
      <c r="B9" s="27" t="s">
        <v>60</v>
      </c>
    </row>
    <row r="10" spans="1:2" x14ac:dyDescent="0.4">
      <c r="A10" s="626"/>
      <c r="B10" s="20"/>
    </row>
    <row r="11" spans="1:2" x14ac:dyDescent="0.4">
      <c r="A11" s="626"/>
      <c r="B11" s="28" t="s">
        <v>4</v>
      </c>
    </row>
    <row r="12" spans="1:2" ht="137.5" customHeight="1" x14ac:dyDescent="0.4">
      <c r="A12" s="626"/>
      <c r="B12" s="473" t="s">
        <v>61</v>
      </c>
    </row>
    <row r="13" spans="1:2" ht="13.8" x14ac:dyDescent="0.4">
      <c r="A13" s="626"/>
      <c r="B13" s="21"/>
    </row>
    <row r="14" spans="1:2" ht="14.85" customHeight="1" x14ac:dyDescent="0.4">
      <c r="A14" s="589"/>
      <c r="B14" s="28" t="s">
        <v>62</v>
      </c>
    </row>
    <row r="15" spans="1:2" ht="174.6" customHeight="1" x14ac:dyDescent="0.4">
      <c r="A15" s="589"/>
      <c r="B15" s="27" t="s">
        <v>63</v>
      </c>
    </row>
    <row r="16" spans="1:2" ht="13.35" customHeight="1" x14ac:dyDescent="0.4">
      <c r="A16" s="589"/>
      <c r="B16" s="26"/>
    </row>
    <row r="17" spans="1:9" s="22" customFormat="1" ht="13.35" customHeight="1" x14ac:dyDescent="0.55000000000000004">
      <c r="A17" s="589"/>
      <c r="B17" s="28" t="s">
        <v>64</v>
      </c>
    </row>
    <row r="18" spans="1:9" s="22" customFormat="1" ht="41.5" customHeight="1" x14ac:dyDescent="0.55000000000000004">
      <c r="A18" s="496">
        <v>1</v>
      </c>
      <c r="B18" s="473" t="s">
        <v>65</v>
      </c>
    </row>
    <row r="19" spans="1:9" ht="13.35" customHeight="1" x14ac:dyDescent="0.4">
      <c r="A19" s="589"/>
      <c r="C19" s="22"/>
      <c r="D19" s="22"/>
      <c r="E19" s="22"/>
      <c r="F19" s="22"/>
      <c r="G19" s="22"/>
      <c r="H19" s="22"/>
      <c r="I19" s="22"/>
    </row>
    <row r="20" spans="1:9" ht="13.35" customHeight="1" x14ac:dyDescent="0.55000000000000004">
      <c r="A20" s="542"/>
      <c r="B20"/>
      <c r="C20" s="22"/>
      <c r="D20" s="22"/>
      <c r="E20" s="22"/>
      <c r="F20" s="22"/>
      <c r="G20" s="22"/>
      <c r="H20" s="22"/>
      <c r="I20" s="22"/>
    </row>
    <row r="21" spans="1:9" ht="13.35" customHeight="1" x14ac:dyDescent="0.4">
      <c r="A21" s="592"/>
      <c r="B21" s="543"/>
      <c r="C21" s="22"/>
      <c r="D21" s="22"/>
      <c r="E21" s="22"/>
      <c r="F21" s="22"/>
      <c r="G21" s="22"/>
      <c r="H21" s="22"/>
      <c r="I21" s="22"/>
    </row>
    <row r="22" spans="1:9" ht="13.35" customHeight="1" x14ac:dyDescent="0.4">
      <c r="A22" s="589"/>
      <c r="B22" s="23"/>
      <c r="C22" s="22"/>
      <c r="D22" s="22"/>
      <c r="E22" s="22"/>
      <c r="F22" s="22"/>
      <c r="G22" s="22"/>
      <c r="H22" s="22"/>
      <c r="I22" s="22"/>
    </row>
    <row r="23" spans="1:9" s="15" customFormat="1" ht="13.35" customHeight="1" x14ac:dyDescent="0.55000000000000004">
      <c r="A23" s="24"/>
      <c r="B23" s="4"/>
      <c r="C23" s="22"/>
      <c r="D23" s="22"/>
      <c r="E23" s="22"/>
      <c r="F23" s="22"/>
      <c r="G23" s="22"/>
      <c r="H23" s="22"/>
      <c r="I23" s="22"/>
    </row>
    <row r="24" spans="1:9" s="15" customFormat="1" ht="13.35" customHeight="1" x14ac:dyDescent="0.55000000000000004">
      <c r="A24" s="24"/>
      <c r="B24" s="4"/>
    </row>
    <row r="25" spans="1:9" ht="13.35" customHeight="1" x14ac:dyDescent="0.4">
      <c r="A25" s="589"/>
      <c r="B25" s="23"/>
    </row>
    <row r="26" spans="1:9" ht="13.35" customHeight="1" x14ac:dyDescent="0.4">
      <c r="A26" s="589"/>
      <c r="B26" s="23"/>
    </row>
    <row r="27" spans="1:9" ht="13.35" customHeight="1" x14ac:dyDescent="0.4">
      <c r="A27" s="589"/>
      <c r="B27" s="5"/>
    </row>
    <row r="28" spans="1:9" ht="13.35" customHeight="1" x14ac:dyDescent="0.4">
      <c r="A28" s="589"/>
      <c r="B28" s="5"/>
    </row>
    <row r="29" spans="1:9" s="3" customFormat="1" ht="13.35" customHeight="1" x14ac:dyDescent="0.55000000000000004">
      <c r="B29" s="1"/>
    </row>
    <row r="30" spans="1:9" ht="13.35" customHeight="1" x14ac:dyDescent="0.4">
      <c r="A30" s="589"/>
      <c r="B30" s="23"/>
    </row>
    <row r="31" spans="1:9" ht="13.35" customHeight="1" x14ac:dyDescent="0.4">
      <c r="A31" s="589"/>
      <c r="B31" s="6"/>
    </row>
    <row r="32" spans="1:9" ht="13.35" customHeight="1" x14ac:dyDescent="0.4">
      <c r="A32" s="589"/>
      <c r="B32" s="25"/>
    </row>
    <row r="33" spans="1:2" s="15" customFormat="1" ht="13.35" customHeight="1" x14ac:dyDescent="0.55000000000000004">
      <c r="A33" s="24"/>
      <c r="B33" s="4"/>
    </row>
    <row r="34" spans="1:2" s="15" customFormat="1" ht="13.35" customHeight="1" x14ac:dyDescent="0.55000000000000004">
      <c r="A34" s="24"/>
      <c r="B34" s="4"/>
    </row>
    <row r="35" spans="1:2" ht="13.35" customHeight="1" x14ac:dyDescent="0.4">
      <c r="A35" s="589"/>
    </row>
    <row r="36" spans="1:2" ht="13.35" customHeight="1" x14ac:dyDescent="0.4">
      <c r="A36" s="589"/>
      <c r="B36" s="25"/>
    </row>
    <row r="37" spans="1:2" ht="13.35" customHeight="1" x14ac:dyDescent="0.4">
      <c r="B37" s="7"/>
    </row>
    <row r="38" spans="1:2" ht="13.35" customHeight="1" x14ac:dyDescent="0.4"/>
    <row r="39" spans="1:2" ht="13.35" customHeight="1" x14ac:dyDescent="0.4"/>
    <row r="40" spans="1:2" ht="13.35" customHeight="1" x14ac:dyDescent="0.4"/>
    <row r="41" spans="1:2" ht="13.35" customHeight="1" x14ac:dyDescent="0.4"/>
    <row r="42" spans="1:2" ht="13.35" customHeight="1" x14ac:dyDescent="0.4"/>
    <row r="43" spans="1:2" ht="13.35" customHeight="1" x14ac:dyDescent="0.4"/>
  </sheetData>
  <mergeCells count="1">
    <mergeCell ref="A9:A13"/>
  </mergeCells>
  <pageMargins left="0.7" right="0.7" top="0.75" bottom="0.75" header="0.3" footer="0.3"/>
  <pageSetup orientation="portrait" horizontalDpi="90" verticalDpi="90" r:id="rId1"/>
  <headerFooter>
    <oddHeader>&amp;C&amp;"Calibri"&amp;12&amp;K008000 UNCLASSIFIED&amp;1#_x000D_</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142B-903C-4DC0-9822-4E286CB260EC}">
  <sheetPr>
    <tabColor rgb="FF325697"/>
    <pageSetUpPr autoPageBreaks="0"/>
  </sheetPr>
  <dimension ref="A1:Y47"/>
  <sheetViews>
    <sheetView zoomScale="80" zoomScaleNormal="91" workbookViewId="0">
      <selection activeCell="E19" sqref="E19:F19"/>
    </sheetView>
  </sheetViews>
  <sheetFormatPr defaultColWidth="8.578125" defaultRowHeight="13.8" x14ac:dyDescent="0.45"/>
  <cols>
    <col min="1" max="1" width="8.83984375" style="29" customWidth="1"/>
    <col min="2" max="28" width="15.41796875" style="30" customWidth="1"/>
    <col min="29" max="16384" width="8.578125" style="30"/>
  </cols>
  <sheetData>
    <row r="1" spans="1:25" x14ac:dyDescent="0.45">
      <c r="J1" s="640"/>
      <c r="K1" s="640"/>
      <c r="L1" s="640"/>
      <c r="W1" s="590"/>
      <c r="X1" s="590"/>
      <c r="Y1" s="590"/>
    </row>
    <row r="2" spans="1:25" ht="20.100000000000001" x14ac:dyDescent="0.7">
      <c r="B2" s="31" t="s">
        <v>0</v>
      </c>
    </row>
    <row r="3" spans="1:25" ht="17.7" x14ac:dyDescent="0.6">
      <c r="B3" s="32" t="s">
        <v>1</v>
      </c>
    </row>
    <row r="4" spans="1:25" x14ac:dyDescent="0.45">
      <c r="B4" s="33"/>
    </row>
    <row r="5" spans="1:25" ht="17.7" x14ac:dyDescent="0.6">
      <c r="B5" s="34" t="s">
        <v>6</v>
      </c>
    </row>
    <row r="6" spans="1:25" ht="15" x14ac:dyDescent="0.5">
      <c r="B6" s="35" t="s">
        <v>66</v>
      </c>
    </row>
    <row r="7" spans="1:25" ht="17.7" x14ac:dyDescent="0.6">
      <c r="B7" s="32"/>
      <c r="C7" s="36"/>
      <c r="I7" s="37"/>
    </row>
    <row r="8" spans="1:25" ht="14.1" x14ac:dyDescent="0.5">
      <c r="A8" s="38" t="s">
        <v>35</v>
      </c>
      <c r="C8" s="641" t="s">
        <v>67</v>
      </c>
      <c r="D8" s="641"/>
      <c r="E8" s="641"/>
      <c r="F8" s="641"/>
      <c r="G8" s="641"/>
      <c r="H8" s="641"/>
      <c r="I8" s="39" t="s">
        <v>68</v>
      </c>
      <c r="J8" s="40"/>
      <c r="K8" s="40"/>
      <c r="L8" s="40"/>
      <c r="M8" s="40"/>
      <c r="N8" s="40"/>
      <c r="O8" s="40"/>
      <c r="P8" s="40"/>
      <c r="Q8" s="40"/>
      <c r="R8" s="40"/>
      <c r="S8" s="40"/>
      <c r="T8" s="40"/>
      <c r="U8" s="40"/>
      <c r="V8" s="40"/>
      <c r="W8" s="40"/>
    </row>
    <row r="9" spans="1:25" ht="14.1" x14ac:dyDescent="0.5">
      <c r="A9" s="41">
        <v>1</v>
      </c>
      <c r="B9" s="9" t="s">
        <v>69</v>
      </c>
      <c r="C9" s="36">
        <v>0</v>
      </c>
      <c r="D9" s="36">
        <f t="shared" ref="D9:W10" si="0">C9+1</f>
        <v>1</v>
      </c>
      <c r="E9" s="36">
        <f t="shared" si="0"/>
        <v>2</v>
      </c>
      <c r="F9" s="36">
        <f t="shared" si="0"/>
        <v>3</v>
      </c>
      <c r="G9" s="36">
        <f t="shared" si="0"/>
        <v>4</v>
      </c>
      <c r="H9" s="36">
        <f t="shared" si="0"/>
        <v>5</v>
      </c>
      <c r="I9" s="36">
        <f t="shared" si="0"/>
        <v>6</v>
      </c>
      <c r="J9" s="36">
        <f t="shared" si="0"/>
        <v>7</v>
      </c>
      <c r="K9" s="36">
        <f t="shared" si="0"/>
        <v>8</v>
      </c>
      <c r="L9" s="36">
        <f t="shared" si="0"/>
        <v>9</v>
      </c>
      <c r="M9" s="36">
        <f t="shared" si="0"/>
        <v>10</v>
      </c>
      <c r="N9" s="36">
        <f t="shared" si="0"/>
        <v>11</v>
      </c>
      <c r="O9" s="36">
        <f t="shared" si="0"/>
        <v>12</v>
      </c>
      <c r="P9" s="36">
        <f t="shared" si="0"/>
        <v>13</v>
      </c>
      <c r="Q9" s="36">
        <f t="shared" si="0"/>
        <v>14</v>
      </c>
      <c r="R9" s="36">
        <f t="shared" si="0"/>
        <v>15</v>
      </c>
      <c r="S9" s="36">
        <f t="shared" si="0"/>
        <v>16</v>
      </c>
      <c r="T9" s="36">
        <f t="shared" si="0"/>
        <v>17</v>
      </c>
      <c r="U9" s="36">
        <f t="shared" si="0"/>
        <v>18</v>
      </c>
      <c r="V9" s="36">
        <f t="shared" si="0"/>
        <v>19</v>
      </c>
      <c r="W9" s="36">
        <f t="shared" si="0"/>
        <v>20</v>
      </c>
    </row>
    <row r="10" spans="1:25" ht="14.1" thickBot="1" x14ac:dyDescent="0.5">
      <c r="B10" s="42" t="s">
        <v>70</v>
      </c>
      <c r="C10" s="42">
        <v>2016</v>
      </c>
      <c r="D10" s="42">
        <f>C10+1</f>
        <v>2017</v>
      </c>
      <c r="E10" s="42">
        <f t="shared" si="0"/>
        <v>2018</v>
      </c>
      <c r="F10" s="42">
        <f t="shared" si="0"/>
        <v>2019</v>
      </c>
      <c r="G10" s="42">
        <f t="shared" si="0"/>
        <v>2020</v>
      </c>
      <c r="H10" s="42">
        <f t="shared" si="0"/>
        <v>2021</v>
      </c>
      <c r="I10" s="42">
        <f t="shared" si="0"/>
        <v>2022</v>
      </c>
      <c r="J10" s="42">
        <f t="shared" si="0"/>
        <v>2023</v>
      </c>
      <c r="K10" s="42">
        <f t="shared" si="0"/>
        <v>2024</v>
      </c>
      <c r="L10" s="42">
        <f t="shared" si="0"/>
        <v>2025</v>
      </c>
      <c r="M10" s="42">
        <f t="shared" si="0"/>
        <v>2026</v>
      </c>
      <c r="N10" s="42">
        <f t="shared" si="0"/>
        <v>2027</v>
      </c>
      <c r="O10" s="42">
        <f t="shared" si="0"/>
        <v>2028</v>
      </c>
      <c r="P10" s="42">
        <f t="shared" si="0"/>
        <v>2029</v>
      </c>
      <c r="Q10" s="42">
        <f t="shared" si="0"/>
        <v>2030</v>
      </c>
      <c r="R10" s="42">
        <f t="shared" si="0"/>
        <v>2031</v>
      </c>
      <c r="S10" s="42">
        <f t="shared" si="0"/>
        <v>2032</v>
      </c>
      <c r="T10" s="42">
        <f t="shared" si="0"/>
        <v>2033</v>
      </c>
      <c r="U10" s="42">
        <f t="shared" si="0"/>
        <v>2034</v>
      </c>
      <c r="V10" s="42">
        <f t="shared" si="0"/>
        <v>2035</v>
      </c>
      <c r="W10" s="42">
        <f t="shared" si="0"/>
        <v>2036</v>
      </c>
    </row>
    <row r="11" spans="1:25" x14ac:dyDescent="0.45">
      <c r="B11" s="8" t="s">
        <v>71</v>
      </c>
      <c r="C11" s="43">
        <f>'CBA Model'!D63</f>
        <v>0</v>
      </c>
      <c r="D11" s="43">
        <f>'CBA Model'!E63</f>
        <v>0</v>
      </c>
      <c r="E11" s="43">
        <f>'CBA Model'!F63</f>
        <v>0</v>
      </c>
      <c r="F11" s="43">
        <f>'CBA Model'!G63</f>
        <v>0</v>
      </c>
      <c r="G11" s="43">
        <f>'CBA Model'!H63</f>
        <v>0</v>
      </c>
      <c r="H11" s="43">
        <f>'CBA Model'!I63</f>
        <v>0</v>
      </c>
      <c r="I11" s="43">
        <f>'CBA Model'!J63</f>
        <v>0</v>
      </c>
      <c r="J11" s="43">
        <f>'CBA Model'!K63</f>
        <v>0</v>
      </c>
      <c r="K11" s="43">
        <f>'CBA Model'!L63</f>
        <v>16388965.097160328</v>
      </c>
      <c r="L11" s="43">
        <f>'CBA Model'!M63</f>
        <v>35379402.890096493</v>
      </c>
      <c r="M11" s="43">
        <f>'CBA Model'!N63</f>
        <v>59963600.551756009</v>
      </c>
      <c r="N11" s="43">
        <f>'CBA Model'!O63</f>
        <v>61935605.094966605</v>
      </c>
      <c r="O11" s="43">
        <f>'CBA Model'!P63</f>
        <v>60773839.229521565</v>
      </c>
      <c r="P11" s="43">
        <f>'CBA Model'!Q63</f>
        <v>59633865.351480924</v>
      </c>
      <c r="Q11" s="43">
        <f>'CBA Model'!R63</f>
        <v>58515274.694561265</v>
      </c>
      <c r="R11" s="43">
        <f>'CBA Model'!S63</f>
        <v>57417666.159970455</v>
      </c>
      <c r="S11" s="43">
        <f>'CBA Model'!T63</f>
        <v>56340646.172583684</v>
      </c>
      <c r="T11" s="43">
        <f>'CBA Model'!U63</f>
        <v>55283828.539817162</v>
      </c>
      <c r="U11" s="43">
        <f>'CBA Model'!V63</f>
        <v>54246834.313149065</v>
      </c>
      <c r="V11" s="43">
        <f>'CBA Model'!W63</f>
        <v>53229291.652237989</v>
      </c>
      <c r="W11" s="43">
        <f>'CBA Model'!X63</f>
        <v>52230835.691590346</v>
      </c>
    </row>
    <row r="12" spans="1:25" x14ac:dyDescent="0.45">
      <c r="A12" s="44"/>
      <c r="B12" s="8" t="s">
        <v>72</v>
      </c>
      <c r="C12" s="45">
        <f>'CBA Model'!D56</f>
        <v>-3293481.9498859094</v>
      </c>
      <c r="D12" s="45">
        <f>'CBA Model'!E56</f>
        <v>-7699954.5820413996</v>
      </c>
      <c r="E12" s="45">
        <f>'CBA Model'!F56</f>
        <v>-19343382.202991545</v>
      </c>
      <c r="F12" s="45">
        <f>'CBA Model'!G56</f>
        <v>-24068452.327291951</v>
      </c>
      <c r="G12" s="45">
        <f>'CBA Model'!H56</f>
        <v>-25504104.663525239</v>
      </c>
      <c r="H12" s="45">
        <f>'CBA Model'!I56</f>
        <v>-3153401.4549286636</v>
      </c>
      <c r="I12" s="45">
        <f>'CBA Model'!J56</f>
        <v>0</v>
      </c>
      <c r="J12" s="45">
        <f>'CBA Model'!K56</f>
        <v>0</v>
      </c>
      <c r="K12" s="45">
        <f>'CBA Model'!L56</f>
        <v>-3780514.4693674184</v>
      </c>
      <c r="L12" s="45">
        <f>'CBA Model'!M56</f>
        <v>-8161122.0568627706</v>
      </c>
      <c r="M12" s="45">
        <f>'CBA Model'!N56</f>
        <v>-13832066.770375894</v>
      </c>
      <c r="N12" s="45">
        <f>'CBA Model'!O56</f>
        <v>-14286957.708581485</v>
      </c>
      <c r="O12" s="45">
        <f>'CBA Model'!P56</f>
        <v>-14018968.08029842</v>
      </c>
      <c r="P12" s="45">
        <f>'CBA Model'!Q56</f>
        <v>-13756005.305340758</v>
      </c>
      <c r="Q12" s="45">
        <f>'CBA Model'!R56</f>
        <v>-23604711.754860055</v>
      </c>
      <c r="R12" s="45">
        <f>'CBA Model'!S56</f>
        <v>-25145374.662608277</v>
      </c>
      <c r="S12" s="45">
        <f>'CBA Model'!T56</f>
        <v>-28566160.994500723</v>
      </c>
      <c r="T12" s="45">
        <f>'CBA Model'!U56</f>
        <v>-14662283.727515988</v>
      </c>
      <c r="U12" s="45">
        <f>'CBA Model'!V56</f>
        <v>-12513355.225448055</v>
      </c>
      <c r="V12" s="45">
        <f>'CBA Model'!W56</f>
        <v>-12278634.196391776</v>
      </c>
      <c r="W12" s="45">
        <f>'CBA Model'!X56</f>
        <v>-12048315.980209315</v>
      </c>
    </row>
    <row r="13" spans="1:25" x14ac:dyDescent="0.45">
      <c r="A13" s="44"/>
      <c r="B13" s="30" t="s">
        <v>73</v>
      </c>
      <c r="C13" s="46">
        <f>C11+C12</f>
        <v>-3293481.9498859094</v>
      </c>
      <c r="D13" s="46">
        <f t="shared" ref="D13:W13" si="1">D11+D12</f>
        <v>-7699954.5820413996</v>
      </c>
      <c r="E13" s="46">
        <f t="shared" si="1"/>
        <v>-19343382.202991545</v>
      </c>
      <c r="F13" s="46">
        <f t="shared" si="1"/>
        <v>-24068452.327291951</v>
      </c>
      <c r="G13" s="46">
        <f t="shared" si="1"/>
        <v>-25504104.663525239</v>
      </c>
      <c r="H13" s="46">
        <f t="shared" si="1"/>
        <v>-3153401.4549286636</v>
      </c>
      <c r="I13" s="46">
        <f t="shared" si="1"/>
        <v>0</v>
      </c>
      <c r="J13" s="46">
        <f t="shared" si="1"/>
        <v>0</v>
      </c>
      <c r="K13" s="46">
        <f t="shared" si="1"/>
        <v>12608450.62779291</v>
      </c>
      <c r="L13" s="46">
        <f t="shared" si="1"/>
        <v>27218280.833233722</v>
      </c>
      <c r="M13" s="46">
        <f t="shared" si="1"/>
        <v>46131533.781380117</v>
      </c>
      <c r="N13" s="46">
        <f t="shared" si="1"/>
        <v>47648647.38638512</v>
      </c>
      <c r="O13" s="46">
        <f t="shared" si="1"/>
        <v>46754871.149223149</v>
      </c>
      <c r="P13" s="46">
        <f t="shared" si="1"/>
        <v>45877860.046140164</v>
      </c>
      <c r="Q13" s="46">
        <f t="shared" si="1"/>
        <v>34910562.939701214</v>
      </c>
      <c r="R13" s="46">
        <f t="shared" si="1"/>
        <v>32272291.497362178</v>
      </c>
      <c r="S13" s="46">
        <f t="shared" si="1"/>
        <v>27774485.178082962</v>
      </c>
      <c r="T13" s="46">
        <f t="shared" si="1"/>
        <v>40621544.812301174</v>
      </c>
      <c r="U13" s="46">
        <f t="shared" si="1"/>
        <v>41733479.087701008</v>
      </c>
      <c r="V13" s="46">
        <f t="shared" si="1"/>
        <v>40950657.455846213</v>
      </c>
      <c r="W13" s="46">
        <f t="shared" si="1"/>
        <v>40182519.711381033</v>
      </c>
    </row>
    <row r="14" spans="1:25" ht="14.1" thickBot="1" x14ac:dyDescent="0.5">
      <c r="A14" s="294"/>
    </row>
    <row r="15" spans="1:25" ht="14.1" x14ac:dyDescent="0.5">
      <c r="A15" s="294"/>
      <c r="B15" s="648"/>
      <c r="C15" s="649"/>
      <c r="D15" s="591"/>
      <c r="E15" s="642" t="s">
        <v>74</v>
      </c>
      <c r="F15" s="642"/>
      <c r="G15" s="642" t="s">
        <v>10</v>
      </c>
      <c r="H15" s="644"/>
    </row>
    <row r="16" spans="1:25" ht="14.1" x14ac:dyDescent="0.5">
      <c r="A16" s="294"/>
      <c r="B16" s="650" t="s">
        <v>75</v>
      </c>
      <c r="C16" s="651"/>
      <c r="D16" s="651"/>
      <c r="E16" s="643">
        <v>0.1</v>
      </c>
      <c r="F16" s="643"/>
      <c r="G16" s="643">
        <f>E16</f>
        <v>0.1</v>
      </c>
      <c r="H16" s="645"/>
    </row>
    <row r="17" spans="1:10" ht="14.1" x14ac:dyDescent="0.5">
      <c r="A17" s="295">
        <v>1</v>
      </c>
      <c r="B17" s="650" t="s">
        <v>76</v>
      </c>
      <c r="C17" s="651"/>
      <c r="D17" s="651"/>
      <c r="E17" s="633">
        <f>IRR(C13:W13,E16)</f>
        <v>0.18174415518666165</v>
      </c>
      <c r="F17" s="633"/>
      <c r="G17" s="627">
        <f>'MCA Report'!E62</f>
        <v>0.17801291135725703</v>
      </c>
      <c r="H17" s="628"/>
      <c r="I17" s="520"/>
      <c r="J17" s="36"/>
    </row>
    <row r="18" spans="1:10" x14ac:dyDescent="0.45">
      <c r="A18" s="295"/>
      <c r="B18" s="629" t="s">
        <v>77</v>
      </c>
      <c r="C18" s="630"/>
      <c r="D18" s="630"/>
      <c r="E18" s="627" t="s">
        <v>40</v>
      </c>
      <c r="F18" s="627"/>
      <c r="G18" s="627">
        <v>0.98299999999999998</v>
      </c>
      <c r="H18" s="628"/>
    </row>
    <row r="19" spans="1:10" x14ac:dyDescent="0.45">
      <c r="A19" s="294"/>
      <c r="B19" s="629" t="s">
        <v>78</v>
      </c>
      <c r="C19" s="630"/>
      <c r="D19" s="630"/>
      <c r="E19" s="634">
        <f>NPV(E16,D13:W13)+C13</f>
        <v>67532613.189060584</v>
      </c>
      <c r="F19" s="634"/>
      <c r="G19" s="636">
        <f>'MCA Report'!E117</f>
        <v>69692473.136516541</v>
      </c>
      <c r="H19" s="637"/>
    </row>
    <row r="20" spans="1:10" x14ac:dyDescent="0.45">
      <c r="A20" s="294"/>
      <c r="B20" s="629" t="s">
        <v>79</v>
      </c>
      <c r="C20" s="630"/>
      <c r="D20" s="630"/>
      <c r="E20" s="634">
        <f>NPV(E16,D11:W11)+C11</f>
        <v>182691909.69551161</v>
      </c>
      <c r="F20" s="634"/>
      <c r="G20" s="638"/>
      <c r="H20" s="639"/>
    </row>
    <row r="21" spans="1:10" ht="14.1" thickBot="1" x14ac:dyDescent="0.5">
      <c r="A21" s="294"/>
      <c r="B21" s="631" t="s">
        <v>80</v>
      </c>
      <c r="C21" s="632"/>
      <c r="D21" s="632"/>
      <c r="E21" s="635">
        <f>NPV(E16,D12:W12)+C12</f>
        <v>-115159296.50645101</v>
      </c>
      <c r="F21" s="635"/>
      <c r="G21" s="646"/>
      <c r="H21" s="647"/>
    </row>
    <row r="22" spans="1:10" x14ac:dyDescent="0.45">
      <c r="A22" s="294"/>
    </row>
    <row r="23" spans="1:10" ht="14.1" thickBot="1" x14ac:dyDescent="0.5">
      <c r="A23" s="120" t="s">
        <v>35</v>
      </c>
      <c r="B23" s="128"/>
      <c r="C23" s="128"/>
      <c r="D23" s="128"/>
      <c r="E23" s="128"/>
      <c r="F23" s="128"/>
      <c r="G23" s="128"/>
      <c r="H23" s="128"/>
      <c r="I23" s="128"/>
      <c r="J23" s="116"/>
    </row>
    <row r="24" spans="1:10" ht="27" customHeight="1" x14ac:dyDescent="0.45">
      <c r="A24" s="471">
        <v>1</v>
      </c>
      <c r="B24" s="625" t="s">
        <v>81</v>
      </c>
      <c r="C24" s="625"/>
      <c r="D24" s="625"/>
      <c r="E24" s="625"/>
      <c r="F24" s="625"/>
      <c r="G24" s="625"/>
      <c r="H24" s="625"/>
      <c r="I24" s="625"/>
    </row>
    <row r="25" spans="1:10" x14ac:dyDescent="0.45">
      <c r="A25" s="495">
        <v>2</v>
      </c>
      <c r="B25" s="625" t="s">
        <v>82</v>
      </c>
      <c r="C25" s="625"/>
      <c r="D25" s="625"/>
      <c r="E25" s="625"/>
      <c r="F25" s="625"/>
      <c r="G25" s="625"/>
      <c r="H25" s="625"/>
      <c r="I25" s="625"/>
    </row>
    <row r="26" spans="1:10" x14ac:dyDescent="0.45">
      <c r="A26" s="136"/>
    </row>
    <row r="27" spans="1:10" x14ac:dyDescent="0.45">
      <c r="A27" s="136"/>
    </row>
    <row r="28" spans="1:10" x14ac:dyDescent="0.45">
      <c r="A28" s="136"/>
    </row>
    <row r="29" spans="1:10" x14ac:dyDescent="0.45">
      <c r="A29" s="136"/>
    </row>
    <row r="30" spans="1:10" x14ac:dyDescent="0.45">
      <c r="A30" s="136"/>
    </row>
    <row r="31" spans="1:10" x14ac:dyDescent="0.45">
      <c r="A31" s="136"/>
    </row>
    <row r="32" spans="1:10" x14ac:dyDescent="0.45">
      <c r="A32" s="136"/>
    </row>
    <row r="33" spans="1:1" x14ac:dyDescent="0.45">
      <c r="A33" s="136"/>
    </row>
    <row r="34" spans="1:1" x14ac:dyDescent="0.45">
      <c r="A34" s="47"/>
    </row>
    <row r="35" spans="1:1" x14ac:dyDescent="0.45">
      <c r="A35" s="47"/>
    </row>
    <row r="36" spans="1:1" x14ac:dyDescent="0.45">
      <c r="A36" s="136"/>
    </row>
    <row r="37" spans="1:1" x14ac:dyDescent="0.45">
      <c r="A37" s="136"/>
    </row>
    <row r="38" spans="1:1" x14ac:dyDescent="0.45">
      <c r="A38" s="136"/>
    </row>
    <row r="39" spans="1:1" x14ac:dyDescent="0.45">
      <c r="A39" s="136"/>
    </row>
    <row r="40" spans="1:1" x14ac:dyDescent="0.45">
      <c r="A40" s="44"/>
    </row>
    <row r="41" spans="1:1" x14ac:dyDescent="0.45">
      <c r="A41" s="136"/>
    </row>
    <row r="42" spans="1:1" x14ac:dyDescent="0.45">
      <c r="A42" s="136"/>
    </row>
    <row r="43" spans="1:1" x14ac:dyDescent="0.45">
      <c r="A43" s="136"/>
    </row>
    <row r="44" spans="1:1" x14ac:dyDescent="0.45">
      <c r="A44" s="47"/>
    </row>
    <row r="45" spans="1:1" x14ac:dyDescent="0.45">
      <c r="A45" s="47"/>
    </row>
    <row r="46" spans="1:1" x14ac:dyDescent="0.45">
      <c r="A46" s="136"/>
    </row>
    <row r="47" spans="1:1" x14ac:dyDescent="0.45">
      <c r="A47" s="136"/>
    </row>
  </sheetData>
  <mergeCells count="25">
    <mergeCell ref="B24:I24"/>
    <mergeCell ref="B25:I25"/>
    <mergeCell ref="G19:H19"/>
    <mergeCell ref="G20:H20"/>
    <mergeCell ref="J1:L1"/>
    <mergeCell ref="C8:H8"/>
    <mergeCell ref="E15:F15"/>
    <mergeCell ref="E16:F16"/>
    <mergeCell ref="G15:H15"/>
    <mergeCell ref="G16:H16"/>
    <mergeCell ref="G21:H21"/>
    <mergeCell ref="B15:C15"/>
    <mergeCell ref="B16:D16"/>
    <mergeCell ref="B17:D17"/>
    <mergeCell ref="B18:D18"/>
    <mergeCell ref="B19:D19"/>
    <mergeCell ref="G17:H17"/>
    <mergeCell ref="G18:H18"/>
    <mergeCell ref="B20:D20"/>
    <mergeCell ref="B21:D21"/>
    <mergeCell ref="E17:F17"/>
    <mergeCell ref="E18:F18"/>
    <mergeCell ref="E19:F19"/>
    <mergeCell ref="E20:F20"/>
    <mergeCell ref="E21:F21"/>
  </mergeCells>
  <pageMargins left="0.7" right="0.7" top="0.75" bottom="0.75" header="0.3" footer="0.3"/>
  <pageSetup orientation="portrait" horizontalDpi="300" verticalDpi="300" r:id="rId1"/>
  <headerFooter>
    <oddHeader>&amp;C&amp;"Calibri"&amp;12&amp;K008000 UNCLASSIFIED&amp;1#_x000D_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B19B6-3089-4B0B-BD15-2E2A31858B99}">
  <sheetPr>
    <tabColor rgb="FF325697"/>
  </sheetPr>
  <dimension ref="A1:AA79"/>
  <sheetViews>
    <sheetView topLeftCell="A49" zoomScaleNormal="100" zoomScaleSheetLayoutView="106" workbookViewId="0">
      <selection activeCell="D36" sqref="D36"/>
    </sheetView>
  </sheetViews>
  <sheetFormatPr defaultColWidth="8.578125" defaultRowHeight="13.8" x14ac:dyDescent="0.45"/>
  <cols>
    <col min="1" max="1" width="8.83984375" style="30" customWidth="1"/>
    <col min="2" max="2" width="9.41796875" style="30"/>
    <col min="3" max="3" width="52" style="30" customWidth="1"/>
    <col min="4" max="9" width="17.578125" style="30" customWidth="1"/>
    <col min="10" max="10" width="14" style="30" customWidth="1"/>
    <col min="11" max="24" width="14.41796875" style="30" customWidth="1"/>
    <col min="25" max="25" width="21.41796875" style="30" customWidth="1"/>
    <col min="26" max="26" width="12.578125" style="30" customWidth="1"/>
    <col min="27" max="28" width="10.578125" style="30" customWidth="1"/>
    <col min="29" max="16384" width="8.578125" style="30"/>
  </cols>
  <sheetData>
    <row r="1" spans="1:26" x14ac:dyDescent="0.45">
      <c r="B1" s="29"/>
    </row>
    <row r="2" spans="1:26" ht="20.100000000000001" x14ac:dyDescent="0.7">
      <c r="B2" s="31" t="s">
        <v>0</v>
      </c>
      <c r="J2" s="36"/>
      <c r="K2" s="36"/>
      <c r="T2" s="36"/>
      <c r="U2" s="36"/>
      <c r="V2" s="36"/>
      <c r="W2" s="36"/>
    </row>
    <row r="3" spans="1:26" ht="17.7" x14ac:dyDescent="0.6">
      <c r="B3" s="32" t="s">
        <v>1</v>
      </c>
      <c r="J3" s="36"/>
      <c r="K3" s="36"/>
      <c r="T3" s="36"/>
      <c r="U3" s="36"/>
      <c r="V3" s="36"/>
      <c r="W3" s="36"/>
    </row>
    <row r="4" spans="1:26" ht="14.1" x14ac:dyDescent="0.5">
      <c r="B4" s="33"/>
      <c r="J4" s="36"/>
      <c r="K4" s="36"/>
      <c r="T4" s="36"/>
      <c r="U4" s="36"/>
      <c r="V4" s="36"/>
      <c r="W4" s="36"/>
    </row>
    <row r="5" spans="1:26" ht="17.7" x14ac:dyDescent="0.6">
      <c r="B5" s="34" t="s">
        <v>8</v>
      </c>
      <c r="J5" s="36"/>
      <c r="K5" s="36"/>
      <c r="T5" s="36"/>
      <c r="U5" s="36"/>
      <c r="V5" s="36"/>
      <c r="W5" s="36"/>
    </row>
    <row r="6" spans="1:26" ht="15" x14ac:dyDescent="0.5">
      <c r="B6" s="35" t="s">
        <v>9</v>
      </c>
    </row>
    <row r="8" spans="1:26" ht="17.7" x14ac:dyDescent="0.6">
      <c r="A8" s="48" t="s">
        <v>35</v>
      </c>
      <c r="B8" s="49">
        <v>1</v>
      </c>
      <c r="C8" s="50" t="s">
        <v>83</v>
      </c>
      <c r="D8" s="50"/>
    </row>
    <row r="9" spans="1:26" ht="14.1" thickBot="1" x14ac:dyDescent="0.5">
      <c r="A9" s="51"/>
      <c r="B9" s="52">
        <v>1.01</v>
      </c>
      <c r="C9" s="52" t="s">
        <v>84</v>
      </c>
      <c r="D9" s="52"/>
    </row>
    <row r="10" spans="1:26" x14ac:dyDescent="0.45">
      <c r="A10" s="141"/>
      <c r="B10" s="51"/>
      <c r="C10" s="53" t="s">
        <v>85</v>
      </c>
      <c r="D10" s="54">
        <f>46000*$D$23</f>
        <v>46000</v>
      </c>
      <c r="Y10" s="51"/>
      <c r="Z10" s="51"/>
    </row>
    <row r="11" spans="1:26" x14ac:dyDescent="0.45">
      <c r="A11" s="141"/>
      <c r="B11" s="51"/>
      <c r="C11" s="53" t="s">
        <v>86</v>
      </c>
      <c r="D11" s="54">
        <f>-33000000*$D$22</f>
        <v>-33000000</v>
      </c>
      <c r="E11" s="51"/>
      <c r="F11" s="51"/>
      <c r="G11" s="51"/>
      <c r="H11" s="51"/>
      <c r="I11" s="51"/>
      <c r="J11" s="51"/>
      <c r="K11" s="51"/>
      <c r="L11" s="55"/>
      <c r="M11" s="51"/>
      <c r="N11" s="55"/>
      <c r="O11" s="51"/>
      <c r="P11" s="51"/>
      <c r="Q11" s="51"/>
      <c r="R11" s="51"/>
      <c r="S11" s="51"/>
      <c r="T11" s="51"/>
      <c r="U11" s="51"/>
      <c r="V11" s="51"/>
      <c r="W11" s="51"/>
      <c r="X11" s="51"/>
      <c r="Y11" s="51"/>
      <c r="Z11" s="51"/>
    </row>
    <row r="12" spans="1:26" x14ac:dyDescent="0.45">
      <c r="A12" s="141">
        <v>1</v>
      </c>
      <c r="B12" s="51"/>
      <c r="C12" s="53" t="s">
        <v>87</v>
      </c>
      <c r="D12" s="56">
        <f>-('Livestock &amp; Meat Production'!C129)</f>
        <v>-7329.90375041487</v>
      </c>
      <c r="E12" s="51"/>
      <c r="F12" s="51"/>
      <c r="G12" s="51"/>
      <c r="H12" s="51"/>
      <c r="I12" s="51"/>
      <c r="J12" s="51"/>
      <c r="K12" s="51"/>
      <c r="L12" s="51"/>
      <c r="M12" s="51"/>
      <c r="N12" s="51"/>
      <c r="O12" s="51"/>
      <c r="P12" s="51"/>
      <c r="Q12" s="51"/>
      <c r="R12" s="51"/>
      <c r="S12" s="51"/>
      <c r="T12" s="51"/>
      <c r="U12" s="51"/>
      <c r="V12" s="51"/>
      <c r="W12" s="51"/>
      <c r="X12" s="51"/>
      <c r="Y12" s="51"/>
      <c r="Z12" s="51"/>
    </row>
    <row r="13" spans="1:26" x14ac:dyDescent="0.45">
      <c r="A13" s="141">
        <v>2</v>
      </c>
      <c r="B13" s="51"/>
      <c r="C13" s="53" t="s">
        <v>88</v>
      </c>
      <c r="D13" s="56">
        <f>-'Irrigation Equipment'!C34</f>
        <v>-3319.7302697302703</v>
      </c>
      <c r="E13" s="51"/>
      <c r="F13" s="51"/>
      <c r="G13" s="57"/>
      <c r="H13" s="51"/>
      <c r="I13" s="51"/>
      <c r="J13" s="51"/>
      <c r="K13" s="51"/>
      <c r="L13" s="55"/>
      <c r="M13" s="51"/>
      <c r="N13" s="55"/>
      <c r="O13" s="51"/>
      <c r="P13" s="51"/>
      <c r="Q13" s="51"/>
      <c r="R13" s="51"/>
      <c r="S13" s="51"/>
      <c r="T13" s="51"/>
      <c r="U13" s="51"/>
      <c r="V13" s="51"/>
      <c r="W13" s="51"/>
      <c r="X13" s="51"/>
      <c r="Y13" s="51"/>
      <c r="Z13" s="51"/>
    </row>
    <row r="14" spans="1:26" x14ac:dyDescent="0.45">
      <c r="A14" s="141"/>
      <c r="B14" s="51"/>
      <c r="C14" s="51" t="s">
        <v>89</v>
      </c>
      <c r="D14" s="54">
        <f>+(D12+D13)*$D$24</f>
        <v>-10649.63402014514</v>
      </c>
      <c r="E14" s="51"/>
      <c r="F14" s="51"/>
      <c r="G14" s="57"/>
      <c r="H14" s="51"/>
      <c r="I14" s="51"/>
      <c r="J14" s="51"/>
      <c r="K14" s="51"/>
      <c r="L14" s="51"/>
      <c r="M14" s="51"/>
      <c r="N14" s="51"/>
      <c r="O14" s="51"/>
      <c r="P14" s="51"/>
      <c r="Q14" s="51"/>
      <c r="R14" s="51"/>
      <c r="S14" s="51"/>
      <c r="T14" s="51"/>
      <c r="U14" s="51"/>
      <c r="V14" s="51"/>
      <c r="W14" s="51"/>
      <c r="X14" s="51"/>
      <c r="Y14" s="51"/>
      <c r="Z14" s="51"/>
    </row>
    <row r="15" spans="1:26" x14ac:dyDescent="0.45">
      <c r="A15" s="141">
        <v>3</v>
      </c>
      <c r="B15" s="51"/>
      <c r="C15" s="51" t="s">
        <v>90</v>
      </c>
      <c r="D15" s="54">
        <f>+('Crop Production'!C144+'Livestock &amp; Meat Production'!C136)</f>
        <v>13294.185026979723</v>
      </c>
      <c r="E15" s="51"/>
      <c r="F15" s="51"/>
      <c r="G15" s="51"/>
      <c r="H15" s="51"/>
      <c r="I15" s="51"/>
      <c r="J15" s="51"/>
      <c r="K15" s="51"/>
      <c r="L15" s="51"/>
      <c r="M15" s="51"/>
      <c r="N15" s="51"/>
      <c r="O15" s="51"/>
      <c r="P15" s="51"/>
      <c r="Q15" s="51"/>
      <c r="R15" s="51"/>
      <c r="S15" s="51"/>
      <c r="T15" s="51"/>
      <c r="U15" s="51"/>
      <c r="V15" s="51"/>
      <c r="W15" s="51"/>
      <c r="X15" s="51"/>
      <c r="Y15" s="51"/>
      <c r="Z15" s="51"/>
    </row>
    <row r="16" spans="1:26" x14ac:dyDescent="0.45">
      <c r="A16" s="205">
        <v>4</v>
      </c>
      <c r="B16" s="51"/>
      <c r="C16" s="51" t="s">
        <v>91</v>
      </c>
      <c r="D16" s="54">
        <f>'Crop Production'!C146</f>
        <v>2123.9638268297485</v>
      </c>
      <c r="E16" s="51"/>
      <c r="F16" s="51"/>
      <c r="G16" s="51"/>
      <c r="H16" s="51"/>
      <c r="I16" s="51"/>
      <c r="J16" s="51"/>
      <c r="K16" s="51"/>
      <c r="L16" s="51"/>
      <c r="M16" s="51"/>
      <c r="N16" s="51"/>
      <c r="O16" s="51"/>
      <c r="P16" s="51"/>
      <c r="Q16" s="51"/>
      <c r="R16" s="51"/>
      <c r="S16" s="51"/>
      <c r="T16" s="51"/>
      <c r="U16" s="51"/>
      <c r="V16" s="51"/>
      <c r="W16" s="51"/>
      <c r="X16" s="51"/>
      <c r="Y16" s="51"/>
      <c r="Z16" s="51"/>
    </row>
    <row r="17" spans="1:26" x14ac:dyDescent="0.45">
      <c r="A17" s="205">
        <v>5</v>
      </c>
      <c r="B17" s="51"/>
      <c r="C17" s="51" t="s">
        <v>92</v>
      </c>
      <c r="D17" s="54">
        <f>'Livestock &amp; Meat Production'!C133</f>
        <v>1431.7955526053768</v>
      </c>
      <c r="E17" s="51"/>
      <c r="F17" s="51"/>
      <c r="G17" s="51"/>
      <c r="H17" s="51"/>
      <c r="I17" s="51"/>
      <c r="J17" s="51"/>
      <c r="K17" s="51"/>
      <c r="L17" s="51"/>
      <c r="M17" s="51"/>
      <c r="N17" s="51"/>
      <c r="O17" s="51"/>
      <c r="P17" s="51"/>
      <c r="Q17" s="51"/>
      <c r="R17" s="51"/>
      <c r="S17" s="51"/>
      <c r="T17" s="51"/>
      <c r="U17" s="51"/>
      <c r="V17" s="51"/>
      <c r="W17" s="51"/>
      <c r="X17" s="51"/>
      <c r="Y17" s="51"/>
      <c r="Z17" s="51"/>
    </row>
    <row r="18" spans="1:26" ht="14.1" x14ac:dyDescent="0.5">
      <c r="A18" s="158">
        <v>4</v>
      </c>
      <c r="C18" s="51" t="s">
        <v>93</v>
      </c>
      <c r="D18" s="54">
        <f>'Crop Production'!C148</f>
        <v>12644.315606795117</v>
      </c>
    </row>
    <row r="19" spans="1:26" x14ac:dyDescent="0.45">
      <c r="A19" s="205">
        <v>5</v>
      </c>
      <c r="B19" s="51"/>
      <c r="C19" s="51" t="s">
        <v>94</v>
      </c>
      <c r="D19" s="54">
        <f>'Livestock &amp; Meat Production'!C136</f>
        <v>2770.3103219382679</v>
      </c>
      <c r="E19" s="51"/>
      <c r="F19" s="51"/>
      <c r="G19" s="51"/>
      <c r="H19" s="51"/>
      <c r="I19" s="51"/>
      <c r="J19" s="51"/>
      <c r="K19" s="51"/>
      <c r="L19" s="51"/>
      <c r="M19" s="51"/>
      <c r="N19" s="51"/>
      <c r="O19" s="51"/>
      <c r="P19" s="51"/>
      <c r="Q19" s="51"/>
      <c r="R19" s="51"/>
      <c r="S19" s="51"/>
      <c r="T19" s="51"/>
      <c r="U19" s="51"/>
      <c r="V19" s="51"/>
      <c r="W19" s="51"/>
      <c r="X19" s="51"/>
      <c r="Y19" s="51"/>
      <c r="Z19" s="51"/>
    </row>
    <row r="20" spans="1:26" x14ac:dyDescent="0.45">
      <c r="A20" s="141"/>
      <c r="B20" s="51"/>
      <c r="C20" s="51"/>
      <c r="D20" s="58"/>
      <c r="E20" s="51"/>
      <c r="F20" s="51"/>
      <c r="G20" s="51"/>
      <c r="H20" s="51"/>
      <c r="I20" s="51"/>
      <c r="J20" s="51"/>
      <c r="K20" s="51"/>
      <c r="L20" s="51"/>
      <c r="M20" s="51"/>
      <c r="N20" s="51"/>
      <c r="O20" s="51"/>
      <c r="P20" s="51"/>
      <c r="Q20" s="51"/>
      <c r="R20" s="51"/>
      <c r="S20" s="51"/>
      <c r="T20" s="51"/>
      <c r="U20" s="51"/>
      <c r="V20" s="51"/>
      <c r="W20" s="51"/>
      <c r="X20" s="51"/>
      <c r="Y20" s="51"/>
      <c r="Z20" s="51"/>
    </row>
    <row r="21" spans="1:26" s="51" customFormat="1" ht="12.9" thickBot="1" x14ac:dyDescent="0.5">
      <c r="A21" s="141"/>
      <c r="B21" s="52">
        <v>1.02</v>
      </c>
      <c r="C21" s="52" t="s">
        <v>95</v>
      </c>
      <c r="D21" s="52" t="s">
        <v>74</v>
      </c>
    </row>
    <row r="22" spans="1:26" s="51" customFormat="1" ht="12.6" x14ac:dyDescent="0.45">
      <c r="A22" s="141"/>
      <c r="C22" s="53" t="s">
        <v>96</v>
      </c>
      <c r="D22" s="59">
        <v>1</v>
      </c>
    </row>
    <row r="23" spans="1:26" s="51" customFormat="1" ht="12.3" x14ac:dyDescent="0.4">
      <c r="C23" s="53" t="s">
        <v>97</v>
      </c>
      <c r="D23" s="59">
        <v>1</v>
      </c>
    </row>
    <row r="24" spans="1:26" s="51" customFormat="1" ht="12.3" x14ac:dyDescent="0.4">
      <c r="C24" s="53" t="s">
        <v>98</v>
      </c>
      <c r="D24" s="59">
        <v>1</v>
      </c>
    </row>
    <row r="25" spans="1:26" s="51" customFormat="1" ht="12.3" x14ac:dyDescent="0.4">
      <c r="C25" s="51" t="s">
        <v>99</v>
      </c>
      <c r="D25" s="59">
        <v>0.9</v>
      </c>
    </row>
    <row r="26" spans="1:26" s="51" customFormat="1" ht="12.3" x14ac:dyDescent="0.4">
      <c r="C26" s="51" t="s">
        <v>100</v>
      </c>
      <c r="D26" s="59">
        <v>1</v>
      </c>
    </row>
    <row r="27" spans="1:26" s="51" customFormat="1" ht="12.3" x14ac:dyDescent="0.4">
      <c r="C27" s="51" t="s">
        <v>101</v>
      </c>
      <c r="D27" s="475">
        <v>2024</v>
      </c>
    </row>
    <row r="28" spans="1:26" s="51" customFormat="1" ht="12.3" x14ac:dyDescent="0.4">
      <c r="C28" s="51" t="s">
        <v>102</v>
      </c>
      <c r="D28" s="59">
        <v>1</v>
      </c>
    </row>
    <row r="29" spans="1:26" s="51" customFormat="1" ht="12.3" x14ac:dyDescent="0.4">
      <c r="C29" s="51" t="s">
        <v>103</v>
      </c>
      <c r="D29" s="59">
        <v>1</v>
      </c>
    </row>
    <row r="30" spans="1:26" s="51" customFormat="1" ht="12.3" x14ac:dyDescent="0.4">
      <c r="D30" s="58"/>
    </row>
    <row r="31" spans="1:26" x14ac:dyDescent="0.45">
      <c r="A31" s="51"/>
      <c r="B31" s="51"/>
      <c r="C31" s="51"/>
      <c r="D31" s="60"/>
      <c r="E31" s="51"/>
      <c r="F31" s="61"/>
      <c r="G31" s="61"/>
      <c r="H31" s="51"/>
      <c r="I31" s="51"/>
      <c r="J31" s="51"/>
      <c r="K31" s="51"/>
      <c r="L31" s="55"/>
      <c r="M31" s="51"/>
      <c r="N31" s="55"/>
      <c r="O31" s="51"/>
      <c r="P31" s="51"/>
      <c r="Q31" s="51"/>
      <c r="R31" s="51"/>
      <c r="S31" s="51"/>
      <c r="T31" s="51"/>
      <c r="U31" s="51"/>
      <c r="V31" s="51"/>
      <c r="W31" s="51"/>
      <c r="X31" s="51"/>
      <c r="Y31" s="51"/>
      <c r="Z31" s="51"/>
    </row>
    <row r="32" spans="1:26" ht="17.7" x14ac:dyDescent="0.6">
      <c r="A32" s="48" t="s">
        <v>35</v>
      </c>
      <c r="B32" s="49">
        <v>2</v>
      </c>
      <c r="C32" s="50" t="s">
        <v>104</v>
      </c>
      <c r="D32" s="50"/>
      <c r="E32" s="50"/>
      <c r="F32" s="50"/>
      <c r="G32" s="50"/>
      <c r="H32" s="50"/>
      <c r="I32" s="50"/>
      <c r="J32" s="50"/>
      <c r="K32" s="50"/>
      <c r="L32" s="50"/>
      <c r="M32" s="50"/>
      <c r="N32" s="50"/>
      <c r="O32" s="50"/>
      <c r="P32" s="50"/>
      <c r="Q32" s="50"/>
      <c r="R32" s="50"/>
      <c r="S32" s="50"/>
      <c r="T32" s="50"/>
      <c r="U32" s="50"/>
      <c r="V32" s="50"/>
      <c r="W32" s="50"/>
      <c r="X32" s="50"/>
    </row>
    <row r="33" spans="1:27" ht="14.1" thickBot="1" x14ac:dyDescent="0.5">
      <c r="A33" s="51"/>
      <c r="B33" s="52"/>
      <c r="C33" s="52"/>
      <c r="D33" s="52"/>
      <c r="E33" s="52"/>
      <c r="F33" s="52"/>
      <c r="G33" s="52"/>
      <c r="H33" s="52"/>
      <c r="I33" s="52"/>
      <c r="J33" s="52"/>
      <c r="K33" s="52"/>
      <c r="L33" s="52"/>
      <c r="M33" s="52"/>
      <c r="N33" s="52"/>
      <c r="O33" s="52"/>
      <c r="P33" s="52"/>
      <c r="Q33" s="52"/>
      <c r="R33" s="52"/>
      <c r="S33" s="52"/>
      <c r="T33" s="52"/>
      <c r="U33" s="52"/>
      <c r="V33" s="52"/>
      <c r="W33" s="52"/>
      <c r="X33" s="52"/>
    </row>
    <row r="34" spans="1:27" x14ac:dyDescent="0.45">
      <c r="A34" s="51"/>
      <c r="B34" s="62"/>
      <c r="C34" s="62"/>
      <c r="D34" s="63">
        <v>2016</v>
      </c>
      <c r="E34" s="63">
        <f>D34+1</f>
        <v>2017</v>
      </c>
      <c r="F34" s="63">
        <f t="shared" ref="F34:X34" si="0">E34+1</f>
        <v>2018</v>
      </c>
      <c r="G34" s="63">
        <f t="shared" si="0"/>
        <v>2019</v>
      </c>
      <c r="H34" s="63">
        <f t="shared" si="0"/>
        <v>2020</v>
      </c>
      <c r="I34" s="63">
        <f t="shared" si="0"/>
        <v>2021</v>
      </c>
      <c r="J34" s="63">
        <f t="shared" si="0"/>
        <v>2022</v>
      </c>
      <c r="K34" s="63">
        <f t="shared" si="0"/>
        <v>2023</v>
      </c>
      <c r="L34" s="63">
        <f t="shared" si="0"/>
        <v>2024</v>
      </c>
      <c r="M34" s="63">
        <f t="shared" si="0"/>
        <v>2025</v>
      </c>
      <c r="N34" s="63">
        <f t="shared" si="0"/>
        <v>2026</v>
      </c>
      <c r="O34" s="63">
        <f t="shared" si="0"/>
        <v>2027</v>
      </c>
      <c r="P34" s="63">
        <f t="shared" si="0"/>
        <v>2028</v>
      </c>
      <c r="Q34" s="63">
        <f t="shared" si="0"/>
        <v>2029</v>
      </c>
      <c r="R34" s="63">
        <f t="shared" si="0"/>
        <v>2030</v>
      </c>
      <c r="S34" s="63">
        <f t="shared" si="0"/>
        <v>2031</v>
      </c>
      <c r="T34" s="63">
        <f t="shared" si="0"/>
        <v>2032</v>
      </c>
      <c r="U34" s="63">
        <f t="shared" si="0"/>
        <v>2033</v>
      </c>
      <c r="V34" s="63">
        <f t="shared" si="0"/>
        <v>2034</v>
      </c>
      <c r="W34" s="63">
        <f t="shared" si="0"/>
        <v>2035</v>
      </c>
      <c r="X34" s="63">
        <f t="shared" si="0"/>
        <v>2036</v>
      </c>
      <c r="Y34" s="51"/>
      <c r="Z34" s="51"/>
      <c r="AA34" s="51"/>
    </row>
    <row r="35" spans="1:27" x14ac:dyDescent="0.45">
      <c r="A35" s="51"/>
      <c r="B35" s="51"/>
      <c r="C35" s="51" t="s">
        <v>105</v>
      </c>
      <c r="D35" s="51">
        <v>0</v>
      </c>
      <c r="E35" s="51">
        <v>0</v>
      </c>
      <c r="F35" s="51">
        <v>0.25</v>
      </c>
      <c r="G35" s="51">
        <v>0.3</v>
      </c>
      <c r="H35" s="51">
        <v>0.4</v>
      </c>
      <c r="I35" s="51">
        <v>0.05</v>
      </c>
      <c r="J35" s="51"/>
      <c r="K35" s="51"/>
      <c r="L35" s="51"/>
      <c r="M35" s="51"/>
      <c r="N35" s="51"/>
    </row>
    <row r="36" spans="1:27" s="61" customFormat="1" ht="12.3" x14ac:dyDescent="0.4">
      <c r="A36" s="51"/>
      <c r="B36" s="51"/>
      <c r="C36" s="51" t="s">
        <v>106</v>
      </c>
      <c r="D36" s="61">
        <f>-Costs!D15</f>
        <v>-3136000</v>
      </c>
      <c r="E36" s="61">
        <f>-Costs!E15</f>
        <v>-7578000</v>
      </c>
      <c r="F36" s="61">
        <f>-Costs!F15</f>
        <v>-6625000</v>
      </c>
      <c r="G36" s="61">
        <f>-Costs!G15</f>
        <v>-9570000</v>
      </c>
      <c r="H36" s="61">
        <f>-Costs!H15</f>
        <v>-6091000</v>
      </c>
    </row>
    <row r="37" spans="1:27" x14ac:dyDescent="0.45">
      <c r="A37" s="51"/>
      <c r="B37" s="51"/>
      <c r="C37" s="51" t="s">
        <v>107</v>
      </c>
      <c r="D37" s="58">
        <f t="shared" ref="D37:U37" si="1">D$35*$D$10</f>
        <v>0</v>
      </c>
      <c r="E37" s="58">
        <f t="shared" si="1"/>
        <v>0</v>
      </c>
      <c r="F37" s="58">
        <f t="shared" si="1"/>
        <v>11500</v>
      </c>
      <c r="G37" s="58">
        <f t="shared" si="1"/>
        <v>13800</v>
      </c>
      <c r="H37" s="58">
        <f t="shared" si="1"/>
        <v>18400</v>
      </c>
      <c r="I37" s="58">
        <f t="shared" si="1"/>
        <v>2300</v>
      </c>
      <c r="J37" s="58">
        <f t="shared" si="1"/>
        <v>0</v>
      </c>
      <c r="K37" s="58">
        <f t="shared" si="1"/>
        <v>0</v>
      </c>
      <c r="L37" s="58">
        <f t="shared" si="1"/>
        <v>0</v>
      </c>
      <c r="M37" s="58">
        <f t="shared" si="1"/>
        <v>0</v>
      </c>
      <c r="N37" s="58">
        <f t="shared" si="1"/>
        <v>0</v>
      </c>
      <c r="O37" s="58">
        <f t="shared" si="1"/>
        <v>0</v>
      </c>
      <c r="P37" s="58">
        <f t="shared" si="1"/>
        <v>0</v>
      </c>
      <c r="Q37" s="58">
        <f t="shared" si="1"/>
        <v>0</v>
      </c>
      <c r="R37" s="58">
        <f t="shared" si="1"/>
        <v>0</v>
      </c>
      <c r="S37" s="58">
        <f t="shared" si="1"/>
        <v>0</v>
      </c>
      <c r="T37" s="58">
        <f t="shared" si="1"/>
        <v>0</v>
      </c>
      <c r="U37" s="58">
        <f t="shared" si="1"/>
        <v>0</v>
      </c>
      <c r="V37" s="64"/>
      <c r="W37" s="64"/>
      <c r="X37" s="64"/>
      <c r="Y37" s="64"/>
    </row>
    <row r="38" spans="1:27" x14ac:dyDescent="0.45">
      <c r="A38" s="51"/>
      <c r="B38" s="51"/>
      <c r="C38" s="51"/>
      <c r="D38" s="58"/>
      <c r="E38" s="58"/>
      <c r="F38" s="58"/>
      <c r="G38" s="58"/>
      <c r="H38" s="58"/>
      <c r="I38" s="58"/>
      <c r="J38" s="58"/>
      <c r="K38" s="58"/>
      <c r="L38" s="58"/>
      <c r="M38" s="58"/>
      <c r="N38" s="58"/>
      <c r="O38" s="58"/>
      <c r="P38" s="58"/>
      <c r="Q38" s="58"/>
      <c r="R38" s="58"/>
      <c r="S38" s="58"/>
      <c r="T38" s="58"/>
      <c r="U38" s="58"/>
      <c r="V38" s="64"/>
      <c r="W38" s="64"/>
      <c r="X38" s="64"/>
      <c r="Y38" s="64"/>
    </row>
    <row r="39" spans="1:27" x14ac:dyDescent="0.45">
      <c r="B39" s="51"/>
      <c r="C39" s="51" t="s">
        <v>108</v>
      </c>
      <c r="D39" s="58">
        <f t="shared" ref="D39:X39" si="2">IF(D$34&gt;=$D$27,$F$37,0)</f>
        <v>0</v>
      </c>
      <c r="E39" s="58">
        <f t="shared" si="2"/>
        <v>0</v>
      </c>
      <c r="F39" s="58">
        <f t="shared" si="2"/>
        <v>0</v>
      </c>
      <c r="G39" s="58">
        <f t="shared" si="2"/>
        <v>0</v>
      </c>
      <c r="H39" s="58">
        <f t="shared" si="2"/>
        <v>0</v>
      </c>
      <c r="I39" s="58">
        <f t="shared" si="2"/>
        <v>0</v>
      </c>
      <c r="J39" s="58">
        <f t="shared" si="2"/>
        <v>0</v>
      </c>
      <c r="K39" s="58">
        <f t="shared" si="2"/>
        <v>0</v>
      </c>
      <c r="L39" s="58">
        <f t="shared" si="2"/>
        <v>11500</v>
      </c>
      <c r="M39" s="58">
        <f t="shared" si="2"/>
        <v>11500</v>
      </c>
      <c r="N39" s="58">
        <f t="shared" si="2"/>
        <v>11500</v>
      </c>
      <c r="O39" s="58">
        <f t="shared" si="2"/>
        <v>11500</v>
      </c>
      <c r="P39" s="58">
        <f t="shared" si="2"/>
        <v>11500</v>
      </c>
      <c r="Q39" s="58">
        <f t="shared" si="2"/>
        <v>11500</v>
      </c>
      <c r="R39" s="58">
        <f t="shared" si="2"/>
        <v>11500</v>
      </c>
      <c r="S39" s="58">
        <f t="shared" si="2"/>
        <v>11500</v>
      </c>
      <c r="T39" s="58">
        <f t="shared" si="2"/>
        <v>11500</v>
      </c>
      <c r="U39" s="58">
        <f t="shared" si="2"/>
        <v>11500</v>
      </c>
      <c r="V39" s="58">
        <f t="shared" si="2"/>
        <v>11500</v>
      </c>
      <c r="W39" s="58">
        <f t="shared" si="2"/>
        <v>11500</v>
      </c>
      <c r="X39" s="58">
        <f t="shared" si="2"/>
        <v>11500</v>
      </c>
      <c r="Y39" s="64"/>
    </row>
    <row r="40" spans="1:27" x14ac:dyDescent="0.45">
      <c r="A40" s="51"/>
      <c r="B40" s="51"/>
      <c r="C40" s="135"/>
      <c r="D40" s="58">
        <f t="shared" ref="D40:X40" si="3">IF(D$34&gt;=($D$27+1),$G$37,0)</f>
        <v>0</v>
      </c>
      <c r="E40" s="58">
        <f t="shared" si="3"/>
        <v>0</v>
      </c>
      <c r="F40" s="58">
        <f t="shared" si="3"/>
        <v>0</v>
      </c>
      <c r="G40" s="58">
        <f t="shared" si="3"/>
        <v>0</v>
      </c>
      <c r="H40" s="58">
        <f t="shared" si="3"/>
        <v>0</v>
      </c>
      <c r="I40" s="58">
        <f t="shared" si="3"/>
        <v>0</v>
      </c>
      <c r="J40" s="58">
        <f t="shared" si="3"/>
        <v>0</v>
      </c>
      <c r="K40" s="58">
        <f t="shared" si="3"/>
        <v>0</v>
      </c>
      <c r="L40" s="58">
        <f t="shared" si="3"/>
        <v>0</v>
      </c>
      <c r="M40" s="58">
        <f t="shared" si="3"/>
        <v>13800</v>
      </c>
      <c r="N40" s="58">
        <f t="shared" si="3"/>
        <v>13800</v>
      </c>
      <c r="O40" s="58">
        <f t="shared" si="3"/>
        <v>13800</v>
      </c>
      <c r="P40" s="58">
        <f t="shared" si="3"/>
        <v>13800</v>
      </c>
      <c r="Q40" s="58">
        <f t="shared" si="3"/>
        <v>13800</v>
      </c>
      <c r="R40" s="58">
        <f t="shared" si="3"/>
        <v>13800</v>
      </c>
      <c r="S40" s="58">
        <f t="shared" si="3"/>
        <v>13800</v>
      </c>
      <c r="T40" s="58">
        <f t="shared" si="3"/>
        <v>13800</v>
      </c>
      <c r="U40" s="58">
        <f t="shared" si="3"/>
        <v>13800</v>
      </c>
      <c r="V40" s="58">
        <f t="shared" si="3"/>
        <v>13800</v>
      </c>
      <c r="W40" s="58">
        <f t="shared" si="3"/>
        <v>13800</v>
      </c>
      <c r="X40" s="58">
        <f t="shared" si="3"/>
        <v>13800</v>
      </c>
      <c r="Y40" s="64"/>
    </row>
    <row r="41" spans="1:27" x14ac:dyDescent="0.45">
      <c r="A41" s="51"/>
      <c r="B41" s="51"/>
      <c r="C41" s="51"/>
      <c r="D41" s="58">
        <f t="shared" ref="D41:X41" si="4">IF(D$34&gt;=($D$27+2),$H$37,0)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18400</v>
      </c>
      <c r="O41" s="58">
        <f t="shared" si="4"/>
        <v>18400</v>
      </c>
      <c r="P41" s="58">
        <f t="shared" si="4"/>
        <v>18400</v>
      </c>
      <c r="Q41" s="58">
        <f t="shared" si="4"/>
        <v>18400</v>
      </c>
      <c r="R41" s="58">
        <f t="shared" si="4"/>
        <v>18400</v>
      </c>
      <c r="S41" s="58">
        <f t="shared" si="4"/>
        <v>18400</v>
      </c>
      <c r="T41" s="58">
        <f t="shared" si="4"/>
        <v>18400</v>
      </c>
      <c r="U41" s="58">
        <f t="shared" si="4"/>
        <v>18400</v>
      </c>
      <c r="V41" s="58">
        <f t="shared" si="4"/>
        <v>18400</v>
      </c>
      <c r="W41" s="58">
        <f t="shared" si="4"/>
        <v>18400</v>
      </c>
      <c r="X41" s="58">
        <f t="shared" si="4"/>
        <v>18400</v>
      </c>
      <c r="Y41" s="64"/>
    </row>
    <row r="42" spans="1:27" x14ac:dyDescent="0.45">
      <c r="A42" s="51"/>
      <c r="B42" s="51"/>
      <c r="D42" s="58">
        <f t="shared" ref="D42:X42" si="5">IF(D$34&gt;=($D$27+3),$I$37,0)</f>
        <v>0</v>
      </c>
      <c r="E42" s="58">
        <f t="shared" si="5"/>
        <v>0</v>
      </c>
      <c r="F42" s="58">
        <f t="shared" si="5"/>
        <v>0</v>
      </c>
      <c r="G42" s="58">
        <f t="shared" si="5"/>
        <v>0</v>
      </c>
      <c r="H42" s="58">
        <f t="shared" si="5"/>
        <v>0</v>
      </c>
      <c r="I42" s="58">
        <f t="shared" si="5"/>
        <v>0</v>
      </c>
      <c r="J42" s="58">
        <f t="shared" si="5"/>
        <v>0</v>
      </c>
      <c r="K42" s="58">
        <f t="shared" si="5"/>
        <v>0</v>
      </c>
      <c r="L42" s="58">
        <f t="shared" si="5"/>
        <v>0</v>
      </c>
      <c r="M42" s="58">
        <f t="shared" si="5"/>
        <v>0</v>
      </c>
      <c r="N42" s="58">
        <f t="shared" si="5"/>
        <v>0</v>
      </c>
      <c r="O42" s="58">
        <f t="shared" si="5"/>
        <v>2300</v>
      </c>
      <c r="P42" s="58">
        <f t="shared" si="5"/>
        <v>2300</v>
      </c>
      <c r="Q42" s="58">
        <f t="shared" si="5"/>
        <v>2300</v>
      </c>
      <c r="R42" s="58">
        <f t="shared" si="5"/>
        <v>2300</v>
      </c>
      <c r="S42" s="58">
        <f t="shared" si="5"/>
        <v>2300</v>
      </c>
      <c r="T42" s="58">
        <f t="shared" si="5"/>
        <v>2300</v>
      </c>
      <c r="U42" s="58">
        <f t="shared" si="5"/>
        <v>2300</v>
      </c>
      <c r="V42" s="58">
        <f t="shared" si="5"/>
        <v>2300</v>
      </c>
      <c r="W42" s="58">
        <f t="shared" si="5"/>
        <v>2300</v>
      </c>
      <c r="X42" s="58">
        <f t="shared" si="5"/>
        <v>2300</v>
      </c>
      <c r="Y42" s="64"/>
    </row>
    <row r="43" spans="1:27" ht="14.1" x14ac:dyDescent="0.5">
      <c r="A43" s="584">
        <v>6</v>
      </c>
      <c r="B43" s="51"/>
      <c r="C43" s="36" t="s">
        <v>109</v>
      </c>
      <c r="D43" s="211">
        <f>SUM(D39:D42)</f>
        <v>0</v>
      </c>
      <c r="E43" s="211">
        <f t="shared" ref="E43:X43" si="6">SUM(E39:E42)</f>
        <v>0</v>
      </c>
      <c r="F43" s="211">
        <f t="shared" si="6"/>
        <v>0</v>
      </c>
      <c r="G43" s="211">
        <f t="shared" si="6"/>
        <v>0</v>
      </c>
      <c r="H43" s="211">
        <f t="shared" si="6"/>
        <v>0</v>
      </c>
      <c r="I43" s="211">
        <f t="shared" si="6"/>
        <v>0</v>
      </c>
      <c r="J43" s="211">
        <f t="shared" si="6"/>
        <v>0</v>
      </c>
      <c r="K43" s="211">
        <f t="shared" si="6"/>
        <v>0</v>
      </c>
      <c r="L43" s="211">
        <f t="shared" si="6"/>
        <v>11500</v>
      </c>
      <c r="M43" s="211">
        <f t="shared" si="6"/>
        <v>25300</v>
      </c>
      <c r="N43" s="211">
        <f t="shared" si="6"/>
        <v>43700</v>
      </c>
      <c r="O43" s="211">
        <f t="shared" si="6"/>
        <v>46000</v>
      </c>
      <c r="P43" s="211">
        <f t="shared" si="6"/>
        <v>46000</v>
      </c>
      <c r="Q43" s="211">
        <f t="shared" si="6"/>
        <v>46000</v>
      </c>
      <c r="R43" s="211">
        <f t="shared" si="6"/>
        <v>46000</v>
      </c>
      <c r="S43" s="211">
        <f t="shared" si="6"/>
        <v>46000</v>
      </c>
      <c r="T43" s="211">
        <f t="shared" si="6"/>
        <v>46000</v>
      </c>
      <c r="U43" s="211">
        <f t="shared" si="6"/>
        <v>46000</v>
      </c>
      <c r="V43" s="211">
        <f t="shared" si="6"/>
        <v>46000</v>
      </c>
      <c r="W43" s="211">
        <f t="shared" si="6"/>
        <v>46000</v>
      </c>
      <c r="X43" s="211">
        <f t="shared" si="6"/>
        <v>46000</v>
      </c>
    </row>
    <row r="44" spans="1:27" x14ac:dyDescent="0.45">
      <c r="A44" s="51"/>
      <c r="B44" s="51"/>
      <c r="C44" s="51"/>
      <c r="D44" s="58"/>
      <c r="E44" s="58"/>
      <c r="F44" s="58"/>
      <c r="G44" s="58"/>
      <c r="H44" s="58"/>
      <c r="I44" s="58"/>
      <c r="J44" s="58"/>
      <c r="K44" s="58"/>
      <c r="L44" s="58"/>
      <c r="M44" s="58"/>
      <c r="N44" s="58"/>
      <c r="O44" s="58"/>
      <c r="P44" s="58"/>
      <c r="Q44" s="58"/>
      <c r="R44" s="58"/>
      <c r="S44" s="58"/>
      <c r="T44" s="58"/>
      <c r="U44" s="58"/>
      <c r="V44" s="64"/>
      <c r="W44" s="64"/>
      <c r="X44" s="64"/>
      <c r="Y44" s="64"/>
    </row>
    <row r="45" spans="1:27" x14ac:dyDescent="0.45">
      <c r="A45" s="51"/>
      <c r="B45" s="51"/>
      <c r="C45" s="51"/>
      <c r="D45" s="58"/>
      <c r="E45" s="58"/>
      <c r="F45" s="58"/>
      <c r="G45" s="58"/>
      <c r="H45" s="58"/>
      <c r="I45" s="58"/>
      <c r="J45" s="61"/>
      <c r="K45" s="65"/>
      <c r="L45" s="61"/>
      <c r="M45" s="61"/>
      <c r="N45" s="61"/>
      <c r="O45" s="64"/>
      <c r="P45" s="64"/>
      <c r="Q45" s="64"/>
      <c r="R45" s="64"/>
      <c r="S45" s="64"/>
      <c r="T45" s="64"/>
      <c r="U45" s="64"/>
      <c r="V45" s="64"/>
      <c r="W45" s="64"/>
      <c r="X45" s="64"/>
      <c r="Y45" s="64"/>
    </row>
    <row r="46" spans="1:27" ht="17.7" x14ac:dyDescent="0.6">
      <c r="A46" s="48" t="s">
        <v>35</v>
      </c>
      <c r="B46" s="49">
        <v>3</v>
      </c>
      <c r="C46" s="50" t="s">
        <v>62</v>
      </c>
      <c r="D46" s="50"/>
      <c r="E46" s="50"/>
      <c r="F46" s="50"/>
      <c r="G46" s="50"/>
      <c r="H46" s="50"/>
      <c r="I46" s="50"/>
      <c r="J46" s="50"/>
      <c r="K46" s="50"/>
      <c r="L46" s="50"/>
      <c r="M46" s="50"/>
      <c r="N46" s="50"/>
      <c r="O46" s="50"/>
      <c r="P46" s="50"/>
      <c r="Q46" s="50"/>
      <c r="R46" s="50"/>
      <c r="S46" s="50"/>
      <c r="T46" s="50"/>
      <c r="U46" s="50"/>
      <c r="V46" s="50"/>
      <c r="W46" s="50"/>
      <c r="X46" s="50"/>
    </row>
    <row r="47" spans="1:27" ht="14.1" thickBot="1" x14ac:dyDescent="0.5">
      <c r="A47" s="51"/>
      <c r="B47" s="52">
        <v>3.01</v>
      </c>
      <c r="C47" s="52" t="s">
        <v>110</v>
      </c>
      <c r="D47" s="52"/>
      <c r="E47" s="52"/>
      <c r="F47" s="52"/>
      <c r="G47" s="52"/>
      <c r="H47" s="52"/>
      <c r="I47" s="52"/>
      <c r="J47" s="52"/>
      <c r="K47" s="52"/>
      <c r="L47" s="52"/>
      <c r="M47" s="52"/>
      <c r="N47" s="52"/>
      <c r="O47" s="52"/>
      <c r="P47" s="52"/>
      <c r="Q47" s="52"/>
      <c r="R47" s="52"/>
      <c r="S47" s="52"/>
      <c r="T47" s="52"/>
      <c r="U47" s="52"/>
      <c r="V47" s="52"/>
      <c r="W47" s="52"/>
      <c r="X47" s="52"/>
    </row>
    <row r="48" spans="1:27" x14ac:dyDescent="0.45">
      <c r="A48" s="51"/>
      <c r="B48" s="62"/>
      <c r="C48" s="62"/>
      <c r="D48" s="63">
        <v>2016</v>
      </c>
      <c r="E48" s="63">
        <f>D48+1</f>
        <v>2017</v>
      </c>
      <c r="F48" s="63">
        <f t="shared" ref="F48:X48" si="7">E48+1</f>
        <v>2018</v>
      </c>
      <c r="G48" s="63">
        <f t="shared" si="7"/>
        <v>2019</v>
      </c>
      <c r="H48" s="63">
        <f t="shared" si="7"/>
        <v>2020</v>
      </c>
      <c r="I48" s="63">
        <f t="shared" si="7"/>
        <v>2021</v>
      </c>
      <c r="J48" s="63">
        <f t="shared" si="7"/>
        <v>2022</v>
      </c>
      <c r="K48" s="63">
        <f t="shared" si="7"/>
        <v>2023</v>
      </c>
      <c r="L48" s="63">
        <f t="shared" si="7"/>
        <v>2024</v>
      </c>
      <c r="M48" s="63">
        <f t="shared" si="7"/>
        <v>2025</v>
      </c>
      <c r="N48" s="63">
        <f t="shared" si="7"/>
        <v>2026</v>
      </c>
      <c r="O48" s="63">
        <f t="shared" si="7"/>
        <v>2027</v>
      </c>
      <c r="P48" s="63">
        <f t="shared" si="7"/>
        <v>2028</v>
      </c>
      <c r="Q48" s="63">
        <f t="shared" si="7"/>
        <v>2029</v>
      </c>
      <c r="R48" s="63">
        <f t="shared" si="7"/>
        <v>2030</v>
      </c>
      <c r="S48" s="63">
        <f t="shared" si="7"/>
        <v>2031</v>
      </c>
      <c r="T48" s="63">
        <f t="shared" si="7"/>
        <v>2032</v>
      </c>
      <c r="U48" s="63">
        <f t="shared" si="7"/>
        <v>2033</v>
      </c>
      <c r="V48" s="63">
        <f t="shared" si="7"/>
        <v>2034</v>
      </c>
      <c r="W48" s="63">
        <f t="shared" si="7"/>
        <v>2035</v>
      </c>
      <c r="X48" s="63">
        <f t="shared" si="7"/>
        <v>2036</v>
      </c>
      <c r="Y48" s="51"/>
      <c r="Z48" s="51"/>
      <c r="AA48" s="51"/>
    </row>
    <row r="49" spans="1:25" s="61" customFormat="1" ht="12.3" x14ac:dyDescent="0.4">
      <c r="A49" s="51"/>
      <c r="B49" s="51"/>
      <c r="C49" s="51" t="s">
        <v>106</v>
      </c>
      <c r="D49" s="61">
        <f>D36</f>
        <v>-3136000</v>
      </c>
      <c r="E49" s="61">
        <f t="shared" ref="E49:X49" si="8">E36</f>
        <v>-7578000</v>
      </c>
      <c r="F49" s="61">
        <f t="shared" si="8"/>
        <v>-6625000</v>
      </c>
      <c r="G49" s="61">
        <f t="shared" si="8"/>
        <v>-9570000</v>
      </c>
      <c r="H49" s="61">
        <f t="shared" si="8"/>
        <v>-6091000</v>
      </c>
      <c r="I49" s="61">
        <f t="shared" si="8"/>
        <v>0</v>
      </c>
      <c r="J49" s="61">
        <f t="shared" si="8"/>
        <v>0</v>
      </c>
      <c r="K49" s="61">
        <f t="shared" si="8"/>
        <v>0</v>
      </c>
      <c r="L49" s="61">
        <f t="shared" si="8"/>
        <v>0</v>
      </c>
      <c r="M49" s="61">
        <f t="shared" si="8"/>
        <v>0</v>
      </c>
      <c r="N49" s="61">
        <f t="shared" si="8"/>
        <v>0</v>
      </c>
      <c r="O49" s="61">
        <f t="shared" si="8"/>
        <v>0</v>
      </c>
      <c r="P49" s="61">
        <f t="shared" si="8"/>
        <v>0</v>
      </c>
      <c r="Q49" s="61">
        <f t="shared" si="8"/>
        <v>0</v>
      </c>
      <c r="R49" s="61">
        <f t="shared" si="8"/>
        <v>0</v>
      </c>
      <c r="S49" s="61">
        <f t="shared" si="8"/>
        <v>0</v>
      </c>
      <c r="T49" s="61">
        <f t="shared" si="8"/>
        <v>0</v>
      </c>
      <c r="U49" s="61">
        <f t="shared" si="8"/>
        <v>0</v>
      </c>
      <c r="V49" s="61">
        <f t="shared" si="8"/>
        <v>0</v>
      </c>
      <c r="W49" s="61">
        <f t="shared" si="8"/>
        <v>0</v>
      </c>
      <c r="X49" s="61">
        <f t="shared" si="8"/>
        <v>0</v>
      </c>
    </row>
    <row r="50" spans="1:25" s="61" customFormat="1" ht="12.3" x14ac:dyDescent="0.4">
      <c r="A50" s="51"/>
      <c r="B50" s="51"/>
      <c r="C50" s="51" t="s">
        <v>111</v>
      </c>
      <c r="D50" s="61">
        <f>-Costs!D16</f>
        <v>-73837.33428878538</v>
      </c>
      <c r="E50" s="61">
        <f>-Costs!E16</f>
        <v>-110475.09957566448</v>
      </c>
      <c r="F50" s="61">
        <f>-Costs!F16</f>
        <v>-132920.19933984856</v>
      </c>
      <c r="G50" s="61">
        <f>-Costs!G16</f>
        <v>-235352.73905107926</v>
      </c>
      <c r="H50" s="61">
        <f>-Costs!H16</f>
        <v>-181572.64762771645</v>
      </c>
      <c r="I50" s="61">
        <f>-Costs!I16</f>
        <v>-733333.33333333337</v>
      </c>
      <c r="J50" s="61">
        <f>-Costs!J16</f>
        <v>0</v>
      </c>
    </row>
    <row r="51" spans="1:25" s="61" customFormat="1" ht="12.3" x14ac:dyDescent="0.4">
      <c r="A51" s="51"/>
      <c r="B51" s="51"/>
      <c r="C51" s="51" t="s">
        <v>112</v>
      </c>
      <c r="D51" s="61">
        <f>-Costs!D17</f>
        <v>-14953.033378388665</v>
      </c>
      <c r="E51" s="61">
        <f>-Costs!E17</f>
        <v>-11479.482465734642</v>
      </c>
      <c r="F51" s="61">
        <f>-Costs!F17</f>
        <v>-9841.480036553412</v>
      </c>
      <c r="G51" s="61">
        <f>-Costs!G17</f>
        <v>-16149.859335575897</v>
      </c>
      <c r="H51" s="61">
        <f>-Costs!H17</f>
        <v>-22601.032711880966</v>
      </c>
      <c r="I51" s="61">
        <f>-Costs!I17</f>
        <v>-80666.666666666672</v>
      </c>
      <c r="J51" s="61">
        <f>-Costs!J17</f>
        <v>0</v>
      </c>
    </row>
    <row r="52" spans="1:25" x14ac:dyDescent="0.45">
      <c r="A52" s="141">
        <v>7</v>
      </c>
      <c r="B52" s="51"/>
      <c r="C52" s="51" t="s">
        <v>113</v>
      </c>
      <c r="D52" s="61">
        <f>D37*$D$14*'Exchange Rate'!H13</f>
        <v>0</v>
      </c>
      <c r="E52" s="61">
        <f>E37*$D$14*'Exchange Rate'!I13</f>
        <v>0</v>
      </c>
      <c r="F52" s="61">
        <f>(F37*$D$14*'Exchange Rate'!J13)</f>
        <v>-13048098.746366389</v>
      </c>
      <c r="G52" s="61">
        <f>(G37*$D$14*'Exchange Rate'!K13)</f>
        <v>-15281666.481305068</v>
      </c>
      <c r="H52" s="61">
        <f>(H37*$D$14*'Exchange Rate'!L13)</f>
        <v>-20633507.028400935</v>
      </c>
      <c r="I52" s="61">
        <f>(I37*$D$14*'Exchange Rate'!M13)</f>
        <v>-2579188.3785501169</v>
      </c>
      <c r="J52" s="61"/>
      <c r="K52" s="61"/>
      <c r="L52" s="61"/>
      <c r="M52" s="61"/>
      <c r="N52" s="61"/>
      <c r="O52" s="61"/>
      <c r="P52" s="61"/>
      <c r="Q52" s="61"/>
      <c r="R52" s="61">
        <f>(F37*$D$14*'Exchange Rate'!V13)</f>
        <v>-12895941.892750585</v>
      </c>
      <c r="S52" s="61">
        <f>(G37*$D$14*'Exchange Rate'!W13)</f>
        <v>-15475130.271300701</v>
      </c>
      <c r="T52" s="61">
        <f>(H37*$D$14*'Exchange Rate'!X13)</f>
        <v>-20633507.028400935</v>
      </c>
      <c r="U52" s="61">
        <f>(I37*$D$14*'Exchange Rate'!Y13)</f>
        <v>-2579188.3785501169</v>
      </c>
      <c r="V52" s="61">
        <f>(J37*$D$14*'Exchange Rate'!Z13)</f>
        <v>0</v>
      </c>
      <c r="W52" s="61">
        <f>(K37*$D$14*'Exchange Rate'!AA13)</f>
        <v>0</v>
      </c>
      <c r="X52" s="61">
        <f>(L37*$D$14*'Exchange Rate'!AB13)</f>
        <v>0</v>
      </c>
      <c r="Y52" s="64"/>
    </row>
    <row r="53" spans="1:25" x14ac:dyDescent="0.45">
      <c r="A53" s="51"/>
      <c r="B53" s="51"/>
      <c r="C53" s="51" t="s">
        <v>114</v>
      </c>
      <c r="D53" s="61">
        <f t="shared" ref="D53:K53" si="9">+D43*$D$16*(-1)</f>
        <v>0</v>
      </c>
      <c r="E53" s="61">
        <f t="shared" si="9"/>
        <v>0</v>
      </c>
      <c r="F53" s="61">
        <f t="shared" si="9"/>
        <v>0</v>
      </c>
      <c r="G53" s="61">
        <f t="shared" si="9"/>
        <v>0</v>
      </c>
      <c r="H53" s="61">
        <f t="shared" si="9"/>
        <v>0</v>
      </c>
      <c r="I53" s="61">
        <f t="shared" si="9"/>
        <v>0</v>
      </c>
      <c r="J53" s="61">
        <f t="shared" si="9"/>
        <v>0</v>
      </c>
      <c r="K53" s="61">
        <f t="shared" si="9"/>
        <v>0</v>
      </c>
      <c r="L53" s="61">
        <f>+L43*$D$16*(-1)*'Exchange Rate'!P13</f>
        <v>-2571967.6414502091</v>
      </c>
      <c r="M53" s="61">
        <f>+M43*$D$16*(-1)*'Exchange Rate'!Q13</f>
        <v>-5658328.8111904599</v>
      </c>
      <c r="N53" s="61">
        <f>+N43*$D$16*(-1)*'Exchange Rate'!R13</f>
        <v>-9773477.0375107937</v>
      </c>
      <c r="O53" s="61">
        <f>+O43*$D$16*(-1)*'Exchange Rate'!S13</f>
        <v>-10287870.565800836</v>
      </c>
      <c r="P53" s="61">
        <f>+P43*$D$16*(-1)*'Exchange Rate'!T13</f>
        <v>-10287870.565800836</v>
      </c>
      <c r="Q53" s="61">
        <f>+Q43*$D$16*(-1)*'Exchange Rate'!U13</f>
        <v>-10287870.565800836</v>
      </c>
      <c r="R53" s="61">
        <f>+R43*$D$16*(-1)*'Exchange Rate'!V13</f>
        <v>-10287870.565800836</v>
      </c>
      <c r="S53" s="61">
        <f>+S43*$D$16*(-1)*'Exchange Rate'!W13</f>
        <v>-10287870.565800836</v>
      </c>
      <c r="T53" s="61">
        <f>+T43*$D$16*(-1)*'Exchange Rate'!X13</f>
        <v>-10287870.565800836</v>
      </c>
      <c r="U53" s="61">
        <f>+U43*$D$16*(-1)*'Exchange Rate'!Y13</f>
        <v>-10287870.565800836</v>
      </c>
      <c r="V53" s="61">
        <f>+V43*$D$16*(-1)*'Exchange Rate'!Z13</f>
        <v>-10287870.565800836</v>
      </c>
      <c r="W53" s="61">
        <f>+W43*$D$16*(-1)*'Exchange Rate'!AA13</f>
        <v>-10287870.565800836</v>
      </c>
      <c r="X53" s="61">
        <f>+X43*$D$16*(-1)*'Exchange Rate'!AB13</f>
        <v>-10287870.565800836</v>
      </c>
      <c r="Y53" s="64"/>
    </row>
    <row r="54" spans="1:25" x14ac:dyDescent="0.45">
      <c r="A54" s="51"/>
      <c r="B54" s="51"/>
      <c r="C54" s="51" t="s">
        <v>115</v>
      </c>
      <c r="D54" s="61">
        <f t="shared" ref="D54:K54" si="10">+D43*$D$17*(-1)</f>
        <v>0</v>
      </c>
      <c r="E54" s="61">
        <f t="shared" si="10"/>
        <v>0</v>
      </c>
      <c r="F54" s="61">
        <f t="shared" si="10"/>
        <v>0</v>
      </c>
      <c r="G54" s="61">
        <f t="shared" si="10"/>
        <v>0</v>
      </c>
      <c r="H54" s="61">
        <f t="shared" si="10"/>
        <v>0</v>
      </c>
      <c r="I54" s="61">
        <f t="shared" si="10"/>
        <v>0</v>
      </c>
      <c r="J54" s="61">
        <f t="shared" si="10"/>
        <v>0</v>
      </c>
      <c r="K54" s="61">
        <f t="shared" si="10"/>
        <v>0</v>
      </c>
      <c r="L54" s="61">
        <f>+L43*$D$17*(-1)*'Exchange Rate'!P13</f>
        <v>-1733801.5760701238</v>
      </c>
      <c r="M54" s="61">
        <f>+M43*$D$17*(-1)*'Exchange Rate'!Q13</f>
        <v>-3814363.467354272</v>
      </c>
      <c r="N54" s="61">
        <f>+N43*$D$17*(-1)*'Exchange Rate'!R13</f>
        <v>-6588445.9890664704</v>
      </c>
      <c r="O54" s="61">
        <f>+O43*$D$17*(-1)*'Exchange Rate'!S13</f>
        <v>-6935206.3042804953</v>
      </c>
      <c r="P54" s="61">
        <f>+P43*$D$17*(-1)*'Exchange Rate'!T13</f>
        <v>-6935206.3042804953</v>
      </c>
      <c r="Q54" s="61">
        <f>+Q43*$D$17*(-1)*'Exchange Rate'!U13</f>
        <v>-6935206.3042804953</v>
      </c>
      <c r="R54" s="61">
        <f>+R43*$D$17*(-1)*'Exchange Rate'!V13</f>
        <v>-6935206.3042804953</v>
      </c>
      <c r="S54" s="61">
        <f>+S43*$D$17*(-1)*'Exchange Rate'!W13</f>
        <v>-6935206.3042804953</v>
      </c>
      <c r="T54" s="61">
        <f>+T43*$D$17*(-1)*'Exchange Rate'!X13</f>
        <v>-6935206.3042804953</v>
      </c>
      <c r="U54" s="61">
        <f>+U43*$D$17*(-1)*'Exchange Rate'!Y13</f>
        <v>-6935206.3042804953</v>
      </c>
      <c r="V54" s="61">
        <f>+V43*$D$17*(-1)*'Exchange Rate'!Z13</f>
        <v>-6935206.3042804953</v>
      </c>
      <c r="W54" s="61">
        <f>+W43*$D$17*(-1)*'Exchange Rate'!AA13</f>
        <v>-6935206.3042804953</v>
      </c>
      <c r="X54" s="61">
        <f>+X43*$D$17*(-1)*'Exchange Rate'!AB13</f>
        <v>-6935206.3042804953</v>
      </c>
      <c r="Y54" s="64"/>
    </row>
    <row r="55" spans="1:25" x14ac:dyDescent="0.45">
      <c r="A55" s="51"/>
      <c r="B55" s="51"/>
      <c r="C55" s="141" t="s">
        <v>116</v>
      </c>
      <c r="D55" s="61">
        <f t="shared" ref="D55:X55" si="11">SUM(D49:D54)*$D$28</f>
        <v>-3224790.367667174</v>
      </c>
      <c r="E55" s="61">
        <f t="shared" si="11"/>
        <v>-7699954.5820413996</v>
      </c>
      <c r="F55" s="61">
        <f t="shared" si="11"/>
        <v>-19815860.42574279</v>
      </c>
      <c r="G55" s="61">
        <f t="shared" si="11"/>
        <v>-25103169.079691723</v>
      </c>
      <c r="H55" s="61">
        <f t="shared" si="11"/>
        <v>-26928680.708740532</v>
      </c>
      <c r="I55" s="61">
        <f t="shared" si="11"/>
        <v>-3393188.3785501169</v>
      </c>
      <c r="J55" s="61">
        <f t="shared" si="11"/>
        <v>0</v>
      </c>
      <c r="K55" s="61">
        <f t="shared" si="11"/>
        <v>0</v>
      </c>
      <c r="L55" s="61">
        <f t="shared" si="11"/>
        <v>-4305769.2175203329</v>
      </c>
      <c r="M55" s="61">
        <f t="shared" si="11"/>
        <v>-9472692.2785447314</v>
      </c>
      <c r="N55" s="61">
        <f t="shared" si="11"/>
        <v>-16361923.026577264</v>
      </c>
      <c r="O55" s="61">
        <f t="shared" si="11"/>
        <v>-17223076.870081332</v>
      </c>
      <c r="P55" s="61">
        <f t="shared" si="11"/>
        <v>-17223076.870081332</v>
      </c>
      <c r="Q55" s="61">
        <f t="shared" si="11"/>
        <v>-17223076.870081332</v>
      </c>
      <c r="R55" s="61">
        <f t="shared" si="11"/>
        <v>-30119018.762831919</v>
      </c>
      <c r="S55" s="61">
        <f t="shared" si="11"/>
        <v>-32698207.141382031</v>
      </c>
      <c r="T55" s="61">
        <f t="shared" si="11"/>
        <v>-37856583.898482271</v>
      </c>
      <c r="U55" s="61">
        <f t="shared" si="11"/>
        <v>-19802265.248631448</v>
      </c>
      <c r="V55" s="61">
        <f t="shared" si="11"/>
        <v>-17223076.870081332</v>
      </c>
      <c r="W55" s="61">
        <f t="shared" si="11"/>
        <v>-17223076.870081332</v>
      </c>
      <c r="X55" s="61">
        <f t="shared" si="11"/>
        <v>-17223076.870081332</v>
      </c>
      <c r="Y55" s="64"/>
    </row>
    <row r="56" spans="1:25" ht="14.1" thickBot="1" x14ac:dyDescent="0.5">
      <c r="A56" s="51"/>
      <c r="B56" s="66"/>
      <c r="C56" s="66" t="s">
        <v>117</v>
      </c>
      <c r="D56" s="67">
        <f>D55/Inflation!H20</f>
        <v>-3293481.9498859094</v>
      </c>
      <c r="E56" s="67">
        <f>E55/Inflation!I20</f>
        <v>-7699954.5820413996</v>
      </c>
      <c r="F56" s="67">
        <f>F55/Inflation!J20</f>
        <v>-19343382.202991545</v>
      </c>
      <c r="G56" s="67">
        <f>G55/Inflation!K20</f>
        <v>-24068452.327291951</v>
      </c>
      <c r="H56" s="67">
        <f>H55/Inflation!L20</f>
        <v>-25504104.663525239</v>
      </c>
      <c r="I56" s="67">
        <f>I55/Inflation!M20</f>
        <v>-3153401.4549286636</v>
      </c>
      <c r="J56" s="67">
        <f>J55/Inflation!N20</f>
        <v>0</v>
      </c>
      <c r="K56" s="67">
        <f>K55/Inflation!O20</f>
        <v>0</v>
      </c>
      <c r="L56" s="67">
        <f>L55/Inflation!P20</f>
        <v>-3780514.4693674184</v>
      </c>
      <c r="M56" s="67">
        <f>M55/Inflation!Q20</f>
        <v>-8161122.0568627706</v>
      </c>
      <c r="N56" s="67">
        <f>N55/Inflation!R20</f>
        <v>-13832066.770375894</v>
      </c>
      <c r="O56" s="67">
        <f>O55/Inflation!S20</f>
        <v>-14286957.708581485</v>
      </c>
      <c r="P56" s="67">
        <f>P55/Inflation!T20</f>
        <v>-14018968.08029842</v>
      </c>
      <c r="Q56" s="67">
        <f>Q55/Inflation!U20</f>
        <v>-13756005.305340758</v>
      </c>
      <c r="R56" s="67">
        <f>R55/Inflation!V20</f>
        <v>-23604711.754860055</v>
      </c>
      <c r="S56" s="67">
        <f>S55/Inflation!W20</f>
        <v>-25145374.662608277</v>
      </c>
      <c r="T56" s="67">
        <f>T55/Inflation!X20</f>
        <v>-28566160.994500723</v>
      </c>
      <c r="U56" s="67">
        <f>U55/Inflation!Y20</f>
        <v>-14662283.727515988</v>
      </c>
      <c r="V56" s="67">
        <f>V55/Inflation!Z20</f>
        <v>-12513355.225448055</v>
      </c>
      <c r="W56" s="67">
        <f>W55/Inflation!AA20</f>
        <v>-12278634.196391776</v>
      </c>
      <c r="X56" s="67">
        <f>X55/Inflation!AB20</f>
        <v>-12048315.980209315</v>
      </c>
    </row>
    <row r="57" spans="1:25" x14ac:dyDescent="0.45">
      <c r="A57" s="51"/>
      <c r="B57" s="51"/>
      <c r="C57" s="51"/>
      <c r="D57" s="61"/>
      <c r="E57" s="61"/>
      <c r="F57" s="61"/>
      <c r="G57" s="61"/>
      <c r="H57" s="61"/>
      <c r="I57" s="61"/>
      <c r="J57" s="61"/>
      <c r="K57" s="61"/>
      <c r="L57" s="61"/>
      <c r="M57" s="61"/>
      <c r="N57" s="61"/>
      <c r="O57" s="64"/>
      <c r="P57" s="64"/>
      <c r="Q57" s="64"/>
      <c r="R57" s="64"/>
      <c r="S57" s="64"/>
      <c r="T57" s="64"/>
      <c r="U57" s="64"/>
      <c r="V57" s="64"/>
      <c r="W57" s="64"/>
      <c r="X57" s="64"/>
      <c r="Y57" s="64"/>
    </row>
    <row r="58" spans="1:25" ht="14.1" thickBot="1" x14ac:dyDescent="0.5">
      <c r="A58" s="51"/>
      <c r="B58" s="52">
        <v>3.02</v>
      </c>
      <c r="C58" s="52" t="s">
        <v>118</v>
      </c>
      <c r="D58" s="52"/>
      <c r="E58" s="52"/>
      <c r="F58" s="52"/>
      <c r="G58" s="52"/>
      <c r="H58" s="52"/>
      <c r="I58" s="52"/>
      <c r="J58" s="52"/>
      <c r="K58" s="52"/>
      <c r="L58" s="52"/>
      <c r="M58" s="52"/>
      <c r="N58" s="52"/>
      <c r="O58" s="52"/>
      <c r="P58" s="52"/>
      <c r="Q58" s="52"/>
      <c r="R58" s="52"/>
      <c r="S58" s="52"/>
      <c r="T58" s="52"/>
      <c r="U58" s="52"/>
      <c r="V58" s="52"/>
      <c r="W58" s="52"/>
      <c r="X58" s="52"/>
    </row>
    <row r="59" spans="1:25" s="71" customFormat="1" x14ac:dyDescent="0.45">
      <c r="A59" s="72"/>
      <c r="B59" s="72"/>
      <c r="C59" s="51" t="s">
        <v>119</v>
      </c>
      <c r="D59" s="72">
        <f t="shared" ref="D59:X59" si="12">$D$18*D43</f>
        <v>0</v>
      </c>
      <c r="E59" s="72">
        <f t="shared" si="12"/>
        <v>0</v>
      </c>
      <c r="F59" s="72">
        <f t="shared" si="12"/>
        <v>0</v>
      </c>
      <c r="G59" s="72">
        <f t="shared" si="12"/>
        <v>0</v>
      </c>
      <c r="H59" s="72">
        <f t="shared" si="12"/>
        <v>0</v>
      </c>
      <c r="I59" s="72">
        <f t="shared" si="12"/>
        <v>0</v>
      </c>
      <c r="J59" s="72">
        <f t="shared" si="12"/>
        <v>0</v>
      </c>
      <c r="K59" s="72">
        <f t="shared" si="12"/>
        <v>0</v>
      </c>
      <c r="L59" s="72">
        <f>$D$18*L43</f>
        <v>145409629.47814384</v>
      </c>
      <c r="M59" s="72">
        <f t="shared" si="12"/>
        <v>319901184.85191643</v>
      </c>
      <c r="N59" s="72">
        <f t="shared" si="12"/>
        <v>552556592.01694655</v>
      </c>
      <c r="O59" s="72">
        <f t="shared" si="12"/>
        <v>581638517.91257536</v>
      </c>
      <c r="P59" s="72">
        <f t="shared" si="12"/>
        <v>581638517.91257536</v>
      </c>
      <c r="Q59" s="72">
        <f t="shared" si="12"/>
        <v>581638517.91257536</v>
      </c>
      <c r="R59" s="72">
        <f t="shared" si="12"/>
        <v>581638517.91257536</v>
      </c>
      <c r="S59" s="72">
        <f t="shared" si="12"/>
        <v>581638517.91257536</v>
      </c>
      <c r="T59" s="72">
        <f t="shared" si="12"/>
        <v>581638517.91257536</v>
      </c>
      <c r="U59" s="72">
        <f t="shared" si="12"/>
        <v>581638517.91257536</v>
      </c>
      <c r="V59" s="72">
        <f t="shared" si="12"/>
        <v>581638517.91257536</v>
      </c>
      <c r="W59" s="72">
        <f t="shared" si="12"/>
        <v>581638517.91257536</v>
      </c>
      <c r="X59" s="72">
        <f t="shared" si="12"/>
        <v>581638517.91257536</v>
      </c>
    </row>
    <row r="60" spans="1:25" x14ac:dyDescent="0.45">
      <c r="A60" s="51"/>
      <c r="B60" s="51"/>
      <c r="C60" s="51" t="s">
        <v>120</v>
      </c>
      <c r="D60" s="72">
        <f t="shared" ref="D60:X60" si="13">$D$19*D43</f>
        <v>0</v>
      </c>
      <c r="E60" s="72">
        <f t="shared" si="13"/>
        <v>0</v>
      </c>
      <c r="F60" s="72">
        <f t="shared" si="13"/>
        <v>0</v>
      </c>
      <c r="G60" s="72">
        <f t="shared" si="13"/>
        <v>0</v>
      </c>
      <c r="H60" s="72">
        <f t="shared" si="13"/>
        <v>0</v>
      </c>
      <c r="I60" s="72">
        <f t="shared" si="13"/>
        <v>0</v>
      </c>
      <c r="J60" s="72">
        <f t="shared" si="13"/>
        <v>0</v>
      </c>
      <c r="K60" s="72">
        <f t="shared" si="13"/>
        <v>0</v>
      </c>
      <c r="L60" s="72">
        <f t="shared" si="13"/>
        <v>31858568.70229008</v>
      </c>
      <c r="M60" s="72">
        <f t="shared" si="13"/>
        <v>70088851.145038173</v>
      </c>
      <c r="N60" s="72">
        <f t="shared" si="13"/>
        <v>121062561.06870231</v>
      </c>
      <c r="O60" s="72">
        <f t="shared" si="13"/>
        <v>127434274.80916032</v>
      </c>
      <c r="P60" s="72">
        <f t="shared" si="13"/>
        <v>127434274.80916032</v>
      </c>
      <c r="Q60" s="72">
        <f t="shared" si="13"/>
        <v>127434274.80916032</v>
      </c>
      <c r="R60" s="72">
        <f t="shared" si="13"/>
        <v>127434274.80916032</v>
      </c>
      <c r="S60" s="72">
        <f t="shared" si="13"/>
        <v>127434274.80916032</v>
      </c>
      <c r="T60" s="72">
        <f t="shared" si="13"/>
        <v>127434274.80916032</v>
      </c>
      <c r="U60" s="72">
        <f t="shared" si="13"/>
        <v>127434274.80916032</v>
      </c>
      <c r="V60" s="72">
        <f t="shared" si="13"/>
        <v>127434274.80916032</v>
      </c>
      <c r="W60" s="72">
        <f t="shared" si="13"/>
        <v>127434274.80916032</v>
      </c>
      <c r="X60" s="72">
        <f t="shared" si="13"/>
        <v>127434274.80916032</v>
      </c>
      <c r="Y60" s="71"/>
    </row>
    <row r="61" spans="1:25" x14ac:dyDescent="0.45">
      <c r="A61" s="51"/>
      <c r="B61" s="51"/>
      <c r="C61" s="141" t="s">
        <v>121</v>
      </c>
      <c r="D61" s="72">
        <f t="shared" ref="D61:X61" si="14">(D59+D60)*$D$29</f>
        <v>0</v>
      </c>
      <c r="E61" s="72">
        <f t="shared" si="14"/>
        <v>0</v>
      </c>
      <c r="F61" s="72">
        <f t="shared" si="14"/>
        <v>0</v>
      </c>
      <c r="G61" s="72">
        <f t="shared" si="14"/>
        <v>0</v>
      </c>
      <c r="H61" s="72">
        <f t="shared" si="14"/>
        <v>0</v>
      </c>
      <c r="I61" s="72">
        <f t="shared" si="14"/>
        <v>0</v>
      </c>
      <c r="J61" s="72">
        <f t="shared" si="14"/>
        <v>0</v>
      </c>
      <c r="K61" s="72">
        <f t="shared" si="14"/>
        <v>0</v>
      </c>
      <c r="L61" s="72">
        <f t="shared" si="14"/>
        <v>177268198.18043393</v>
      </c>
      <c r="M61" s="72">
        <f t="shared" si="14"/>
        <v>389990035.99695462</v>
      </c>
      <c r="N61" s="72">
        <f t="shared" si="14"/>
        <v>673619153.08564889</v>
      </c>
      <c r="O61" s="72">
        <f t="shared" si="14"/>
        <v>709072792.72173572</v>
      </c>
      <c r="P61" s="72">
        <f t="shared" si="14"/>
        <v>709072792.72173572</v>
      </c>
      <c r="Q61" s="72">
        <f t="shared" si="14"/>
        <v>709072792.72173572</v>
      </c>
      <c r="R61" s="72">
        <f t="shared" si="14"/>
        <v>709072792.72173572</v>
      </c>
      <c r="S61" s="72">
        <f t="shared" si="14"/>
        <v>709072792.72173572</v>
      </c>
      <c r="T61" s="72">
        <f t="shared" si="14"/>
        <v>709072792.72173572</v>
      </c>
      <c r="U61" s="72">
        <f t="shared" si="14"/>
        <v>709072792.72173572</v>
      </c>
      <c r="V61" s="72">
        <f t="shared" si="14"/>
        <v>709072792.72173572</v>
      </c>
      <c r="W61" s="72">
        <f t="shared" si="14"/>
        <v>709072792.72173572</v>
      </c>
      <c r="X61" s="72">
        <f t="shared" si="14"/>
        <v>709072792.72173572</v>
      </c>
      <c r="Y61" s="71"/>
    </row>
    <row r="62" spans="1:25" x14ac:dyDescent="0.45">
      <c r="A62" s="51"/>
      <c r="B62" s="51"/>
      <c r="C62" s="141" t="s">
        <v>122</v>
      </c>
      <c r="D62" s="72">
        <f>D61*'Exchange Rate'!H13</f>
        <v>0</v>
      </c>
      <c r="E62" s="72">
        <f>E61*'Exchange Rate'!I13</f>
        <v>0</v>
      </c>
      <c r="F62" s="72">
        <f>F61*'Exchange Rate'!J13</f>
        <v>0</v>
      </c>
      <c r="G62" s="72">
        <f>G61*'Exchange Rate'!K13</f>
        <v>0</v>
      </c>
      <c r="H62" s="72">
        <f>H61*'Exchange Rate'!L13</f>
        <v>0</v>
      </c>
      <c r="I62" s="72">
        <f>I61*'Exchange Rate'!M13</f>
        <v>0</v>
      </c>
      <c r="J62" s="72">
        <f>J61*'Exchange Rate'!N13</f>
        <v>0</v>
      </c>
      <c r="K62" s="72">
        <f>K61*'Exchange Rate'!O13</f>
        <v>0</v>
      </c>
      <c r="L62" s="72">
        <f>L61*'Exchange Rate'!P13</f>
        <v>18666004.850439269</v>
      </c>
      <c r="M62" s="72">
        <f>M61*'Exchange Rate'!Q13</f>
        <v>41065210.670966394</v>
      </c>
      <c r="N62" s="72">
        <f>N61*'Exchange Rate'!R13</f>
        <v>70930818.43166922</v>
      </c>
      <c r="O62" s="72">
        <f>O61*'Exchange Rate'!S13</f>
        <v>74664019.401757076</v>
      </c>
      <c r="P62" s="72">
        <f>P61*'Exchange Rate'!T13</f>
        <v>74664019.401757076</v>
      </c>
      <c r="Q62" s="72">
        <f>Q61*'Exchange Rate'!U13</f>
        <v>74664019.401757076</v>
      </c>
      <c r="R62" s="72">
        <f>R61*'Exchange Rate'!V13</f>
        <v>74664019.401757076</v>
      </c>
      <c r="S62" s="72">
        <f>S61*'Exchange Rate'!W13</f>
        <v>74664019.401757076</v>
      </c>
      <c r="T62" s="72">
        <f>T61*'Exchange Rate'!X13</f>
        <v>74664019.401757076</v>
      </c>
      <c r="U62" s="72">
        <f>U61*'Exchange Rate'!Y13</f>
        <v>74664019.401757076</v>
      </c>
      <c r="V62" s="72">
        <f>V61*'Exchange Rate'!Z13</f>
        <v>74664019.401757076</v>
      </c>
      <c r="W62" s="72">
        <f>W61*'Exchange Rate'!AA13</f>
        <v>74664019.401757076</v>
      </c>
      <c r="X62" s="72">
        <f>X61*'Exchange Rate'!AB13</f>
        <v>74664019.401757076</v>
      </c>
      <c r="Y62" s="71"/>
    </row>
    <row r="63" spans="1:25" ht="14.1" thickBot="1" x14ac:dyDescent="0.5">
      <c r="A63" s="51"/>
      <c r="B63" s="66"/>
      <c r="C63" s="66" t="s">
        <v>123</v>
      </c>
      <c r="D63" s="73">
        <f>D62/Inflation!H20</f>
        <v>0</v>
      </c>
      <c r="E63" s="73">
        <f>E62/Inflation!I20</f>
        <v>0</v>
      </c>
      <c r="F63" s="73">
        <f>F62/Inflation!J20</f>
        <v>0</v>
      </c>
      <c r="G63" s="73">
        <f>G62/Inflation!K20</f>
        <v>0</v>
      </c>
      <c r="H63" s="73">
        <f>H62/Inflation!L20</f>
        <v>0</v>
      </c>
      <c r="I63" s="73">
        <f>I62/Inflation!M20</f>
        <v>0</v>
      </c>
      <c r="J63" s="73">
        <f>J62/Inflation!N20</f>
        <v>0</v>
      </c>
      <c r="K63" s="73">
        <f>K62/Inflation!O20</f>
        <v>0</v>
      </c>
      <c r="L63" s="73">
        <f>L62/Inflation!P20</f>
        <v>16388965.097160328</v>
      </c>
      <c r="M63" s="73">
        <f>M62/Inflation!Q20</f>
        <v>35379402.890096493</v>
      </c>
      <c r="N63" s="73">
        <f>N62/Inflation!R20</f>
        <v>59963600.551756009</v>
      </c>
      <c r="O63" s="73">
        <f>O62/Inflation!S20</f>
        <v>61935605.094966605</v>
      </c>
      <c r="P63" s="73">
        <f>P62/Inflation!T20</f>
        <v>60773839.229521565</v>
      </c>
      <c r="Q63" s="73">
        <f>Q62/Inflation!U20</f>
        <v>59633865.351480924</v>
      </c>
      <c r="R63" s="73">
        <f>R62/Inflation!V20</f>
        <v>58515274.694561265</v>
      </c>
      <c r="S63" s="73">
        <f>S62/Inflation!W20</f>
        <v>57417666.159970455</v>
      </c>
      <c r="T63" s="73">
        <f>T62/Inflation!X20</f>
        <v>56340646.172583684</v>
      </c>
      <c r="U63" s="73">
        <f>U62/Inflation!Y20</f>
        <v>55283828.539817162</v>
      </c>
      <c r="V63" s="73">
        <f>V62/Inflation!Z20</f>
        <v>54246834.313149065</v>
      </c>
      <c r="W63" s="73">
        <f>W62/Inflation!AA20</f>
        <v>53229291.652237989</v>
      </c>
      <c r="X63" s="73">
        <f>X62/Inflation!AB20</f>
        <v>52230835.691590346</v>
      </c>
    </row>
    <row r="64" spans="1:25" ht="14.1" thickBot="1" x14ac:dyDescent="0.5">
      <c r="A64" s="51"/>
      <c r="B64" s="68"/>
      <c r="C64" s="68" t="s">
        <v>124</v>
      </c>
      <c r="D64" s="74">
        <f t="shared" ref="D64:X64" si="15">D56+D63</f>
        <v>-3293481.9498859094</v>
      </c>
      <c r="E64" s="74">
        <f t="shared" si="15"/>
        <v>-7699954.5820413996</v>
      </c>
      <c r="F64" s="74">
        <f t="shared" si="15"/>
        <v>-19343382.202991545</v>
      </c>
      <c r="G64" s="74">
        <f t="shared" si="15"/>
        <v>-24068452.327291951</v>
      </c>
      <c r="H64" s="74">
        <f t="shared" si="15"/>
        <v>-25504104.663525239</v>
      </c>
      <c r="I64" s="74">
        <f t="shared" si="15"/>
        <v>-3153401.4549286636</v>
      </c>
      <c r="J64" s="74">
        <f t="shared" si="15"/>
        <v>0</v>
      </c>
      <c r="K64" s="74">
        <f t="shared" si="15"/>
        <v>0</v>
      </c>
      <c r="L64" s="74">
        <f t="shared" si="15"/>
        <v>12608450.62779291</v>
      </c>
      <c r="M64" s="74">
        <f t="shared" si="15"/>
        <v>27218280.833233722</v>
      </c>
      <c r="N64" s="74">
        <f t="shared" si="15"/>
        <v>46131533.781380117</v>
      </c>
      <c r="O64" s="74">
        <f t="shared" si="15"/>
        <v>47648647.38638512</v>
      </c>
      <c r="P64" s="74">
        <f t="shared" si="15"/>
        <v>46754871.149223149</v>
      </c>
      <c r="Q64" s="74">
        <f t="shared" si="15"/>
        <v>45877860.046140164</v>
      </c>
      <c r="R64" s="74">
        <f t="shared" si="15"/>
        <v>34910562.939701214</v>
      </c>
      <c r="S64" s="74">
        <f t="shared" si="15"/>
        <v>32272291.497362178</v>
      </c>
      <c r="T64" s="74">
        <f t="shared" si="15"/>
        <v>27774485.178082962</v>
      </c>
      <c r="U64" s="74">
        <f t="shared" si="15"/>
        <v>40621544.812301174</v>
      </c>
      <c r="V64" s="74">
        <f t="shared" si="15"/>
        <v>41733479.087701008</v>
      </c>
      <c r="W64" s="74">
        <f t="shared" si="15"/>
        <v>40950657.455846213</v>
      </c>
      <c r="X64" s="74">
        <f t="shared" si="15"/>
        <v>40182519.711381033</v>
      </c>
    </row>
    <row r="65" spans="1:24" x14ac:dyDescent="0.45">
      <c r="A65" s="51"/>
      <c r="B65" s="51"/>
      <c r="C65" s="51"/>
      <c r="D65" s="51"/>
      <c r="E65" s="51"/>
      <c r="F65" s="51"/>
      <c r="G65" s="51"/>
      <c r="H65" s="51"/>
      <c r="I65" s="51"/>
      <c r="J65" s="51"/>
      <c r="K65" s="69"/>
      <c r="L65" s="69"/>
      <c r="M65" s="69"/>
      <c r="N65" s="69"/>
      <c r="O65" s="69"/>
      <c r="P65" s="69"/>
      <c r="Q65" s="69"/>
      <c r="R65" s="69"/>
      <c r="S65" s="69"/>
      <c r="T65" s="69"/>
      <c r="U65" s="69"/>
      <c r="V65" s="69"/>
      <c r="W65" s="69"/>
      <c r="X65" s="69"/>
    </row>
    <row r="66" spans="1:24" x14ac:dyDescent="0.45">
      <c r="C66" s="70" t="s">
        <v>125</v>
      </c>
      <c r="D66" s="272">
        <f>IRR(D64:X64)</f>
        <v>0.18174415518666165</v>
      </c>
    </row>
    <row r="68" spans="1:24" ht="14.1" thickBot="1" x14ac:dyDescent="0.5">
      <c r="A68" s="120" t="s">
        <v>35</v>
      </c>
      <c r="B68" s="128"/>
      <c r="C68" s="128"/>
      <c r="D68" s="128"/>
      <c r="E68" s="128"/>
      <c r="F68" s="128"/>
      <c r="G68" s="128"/>
      <c r="H68" s="128"/>
      <c r="I68" s="128"/>
      <c r="J68" s="116"/>
    </row>
    <row r="69" spans="1:24" ht="13.5" customHeight="1" x14ac:dyDescent="0.45">
      <c r="A69" s="471">
        <v>1</v>
      </c>
      <c r="B69" s="653" t="s">
        <v>126</v>
      </c>
      <c r="C69" s="653"/>
      <c r="D69" s="653"/>
      <c r="E69" s="653"/>
      <c r="F69" s="653"/>
      <c r="G69" s="653"/>
      <c r="H69" s="653"/>
      <c r="I69" s="653"/>
      <c r="J69" s="116"/>
    </row>
    <row r="70" spans="1:24" ht="15" customHeight="1" x14ac:dyDescent="0.45">
      <c r="A70" s="471">
        <v>2</v>
      </c>
      <c r="B70" s="654" t="s">
        <v>127</v>
      </c>
      <c r="C70" s="654"/>
      <c r="D70" s="654"/>
      <c r="E70" s="654"/>
      <c r="F70" s="654"/>
      <c r="G70" s="654"/>
      <c r="H70" s="654"/>
      <c r="I70" s="654"/>
      <c r="J70" s="116"/>
    </row>
    <row r="71" spans="1:24" x14ac:dyDescent="0.45">
      <c r="A71" s="471">
        <v>3</v>
      </c>
      <c r="B71" s="653" t="s">
        <v>128</v>
      </c>
      <c r="C71" s="653"/>
      <c r="D71" s="653"/>
      <c r="E71" s="653"/>
      <c r="F71" s="653"/>
      <c r="G71" s="653"/>
      <c r="H71" s="653"/>
      <c r="I71" s="653"/>
      <c r="J71" s="116"/>
    </row>
    <row r="72" spans="1:24" x14ac:dyDescent="0.45">
      <c r="A72" s="471">
        <v>4</v>
      </c>
      <c r="B72" s="653" t="s">
        <v>129</v>
      </c>
      <c r="C72" s="653"/>
      <c r="D72" s="653"/>
      <c r="E72" s="653"/>
      <c r="F72" s="653"/>
      <c r="G72" s="653"/>
      <c r="H72" s="653"/>
      <c r="I72" s="653"/>
      <c r="J72" s="116"/>
    </row>
    <row r="73" spans="1:24" ht="15" customHeight="1" x14ac:dyDescent="0.45">
      <c r="A73" s="471">
        <v>5</v>
      </c>
      <c r="B73" s="653" t="s">
        <v>130</v>
      </c>
      <c r="C73" s="653"/>
      <c r="D73" s="653"/>
      <c r="E73" s="653"/>
      <c r="F73" s="653"/>
      <c r="G73" s="653"/>
      <c r="H73" s="653"/>
      <c r="I73" s="653"/>
      <c r="J73" s="116"/>
    </row>
    <row r="74" spans="1:24" ht="30.4" customHeight="1" x14ac:dyDescent="0.45">
      <c r="A74" s="471">
        <v>6</v>
      </c>
      <c r="B74" s="655" t="s">
        <v>81</v>
      </c>
      <c r="C74" s="655"/>
      <c r="D74" s="655"/>
      <c r="E74" s="655"/>
      <c r="F74" s="655"/>
      <c r="G74" s="655"/>
      <c r="H74" s="655"/>
      <c r="I74" s="655"/>
      <c r="J74" s="116"/>
    </row>
    <row r="75" spans="1:24" ht="27" customHeight="1" x14ac:dyDescent="0.45">
      <c r="A75" s="471">
        <v>7</v>
      </c>
      <c r="B75" s="652" t="s">
        <v>131</v>
      </c>
      <c r="C75" s="652"/>
      <c r="D75" s="652"/>
      <c r="E75" s="652"/>
      <c r="F75" s="652"/>
      <c r="G75" s="652"/>
      <c r="H75" s="652"/>
      <c r="I75" s="652"/>
      <c r="J75" s="116"/>
    </row>
    <row r="76" spans="1:24" ht="26.1" customHeight="1" x14ac:dyDescent="0.45">
      <c r="A76" s="471"/>
      <c r="J76" s="116"/>
    </row>
    <row r="77" spans="1:24" ht="14.1" x14ac:dyDescent="0.5">
      <c r="A77" s="158"/>
      <c r="B77" s="141"/>
      <c r="C77" s="141"/>
      <c r="D77" s="141"/>
      <c r="E77" s="141"/>
      <c r="F77" s="141"/>
      <c r="G77" s="141"/>
      <c r="H77" s="141"/>
      <c r="I77" s="141"/>
    </row>
    <row r="78" spans="1:24" ht="14.1" x14ac:dyDescent="0.5">
      <c r="A78" s="158"/>
    </row>
    <row r="79" spans="1:24" ht="14.1" x14ac:dyDescent="0.5">
      <c r="A79" s="158"/>
    </row>
  </sheetData>
  <mergeCells count="7">
    <mergeCell ref="B75:I75"/>
    <mergeCell ref="B69:I69"/>
    <mergeCell ref="B70:I70"/>
    <mergeCell ref="B71:I71"/>
    <mergeCell ref="B74:I74"/>
    <mergeCell ref="B72:I72"/>
    <mergeCell ref="B73:I73"/>
  </mergeCells>
  <pageMargins left="0.7" right="0.7" top="0.75" bottom="0.75" header="0.3" footer="0.3"/>
  <pageSetup orientation="portrait" r:id="rId1"/>
  <headerFooter>
    <oddHeader>&amp;C&amp;"Calibri"&amp;12&amp;K008000 UNCLASSIFIED&amp;1#_x000D_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C039F-4551-4E6F-9DF3-4EEA5E0BCA20}">
  <sheetPr>
    <tabColor rgb="FF325697"/>
  </sheetPr>
  <dimension ref="A1:P31"/>
  <sheetViews>
    <sheetView workbookViewId="0"/>
  </sheetViews>
  <sheetFormatPr defaultRowHeight="14.4" x14ac:dyDescent="0.55000000000000004"/>
  <cols>
    <col min="1" max="4" width="36.578125" customWidth="1"/>
  </cols>
  <sheetData>
    <row r="1" spans="1:16" x14ac:dyDescent="0.55000000000000004">
      <c r="A1" s="266" t="s">
        <v>132</v>
      </c>
    </row>
    <row r="2" spans="1:16" x14ac:dyDescent="0.55000000000000004">
      <c r="P2" t="e">
        <f ca="1">_xll.CB.RecalcCounterFN()</f>
        <v>#NAME?</v>
      </c>
    </row>
    <row r="3" spans="1:16" x14ac:dyDescent="0.55000000000000004">
      <c r="A3" t="s">
        <v>133</v>
      </c>
      <c r="B3" t="s">
        <v>134</v>
      </c>
      <c r="C3">
        <v>0</v>
      </c>
    </row>
    <row r="4" spans="1:16" x14ac:dyDescent="0.55000000000000004">
      <c r="A4" t="s">
        <v>135</v>
      </c>
    </row>
    <row r="5" spans="1:16" x14ac:dyDescent="0.55000000000000004">
      <c r="A5" t="s">
        <v>136</v>
      </c>
    </row>
    <row r="7" spans="1:16" x14ac:dyDescent="0.55000000000000004">
      <c r="A7" s="266" t="s">
        <v>137</v>
      </c>
      <c r="B7" t="s">
        <v>138</v>
      </c>
    </row>
    <row r="8" spans="1:16" x14ac:dyDescent="0.55000000000000004">
      <c r="B8">
        <v>4</v>
      </c>
    </row>
    <row r="10" spans="1:16" x14ac:dyDescent="0.55000000000000004">
      <c r="A10" t="s">
        <v>139</v>
      </c>
    </row>
    <row r="11" spans="1:16" x14ac:dyDescent="0.55000000000000004">
      <c r="A11" t="e">
        <f>CB_DATA_!#REF!</f>
        <v>#REF!</v>
      </c>
      <c r="B11" t="e">
        <f>'Sensitivity Analysis'!#REF!</f>
        <v>#REF!</v>
      </c>
      <c r="C11" t="e">
        <f>'CBA Model'!#REF!</f>
        <v>#REF!</v>
      </c>
      <c r="D11" t="e">
        <f>'Cost-Benefit Summary'!#REF!</f>
        <v>#REF!</v>
      </c>
    </row>
    <row r="13" spans="1:16" x14ac:dyDescent="0.55000000000000004">
      <c r="A13" t="s">
        <v>140</v>
      </c>
    </row>
    <row r="14" spans="1:16" x14ac:dyDescent="0.55000000000000004">
      <c r="A14" t="s">
        <v>141</v>
      </c>
      <c r="B14" t="s">
        <v>142</v>
      </c>
      <c r="C14" t="s">
        <v>143</v>
      </c>
      <c r="D14" t="s">
        <v>144</v>
      </c>
    </row>
    <row r="16" spans="1:16" x14ac:dyDescent="0.55000000000000004">
      <c r="A16" t="s">
        <v>145</v>
      </c>
    </row>
    <row r="19" spans="1:4" x14ac:dyDescent="0.55000000000000004">
      <c r="A19" t="s">
        <v>146</v>
      </c>
    </row>
    <row r="20" spans="1:4" x14ac:dyDescent="0.55000000000000004">
      <c r="A20">
        <v>28</v>
      </c>
      <c r="B20">
        <v>26</v>
      </c>
      <c r="C20">
        <v>31</v>
      </c>
      <c r="D20">
        <v>31</v>
      </c>
    </row>
    <row r="25" spans="1:4" x14ac:dyDescent="0.55000000000000004">
      <c r="A25" s="266" t="s">
        <v>147</v>
      </c>
    </row>
    <row r="26" spans="1:4" x14ac:dyDescent="0.55000000000000004">
      <c r="A26" s="267" t="s">
        <v>148</v>
      </c>
      <c r="C26" s="267" t="s">
        <v>149</v>
      </c>
      <c r="D26" s="267" t="s">
        <v>149</v>
      </c>
    </row>
    <row r="27" spans="1:4" x14ac:dyDescent="0.55000000000000004">
      <c r="A27" t="s">
        <v>150</v>
      </c>
      <c r="C27" t="s">
        <v>151</v>
      </c>
      <c r="D27" t="s">
        <v>152</v>
      </c>
    </row>
    <row r="28" spans="1:4" x14ac:dyDescent="0.55000000000000004">
      <c r="A28" s="267" t="s">
        <v>153</v>
      </c>
      <c r="C28" s="267" t="s">
        <v>153</v>
      </c>
      <c r="D28" s="267" t="s">
        <v>153</v>
      </c>
    </row>
    <row r="29" spans="1:4" x14ac:dyDescent="0.55000000000000004">
      <c r="C29" s="267" t="s">
        <v>148</v>
      </c>
      <c r="D29" s="267" t="s">
        <v>148</v>
      </c>
    </row>
    <row r="30" spans="1:4" x14ac:dyDescent="0.55000000000000004">
      <c r="C30" t="s">
        <v>154</v>
      </c>
      <c r="D30" t="s">
        <v>155</v>
      </c>
    </row>
    <row r="31" spans="1:4" x14ac:dyDescent="0.55000000000000004">
      <c r="C31" s="267" t="s">
        <v>153</v>
      </c>
      <c r="D31" s="267"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ABC47-C020-47C1-A569-35BABD10EBD2}">
  <sheetPr>
    <tabColor rgb="FF325697"/>
    <pageSetUpPr autoPageBreaks="0"/>
  </sheetPr>
  <dimension ref="A1:W30"/>
  <sheetViews>
    <sheetView showGridLines="0" topLeftCell="A14" zoomScale="70" zoomScaleNormal="70" zoomScaleSheetLayoutView="70" workbookViewId="0">
      <selection activeCell="E26" sqref="E26"/>
    </sheetView>
  </sheetViews>
  <sheetFormatPr defaultRowHeight="12.3" x14ac:dyDescent="0.4"/>
  <cols>
    <col min="1" max="1" width="8.83984375" style="77" customWidth="1"/>
    <col min="2" max="2" width="13.41796875" style="77" customWidth="1"/>
    <col min="3" max="3" width="10.41796875" style="77" customWidth="1"/>
    <col min="4" max="4" width="53.41796875" style="77" customWidth="1"/>
    <col min="5" max="5" width="17.41796875" style="77" customWidth="1"/>
    <col min="6" max="6" width="12.41796875" style="77" customWidth="1"/>
    <col min="7" max="7" width="10" style="77" customWidth="1"/>
    <col min="8" max="8" width="13.578125" style="77" customWidth="1"/>
    <col min="9" max="9" width="13.41796875" style="77" customWidth="1"/>
    <col min="10" max="10" width="13.578125" style="77" customWidth="1"/>
    <col min="11" max="11" width="14.41796875" style="77" customWidth="1"/>
    <col min="12" max="12" width="13.578125" style="77" customWidth="1"/>
    <col min="13" max="13" width="50.578125" style="77" customWidth="1"/>
    <col min="14" max="14" width="20.578125" style="77" customWidth="1"/>
    <col min="15" max="261" width="8.578125" style="77"/>
    <col min="262" max="262" width="5.578125" style="77" customWidth="1"/>
    <col min="263" max="263" width="16.41796875" style="77" customWidth="1"/>
    <col min="264" max="264" width="67" style="77" customWidth="1"/>
    <col min="265" max="265" width="15.41796875" style="77" customWidth="1"/>
    <col min="266" max="266" width="15" style="77" customWidth="1"/>
    <col min="267" max="267" width="15.41796875" style="77" customWidth="1"/>
    <col min="268" max="268" width="18.41796875" style="77" customWidth="1"/>
    <col min="269" max="269" width="5.578125" style="77" customWidth="1"/>
    <col min="270" max="270" width="20.578125" style="77" customWidth="1"/>
    <col min="271" max="517" width="8.578125" style="77"/>
    <col min="518" max="518" width="5.578125" style="77" customWidth="1"/>
    <col min="519" max="519" width="16.41796875" style="77" customWidth="1"/>
    <col min="520" max="520" width="67" style="77" customWidth="1"/>
    <col min="521" max="521" width="15.41796875" style="77" customWidth="1"/>
    <col min="522" max="522" width="15" style="77" customWidth="1"/>
    <col min="523" max="523" width="15.41796875" style="77" customWidth="1"/>
    <col min="524" max="524" width="18.41796875" style="77" customWidth="1"/>
    <col min="525" max="525" width="5.578125" style="77" customWidth="1"/>
    <col min="526" max="526" width="20.578125" style="77" customWidth="1"/>
    <col min="527" max="773" width="8.578125" style="77"/>
    <col min="774" max="774" width="5.578125" style="77" customWidth="1"/>
    <col min="775" max="775" width="16.41796875" style="77" customWidth="1"/>
    <col min="776" max="776" width="67" style="77" customWidth="1"/>
    <col min="777" max="777" width="15.41796875" style="77" customWidth="1"/>
    <col min="778" max="778" width="15" style="77" customWidth="1"/>
    <col min="779" max="779" width="15.41796875" style="77" customWidth="1"/>
    <col min="780" max="780" width="18.41796875" style="77" customWidth="1"/>
    <col min="781" max="781" width="5.578125" style="77" customWidth="1"/>
    <col min="782" max="782" width="20.578125" style="77" customWidth="1"/>
    <col min="783" max="1029" width="8.578125" style="77"/>
    <col min="1030" max="1030" width="5.578125" style="77" customWidth="1"/>
    <col min="1031" max="1031" width="16.41796875" style="77" customWidth="1"/>
    <col min="1032" max="1032" width="67" style="77" customWidth="1"/>
    <col min="1033" max="1033" width="15.41796875" style="77" customWidth="1"/>
    <col min="1034" max="1034" width="15" style="77" customWidth="1"/>
    <col min="1035" max="1035" width="15.41796875" style="77" customWidth="1"/>
    <col min="1036" max="1036" width="18.41796875" style="77" customWidth="1"/>
    <col min="1037" max="1037" width="5.578125" style="77" customWidth="1"/>
    <col min="1038" max="1038" width="20.578125" style="77" customWidth="1"/>
    <col min="1039" max="1285" width="8.578125" style="77"/>
    <col min="1286" max="1286" width="5.578125" style="77" customWidth="1"/>
    <col min="1287" max="1287" width="16.41796875" style="77" customWidth="1"/>
    <col min="1288" max="1288" width="67" style="77" customWidth="1"/>
    <col min="1289" max="1289" width="15.41796875" style="77" customWidth="1"/>
    <col min="1290" max="1290" width="15" style="77" customWidth="1"/>
    <col min="1291" max="1291" width="15.41796875" style="77" customWidth="1"/>
    <col min="1292" max="1292" width="18.41796875" style="77" customWidth="1"/>
    <col min="1293" max="1293" width="5.578125" style="77" customWidth="1"/>
    <col min="1294" max="1294" width="20.578125" style="77" customWidth="1"/>
    <col min="1295" max="1541" width="8.578125" style="77"/>
    <col min="1542" max="1542" width="5.578125" style="77" customWidth="1"/>
    <col min="1543" max="1543" width="16.41796875" style="77" customWidth="1"/>
    <col min="1544" max="1544" width="67" style="77" customWidth="1"/>
    <col min="1545" max="1545" width="15.41796875" style="77" customWidth="1"/>
    <col min="1546" max="1546" width="15" style="77" customWidth="1"/>
    <col min="1547" max="1547" width="15.41796875" style="77" customWidth="1"/>
    <col min="1548" max="1548" width="18.41796875" style="77" customWidth="1"/>
    <col min="1549" max="1549" width="5.578125" style="77" customWidth="1"/>
    <col min="1550" max="1550" width="20.578125" style="77" customWidth="1"/>
    <col min="1551" max="1797" width="8.578125" style="77"/>
    <col min="1798" max="1798" width="5.578125" style="77" customWidth="1"/>
    <col min="1799" max="1799" width="16.41796875" style="77" customWidth="1"/>
    <col min="1800" max="1800" width="67" style="77" customWidth="1"/>
    <col min="1801" max="1801" width="15.41796875" style="77" customWidth="1"/>
    <col min="1802" max="1802" width="15" style="77" customWidth="1"/>
    <col min="1803" max="1803" width="15.41796875" style="77" customWidth="1"/>
    <col min="1804" max="1804" width="18.41796875" style="77" customWidth="1"/>
    <col min="1805" max="1805" width="5.578125" style="77" customWidth="1"/>
    <col min="1806" max="1806" width="20.578125" style="77" customWidth="1"/>
    <col min="1807" max="2053" width="8.578125" style="77"/>
    <col min="2054" max="2054" width="5.578125" style="77" customWidth="1"/>
    <col min="2055" max="2055" width="16.41796875" style="77" customWidth="1"/>
    <col min="2056" max="2056" width="67" style="77" customWidth="1"/>
    <col min="2057" max="2057" width="15.41796875" style="77" customWidth="1"/>
    <col min="2058" max="2058" width="15" style="77" customWidth="1"/>
    <col min="2059" max="2059" width="15.41796875" style="77" customWidth="1"/>
    <col min="2060" max="2060" width="18.41796875" style="77" customWidth="1"/>
    <col min="2061" max="2061" width="5.578125" style="77" customWidth="1"/>
    <col min="2062" max="2062" width="20.578125" style="77" customWidth="1"/>
    <col min="2063" max="2309" width="8.578125" style="77"/>
    <col min="2310" max="2310" width="5.578125" style="77" customWidth="1"/>
    <col min="2311" max="2311" width="16.41796875" style="77" customWidth="1"/>
    <col min="2312" max="2312" width="67" style="77" customWidth="1"/>
    <col min="2313" max="2313" width="15.41796875" style="77" customWidth="1"/>
    <col min="2314" max="2314" width="15" style="77" customWidth="1"/>
    <col min="2315" max="2315" width="15.41796875" style="77" customWidth="1"/>
    <col min="2316" max="2316" width="18.41796875" style="77" customWidth="1"/>
    <col min="2317" max="2317" width="5.578125" style="77" customWidth="1"/>
    <col min="2318" max="2318" width="20.578125" style="77" customWidth="1"/>
    <col min="2319" max="2565" width="8.578125" style="77"/>
    <col min="2566" max="2566" width="5.578125" style="77" customWidth="1"/>
    <col min="2567" max="2567" width="16.41796875" style="77" customWidth="1"/>
    <col min="2568" max="2568" width="67" style="77" customWidth="1"/>
    <col min="2569" max="2569" width="15.41796875" style="77" customWidth="1"/>
    <col min="2570" max="2570" width="15" style="77" customWidth="1"/>
    <col min="2571" max="2571" width="15.41796875" style="77" customWidth="1"/>
    <col min="2572" max="2572" width="18.41796875" style="77" customWidth="1"/>
    <col min="2573" max="2573" width="5.578125" style="77" customWidth="1"/>
    <col min="2574" max="2574" width="20.578125" style="77" customWidth="1"/>
    <col min="2575" max="2821" width="8.578125" style="77"/>
    <col min="2822" max="2822" width="5.578125" style="77" customWidth="1"/>
    <col min="2823" max="2823" width="16.41796875" style="77" customWidth="1"/>
    <col min="2824" max="2824" width="67" style="77" customWidth="1"/>
    <col min="2825" max="2825" width="15.41796875" style="77" customWidth="1"/>
    <col min="2826" max="2826" width="15" style="77" customWidth="1"/>
    <col min="2827" max="2827" width="15.41796875" style="77" customWidth="1"/>
    <col min="2828" max="2828" width="18.41796875" style="77" customWidth="1"/>
    <col min="2829" max="2829" width="5.578125" style="77" customWidth="1"/>
    <col min="2830" max="2830" width="20.578125" style="77" customWidth="1"/>
    <col min="2831" max="3077" width="8.578125" style="77"/>
    <col min="3078" max="3078" width="5.578125" style="77" customWidth="1"/>
    <col min="3079" max="3079" width="16.41796875" style="77" customWidth="1"/>
    <col min="3080" max="3080" width="67" style="77" customWidth="1"/>
    <col min="3081" max="3081" width="15.41796875" style="77" customWidth="1"/>
    <col min="3082" max="3082" width="15" style="77" customWidth="1"/>
    <col min="3083" max="3083" width="15.41796875" style="77" customWidth="1"/>
    <col min="3084" max="3084" width="18.41796875" style="77" customWidth="1"/>
    <col min="3085" max="3085" width="5.578125" style="77" customWidth="1"/>
    <col min="3086" max="3086" width="20.578125" style="77" customWidth="1"/>
    <col min="3087" max="3333" width="8.578125" style="77"/>
    <col min="3334" max="3334" width="5.578125" style="77" customWidth="1"/>
    <col min="3335" max="3335" width="16.41796875" style="77" customWidth="1"/>
    <col min="3336" max="3336" width="67" style="77" customWidth="1"/>
    <col min="3337" max="3337" width="15.41796875" style="77" customWidth="1"/>
    <col min="3338" max="3338" width="15" style="77" customWidth="1"/>
    <col min="3339" max="3339" width="15.41796875" style="77" customWidth="1"/>
    <col min="3340" max="3340" width="18.41796875" style="77" customWidth="1"/>
    <col min="3341" max="3341" width="5.578125" style="77" customWidth="1"/>
    <col min="3342" max="3342" width="20.578125" style="77" customWidth="1"/>
    <col min="3343" max="3589" width="8.578125" style="77"/>
    <col min="3590" max="3590" width="5.578125" style="77" customWidth="1"/>
    <col min="3591" max="3591" width="16.41796875" style="77" customWidth="1"/>
    <col min="3592" max="3592" width="67" style="77" customWidth="1"/>
    <col min="3593" max="3593" width="15.41796875" style="77" customWidth="1"/>
    <col min="3594" max="3594" width="15" style="77" customWidth="1"/>
    <col min="3595" max="3595" width="15.41796875" style="77" customWidth="1"/>
    <col min="3596" max="3596" width="18.41796875" style="77" customWidth="1"/>
    <col min="3597" max="3597" width="5.578125" style="77" customWidth="1"/>
    <col min="3598" max="3598" width="20.578125" style="77" customWidth="1"/>
    <col min="3599" max="3845" width="8.578125" style="77"/>
    <col min="3846" max="3846" width="5.578125" style="77" customWidth="1"/>
    <col min="3847" max="3847" width="16.41796875" style="77" customWidth="1"/>
    <col min="3848" max="3848" width="67" style="77" customWidth="1"/>
    <col min="3849" max="3849" width="15.41796875" style="77" customWidth="1"/>
    <col min="3850" max="3850" width="15" style="77" customWidth="1"/>
    <col min="3851" max="3851" width="15.41796875" style="77" customWidth="1"/>
    <col min="3852" max="3852" width="18.41796875" style="77" customWidth="1"/>
    <col min="3853" max="3853" width="5.578125" style="77" customWidth="1"/>
    <col min="3854" max="3854" width="20.578125" style="77" customWidth="1"/>
    <col min="3855" max="4101" width="8.578125" style="77"/>
    <col min="4102" max="4102" width="5.578125" style="77" customWidth="1"/>
    <col min="4103" max="4103" width="16.41796875" style="77" customWidth="1"/>
    <col min="4104" max="4104" width="67" style="77" customWidth="1"/>
    <col min="4105" max="4105" width="15.41796875" style="77" customWidth="1"/>
    <col min="4106" max="4106" width="15" style="77" customWidth="1"/>
    <col min="4107" max="4107" width="15.41796875" style="77" customWidth="1"/>
    <col min="4108" max="4108" width="18.41796875" style="77" customWidth="1"/>
    <col min="4109" max="4109" width="5.578125" style="77" customWidth="1"/>
    <col min="4110" max="4110" width="20.578125" style="77" customWidth="1"/>
    <col min="4111" max="4357" width="8.578125" style="77"/>
    <col min="4358" max="4358" width="5.578125" style="77" customWidth="1"/>
    <col min="4359" max="4359" width="16.41796875" style="77" customWidth="1"/>
    <col min="4360" max="4360" width="67" style="77" customWidth="1"/>
    <col min="4361" max="4361" width="15.41796875" style="77" customWidth="1"/>
    <col min="4362" max="4362" width="15" style="77" customWidth="1"/>
    <col min="4363" max="4363" width="15.41796875" style="77" customWidth="1"/>
    <col min="4364" max="4364" width="18.41796875" style="77" customWidth="1"/>
    <col min="4365" max="4365" width="5.578125" style="77" customWidth="1"/>
    <col min="4366" max="4366" width="20.578125" style="77" customWidth="1"/>
    <col min="4367" max="4613" width="8.578125" style="77"/>
    <col min="4614" max="4614" width="5.578125" style="77" customWidth="1"/>
    <col min="4615" max="4615" width="16.41796875" style="77" customWidth="1"/>
    <col min="4616" max="4616" width="67" style="77" customWidth="1"/>
    <col min="4617" max="4617" width="15.41796875" style="77" customWidth="1"/>
    <col min="4618" max="4618" width="15" style="77" customWidth="1"/>
    <col min="4619" max="4619" width="15.41796875" style="77" customWidth="1"/>
    <col min="4620" max="4620" width="18.41796875" style="77" customWidth="1"/>
    <col min="4621" max="4621" width="5.578125" style="77" customWidth="1"/>
    <col min="4622" max="4622" width="20.578125" style="77" customWidth="1"/>
    <col min="4623" max="4869" width="8.578125" style="77"/>
    <col min="4870" max="4870" width="5.578125" style="77" customWidth="1"/>
    <col min="4871" max="4871" width="16.41796875" style="77" customWidth="1"/>
    <col min="4872" max="4872" width="67" style="77" customWidth="1"/>
    <col min="4873" max="4873" width="15.41796875" style="77" customWidth="1"/>
    <col min="4874" max="4874" width="15" style="77" customWidth="1"/>
    <col min="4875" max="4875" width="15.41796875" style="77" customWidth="1"/>
    <col min="4876" max="4876" width="18.41796875" style="77" customWidth="1"/>
    <col min="4877" max="4877" width="5.578125" style="77" customWidth="1"/>
    <col min="4878" max="4878" width="20.578125" style="77" customWidth="1"/>
    <col min="4879" max="5125" width="8.578125" style="77"/>
    <col min="5126" max="5126" width="5.578125" style="77" customWidth="1"/>
    <col min="5127" max="5127" width="16.41796875" style="77" customWidth="1"/>
    <col min="5128" max="5128" width="67" style="77" customWidth="1"/>
    <col min="5129" max="5129" width="15.41796875" style="77" customWidth="1"/>
    <col min="5130" max="5130" width="15" style="77" customWidth="1"/>
    <col min="5131" max="5131" width="15.41796875" style="77" customWidth="1"/>
    <col min="5132" max="5132" width="18.41796875" style="77" customWidth="1"/>
    <col min="5133" max="5133" width="5.578125" style="77" customWidth="1"/>
    <col min="5134" max="5134" width="20.578125" style="77" customWidth="1"/>
    <col min="5135" max="5381" width="8.578125" style="77"/>
    <col min="5382" max="5382" width="5.578125" style="77" customWidth="1"/>
    <col min="5383" max="5383" width="16.41796875" style="77" customWidth="1"/>
    <col min="5384" max="5384" width="67" style="77" customWidth="1"/>
    <col min="5385" max="5385" width="15.41796875" style="77" customWidth="1"/>
    <col min="5386" max="5386" width="15" style="77" customWidth="1"/>
    <col min="5387" max="5387" width="15.41796875" style="77" customWidth="1"/>
    <col min="5388" max="5388" width="18.41796875" style="77" customWidth="1"/>
    <col min="5389" max="5389" width="5.578125" style="77" customWidth="1"/>
    <col min="5390" max="5390" width="20.578125" style="77" customWidth="1"/>
    <col min="5391" max="5637" width="8.578125" style="77"/>
    <col min="5638" max="5638" width="5.578125" style="77" customWidth="1"/>
    <col min="5639" max="5639" width="16.41796875" style="77" customWidth="1"/>
    <col min="5640" max="5640" width="67" style="77" customWidth="1"/>
    <col min="5641" max="5641" width="15.41796875" style="77" customWidth="1"/>
    <col min="5642" max="5642" width="15" style="77" customWidth="1"/>
    <col min="5643" max="5643" width="15.41796875" style="77" customWidth="1"/>
    <col min="5644" max="5644" width="18.41796875" style="77" customWidth="1"/>
    <col min="5645" max="5645" width="5.578125" style="77" customWidth="1"/>
    <col min="5646" max="5646" width="20.578125" style="77" customWidth="1"/>
    <col min="5647" max="5893" width="8.578125" style="77"/>
    <col min="5894" max="5894" width="5.578125" style="77" customWidth="1"/>
    <col min="5895" max="5895" width="16.41796875" style="77" customWidth="1"/>
    <col min="5896" max="5896" width="67" style="77" customWidth="1"/>
    <col min="5897" max="5897" width="15.41796875" style="77" customWidth="1"/>
    <col min="5898" max="5898" width="15" style="77" customWidth="1"/>
    <col min="5899" max="5899" width="15.41796875" style="77" customWidth="1"/>
    <col min="5900" max="5900" width="18.41796875" style="77" customWidth="1"/>
    <col min="5901" max="5901" width="5.578125" style="77" customWidth="1"/>
    <col min="5902" max="5902" width="20.578125" style="77" customWidth="1"/>
    <col min="5903" max="6149" width="8.578125" style="77"/>
    <col min="6150" max="6150" width="5.578125" style="77" customWidth="1"/>
    <col min="6151" max="6151" width="16.41796875" style="77" customWidth="1"/>
    <col min="6152" max="6152" width="67" style="77" customWidth="1"/>
    <col min="6153" max="6153" width="15.41796875" style="77" customWidth="1"/>
    <col min="6154" max="6154" width="15" style="77" customWidth="1"/>
    <col min="6155" max="6155" width="15.41796875" style="77" customWidth="1"/>
    <col min="6156" max="6156" width="18.41796875" style="77" customWidth="1"/>
    <col min="6157" max="6157" width="5.578125" style="77" customWidth="1"/>
    <col min="6158" max="6158" width="20.578125" style="77" customWidth="1"/>
    <col min="6159" max="6405" width="8.578125" style="77"/>
    <col min="6406" max="6406" width="5.578125" style="77" customWidth="1"/>
    <col min="6407" max="6407" width="16.41796875" style="77" customWidth="1"/>
    <col min="6408" max="6408" width="67" style="77" customWidth="1"/>
    <col min="6409" max="6409" width="15.41796875" style="77" customWidth="1"/>
    <col min="6410" max="6410" width="15" style="77" customWidth="1"/>
    <col min="6411" max="6411" width="15.41796875" style="77" customWidth="1"/>
    <col min="6412" max="6412" width="18.41796875" style="77" customWidth="1"/>
    <col min="6413" max="6413" width="5.578125" style="77" customWidth="1"/>
    <col min="6414" max="6414" width="20.578125" style="77" customWidth="1"/>
    <col min="6415" max="6661" width="8.578125" style="77"/>
    <col min="6662" max="6662" width="5.578125" style="77" customWidth="1"/>
    <col min="6663" max="6663" width="16.41796875" style="77" customWidth="1"/>
    <col min="6664" max="6664" width="67" style="77" customWidth="1"/>
    <col min="6665" max="6665" width="15.41796875" style="77" customWidth="1"/>
    <col min="6666" max="6666" width="15" style="77" customWidth="1"/>
    <col min="6667" max="6667" width="15.41796875" style="77" customWidth="1"/>
    <col min="6668" max="6668" width="18.41796875" style="77" customWidth="1"/>
    <col min="6669" max="6669" width="5.578125" style="77" customWidth="1"/>
    <col min="6670" max="6670" width="20.578125" style="77" customWidth="1"/>
    <col min="6671" max="6917" width="8.578125" style="77"/>
    <col min="6918" max="6918" width="5.578125" style="77" customWidth="1"/>
    <col min="6919" max="6919" width="16.41796875" style="77" customWidth="1"/>
    <col min="6920" max="6920" width="67" style="77" customWidth="1"/>
    <col min="6921" max="6921" width="15.41796875" style="77" customWidth="1"/>
    <col min="6922" max="6922" width="15" style="77" customWidth="1"/>
    <col min="6923" max="6923" width="15.41796875" style="77" customWidth="1"/>
    <col min="6924" max="6924" width="18.41796875" style="77" customWidth="1"/>
    <col min="6925" max="6925" width="5.578125" style="77" customWidth="1"/>
    <col min="6926" max="6926" width="20.578125" style="77" customWidth="1"/>
    <col min="6927" max="7173" width="8.578125" style="77"/>
    <col min="7174" max="7174" width="5.578125" style="77" customWidth="1"/>
    <col min="7175" max="7175" width="16.41796875" style="77" customWidth="1"/>
    <col min="7176" max="7176" width="67" style="77" customWidth="1"/>
    <col min="7177" max="7177" width="15.41796875" style="77" customWidth="1"/>
    <col min="7178" max="7178" width="15" style="77" customWidth="1"/>
    <col min="7179" max="7179" width="15.41796875" style="77" customWidth="1"/>
    <col min="7180" max="7180" width="18.41796875" style="77" customWidth="1"/>
    <col min="7181" max="7181" width="5.578125" style="77" customWidth="1"/>
    <col min="7182" max="7182" width="20.578125" style="77" customWidth="1"/>
    <col min="7183" max="7429" width="8.578125" style="77"/>
    <col min="7430" max="7430" width="5.578125" style="77" customWidth="1"/>
    <col min="7431" max="7431" width="16.41796875" style="77" customWidth="1"/>
    <col min="7432" max="7432" width="67" style="77" customWidth="1"/>
    <col min="7433" max="7433" width="15.41796875" style="77" customWidth="1"/>
    <col min="7434" max="7434" width="15" style="77" customWidth="1"/>
    <col min="7435" max="7435" width="15.41796875" style="77" customWidth="1"/>
    <col min="7436" max="7436" width="18.41796875" style="77" customWidth="1"/>
    <col min="7437" max="7437" width="5.578125" style="77" customWidth="1"/>
    <col min="7438" max="7438" width="20.578125" style="77" customWidth="1"/>
    <col min="7439" max="7685" width="8.578125" style="77"/>
    <col min="7686" max="7686" width="5.578125" style="77" customWidth="1"/>
    <col min="7687" max="7687" width="16.41796875" style="77" customWidth="1"/>
    <col min="7688" max="7688" width="67" style="77" customWidth="1"/>
    <col min="7689" max="7689" width="15.41796875" style="77" customWidth="1"/>
    <col min="7690" max="7690" width="15" style="77" customWidth="1"/>
    <col min="7691" max="7691" width="15.41796875" style="77" customWidth="1"/>
    <col min="7692" max="7692" width="18.41796875" style="77" customWidth="1"/>
    <col min="7693" max="7693" width="5.578125" style="77" customWidth="1"/>
    <col min="7694" max="7694" width="20.578125" style="77" customWidth="1"/>
    <col min="7695" max="7941" width="8.578125" style="77"/>
    <col min="7942" max="7942" width="5.578125" style="77" customWidth="1"/>
    <col min="7943" max="7943" width="16.41796875" style="77" customWidth="1"/>
    <col min="7944" max="7944" width="67" style="77" customWidth="1"/>
    <col min="7945" max="7945" width="15.41796875" style="77" customWidth="1"/>
    <col min="7946" max="7946" width="15" style="77" customWidth="1"/>
    <col min="7947" max="7947" width="15.41796875" style="77" customWidth="1"/>
    <col min="7948" max="7948" width="18.41796875" style="77" customWidth="1"/>
    <col min="7949" max="7949" width="5.578125" style="77" customWidth="1"/>
    <col min="7950" max="7950" width="20.578125" style="77" customWidth="1"/>
    <col min="7951" max="8197" width="8.578125" style="77"/>
    <col min="8198" max="8198" width="5.578125" style="77" customWidth="1"/>
    <col min="8199" max="8199" width="16.41796875" style="77" customWidth="1"/>
    <col min="8200" max="8200" width="67" style="77" customWidth="1"/>
    <col min="8201" max="8201" width="15.41796875" style="77" customWidth="1"/>
    <col min="8202" max="8202" width="15" style="77" customWidth="1"/>
    <col min="8203" max="8203" width="15.41796875" style="77" customWidth="1"/>
    <col min="8204" max="8204" width="18.41796875" style="77" customWidth="1"/>
    <col min="8205" max="8205" width="5.578125" style="77" customWidth="1"/>
    <col min="8206" max="8206" width="20.578125" style="77" customWidth="1"/>
    <col min="8207" max="8453" width="8.578125" style="77"/>
    <col min="8454" max="8454" width="5.578125" style="77" customWidth="1"/>
    <col min="8455" max="8455" width="16.41796875" style="77" customWidth="1"/>
    <col min="8456" max="8456" width="67" style="77" customWidth="1"/>
    <col min="8457" max="8457" width="15.41796875" style="77" customWidth="1"/>
    <col min="8458" max="8458" width="15" style="77" customWidth="1"/>
    <col min="8459" max="8459" width="15.41796875" style="77" customWidth="1"/>
    <col min="8460" max="8460" width="18.41796875" style="77" customWidth="1"/>
    <col min="8461" max="8461" width="5.578125" style="77" customWidth="1"/>
    <col min="8462" max="8462" width="20.578125" style="77" customWidth="1"/>
    <col min="8463" max="8709" width="8.578125" style="77"/>
    <col min="8710" max="8710" width="5.578125" style="77" customWidth="1"/>
    <col min="8711" max="8711" width="16.41796875" style="77" customWidth="1"/>
    <col min="8712" max="8712" width="67" style="77" customWidth="1"/>
    <col min="8713" max="8713" width="15.41796875" style="77" customWidth="1"/>
    <col min="8714" max="8714" width="15" style="77" customWidth="1"/>
    <col min="8715" max="8715" width="15.41796875" style="77" customWidth="1"/>
    <col min="8716" max="8716" width="18.41796875" style="77" customWidth="1"/>
    <col min="8717" max="8717" width="5.578125" style="77" customWidth="1"/>
    <col min="8718" max="8718" width="20.578125" style="77" customWidth="1"/>
    <col min="8719" max="8965" width="8.578125" style="77"/>
    <col min="8966" max="8966" width="5.578125" style="77" customWidth="1"/>
    <col min="8967" max="8967" width="16.41796875" style="77" customWidth="1"/>
    <col min="8968" max="8968" width="67" style="77" customWidth="1"/>
    <col min="8969" max="8969" width="15.41796875" style="77" customWidth="1"/>
    <col min="8970" max="8970" width="15" style="77" customWidth="1"/>
    <col min="8971" max="8971" width="15.41796875" style="77" customWidth="1"/>
    <col min="8972" max="8972" width="18.41796875" style="77" customWidth="1"/>
    <col min="8973" max="8973" width="5.578125" style="77" customWidth="1"/>
    <col min="8974" max="8974" width="20.578125" style="77" customWidth="1"/>
    <col min="8975" max="9221" width="8.578125" style="77"/>
    <col min="9222" max="9222" width="5.578125" style="77" customWidth="1"/>
    <col min="9223" max="9223" width="16.41796875" style="77" customWidth="1"/>
    <col min="9224" max="9224" width="67" style="77" customWidth="1"/>
    <col min="9225" max="9225" width="15.41796875" style="77" customWidth="1"/>
    <col min="9226" max="9226" width="15" style="77" customWidth="1"/>
    <col min="9227" max="9227" width="15.41796875" style="77" customWidth="1"/>
    <col min="9228" max="9228" width="18.41796875" style="77" customWidth="1"/>
    <col min="9229" max="9229" width="5.578125" style="77" customWidth="1"/>
    <col min="9230" max="9230" width="20.578125" style="77" customWidth="1"/>
    <col min="9231" max="9477" width="8.578125" style="77"/>
    <col min="9478" max="9478" width="5.578125" style="77" customWidth="1"/>
    <col min="9479" max="9479" width="16.41796875" style="77" customWidth="1"/>
    <col min="9480" max="9480" width="67" style="77" customWidth="1"/>
    <col min="9481" max="9481" width="15.41796875" style="77" customWidth="1"/>
    <col min="9482" max="9482" width="15" style="77" customWidth="1"/>
    <col min="9483" max="9483" width="15.41796875" style="77" customWidth="1"/>
    <col min="9484" max="9484" width="18.41796875" style="77" customWidth="1"/>
    <col min="9485" max="9485" width="5.578125" style="77" customWidth="1"/>
    <col min="9486" max="9486" width="20.578125" style="77" customWidth="1"/>
    <col min="9487" max="9733" width="8.578125" style="77"/>
    <col min="9734" max="9734" width="5.578125" style="77" customWidth="1"/>
    <col min="9735" max="9735" width="16.41796875" style="77" customWidth="1"/>
    <col min="9736" max="9736" width="67" style="77" customWidth="1"/>
    <col min="9737" max="9737" width="15.41796875" style="77" customWidth="1"/>
    <col min="9738" max="9738" width="15" style="77" customWidth="1"/>
    <col min="9739" max="9739" width="15.41796875" style="77" customWidth="1"/>
    <col min="9740" max="9740" width="18.41796875" style="77" customWidth="1"/>
    <col min="9741" max="9741" width="5.578125" style="77" customWidth="1"/>
    <col min="9742" max="9742" width="20.578125" style="77" customWidth="1"/>
    <col min="9743" max="9989" width="8.578125" style="77"/>
    <col min="9990" max="9990" width="5.578125" style="77" customWidth="1"/>
    <col min="9991" max="9991" width="16.41796875" style="77" customWidth="1"/>
    <col min="9992" max="9992" width="67" style="77" customWidth="1"/>
    <col min="9993" max="9993" width="15.41796875" style="77" customWidth="1"/>
    <col min="9994" max="9994" width="15" style="77" customWidth="1"/>
    <col min="9995" max="9995" width="15.41796875" style="77" customWidth="1"/>
    <col min="9996" max="9996" width="18.41796875" style="77" customWidth="1"/>
    <col min="9997" max="9997" width="5.578125" style="77" customWidth="1"/>
    <col min="9998" max="9998" width="20.578125" style="77" customWidth="1"/>
    <col min="9999" max="10245" width="8.578125" style="77"/>
    <col min="10246" max="10246" width="5.578125" style="77" customWidth="1"/>
    <col min="10247" max="10247" width="16.41796875" style="77" customWidth="1"/>
    <col min="10248" max="10248" width="67" style="77" customWidth="1"/>
    <col min="10249" max="10249" width="15.41796875" style="77" customWidth="1"/>
    <col min="10250" max="10250" width="15" style="77" customWidth="1"/>
    <col min="10251" max="10251" width="15.41796875" style="77" customWidth="1"/>
    <col min="10252" max="10252" width="18.41796875" style="77" customWidth="1"/>
    <col min="10253" max="10253" width="5.578125" style="77" customWidth="1"/>
    <col min="10254" max="10254" width="20.578125" style="77" customWidth="1"/>
    <col min="10255" max="10501" width="8.578125" style="77"/>
    <col min="10502" max="10502" width="5.578125" style="77" customWidth="1"/>
    <col min="10503" max="10503" width="16.41796875" style="77" customWidth="1"/>
    <col min="10504" max="10504" width="67" style="77" customWidth="1"/>
    <col min="10505" max="10505" width="15.41796875" style="77" customWidth="1"/>
    <col min="10506" max="10506" width="15" style="77" customWidth="1"/>
    <col min="10507" max="10507" width="15.41796875" style="77" customWidth="1"/>
    <col min="10508" max="10508" width="18.41796875" style="77" customWidth="1"/>
    <col min="10509" max="10509" width="5.578125" style="77" customWidth="1"/>
    <col min="10510" max="10510" width="20.578125" style="77" customWidth="1"/>
    <col min="10511" max="10757" width="8.578125" style="77"/>
    <col min="10758" max="10758" width="5.578125" style="77" customWidth="1"/>
    <col min="10759" max="10759" width="16.41796875" style="77" customWidth="1"/>
    <col min="10760" max="10760" width="67" style="77" customWidth="1"/>
    <col min="10761" max="10761" width="15.41796875" style="77" customWidth="1"/>
    <col min="10762" max="10762" width="15" style="77" customWidth="1"/>
    <col min="10763" max="10763" width="15.41796875" style="77" customWidth="1"/>
    <col min="10764" max="10764" width="18.41796875" style="77" customWidth="1"/>
    <col min="10765" max="10765" width="5.578125" style="77" customWidth="1"/>
    <col min="10766" max="10766" width="20.578125" style="77" customWidth="1"/>
    <col min="10767" max="11013" width="8.578125" style="77"/>
    <col min="11014" max="11014" width="5.578125" style="77" customWidth="1"/>
    <col min="11015" max="11015" width="16.41796875" style="77" customWidth="1"/>
    <col min="11016" max="11016" width="67" style="77" customWidth="1"/>
    <col min="11017" max="11017" width="15.41796875" style="77" customWidth="1"/>
    <col min="11018" max="11018" width="15" style="77" customWidth="1"/>
    <col min="11019" max="11019" width="15.41796875" style="77" customWidth="1"/>
    <col min="11020" max="11020" width="18.41796875" style="77" customWidth="1"/>
    <col min="11021" max="11021" width="5.578125" style="77" customWidth="1"/>
    <col min="11022" max="11022" width="20.578125" style="77" customWidth="1"/>
    <col min="11023" max="11269" width="8.578125" style="77"/>
    <col min="11270" max="11270" width="5.578125" style="77" customWidth="1"/>
    <col min="11271" max="11271" width="16.41796875" style="77" customWidth="1"/>
    <col min="11272" max="11272" width="67" style="77" customWidth="1"/>
    <col min="11273" max="11273" width="15.41796875" style="77" customWidth="1"/>
    <col min="11274" max="11274" width="15" style="77" customWidth="1"/>
    <col min="11275" max="11275" width="15.41796875" style="77" customWidth="1"/>
    <col min="11276" max="11276" width="18.41796875" style="77" customWidth="1"/>
    <col min="11277" max="11277" width="5.578125" style="77" customWidth="1"/>
    <col min="11278" max="11278" width="20.578125" style="77" customWidth="1"/>
    <col min="11279" max="11525" width="8.578125" style="77"/>
    <col min="11526" max="11526" width="5.578125" style="77" customWidth="1"/>
    <col min="11527" max="11527" width="16.41796875" style="77" customWidth="1"/>
    <col min="11528" max="11528" width="67" style="77" customWidth="1"/>
    <col min="11529" max="11529" width="15.41796875" style="77" customWidth="1"/>
    <col min="11530" max="11530" width="15" style="77" customWidth="1"/>
    <col min="11531" max="11531" width="15.41796875" style="77" customWidth="1"/>
    <col min="11532" max="11532" width="18.41796875" style="77" customWidth="1"/>
    <col min="11533" max="11533" width="5.578125" style="77" customWidth="1"/>
    <col min="11534" max="11534" width="20.578125" style="77" customWidth="1"/>
    <col min="11535" max="11781" width="8.578125" style="77"/>
    <col min="11782" max="11782" width="5.578125" style="77" customWidth="1"/>
    <col min="11783" max="11783" width="16.41796875" style="77" customWidth="1"/>
    <col min="11784" max="11784" width="67" style="77" customWidth="1"/>
    <col min="11785" max="11785" width="15.41796875" style="77" customWidth="1"/>
    <col min="11786" max="11786" width="15" style="77" customWidth="1"/>
    <col min="11787" max="11787" width="15.41796875" style="77" customWidth="1"/>
    <col min="11788" max="11788" width="18.41796875" style="77" customWidth="1"/>
    <col min="11789" max="11789" width="5.578125" style="77" customWidth="1"/>
    <col min="11790" max="11790" width="20.578125" style="77" customWidth="1"/>
    <col min="11791" max="12037" width="8.578125" style="77"/>
    <col min="12038" max="12038" width="5.578125" style="77" customWidth="1"/>
    <col min="12039" max="12039" width="16.41796875" style="77" customWidth="1"/>
    <col min="12040" max="12040" width="67" style="77" customWidth="1"/>
    <col min="12041" max="12041" width="15.41796875" style="77" customWidth="1"/>
    <col min="12042" max="12042" width="15" style="77" customWidth="1"/>
    <col min="12043" max="12043" width="15.41796875" style="77" customWidth="1"/>
    <col min="12044" max="12044" width="18.41796875" style="77" customWidth="1"/>
    <col min="12045" max="12045" width="5.578125" style="77" customWidth="1"/>
    <col min="12046" max="12046" width="20.578125" style="77" customWidth="1"/>
    <col min="12047" max="12293" width="8.578125" style="77"/>
    <col min="12294" max="12294" width="5.578125" style="77" customWidth="1"/>
    <col min="12295" max="12295" width="16.41796875" style="77" customWidth="1"/>
    <col min="12296" max="12296" width="67" style="77" customWidth="1"/>
    <col min="12297" max="12297" width="15.41796875" style="77" customWidth="1"/>
    <col min="12298" max="12298" width="15" style="77" customWidth="1"/>
    <col min="12299" max="12299" width="15.41796875" style="77" customWidth="1"/>
    <col min="12300" max="12300" width="18.41796875" style="77" customWidth="1"/>
    <col min="12301" max="12301" width="5.578125" style="77" customWidth="1"/>
    <col min="12302" max="12302" width="20.578125" style="77" customWidth="1"/>
    <col min="12303" max="12549" width="8.578125" style="77"/>
    <col min="12550" max="12550" width="5.578125" style="77" customWidth="1"/>
    <col min="12551" max="12551" width="16.41796875" style="77" customWidth="1"/>
    <col min="12552" max="12552" width="67" style="77" customWidth="1"/>
    <col min="12553" max="12553" width="15.41796875" style="77" customWidth="1"/>
    <col min="12554" max="12554" width="15" style="77" customWidth="1"/>
    <col min="12555" max="12555" width="15.41796875" style="77" customWidth="1"/>
    <col min="12556" max="12556" width="18.41796875" style="77" customWidth="1"/>
    <col min="12557" max="12557" width="5.578125" style="77" customWidth="1"/>
    <col min="12558" max="12558" width="20.578125" style="77" customWidth="1"/>
    <col min="12559" max="12805" width="8.578125" style="77"/>
    <col min="12806" max="12806" width="5.578125" style="77" customWidth="1"/>
    <col min="12807" max="12807" width="16.41796875" style="77" customWidth="1"/>
    <col min="12808" max="12808" width="67" style="77" customWidth="1"/>
    <col min="12809" max="12809" width="15.41796875" style="77" customWidth="1"/>
    <col min="12810" max="12810" width="15" style="77" customWidth="1"/>
    <col min="12811" max="12811" width="15.41796875" style="77" customWidth="1"/>
    <col min="12812" max="12812" width="18.41796875" style="77" customWidth="1"/>
    <col min="12813" max="12813" width="5.578125" style="77" customWidth="1"/>
    <col min="12814" max="12814" width="20.578125" style="77" customWidth="1"/>
    <col min="12815" max="13061" width="8.578125" style="77"/>
    <col min="13062" max="13062" width="5.578125" style="77" customWidth="1"/>
    <col min="13063" max="13063" width="16.41796875" style="77" customWidth="1"/>
    <col min="13064" max="13064" width="67" style="77" customWidth="1"/>
    <col min="13065" max="13065" width="15.41796875" style="77" customWidth="1"/>
    <col min="13066" max="13066" width="15" style="77" customWidth="1"/>
    <col min="13067" max="13067" width="15.41796875" style="77" customWidth="1"/>
    <col min="13068" max="13068" width="18.41796875" style="77" customWidth="1"/>
    <col min="13069" max="13069" width="5.578125" style="77" customWidth="1"/>
    <col min="13070" max="13070" width="20.578125" style="77" customWidth="1"/>
    <col min="13071" max="13317" width="8.578125" style="77"/>
    <col min="13318" max="13318" width="5.578125" style="77" customWidth="1"/>
    <col min="13319" max="13319" width="16.41796875" style="77" customWidth="1"/>
    <col min="13320" max="13320" width="67" style="77" customWidth="1"/>
    <col min="13321" max="13321" width="15.41796875" style="77" customWidth="1"/>
    <col min="13322" max="13322" width="15" style="77" customWidth="1"/>
    <col min="13323" max="13323" width="15.41796875" style="77" customWidth="1"/>
    <col min="13324" max="13324" width="18.41796875" style="77" customWidth="1"/>
    <col min="13325" max="13325" width="5.578125" style="77" customWidth="1"/>
    <col min="13326" max="13326" width="20.578125" style="77" customWidth="1"/>
    <col min="13327" max="13573" width="8.578125" style="77"/>
    <col min="13574" max="13574" width="5.578125" style="77" customWidth="1"/>
    <col min="13575" max="13575" width="16.41796875" style="77" customWidth="1"/>
    <col min="13576" max="13576" width="67" style="77" customWidth="1"/>
    <col min="13577" max="13577" width="15.41796875" style="77" customWidth="1"/>
    <col min="13578" max="13578" width="15" style="77" customWidth="1"/>
    <col min="13579" max="13579" width="15.41796875" style="77" customWidth="1"/>
    <col min="13580" max="13580" width="18.41796875" style="77" customWidth="1"/>
    <col min="13581" max="13581" width="5.578125" style="77" customWidth="1"/>
    <col min="13582" max="13582" width="20.578125" style="77" customWidth="1"/>
    <col min="13583" max="13829" width="8.578125" style="77"/>
    <col min="13830" max="13830" width="5.578125" style="77" customWidth="1"/>
    <col min="13831" max="13831" width="16.41796875" style="77" customWidth="1"/>
    <col min="13832" max="13832" width="67" style="77" customWidth="1"/>
    <col min="13833" max="13833" width="15.41796875" style="77" customWidth="1"/>
    <col min="13834" max="13834" width="15" style="77" customWidth="1"/>
    <col min="13835" max="13835" width="15.41796875" style="77" customWidth="1"/>
    <col min="13836" max="13836" width="18.41796875" style="77" customWidth="1"/>
    <col min="13837" max="13837" width="5.578125" style="77" customWidth="1"/>
    <col min="13838" max="13838" width="20.578125" style="77" customWidth="1"/>
    <col min="13839" max="14085" width="8.578125" style="77"/>
    <col min="14086" max="14086" width="5.578125" style="77" customWidth="1"/>
    <col min="14087" max="14087" width="16.41796875" style="77" customWidth="1"/>
    <col min="14088" max="14088" width="67" style="77" customWidth="1"/>
    <col min="14089" max="14089" width="15.41796875" style="77" customWidth="1"/>
    <col min="14090" max="14090" width="15" style="77" customWidth="1"/>
    <col min="14091" max="14091" width="15.41796875" style="77" customWidth="1"/>
    <col min="14092" max="14092" width="18.41796875" style="77" customWidth="1"/>
    <col min="14093" max="14093" width="5.578125" style="77" customWidth="1"/>
    <col min="14094" max="14094" width="20.578125" style="77" customWidth="1"/>
    <col min="14095" max="14341" width="8.578125" style="77"/>
    <col min="14342" max="14342" width="5.578125" style="77" customWidth="1"/>
    <col min="14343" max="14343" width="16.41796875" style="77" customWidth="1"/>
    <col min="14344" max="14344" width="67" style="77" customWidth="1"/>
    <col min="14345" max="14345" width="15.41796875" style="77" customWidth="1"/>
    <col min="14346" max="14346" width="15" style="77" customWidth="1"/>
    <col min="14347" max="14347" width="15.41796875" style="77" customWidth="1"/>
    <col min="14348" max="14348" width="18.41796875" style="77" customWidth="1"/>
    <col min="14349" max="14349" width="5.578125" style="77" customWidth="1"/>
    <col min="14350" max="14350" width="20.578125" style="77" customWidth="1"/>
    <col min="14351" max="14597" width="8.578125" style="77"/>
    <col min="14598" max="14598" width="5.578125" style="77" customWidth="1"/>
    <col min="14599" max="14599" width="16.41796875" style="77" customWidth="1"/>
    <col min="14600" max="14600" width="67" style="77" customWidth="1"/>
    <col min="14601" max="14601" width="15.41796875" style="77" customWidth="1"/>
    <col min="14602" max="14602" width="15" style="77" customWidth="1"/>
    <col min="14603" max="14603" width="15.41796875" style="77" customWidth="1"/>
    <col min="14604" max="14604" width="18.41796875" style="77" customWidth="1"/>
    <col min="14605" max="14605" width="5.578125" style="77" customWidth="1"/>
    <col min="14606" max="14606" width="20.578125" style="77" customWidth="1"/>
    <col min="14607" max="14853" width="8.578125" style="77"/>
    <col min="14854" max="14854" width="5.578125" style="77" customWidth="1"/>
    <col min="14855" max="14855" width="16.41796875" style="77" customWidth="1"/>
    <col min="14856" max="14856" width="67" style="77" customWidth="1"/>
    <col min="14857" max="14857" width="15.41796875" style="77" customWidth="1"/>
    <col min="14858" max="14858" width="15" style="77" customWidth="1"/>
    <col min="14859" max="14859" width="15.41796875" style="77" customWidth="1"/>
    <col min="14860" max="14860" width="18.41796875" style="77" customWidth="1"/>
    <col min="14861" max="14861" width="5.578125" style="77" customWidth="1"/>
    <col min="14862" max="14862" width="20.578125" style="77" customWidth="1"/>
    <col min="14863" max="15109" width="8.578125" style="77"/>
    <col min="15110" max="15110" width="5.578125" style="77" customWidth="1"/>
    <col min="15111" max="15111" width="16.41796875" style="77" customWidth="1"/>
    <col min="15112" max="15112" width="67" style="77" customWidth="1"/>
    <col min="15113" max="15113" width="15.41796875" style="77" customWidth="1"/>
    <col min="15114" max="15114" width="15" style="77" customWidth="1"/>
    <col min="15115" max="15115" width="15.41796875" style="77" customWidth="1"/>
    <col min="15116" max="15116" width="18.41796875" style="77" customWidth="1"/>
    <col min="15117" max="15117" width="5.578125" style="77" customWidth="1"/>
    <col min="15118" max="15118" width="20.578125" style="77" customWidth="1"/>
    <col min="15119" max="15365" width="8.578125" style="77"/>
    <col min="15366" max="15366" width="5.578125" style="77" customWidth="1"/>
    <col min="15367" max="15367" width="16.41796875" style="77" customWidth="1"/>
    <col min="15368" max="15368" width="67" style="77" customWidth="1"/>
    <col min="15369" max="15369" width="15.41796875" style="77" customWidth="1"/>
    <col min="15370" max="15370" width="15" style="77" customWidth="1"/>
    <col min="15371" max="15371" width="15.41796875" style="77" customWidth="1"/>
    <col min="15372" max="15372" width="18.41796875" style="77" customWidth="1"/>
    <col min="15373" max="15373" width="5.578125" style="77" customWidth="1"/>
    <col min="15374" max="15374" width="20.578125" style="77" customWidth="1"/>
    <col min="15375" max="15621" width="8.578125" style="77"/>
    <col min="15622" max="15622" width="5.578125" style="77" customWidth="1"/>
    <col min="15623" max="15623" width="16.41796875" style="77" customWidth="1"/>
    <col min="15624" max="15624" width="67" style="77" customWidth="1"/>
    <col min="15625" max="15625" width="15.41796875" style="77" customWidth="1"/>
    <col min="15626" max="15626" width="15" style="77" customWidth="1"/>
    <col min="15627" max="15627" width="15.41796875" style="77" customWidth="1"/>
    <col min="15628" max="15628" width="18.41796875" style="77" customWidth="1"/>
    <col min="15629" max="15629" width="5.578125" style="77" customWidth="1"/>
    <col min="15630" max="15630" width="20.578125" style="77" customWidth="1"/>
    <col min="15631" max="15877" width="8.578125" style="77"/>
    <col min="15878" max="15878" width="5.578125" style="77" customWidth="1"/>
    <col min="15879" max="15879" width="16.41796875" style="77" customWidth="1"/>
    <col min="15880" max="15880" width="67" style="77" customWidth="1"/>
    <col min="15881" max="15881" width="15.41796875" style="77" customWidth="1"/>
    <col min="15882" max="15882" width="15" style="77" customWidth="1"/>
    <col min="15883" max="15883" width="15.41796875" style="77" customWidth="1"/>
    <col min="15884" max="15884" width="18.41796875" style="77" customWidth="1"/>
    <col min="15885" max="15885" width="5.578125" style="77" customWidth="1"/>
    <col min="15886" max="15886" width="20.578125" style="77" customWidth="1"/>
    <col min="15887" max="16133" width="8.578125" style="77"/>
    <col min="16134" max="16134" width="5.578125" style="77" customWidth="1"/>
    <col min="16135" max="16135" width="16.41796875" style="77" customWidth="1"/>
    <col min="16136" max="16136" width="67" style="77" customWidth="1"/>
    <col min="16137" max="16137" width="15.41796875" style="77" customWidth="1"/>
    <col min="16138" max="16138" width="15" style="77" customWidth="1"/>
    <col min="16139" max="16139" width="15.41796875" style="77" customWidth="1"/>
    <col min="16140" max="16140" width="18.41796875" style="77" customWidth="1"/>
    <col min="16141" max="16141" width="5.578125" style="77" customWidth="1"/>
    <col min="16142" max="16142" width="20.578125" style="77" customWidth="1"/>
    <col min="16143" max="16384" width="8.578125" style="77"/>
  </cols>
  <sheetData>
    <row r="1" spans="1:23" s="10" customFormat="1" ht="13.8" x14ac:dyDescent="0.45">
      <c r="B1" s="12"/>
      <c r="C1" s="11"/>
      <c r="D1" s="11"/>
      <c r="L1" s="75"/>
    </row>
    <row r="2" spans="1:23" ht="20.100000000000001" x14ac:dyDescent="0.7">
      <c r="A2" s="76"/>
      <c r="B2" s="16" t="s">
        <v>0</v>
      </c>
      <c r="C2" s="76"/>
      <c r="D2" s="76"/>
      <c r="E2" s="76"/>
      <c r="F2" s="76"/>
      <c r="G2" s="76"/>
      <c r="H2" s="76"/>
      <c r="I2" s="76"/>
      <c r="J2" s="76"/>
      <c r="K2" s="76"/>
      <c r="L2" s="76"/>
    </row>
    <row r="3" spans="1:23" ht="21.6" customHeight="1" x14ac:dyDescent="0.6">
      <c r="A3" s="76"/>
      <c r="B3" s="17" t="s">
        <v>1</v>
      </c>
      <c r="C3" s="76"/>
      <c r="D3" s="76"/>
      <c r="E3" s="76"/>
      <c r="F3" s="76"/>
      <c r="G3" s="76"/>
      <c r="H3" s="76"/>
      <c r="I3" s="76"/>
      <c r="J3" s="76"/>
      <c r="K3" s="76"/>
    </row>
    <row r="4" spans="1:23" ht="20.100000000000001" x14ac:dyDescent="0.7">
      <c r="A4" s="76"/>
      <c r="B4" s="16"/>
      <c r="C4" s="76"/>
      <c r="D4" s="76"/>
      <c r="E4" s="76"/>
      <c r="F4" s="76"/>
      <c r="G4" s="76"/>
      <c r="H4" s="76"/>
      <c r="I4" s="76"/>
      <c r="J4" s="76"/>
      <c r="K4" s="76"/>
      <c r="L4" s="76"/>
    </row>
    <row r="5" spans="1:23" ht="17.7" x14ac:dyDescent="0.6">
      <c r="A5" s="76"/>
      <c r="B5" s="78" t="s">
        <v>10</v>
      </c>
      <c r="C5" s="76"/>
      <c r="D5" s="76"/>
      <c r="E5" s="76"/>
      <c r="F5" s="76"/>
      <c r="G5" s="76"/>
      <c r="H5" s="76"/>
      <c r="I5" s="76"/>
      <c r="J5" s="76"/>
      <c r="K5" s="76"/>
    </row>
    <row r="6" spans="1:23" ht="15" x14ac:dyDescent="0.5">
      <c r="B6" s="79" t="s">
        <v>11</v>
      </c>
      <c r="C6" s="80"/>
      <c r="D6" s="80"/>
    </row>
    <row r="7" spans="1:23" ht="15" x14ac:dyDescent="0.5">
      <c r="B7" s="79"/>
      <c r="C7" s="80"/>
      <c r="D7" s="80"/>
    </row>
    <row r="8" spans="1:23" ht="15" x14ac:dyDescent="0.5">
      <c r="B8" s="81" t="s">
        <v>156</v>
      </c>
      <c r="C8" s="80"/>
      <c r="D8" s="80"/>
    </row>
    <row r="9" spans="1:23" ht="113.25" customHeight="1" x14ac:dyDescent="0.4">
      <c r="B9" s="678" t="s">
        <v>157</v>
      </c>
      <c r="C9" s="678"/>
      <c r="D9" s="678"/>
      <c r="E9" s="678"/>
      <c r="F9" s="678"/>
      <c r="G9" s="678"/>
      <c r="H9" s="678"/>
      <c r="I9" s="678"/>
      <c r="J9" s="678"/>
      <c r="K9" s="678"/>
      <c r="L9" s="678"/>
    </row>
    <row r="10" spans="1:23" ht="43.35" customHeight="1" thickBot="1" x14ac:dyDescent="0.55000000000000004">
      <c r="A10" s="13" t="s">
        <v>35</v>
      </c>
      <c r="B10" s="679" t="s">
        <v>158</v>
      </c>
      <c r="C10" s="679"/>
      <c r="D10" s="679"/>
      <c r="L10" s="82"/>
      <c r="N10" s="680"/>
      <c r="O10" s="680"/>
      <c r="P10" s="680"/>
      <c r="Q10" s="680"/>
      <c r="R10" s="680"/>
      <c r="S10" s="680"/>
      <c r="T10" s="680"/>
      <c r="U10" s="680"/>
      <c r="V10" s="680"/>
      <c r="W10" s="680"/>
    </row>
    <row r="11" spans="1:23" s="80" customFormat="1" ht="29.25" customHeight="1" x14ac:dyDescent="0.5">
      <c r="B11" s="681" t="s">
        <v>159</v>
      </c>
      <c r="C11" s="682"/>
      <c r="D11" s="685" t="s">
        <v>160</v>
      </c>
      <c r="E11" s="682" t="s">
        <v>161</v>
      </c>
      <c r="F11" s="682"/>
      <c r="G11" s="682"/>
      <c r="H11" s="682"/>
      <c r="I11" s="682"/>
      <c r="J11" s="682"/>
      <c r="K11" s="682"/>
      <c r="L11" s="687"/>
      <c r="M11" s="688"/>
      <c r="N11" s="688"/>
      <c r="O11" s="688"/>
      <c r="P11" s="688"/>
      <c r="Q11" s="688"/>
      <c r="R11" s="688"/>
      <c r="S11" s="688"/>
      <c r="T11" s="688"/>
      <c r="U11" s="688"/>
      <c r="V11" s="688"/>
    </row>
    <row r="12" spans="1:23" s="80" customFormat="1" ht="47.25" customHeight="1" thickBot="1" x14ac:dyDescent="0.55000000000000004">
      <c r="B12" s="683"/>
      <c r="C12" s="684"/>
      <c r="D12" s="686"/>
      <c r="E12" s="597" t="s">
        <v>162</v>
      </c>
      <c r="F12" s="597" t="s">
        <v>163</v>
      </c>
      <c r="G12" s="689" t="s">
        <v>164</v>
      </c>
      <c r="H12" s="689"/>
      <c r="I12" s="689" t="s">
        <v>165</v>
      </c>
      <c r="J12" s="689"/>
      <c r="K12" s="689" t="s">
        <v>166</v>
      </c>
      <c r="L12" s="690"/>
      <c r="M12" s="83"/>
    </row>
    <row r="13" spans="1:23" s="80" customFormat="1" ht="24" customHeight="1" x14ac:dyDescent="0.5">
      <c r="B13" s="206"/>
      <c r="C13" s="207"/>
      <c r="D13" s="207"/>
      <c r="E13" s="208"/>
      <c r="F13" s="209"/>
      <c r="G13" s="669" t="s">
        <v>167</v>
      </c>
      <c r="H13" s="670"/>
      <c r="I13" s="260" t="s">
        <v>168</v>
      </c>
      <c r="J13" s="261" t="s">
        <v>125</v>
      </c>
      <c r="K13" s="260" t="s">
        <v>168</v>
      </c>
      <c r="L13" s="261" t="s">
        <v>125</v>
      </c>
    </row>
    <row r="14" spans="1:23" s="80" customFormat="1" ht="23.1" customHeight="1" thickBot="1" x14ac:dyDescent="0.55000000000000004">
      <c r="B14" s="84">
        <v>1</v>
      </c>
      <c r="C14" s="85">
        <v>2</v>
      </c>
      <c r="D14" s="85">
        <v>3</v>
      </c>
      <c r="E14" s="86">
        <v>4</v>
      </c>
      <c r="F14" s="87">
        <v>5</v>
      </c>
      <c r="G14" s="674">
        <v>6</v>
      </c>
      <c r="H14" s="675"/>
      <c r="I14" s="595">
        <v>7</v>
      </c>
      <c r="J14" s="88">
        <v>8</v>
      </c>
      <c r="K14" s="595">
        <v>9</v>
      </c>
      <c r="L14" s="88">
        <v>10</v>
      </c>
      <c r="M14" s="89"/>
      <c r="N14" s="89"/>
      <c r="O14" s="89"/>
      <c r="P14" s="89"/>
      <c r="Q14" s="89"/>
      <c r="R14" s="89"/>
    </row>
    <row r="15" spans="1:23" ht="35.25" customHeight="1" x14ac:dyDescent="0.4">
      <c r="B15" s="90" t="s">
        <v>169</v>
      </c>
      <c r="C15" s="91" t="s">
        <v>170</v>
      </c>
      <c r="D15" s="92" t="s">
        <v>171</v>
      </c>
      <c r="E15" s="93">
        <f>100%</f>
        <v>1</v>
      </c>
      <c r="F15" s="226" t="s">
        <v>172</v>
      </c>
      <c r="G15" s="664">
        <v>1.78</v>
      </c>
      <c r="H15" s="665"/>
      <c r="I15" s="95">
        <v>0.8</v>
      </c>
      <c r="J15" s="256">
        <v>0.24440000000000001</v>
      </c>
      <c r="K15" s="95">
        <v>1.2</v>
      </c>
      <c r="L15" s="256">
        <v>0.1749</v>
      </c>
      <c r="M15" s="96"/>
      <c r="N15" s="96"/>
      <c r="O15" s="96"/>
      <c r="P15" s="96"/>
      <c r="Q15" s="96"/>
      <c r="R15" s="96"/>
    </row>
    <row r="16" spans="1:23" ht="35.25" customHeight="1" x14ac:dyDescent="0.4">
      <c r="B16" s="97" t="s">
        <v>169</v>
      </c>
      <c r="C16" s="98" t="s">
        <v>173</v>
      </c>
      <c r="D16" s="99" t="s">
        <v>174</v>
      </c>
      <c r="E16" s="100">
        <f>100%</f>
        <v>1</v>
      </c>
      <c r="F16" s="94" t="s">
        <v>172</v>
      </c>
      <c r="G16" s="676">
        <v>0.56000000000000005</v>
      </c>
      <c r="H16" s="677"/>
      <c r="I16" s="101">
        <v>0.8</v>
      </c>
      <c r="J16" s="596">
        <v>0.1676</v>
      </c>
      <c r="K16" s="101">
        <v>1.2</v>
      </c>
      <c r="L16" s="596">
        <v>0.23760000000000001</v>
      </c>
    </row>
    <row r="17" spans="1:14" ht="14.25" customHeight="1" thickBot="1" x14ac:dyDescent="0.45">
      <c r="B17" s="102"/>
      <c r="C17" s="103"/>
      <c r="D17" s="104"/>
      <c r="E17" s="105"/>
      <c r="F17" s="105"/>
      <c r="G17" s="662"/>
      <c r="H17" s="663"/>
      <c r="I17" s="593"/>
      <c r="J17" s="594"/>
      <c r="K17" s="593"/>
      <c r="L17" s="594"/>
    </row>
    <row r="18" spans="1:14" ht="35.25" customHeight="1" x14ac:dyDescent="0.4">
      <c r="B18" s="97" t="s">
        <v>175</v>
      </c>
      <c r="C18" s="106" t="s">
        <v>170</v>
      </c>
      <c r="D18" s="258" t="s">
        <v>176</v>
      </c>
      <c r="E18" s="225">
        <f>'CBA Model'!D25</f>
        <v>0.9</v>
      </c>
      <c r="F18" s="222" t="s">
        <v>172</v>
      </c>
      <c r="G18" s="664">
        <v>0.42</v>
      </c>
      <c r="H18" s="665"/>
      <c r="I18" s="262">
        <v>0.8</v>
      </c>
      <c r="J18" s="263">
        <v>0.19020000000000001</v>
      </c>
      <c r="K18" s="101">
        <v>1.2</v>
      </c>
      <c r="L18" s="263">
        <v>0.2475</v>
      </c>
    </row>
    <row r="19" spans="1:14" ht="35.25" customHeight="1" x14ac:dyDescent="0.4">
      <c r="B19" s="97" t="s">
        <v>175</v>
      </c>
      <c r="C19" s="106" t="s">
        <v>173</v>
      </c>
      <c r="D19" s="259" t="s">
        <v>177</v>
      </c>
      <c r="E19" s="227">
        <f>-'CBA Model'!D14</f>
        <v>10649.63402014514</v>
      </c>
      <c r="F19" s="222" t="s">
        <v>172</v>
      </c>
      <c r="G19" s="671">
        <v>3.01</v>
      </c>
      <c r="H19" s="672"/>
      <c r="I19" s="262">
        <v>0.8</v>
      </c>
      <c r="J19" s="264">
        <v>0.22309999999999999</v>
      </c>
      <c r="K19" s="101">
        <v>1.2</v>
      </c>
      <c r="L19" s="264">
        <v>0.19189999999999999</v>
      </c>
    </row>
    <row r="20" spans="1:14" ht="35.25" customHeight="1" x14ac:dyDescent="0.4">
      <c r="B20" s="97" t="s">
        <v>175</v>
      </c>
      <c r="C20" s="106" t="s">
        <v>173</v>
      </c>
      <c r="D20" s="259" t="s">
        <v>178</v>
      </c>
      <c r="E20" s="497">
        <f>'CBA Model'!D10</f>
        <v>46000</v>
      </c>
      <c r="F20" s="222" t="s">
        <v>179</v>
      </c>
      <c r="G20" s="673">
        <v>0.21</v>
      </c>
      <c r="H20" s="672"/>
      <c r="I20" s="262">
        <v>0.8</v>
      </c>
      <c r="J20" s="264">
        <v>0.19400000000000001</v>
      </c>
      <c r="K20" s="101">
        <v>1</v>
      </c>
      <c r="L20" s="264">
        <v>0.20669999999999999</v>
      </c>
    </row>
    <row r="21" spans="1:14" ht="42" customHeight="1" thickBot="1" x14ac:dyDescent="0.45">
      <c r="B21" s="107" t="s">
        <v>175</v>
      </c>
      <c r="C21" s="108" t="s">
        <v>173</v>
      </c>
      <c r="D21" s="223" t="s">
        <v>180</v>
      </c>
      <c r="E21" s="498">
        <f>'CBA Model'!D27</f>
        <v>2024</v>
      </c>
      <c r="F21" s="224" t="s">
        <v>181</v>
      </c>
      <c r="G21" s="666" t="s">
        <v>182</v>
      </c>
      <c r="H21" s="667"/>
      <c r="I21" s="228">
        <v>2022</v>
      </c>
      <c r="J21" s="265">
        <v>0.27610000000000001</v>
      </c>
      <c r="K21" s="257">
        <v>2026</v>
      </c>
      <c r="L21" s="265">
        <v>0.15870000000000001</v>
      </c>
      <c r="M21" s="109"/>
    </row>
    <row r="22" spans="1:14" ht="13.35" customHeight="1" x14ac:dyDescent="0.4">
      <c r="C22" s="110"/>
      <c r="D22" s="110"/>
      <c r="E22" s="111"/>
      <c r="F22" s="112"/>
      <c r="K22" s="112"/>
      <c r="L22" s="113"/>
      <c r="M22" s="114"/>
    </row>
    <row r="24" spans="1:14" s="8" customFormat="1" ht="15.3" thickBot="1" x14ac:dyDescent="0.55000000000000004">
      <c r="B24" s="668" t="s">
        <v>183</v>
      </c>
      <c r="C24" s="668"/>
      <c r="D24" s="668"/>
      <c r="E24" s="14"/>
      <c r="F24" s="14"/>
      <c r="G24" s="14"/>
      <c r="H24" s="14"/>
      <c r="I24" s="14"/>
      <c r="J24" s="14"/>
      <c r="K24" s="14"/>
      <c r="L24" s="14"/>
      <c r="M24" s="14"/>
      <c r="N24" s="14"/>
    </row>
    <row r="25" spans="1:14" ht="15.75" customHeight="1" x14ac:dyDescent="0.4">
      <c r="B25" s="656" t="s">
        <v>184</v>
      </c>
      <c r="C25" s="657"/>
      <c r="D25" s="657"/>
      <c r="E25" s="268" t="s">
        <v>125</v>
      </c>
    </row>
    <row r="26" spans="1:14" ht="18" customHeight="1" x14ac:dyDescent="0.5">
      <c r="A26" s="77">
        <v>1</v>
      </c>
      <c r="B26" s="658" t="s">
        <v>185</v>
      </c>
      <c r="C26" s="659"/>
      <c r="D26" s="659"/>
      <c r="E26" s="270">
        <f>'MCA Report'!E62</f>
        <v>0.17801291135725703</v>
      </c>
    </row>
    <row r="27" spans="1:14" ht="15" customHeight="1" thickBot="1" x14ac:dyDescent="0.55000000000000004">
      <c r="B27" s="660" t="s">
        <v>186</v>
      </c>
      <c r="C27" s="661"/>
      <c r="D27" s="661"/>
      <c r="E27" s="269">
        <f>'CBA Model'!D66</f>
        <v>0.18174415518666165</v>
      </c>
    </row>
    <row r="28" spans="1:14" ht="15" customHeight="1" x14ac:dyDescent="0.4"/>
    <row r="29" spans="1:14" ht="15" customHeight="1" thickBot="1" x14ac:dyDescent="0.5">
      <c r="A29" s="120" t="s">
        <v>35</v>
      </c>
      <c r="B29" s="128"/>
      <c r="C29" s="128"/>
      <c r="D29" s="128"/>
      <c r="E29" s="128"/>
      <c r="F29" s="128"/>
      <c r="G29" s="128"/>
      <c r="H29" s="128"/>
      <c r="I29" s="128"/>
    </row>
    <row r="30" spans="1:14" ht="15.75" customHeight="1" x14ac:dyDescent="0.45">
      <c r="A30" s="271">
        <v>1</v>
      </c>
      <c r="B30" s="625" t="s">
        <v>82</v>
      </c>
      <c r="C30" s="625"/>
      <c r="D30" s="625"/>
      <c r="E30" s="625"/>
      <c r="F30" s="625"/>
      <c r="G30" s="625"/>
      <c r="H30" s="625"/>
      <c r="I30" s="625"/>
    </row>
  </sheetData>
  <mergeCells count="24">
    <mergeCell ref="B9:L9"/>
    <mergeCell ref="B10:D10"/>
    <mergeCell ref="N10:W10"/>
    <mergeCell ref="B11:C12"/>
    <mergeCell ref="D11:D12"/>
    <mergeCell ref="E11:L11"/>
    <mergeCell ref="M11:V11"/>
    <mergeCell ref="G12:H12"/>
    <mergeCell ref="I12:J12"/>
    <mergeCell ref="K12:L12"/>
    <mergeCell ref="G13:H13"/>
    <mergeCell ref="G19:H19"/>
    <mergeCell ref="G20:H20"/>
    <mergeCell ref="G14:H14"/>
    <mergeCell ref="G15:H15"/>
    <mergeCell ref="G16:H16"/>
    <mergeCell ref="B30:I30"/>
    <mergeCell ref="B25:D25"/>
    <mergeCell ref="B26:D26"/>
    <mergeCell ref="B27:D27"/>
    <mergeCell ref="G17:H17"/>
    <mergeCell ref="G18:H18"/>
    <mergeCell ref="G21:H21"/>
    <mergeCell ref="B24:D24"/>
  </mergeCells>
  <conditionalFormatting sqref="B17:C17">
    <cfRule type="cellIs" dxfId="2" priority="2" stopIfTrue="1" operator="equal">
      <formula>0</formula>
    </cfRule>
    <cfRule type="cellIs" dxfId="1" priority="3" stopIfTrue="1" operator="notEqual">
      <formula>0</formula>
    </cfRule>
  </conditionalFormatting>
  <pageMargins left="0.7" right="0.7" top="0.75" bottom="0.75" header="0.3" footer="0.3"/>
  <pageSetup orientation="portrait" horizontalDpi="90" verticalDpi="90" r:id="rId1"/>
  <headerFooter>
    <oddHeader>&amp;C&amp;"Calibri"&amp;12&amp;K008000 UNCLASSIFIED&amp;1#_x000D_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6E06-74F0-4C59-892E-44408F53092E}">
  <sheetPr>
    <tabColor rgb="FFB4C6E7"/>
  </sheetPr>
  <dimension ref="A1:J321"/>
  <sheetViews>
    <sheetView showGridLines="0" showRowColHeaders="0" topLeftCell="A108" zoomScale="140" zoomScaleNormal="140" workbookViewId="0">
      <selection activeCell="E117" sqref="E117"/>
    </sheetView>
  </sheetViews>
  <sheetFormatPr defaultColWidth="8.68359375" defaultRowHeight="12.3" x14ac:dyDescent="0.45"/>
  <cols>
    <col min="1" max="1" width="2" style="273" customWidth="1"/>
    <col min="2" max="2" width="1.68359375" style="273" customWidth="1"/>
    <col min="3" max="4" width="12.26171875" style="273" customWidth="1"/>
    <col min="5" max="5" width="18.26171875" style="273" customWidth="1"/>
    <col min="6" max="6" width="1.68359375" style="275" customWidth="1"/>
    <col min="7" max="7" width="5.26171875" style="273" customWidth="1"/>
    <col min="8" max="8" width="15.68359375" style="273" customWidth="1"/>
    <col min="9" max="9" width="11.26171875" style="273" customWidth="1"/>
    <col min="10" max="10" width="2.68359375" style="274" customWidth="1"/>
    <col min="11" max="11" width="80.68359375" style="273" customWidth="1"/>
    <col min="12" max="16384" width="8.68359375" style="273"/>
  </cols>
  <sheetData>
    <row r="1" spans="2:6" x14ac:dyDescent="0.45">
      <c r="E1" s="291"/>
      <c r="F1" s="280" t="s">
        <v>187</v>
      </c>
    </row>
    <row r="2" spans="2:6" x14ac:dyDescent="0.45">
      <c r="F2" s="275" t="s">
        <v>188</v>
      </c>
    </row>
    <row r="3" spans="2:6" x14ac:dyDescent="0.45">
      <c r="F3" s="275" t="s">
        <v>189</v>
      </c>
    </row>
    <row r="5" spans="2:6" x14ac:dyDescent="0.45">
      <c r="B5" s="273" t="s">
        <v>190</v>
      </c>
    </row>
    <row r="6" spans="2:6" x14ac:dyDescent="0.45">
      <c r="C6" s="273" t="s">
        <v>191</v>
      </c>
      <c r="E6" s="286">
        <v>20000</v>
      </c>
    </row>
    <row r="7" spans="2:6" x14ac:dyDescent="0.45">
      <c r="C7" s="273" t="s">
        <v>192</v>
      </c>
    </row>
    <row r="8" spans="2:6" x14ac:dyDescent="0.45">
      <c r="C8" s="273" t="s">
        <v>193</v>
      </c>
    </row>
    <row r="9" spans="2:6" x14ac:dyDescent="0.45">
      <c r="C9" s="273" t="s">
        <v>194</v>
      </c>
    </row>
    <row r="10" spans="2:6" x14ac:dyDescent="0.45">
      <c r="C10" s="273" t="s">
        <v>195</v>
      </c>
      <c r="E10" s="290">
        <v>0.95</v>
      </c>
    </row>
    <row r="12" spans="2:6" x14ac:dyDescent="0.45">
      <c r="B12" s="273" t="s">
        <v>196</v>
      </c>
    </row>
    <row r="13" spans="2:6" x14ac:dyDescent="0.45">
      <c r="C13" s="273" t="s">
        <v>197</v>
      </c>
      <c r="E13" s="287">
        <v>229.01451059999999</v>
      </c>
    </row>
    <row r="14" spans="2:6" x14ac:dyDescent="0.45">
      <c r="C14" s="273" t="s">
        <v>198</v>
      </c>
      <c r="E14" s="286">
        <v>87.330710825272917</v>
      </c>
    </row>
    <row r="15" spans="2:6" x14ac:dyDescent="0.45">
      <c r="C15" s="273" t="s">
        <v>199</v>
      </c>
      <c r="E15" s="286">
        <v>523.98426495163756</v>
      </c>
    </row>
    <row r="17" spans="1:10" x14ac:dyDescent="0.45">
      <c r="B17" s="273" t="s">
        <v>200</v>
      </c>
    </row>
    <row r="18" spans="1:10" x14ac:dyDescent="0.45">
      <c r="C18" s="273" t="s">
        <v>201</v>
      </c>
      <c r="E18" s="273">
        <v>6</v>
      </c>
    </row>
    <row r="19" spans="1:10" x14ac:dyDescent="0.45">
      <c r="C19" s="273" t="s">
        <v>202</v>
      </c>
      <c r="E19" s="273">
        <v>0</v>
      </c>
    </row>
    <row r="20" spans="1:10" x14ac:dyDescent="0.45">
      <c r="C20" s="273" t="s">
        <v>203</v>
      </c>
      <c r="E20" s="273">
        <v>0</v>
      </c>
    </row>
    <row r="21" spans="1:10" x14ac:dyDescent="0.45">
      <c r="C21" s="273" t="s">
        <v>204</v>
      </c>
      <c r="E21" s="273">
        <v>0</v>
      </c>
    </row>
    <row r="22" spans="1:10" x14ac:dyDescent="0.45">
      <c r="C22" s="273" t="s">
        <v>205</v>
      </c>
      <c r="E22" s="273">
        <v>4</v>
      </c>
    </row>
    <row r="24" spans="1:10" x14ac:dyDescent="0.45">
      <c r="F24" s="280" t="s">
        <v>205</v>
      </c>
    </row>
    <row r="25" spans="1:10" ht="18.3" x14ac:dyDescent="0.7">
      <c r="D25" s="547" t="s">
        <v>206</v>
      </c>
      <c r="E25" s="545"/>
      <c r="F25" s="545"/>
      <c r="G25" s="546"/>
      <c r="H25" s="545"/>
      <c r="I25" s="545"/>
    </row>
    <row r="27" spans="1:10" x14ac:dyDescent="0.45">
      <c r="A27" s="279" t="s">
        <v>207</v>
      </c>
    </row>
    <row r="29" spans="1:10" x14ac:dyDescent="0.45">
      <c r="A29" s="279" t="s">
        <v>208</v>
      </c>
      <c r="B29" s="279"/>
      <c r="C29" s="279"/>
      <c r="D29" s="279"/>
      <c r="E29" s="279"/>
      <c r="F29" s="280"/>
      <c r="G29" s="279"/>
      <c r="H29" s="279"/>
      <c r="I29" s="279"/>
      <c r="J29" s="278" t="s">
        <v>209</v>
      </c>
    </row>
    <row r="31" spans="1:10" x14ac:dyDescent="0.45">
      <c r="B31" s="273" t="s">
        <v>210</v>
      </c>
    </row>
    <row r="32" spans="1:10" x14ac:dyDescent="0.45">
      <c r="C32" s="273" t="s">
        <v>211</v>
      </c>
    </row>
    <row r="33" spans="3:3" x14ac:dyDescent="0.45">
      <c r="C33" s="273" t="s">
        <v>212</v>
      </c>
    </row>
    <row r="34" spans="3:3" x14ac:dyDescent="0.45">
      <c r="C34" s="273" t="s">
        <v>213</v>
      </c>
    </row>
    <row r="35" spans="3:3" x14ac:dyDescent="0.45">
      <c r="C35" s="273" t="s">
        <v>214</v>
      </c>
    </row>
    <row r="36" spans="3:3" x14ac:dyDescent="0.45">
      <c r="C36" s="273" t="s">
        <v>215</v>
      </c>
    </row>
    <row r="57" spans="1:10" x14ac:dyDescent="0.45">
      <c r="A57" s="279" t="s">
        <v>216</v>
      </c>
      <c r="B57" s="279"/>
      <c r="C57" s="279"/>
      <c r="D57" s="279"/>
      <c r="E57" s="279"/>
      <c r="F57" s="280"/>
      <c r="G57" s="279"/>
      <c r="H57" s="279"/>
      <c r="I57" s="279"/>
      <c r="J57" s="278" t="s">
        <v>209</v>
      </c>
    </row>
    <row r="59" spans="1:10" x14ac:dyDescent="0.45">
      <c r="B59" s="273" t="s">
        <v>217</v>
      </c>
      <c r="E59" s="276" t="s">
        <v>218</v>
      </c>
    </row>
    <row r="60" spans="1:10" x14ac:dyDescent="0.45">
      <c r="C60" s="273" t="s">
        <v>219</v>
      </c>
      <c r="E60" s="286">
        <v>20000</v>
      </c>
    </row>
    <row r="61" spans="1:10" x14ac:dyDescent="0.45">
      <c r="C61" s="273" t="s">
        <v>74</v>
      </c>
      <c r="E61" s="288">
        <v>0.18174415518666165</v>
      </c>
    </row>
    <row r="62" spans="1:10" x14ac:dyDescent="0.45">
      <c r="C62" s="544" t="s">
        <v>220</v>
      </c>
      <c r="D62" s="544"/>
      <c r="E62" s="292">
        <v>0.17801291135725703</v>
      </c>
    </row>
    <row r="63" spans="1:10" x14ac:dyDescent="0.45">
      <c r="C63" s="273" t="s">
        <v>221</v>
      </c>
      <c r="E63" s="288">
        <v>0.17638577083882956</v>
      </c>
    </row>
    <row r="64" spans="1:10" x14ac:dyDescent="0.45">
      <c r="C64" s="273" t="s">
        <v>222</v>
      </c>
      <c r="E64" s="289" t="s">
        <v>223</v>
      </c>
    </row>
    <row r="65" spans="2:5" x14ac:dyDescent="0.45">
      <c r="C65" s="273" t="s">
        <v>224</v>
      </c>
      <c r="E65" s="288">
        <v>3.9816122523372639E-2</v>
      </c>
    </row>
    <row r="66" spans="2:5" x14ac:dyDescent="0.45">
      <c r="C66" s="273" t="s">
        <v>225</v>
      </c>
      <c r="E66" s="288">
        <v>1.5853236127962218E-3</v>
      </c>
    </row>
    <row r="67" spans="2:5" x14ac:dyDescent="0.45">
      <c r="C67" s="273" t="s">
        <v>226</v>
      </c>
      <c r="E67" s="283">
        <v>0.18827015704396083</v>
      </c>
    </row>
    <row r="68" spans="2:5" x14ac:dyDescent="0.45">
      <c r="C68" s="273" t="s">
        <v>227</v>
      </c>
      <c r="E68" s="284">
        <v>2.7849780161930986</v>
      </c>
    </row>
    <row r="69" spans="2:5" x14ac:dyDescent="0.45">
      <c r="C69" s="273" t="s">
        <v>228</v>
      </c>
      <c r="E69" s="283">
        <v>0.22366985753895688</v>
      </c>
    </row>
    <row r="70" spans="2:5" x14ac:dyDescent="0.45">
      <c r="C70" s="273" t="s">
        <v>229</v>
      </c>
      <c r="E70" s="288">
        <v>5.3789040746945682E-2</v>
      </c>
    </row>
    <row r="71" spans="2:5" x14ac:dyDescent="0.45">
      <c r="C71" s="273" t="s">
        <v>230</v>
      </c>
      <c r="E71" s="288">
        <v>0.32991691926052424</v>
      </c>
    </row>
    <row r="72" spans="2:5" x14ac:dyDescent="0.45">
      <c r="C72" s="273" t="s">
        <v>231</v>
      </c>
      <c r="E72" s="288">
        <v>0.27612787851357856</v>
      </c>
    </row>
    <row r="73" spans="2:5" x14ac:dyDescent="0.45">
      <c r="C73" s="273" t="s">
        <v>232</v>
      </c>
      <c r="E73" s="288">
        <v>2.8154250236831223E-4</v>
      </c>
    </row>
    <row r="75" spans="2:5" x14ac:dyDescent="0.45">
      <c r="B75" s="273" t="s">
        <v>233</v>
      </c>
      <c r="E75" s="276" t="s">
        <v>218</v>
      </c>
    </row>
    <row r="76" spans="2:5" x14ac:dyDescent="0.45">
      <c r="C76" s="273" t="s">
        <v>234</v>
      </c>
      <c r="E76" s="288">
        <v>5.3789040746946001E-2</v>
      </c>
    </row>
    <row r="77" spans="2:5" x14ac:dyDescent="0.45">
      <c r="C77" s="273" t="s">
        <v>235</v>
      </c>
      <c r="E77" s="288">
        <v>0.12712130196472701</v>
      </c>
    </row>
    <row r="78" spans="2:5" x14ac:dyDescent="0.45">
      <c r="C78" s="273" t="s">
        <v>236</v>
      </c>
      <c r="E78" s="288">
        <v>0.143431600554983</v>
      </c>
    </row>
    <row r="79" spans="2:5" x14ac:dyDescent="0.45">
      <c r="C79" s="273" t="s">
        <v>237</v>
      </c>
      <c r="E79" s="288">
        <v>0.15575263230250699</v>
      </c>
    </row>
    <row r="80" spans="2:5" x14ac:dyDescent="0.45">
      <c r="C80" s="273" t="s">
        <v>238</v>
      </c>
      <c r="E80" s="288">
        <v>0.166153064038217</v>
      </c>
    </row>
    <row r="81" spans="1:10" x14ac:dyDescent="0.45">
      <c r="C81" s="273" t="s">
        <v>239</v>
      </c>
      <c r="E81" s="288">
        <v>0.176385312529689</v>
      </c>
    </row>
    <row r="82" spans="1:10" x14ac:dyDescent="0.45">
      <c r="C82" s="273" t="s">
        <v>240</v>
      </c>
      <c r="E82" s="288">
        <v>0.18680734668957799</v>
      </c>
    </row>
    <row r="83" spans="1:10" x14ac:dyDescent="0.45">
      <c r="C83" s="273" t="s">
        <v>241</v>
      </c>
      <c r="E83" s="288">
        <v>0.19810245977605601</v>
      </c>
    </row>
    <row r="84" spans="1:10" x14ac:dyDescent="0.45">
      <c r="C84" s="273" t="s">
        <v>242</v>
      </c>
      <c r="E84" s="288">
        <v>0.21205663961225299</v>
      </c>
    </row>
    <row r="85" spans="1:10" x14ac:dyDescent="0.45">
      <c r="C85" s="273" t="s">
        <v>243</v>
      </c>
      <c r="E85" s="288">
        <v>0.23110198279451699</v>
      </c>
    </row>
    <row r="86" spans="1:10" x14ac:dyDescent="0.45">
      <c r="C86" s="273" t="s">
        <v>244</v>
      </c>
      <c r="E86" s="288">
        <v>0.32991691926052402</v>
      </c>
    </row>
    <row r="88" spans="1:10" x14ac:dyDescent="0.45">
      <c r="A88" s="279" t="s">
        <v>245</v>
      </c>
      <c r="B88" s="279"/>
      <c r="C88" s="279"/>
      <c r="D88" s="279"/>
      <c r="E88" s="279"/>
      <c r="F88" s="280"/>
      <c r="G88" s="279"/>
      <c r="H88" s="279"/>
      <c r="I88" s="279"/>
      <c r="J88" s="278" t="s">
        <v>246</v>
      </c>
    </row>
    <row r="90" spans="1:10" x14ac:dyDescent="0.45">
      <c r="B90" s="273" t="s">
        <v>210</v>
      </c>
    </row>
    <row r="91" spans="1:10" x14ac:dyDescent="0.45">
      <c r="C91" s="273" t="s">
        <v>247</v>
      </c>
    </row>
    <row r="92" spans="1:10" x14ac:dyDescent="0.45">
      <c r="C92" s="273" t="s">
        <v>248</v>
      </c>
    </row>
    <row r="93" spans="1:10" x14ac:dyDescent="0.45">
      <c r="C93" s="273" t="s">
        <v>249</v>
      </c>
    </row>
    <row r="114" spans="2:5" x14ac:dyDescent="0.45">
      <c r="B114" s="273" t="s">
        <v>217</v>
      </c>
      <c r="E114" s="276" t="s">
        <v>218</v>
      </c>
    </row>
    <row r="115" spans="2:5" x14ac:dyDescent="0.45">
      <c r="C115" s="273" t="s">
        <v>219</v>
      </c>
      <c r="E115" s="286">
        <v>20000</v>
      </c>
    </row>
    <row r="116" spans="2:5" x14ac:dyDescent="0.45">
      <c r="C116" s="273" t="s">
        <v>74</v>
      </c>
      <c r="E116" s="282">
        <v>67532613.189060584</v>
      </c>
    </row>
    <row r="117" spans="2:5" x14ac:dyDescent="0.45">
      <c r="C117" s="544" t="s">
        <v>220</v>
      </c>
      <c r="D117" s="544"/>
      <c r="E117" s="293">
        <v>69692473.136516541</v>
      </c>
    </row>
    <row r="118" spans="2:5" x14ac:dyDescent="0.45">
      <c r="C118" s="273" t="s">
        <v>221</v>
      </c>
      <c r="E118" s="282">
        <v>65765288.202478021</v>
      </c>
    </row>
    <row r="119" spans="2:5" x14ac:dyDescent="0.45">
      <c r="C119" s="273" t="s">
        <v>222</v>
      </c>
      <c r="E119" s="285" t="s">
        <v>223</v>
      </c>
    </row>
    <row r="120" spans="2:5" x14ac:dyDescent="0.45">
      <c r="C120" s="273" t="s">
        <v>224</v>
      </c>
      <c r="E120" s="282">
        <v>39677422.613109097</v>
      </c>
    </row>
    <row r="121" spans="2:5" x14ac:dyDescent="0.45">
      <c r="C121" s="273" t="s">
        <v>225</v>
      </c>
      <c r="E121" s="282">
        <v>1574297865219260</v>
      </c>
    </row>
    <row r="122" spans="2:5" x14ac:dyDescent="0.45">
      <c r="C122" s="273" t="s">
        <v>226</v>
      </c>
      <c r="E122" s="283">
        <v>0.51538271964399029</v>
      </c>
    </row>
    <row r="123" spans="2:5" x14ac:dyDescent="0.45">
      <c r="C123" s="273" t="s">
        <v>227</v>
      </c>
      <c r="E123" s="284">
        <v>3.102876007512879</v>
      </c>
    </row>
    <row r="124" spans="2:5" x14ac:dyDescent="0.45">
      <c r="C124" s="273" t="s">
        <v>228</v>
      </c>
      <c r="E124" s="283">
        <v>0.56932148950127393</v>
      </c>
    </row>
    <row r="125" spans="2:5" x14ac:dyDescent="0.45">
      <c r="C125" s="273" t="s">
        <v>229</v>
      </c>
      <c r="E125" s="282">
        <v>-30231422.648137294</v>
      </c>
    </row>
    <row r="126" spans="2:5" x14ac:dyDescent="0.45">
      <c r="C126" s="273" t="s">
        <v>230</v>
      </c>
      <c r="E126" s="282">
        <v>256486735.2790888</v>
      </c>
    </row>
    <row r="127" spans="2:5" x14ac:dyDescent="0.45">
      <c r="C127" s="273" t="s">
        <v>231</v>
      </c>
      <c r="E127" s="282">
        <v>286718157.92722607</v>
      </c>
    </row>
    <row r="128" spans="2:5" x14ac:dyDescent="0.45">
      <c r="C128" s="273" t="s">
        <v>232</v>
      </c>
      <c r="E128" s="282">
        <v>280561.74589733925</v>
      </c>
    </row>
    <row r="130" spans="1:10" x14ac:dyDescent="0.45">
      <c r="A130" s="279" t="s">
        <v>250</v>
      </c>
      <c r="B130" s="279"/>
      <c r="C130" s="279"/>
      <c r="D130" s="279"/>
      <c r="E130" s="279"/>
      <c r="F130" s="280"/>
      <c r="G130" s="279"/>
      <c r="H130" s="279"/>
      <c r="I130" s="279"/>
      <c r="J130" s="278" t="s">
        <v>246</v>
      </c>
    </row>
    <row r="132" spans="1:10" x14ac:dyDescent="0.45">
      <c r="B132" s="273" t="s">
        <v>233</v>
      </c>
      <c r="E132" s="276" t="s">
        <v>218</v>
      </c>
    </row>
    <row r="133" spans="1:10" x14ac:dyDescent="0.45">
      <c r="C133" s="273" t="s">
        <v>234</v>
      </c>
      <c r="E133" s="282">
        <v>-30231422.648137294</v>
      </c>
    </row>
    <row r="134" spans="1:10" x14ac:dyDescent="0.45">
      <c r="C134" s="273" t="s">
        <v>235</v>
      </c>
      <c r="E134" s="282">
        <v>21365646.177583545</v>
      </c>
    </row>
    <row r="135" spans="1:10" x14ac:dyDescent="0.45">
      <c r="C135" s="273" t="s">
        <v>236</v>
      </c>
      <c r="E135" s="282">
        <v>35317706.538732782</v>
      </c>
    </row>
    <row r="136" spans="1:10" x14ac:dyDescent="0.45">
      <c r="C136" s="273" t="s">
        <v>237</v>
      </c>
      <c r="E136" s="282">
        <v>46148273.095448665</v>
      </c>
    </row>
    <row r="137" spans="1:10" x14ac:dyDescent="0.45">
      <c r="C137" s="273" t="s">
        <v>238</v>
      </c>
      <c r="E137" s="282">
        <v>55815532.036518291</v>
      </c>
    </row>
    <row r="138" spans="1:10" x14ac:dyDescent="0.45">
      <c r="C138" s="273" t="s">
        <v>239</v>
      </c>
      <c r="E138" s="282">
        <v>65764570.41813609</v>
      </c>
    </row>
    <row r="139" spans="1:10" x14ac:dyDescent="0.45">
      <c r="C139" s="273" t="s">
        <v>240</v>
      </c>
      <c r="E139" s="282">
        <v>75837016.621913671</v>
      </c>
    </row>
    <row r="140" spans="1:10" x14ac:dyDescent="0.45">
      <c r="C140" s="273" t="s">
        <v>241</v>
      </c>
      <c r="E140" s="282">
        <v>87587981.777667537</v>
      </c>
    </row>
    <row r="141" spans="1:10" x14ac:dyDescent="0.45">
      <c r="C141" s="273" t="s">
        <v>242</v>
      </c>
      <c r="E141" s="282">
        <v>102204174.27168924</v>
      </c>
    </row>
    <row r="142" spans="1:10" x14ac:dyDescent="0.45">
      <c r="C142" s="273" t="s">
        <v>243</v>
      </c>
      <c r="E142" s="282">
        <v>123822265.33052835</v>
      </c>
    </row>
    <row r="143" spans="1:10" x14ac:dyDescent="0.45">
      <c r="C143" s="273" t="s">
        <v>244</v>
      </c>
      <c r="E143" s="282">
        <v>256486735.2790888</v>
      </c>
    </row>
    <row r="145" spans="1:10" x14ac:dyDescent="0.45">
      <c r="A145" s="279" t="s">
        <v>251</v>
      </c>
      <c r="B145" s="279"/>
      <c r="C145" s="279"/>
      <c r="D145" s="279"/>
      <c r="E145" s="279"/>
      <c r="F145" s="280"/>
      <c r="G145" s="279"/>
      <c r="H145" s="279"/>
      <c r="I145" s="279"/>
      <c r="J145" s="278" t="s">
        <v>252</v>
      </c>
    </row>
    <row r="147" spans="1:10" x14ac:dyDescent="0.45">
      <c r="B147" s="273" t="s">
        <v>210</v>
      </c>
    </row>
    <row r="148" spans="1:10" x14ac:dyDescent="0.45">
      <c r="C148" s="273" t="s">
        <v>253</v>
      </c>
    </row>
    <row r="149" spans="1:10" x14ac:dyDescent="0.45">
      <c r="C149" s="273" t="s">
        <v>254</v>
      </c>
    </row>
    <row r="150" spans="1:10" x14ac:dyDescent="0.45">
      <c r="C150" s="273" t="s">
        <v>255</v>
      </c>
    </row>
    <row r="169" spans="2:6" x14ac:dyDescent="0.45">
      <c r="B169" s="273" t="s">
        <v>217</v>
      </c>
      <c r="E169" s="276" t="s">
        <v>218</v>
      </c>
    </row>
    <row r="170" spans="2:6" x14ac:dyDescent="0.45">
      <c r="C170" s="273" t="s">
        <v>219</v>
      </c>
      <c r="E170" s="286">
        <v>20000</v>
      </c>
    </row>
    <row r="171" spans="2:6" x14ac:dyDescent="0.45">
      <c r="C171" s="273" t="s">
        <v>74</v>
      </c>
      <c r="E171" s="282">
        <v>182691909.69551161</v>
      </c>
    </row>
    <row r="172" spans="2:6" x14ac:dyDescent="0.45">
      <c r="C172" s="544" t="s">
        <v>220</v>
      </c>
      <c r="D172" s="544"/>
      <c r="E172" s="293">
        <v>186435098.88992748</v>
      </c>
      <c r="F172" s="548"/>
    </row>
    <row r="173" spans="2:6" x14ac:dyDescent="0.45">
      <c r="C173" s="273" t="s">
        <v>221</v>
      </c>
      <c r="E173" s="282">
        <v>180792672.48333722</v>
      </c>
    </row>
    <row r="174" spans="2:6" x14ac:dyDescent="0.45">
      <c r="C174" s="273" t="s">
        <v>222</v>
      </c>
      <c r="E174" s="285" t="s">
        <v>223</v>
      </c>
    </row>
    <row r="175" spans="2:6" x14ac:dyDescent="0.45">
      <c r="C175" s="273" t="s">
        <v>224</v>
      </c>
      <c r="E175" s="282">
        <v>48600497.678766221</v>
      </c>
    </row>
    <row r="176" spans="2:6" x14ac:dyDescent="0.45">
      <c r="C176" s="273" t="s">
        <v>225</v>
      </c>
      <c r="E176" s="282">
        <v>2362008374623760</v>
      </c>
    </row>
    <row r="177" spans="1:10" x14ac:dyDescent="0.45">
      <c r="C177" s="273" t="s">
        <v>226</v>
      </c>
      <c r="E177" s="283">
        <v>0.5792865981082298</v>
      </c>
    </row>
    <row r="178" spans="1:10" x14ac:dyDescent="0.45">
      <c r="C178" s="273" t="s">
        <v>227</v>
      </c>
      <c r="E178" s="284">
        <v>3.0699942089306167</v>
      </c>
    </row>
    <row r="179" spans="1:10" x14ac:dyDescent="0.45">
      <c r="C179" s="273" t="s">
        <v>228</v>
      </c>
      <c r="E179" s="283">
        <v>0.26068319736006512</v>
      </c>
    </row>
    <row r="180" spans="1:10" x14ac:dyDescent="0.45">
      <c r="C180" s="273" t="s">
        <v>229</v>
      </c>
      <c r="E180" s="282">
        <v>79016095.93808639</v>
      </c>
    </row>
    <row r="181" spans="1:10" x14ac:dyDescent="0.45">
      <c r="C181" s="273" t="s">
        <v>230</v>
      </c>
      <c r="E181" s="282">
        <v>384651803.40039569</v>
      </c>
    </row>
    <row r="182" spans="1:10" x14ac:dyDescent="0.45">
      <c r="C182" s="273" t="s">
        <v>231</v>
      </c>
      <c r="E182" s="282">
        <v>305635707.4623093</v>
      </c>
    </row>
    <row r="183" spans="1:10" x14ac:dyDescent="0.45">
      <c r="C183" s="273" t="s">
        <v>232</v>
      </c>
      <c r="E183" s="282">
        <v>343657.41477696656</v>
      </c>
    </row>
    <row r="185" spans="1:10" x14ac:dyDescent="0.45">
      <c r="A185" s="279" t="s">
        <v>256</v>
      </c>
      <c r="B185" s="279"/>
      <c r="C185" s="279"/>
      <c r="D185" s="279"/>
      <c r="E185" s="279"/>
      <c r="F185" s="280"/>
      <c r="G185" s="279"/>
      <c r="H185" s="279"/>
      <c r="I185" s="279"/>
      <c r="J185" s="278" t="s">
        <v>252</v>
      </c>
    </row>
    <row r="187" spans="1:10" x14ac:dyDescent="0.45">
      <c r="B187" s="273" t="s">
        <v>233</v>
      </c>
      <c r="E187" s="276" t="s">
        <v>218</v>
      </c>
    </row>
    <row r="188" spans="1:10" x14ac:dyDescent="0.45">
      <c r="C188" s="273" t="s">
        <v>234</v>
      </c>
      <c r="E188" s="282">
        <v>79016095.93808639</v>
      </c>
    </row>
    <row r="189" spans="1:10" x14ac:dyDescent="0.45">
      <c r="C189" s="273" t="s">
        <v>235</v>
      </c>
      <c r="E189" s="282">
        <v>127599046.7761872</v>
      </c>
    </row>
    <row r="190" spans="1:10" x14ac:dyDescent="0.45">
      <c r="C190" s="273" t="s">
        <v>236</v>
      </c>
      <c r="E190" s="282">
        <v>143558846.25638467</v>
      </c>
    </row>
    <row r="191" spans="1:10" x14ac:dyDescent="0.45">
      <c r="C191" s="273" t="s">
        <v>237</v>
      </c>
      <c r="E191" s="282">
        <v>156409066.42643732</v>
      </c>
    </row>
    <row r="192" spans="1:10" x14ac:dyDescent="0.45">
      <c r="C192" s="273" t="s">
        <v>238</v>
      </c>
      <c r="E192" s="282">
        <v>168411484.16001236</v>
      </c>
    </row>
    <row r="193" spans="1:10" x14ac:dyDescent="0.45">
      <c r="C193" s="273" t="s">
        <v>239</v>
      </c>
      <c r="E193" s="282">
        <v>180791416.89644656</v>
      </c>
    </row>
    <row r="194" spans="1:10" x14ac:dyDescent="0.45">
      <c r="C194" s="273" t="s">
        <v>240</v>
      </c>
      <c r="E194" s="282">
        <v>193827217.96089879</v>
      </c>
    </row>
    <row r="195" spans="1:10" x14ac:dyDescent="0.45">
      <c r="C195" s="273" t="s">
        <v>241</v>
      </c>
      <c r="E195" s="282">
        <v>208348025.10340345</v>
      </c>
    </row>
    <row r="196" spans="1:10" x14ac:dyDescent="0.45">
      <c r="C196" s="273" t="s">
        <v>242</v>
      </c>
      <c r="E196" s="282">
        <v>226652355.25002491</v>
      </c>
    </row>
    <row r="197" spans="1:10" x14ac:dyDescent="0.45">
      <c r="C197" s="273" t="s">
        <v>243</v>
      </c>
      <c r="E197" s="282">
        <v>253445919.37199581</v>
      </c>
    </row>
    <row r="198" spans="1:10" x14ac:dyDescent="0.45">
      <c r="C198" s="273" t="s">
        <v>244</v>
      </c>
      <c r="E198" s="282">
        <v>384651803.40039569</v>
      </c>
    </row>
    <row r="200" spans="1:10" x14ac:dyDescent="0.45">
      <c r="A200" s="279" t="s">
        <v>257</v>
      </c>
      <c r="B200" s="279"/>
      <c r="C200" s="279"/>
      <c r="D200" s="279"/>
      <c r="E200" s="279"/>
      <c r="F200" s="280"/>
      <c r="G200" s="279"/>
      <c r="H200" s="279"/>
      <c r="I200" s="279"/>
      <c r="J200" s="278" t="s">
        <v>258</v>
      </c>
    </row>
    <row r="202" spans="1:10" x14ac:dyDescent="0.45">
      <c r="B202" s="273" t="s">
        <v>210</v>
      </c>
    </row>
    <row r="203" spans="1:10" x14ac:dyDescent="0.45">
      <c r="C203" s="273" t="s">
        <v>259</v>
      </c>
    </row>
    <row r="204" spans="1:10" x14ac:dyDescent="0.45">
      <c r="C204" s="273" t="s">
        <v>260</v>
      </c>
    </row>
    <row r="205" spans="1:10" x14ac:dyDescent="0.45">
      <c r="C205" s="273" t="s">
        <v>261</v>
      </c>
    </row>
    <row r="224" spans="2:5" x14ac:dyDescent="0.45">
      <c r="B224" s="273" t="s">
        <v>217</v>
      </c>
      <c r="E224" s="276" t="s">
        <v>218</v>
      </c>
    </row>
    <row r="225" spans="1:10" x14ac:dyDescent="0.45">
      <c r="C225" s="273" t="s">
        <v>219</v>
      </c>
      <c r="E225" s="286">
        <v>20000</v>
      </c>
    </row>
    <row r="226" spans="1:10" x14ac:dyDescent="0.45">
      <c r="C226" s="273" t="s">
        <v>74</v>
      </c>
      <c r="E226" s="282">
        <v>-115159296.50645101</v>
      </c>
    </row>
    <row r="227" spans="1:10" x14ac:dyDescent="0.45">
      <c r="C227" s="544" t="s">
        <v>220</v>
      </c>
      <c r="D227" s="544"/>
      <c r="E227" s="293">
        <v>-116742625.75341067</v>
      </c>
    </row>
    <row r="228" spans="1:10" x14ac:dyDescent="0.45">
      <c r="C228" s="273" t="s">
        <v>221</v>
      </c>
      <c r="E228" s="282">
        <v>-114126585.58926997</v>
      </c>
    </row>
    <row r="229" spans="1:10" x14ac:dyDescent="0.45">
      <c r="C229" s="273" t="s">
        <v>222</v>
      </c>
      <c r="E229" s="285" t="s">
        <v>223</v>
      </c>
    </row>
    <row r="230" spans="1:10" x14ac:dyDescent="0.45">
      <c r="C230" s="273" t="s">
        <v>224</v>
      </c>
      <c r="E230" s="282">
        <v>22527510.707445495</v>
      </c>
    </row>
    <row r="231" spans="1:10" x14ac:dyDescent="0.45">
      <c r="C231" s="273" t="s">
        <v>225</v>
      </c>
      <c r="E231" s="282">
        <v>507488738674071</v>
      </c>
    </row>
    <row r="232" spans="1:10" x14ac:dyDescent="0.45">
      <c r="C232" s="273" t="s">
        <v>226</v>
      </c>
      <c r="E232" s="283">
        <v>-0.60694856995130964</v>
      </c>
    </row>
    <row r="233" spans="1:10" x14ac:dyDescent="0.45">
      <c r="C233" s="273" t="s">
        <v>227</v>
      </c>
      <c r="E233" s="284">
        <v>3.1574372214202406</v>
      </c>
    </row>
    <row r="234" spans="1:10" x14ac:dyDescent="0.45">
      <c r="C234" s="273" t="s">
        <v>228</v>
      </c>
      <c r="E234" s="283">
        <v>-0.19296731217121307</v>
      </c>
    </row>
    <row r="235" spans="1:10" x14ac:dyDescent="0.45">
      <c r="C235" s="273" t="s">
        <v>229</v>
      </c>
      <c r="E235" s="282">
        <v>-203521189.74861646</v>
      </c>
    </row>
    <row r="236" spans="1:10" x14ac:dyDescent="0.45">
      <c r="C236" s="273" t="s">
        <v>230</v>
      </c>
      <c r="E236" s="282">
        <v>-66627602.733208075</v>
      </c>
    </row>
    <row r="237" spans="1:10" x14ac:dyDescent="0.45">
      <c r="C237" s="273" t="s">
        <v>231</v>
      </c>
      <c r="E237" s="282">
        <v>136893587.0154084</v>
      </c>
    </row>
    <row r="238" spans="1:10" x14ac:dyDescent="0.45">
      <c r="C238" s="273" t="s">
        <v>232</v>
      </c>
      <c r="E238" s="282">
        <v>159293.5558448727</v>
      </c>
    </row>
    <row r="240" spans="1:10" x14ac:dyDescent="0.45">
      <c r="A240" s="279" t="s">
        <v>262</v>
      </c>
      <c r="B240" s="279"/>
      <c r="C240" s="279"/>
      <c r="D240" s="279"/>
      <c r="E240" s="279"/>
      <c r="F240" s="280"/>
      <c r="G240" s="279"/>
      <c r="H240" s="279"/>
      <c r="I240" s="279"/>
      <c r="J240" s="278" t="s">
        <v>258</v>
      </c>
    </row>
    <row r="242" spans="1:6" x14ac:dyDescent="0.45">
      <c r="B242" s="273" t="s">
        <v>233</v>
      </c>
      <c r="E242" s="276" t="s">
        <v>218</v>
      </c>
    </row>
    <row r="243" spans="1:6" x14ac:dyDescent="0.45">
      <c r="C243" s="273" t="s">
        <v>234</v>
      </c>
      <c r="E243" s="282">
        <v>-203521189.74861646</v>
      </c>
    </row>
    <row r="244" spans="1:6" x14ac:dyDescent="0.45">
      <c r="C244" s="273" t="s">
        <v>235</v>
      </c>
      <c r="E244" s="282">
        <v>-147300815.14424163</v>
      </c>
    </row>
    <row r="245" spans="1:6" x14ac:dyDescent="0.45">
      <c r="C245" s="273" t="s">
        <v>236</v>
      </c>
      <c r="E245" s="282">
        <v>-134858965.74964145</v>
      </c>
    </row>
    <row r="246" spans="1:6" x14ac:dyDescent="0.45">
      <c r="C246" s="273" t="s">
        <v>237</v>
      </c>
      <c r="E246" s="282">
        <v>-126790367.64571954</v>
      </c>
    </row>
    <row r="247" spans="1:6" x14ac:dyDescent="0.45">
      <c r="C247" s="273" t="s">
        <v>238</v>
      </c>
      <c r="E247" s="282">
        <v>-119907626.50555205</v>
      </c>
    </row>
    <row r="248" spans="1:6" x14ac:dyDescent="0.45">
      <c r="C248" s="273" t="s">
        <v>239</v>
      </c>
      <c r="E248" s="282">
        <v>-114127621.91127074</v>
      </c>
    </row>
    <row r="249" spans="1:6" x14ac:dyDescent="0.45">
      <c r="C249" s="273" t="s">
        <v>240</v>
      </c>
      <c r="E249" s="282">
        <v>-108644190.48052107</v>
      </c>
    </row>
    <row r="250" spans="1:6" x14ac:dyDescent="0.45">
      <c r="C250" s="273" t="s">
        <v>241</v>
      </c>
      <c r="E250" s="282">
        <v>-103062316.37925753</v>
      </c>
    </row>
    <row r="251" spans="1:6" x14ac:dyDescent="0.45">
      <c r="C251" s="273" t="s">
        <v>242</v>
      </c>
      <c r="E251" s="282">
        <v>-97240825.244822845</v>
      </c>
    </row>
    <row r="252" spans="1:6" x14ac:dyDescent="0.45">
      <c r="C252" s="273" t="s">
        <v>243</v>
      </c>
      <c r="E252" s="282">
        <v>-89666057.044412419</v>
      </c>
    </row>
    <row r="253" spans="1:6" x14ac:dyDescent="0.45">
      <c r="C253" s="273" t="s">
        <v>244</v>
      </c>
      <c r="E253" s="282">
        <v>-66627602.733208075</v>
      </c>
    </row>
    <row r="255" spans="1:6" x14ac:dyDescent="0.45">
      <c r="A255" s="273" t="s">
        <v>263</v>
      </c>
    </row>
    <row r="256" spans="1:6" x14ac:dyDescent="0.45">
      <c r="F256" s="280" t="s">
        <v>201</v>
      </c>
    </row>
    <row r="259" spans="1:10" x14ac:dyDescent="0.45">
      <c r="A259" s="279" t="s">
        <v>264</v>
      </c>
    </row>
    <row r="261" spans="1:10" x14ac:dyDescent="0.45">
      <c r="A261" s="279" t="s">
        <v>265</v>
      </c>
      <c r="B261" s="279"/>
      <c r="C261" s="279"/>
      <c r="D261" s="279"/>
      <c r="E261" s="279"/>
      <c r="F261" s="280"/>
      <c r="G261" s="279"/>
      <c r="H261" s="279"/>
      <c r="I261" s="279"/>
      <c r="J261" s="278" t="s">
        <v>266</v>
      </c>
    </row>
    <row r="263" spans="1:10" x14ac:dyDescent="0.45">
      <c r="B263" s="273" t="s">
        <v>267</v>
      </c>
    </row>
    <row r="264" spans="1:10" x14ac:dyDescent="0.45">
      <c r="C264" s="273" t="s">
        <v>229</v>
      </c>
      <c r="E264" s="277">
        <v>0.8</v>
      </c>
    </row>
    <row r="265" spans="1:10" x14ac:dyDescent="0.45">
      <c r="C265" s="273" t="s">
        <v>230</v>
      </c>
      <c r="E265" s="277">
        <v>1.2</v>
      </c>
    </row>
    <row r="266" spans="1:10" x14ac:dyDescent="0.45">
      <c r="E266" s="276"/>
    </row>
    <row r="267" spans="1:10" x14ac:dyDescent="0.45">
      <c r="E267" s="276"/>
    </row>
    <row r="271" spans="1:10" x14ac:dyDescent="0.45">
      <c r="A271" s="279" t="s">
        <v>268</v>
      </c>
      <c r="B271" s="279"/>
      <c r="C271" s="279"/>
      <c r="D271" s="279"/>
      <c r="E271" s="279"/>
      <c r="F271" s="280"/>
      <c r="G271" s="279"/>
      <c r="H271" s="279"/>
      <c r="I271" s="279"/>
      <c r="J271" s="278" t="s">
        <v>269</v>
      </c>
    </row>
    <row r="273" spans="1:10" x14ac:dyDescent="0.45">
      <c r="B273" s="273" t="s">
        <v>267</v>
      </c>
    </row>
    <row r="274" spans="1:10" x14ac:dyDescent="0.45">
      <c r="C274" s="273" t="s">
        <v>229</v>
      </c>
      <c r="E274" s="277">
        <v>0.8</v>
      </c>
    </row>
    <row r="275" spans="1:10" x14ac:dyDescent="0.45">
      <c r="C275" s="273" t="s">
        <v>230</v>
      </c>
      <c r="E275" s="277">
        <v>1.2</v>
      </c>
    </row>
    <row r="276" spans="1:10" x14ac:dyDescent="0.45">
      <c r="E276" s="276"/>
    </row>
    <row r="277" spans="1:10" x14ac:dyDescent="0.45">
      <c r="E277" s="276"/>
    </row>
    <row r="281" spans="1:10" x14ac:dyDescent="0.45">
      <c r="A281" s="279" t="s">
        <v>270</v>
      </c>
      <c r="B281" s="279"/>
      <c r="C281" s="279"/>
      <c r="D281" s="279"/>
      <c r="E281" s="279"/>
      <c r="F281" s="280"/>
      <c r="G281" s="279"/>
      <c r="H281" s="279"/>
      <c r="I281" s="279"/>
      <c r="J281" s="278" t="s">
        <v>271</v>
      </c>
    </row>
    <row r="283" spans="1:10" x14ac:dyDescent="0.45">
      <c r="B283" s="273" t="s">
        <v>267</v>
      </c>
    </row>
    <row r="284" spans="1:10" x14ac:dyDescent="0.45">
      <c r="C284" s="273" t="s">
        <v>229</v>
      </c>
      <c r="E284" s="277">
        <v>0.8</v>
      </c>
    </row>
    <row r="285" spans="1:10" x14ac:dyDescent="0.45">
      <c r="C285" s="273" t="s">
        <v>230</v>
      </c>
      <c r="E285" s="277">
        <v>1.2</v>
      </c>
    </row>
    <row r="286" spans="1:10" x14ac:dyDescent="0.45">
      <c r="E286" s="276"/>
    </row>
    <row r="287" spans="1:10" x14ac:dyDescent="0.45">
      <c r="E287" s="276"/>
    </row>
    <row r="291" spans="1:10" x14ac:dyDescent="0.45">
      <c r="A291" s="279" t="s">
        <v>272</v>
      </c>
      <c r="B291" s="279"/>
      <c r="C291" s="279"/>
      <c r="D291" s="279"/>
      <c r="E291" s="279"/>
      <c r="F291" s="280"/>
      <c r="G291" s="279"/>
      <c r="H291" s="279"/>
      <c r="I291" s="279"/>
      <c r="J291" s="278" t="s">
        <v>273</v>
      </c>
    </row>
    <row r="293" spans="1:10" x14ac:dyDescent="0.45">
      <c r="B293" s="273" t="s">
        <v>267</v>
      </c>
    </row>
    <row r="294" spans="1:10" x14ac:dyDescent="0.45">
      <c r="C294" s="273" t="s">
        <v>229</v>
      </c>
      <c r="E294" s="277">
        <v>0.8</v>
      </c>
    </row>
    <row r="295" spans="1:10" x14ac:dyDescent="0.45">
      <c r="C295" s="273" t="s">
        <v>230</v>
      </c>
      <c r="E295" s="277">
        <v>1.2</v>
      </c>
    </row>
    <row r="296" spans="1:10" x14ac:dyDescent="0.45">
      <c r="E296" s="276"/>
    </row>
    <row r="297" spans="1:10" x14ac:dyDescent="0.45">
      <c r="E297" s="276"/>
    </row>
    <row r="301" spans="1:10" x14ac:dyDescent="0.45">
      <c r="A301" s="279" t="s">
        <v>274</v>
      </c>
      <c r="B301" s="279"/>
      <c r="C301" s="279"/>
      <c r="D301" s="279"/>
      <c r="E301" s="279"/>
      <c r="F301" s="280"/>
      <c r="G301" s="279"/>
      <c r="H301" s="279"/>
      <c r="I301" s="279"/>
      <c r="J301" s="278" t="s">
        <v>275</v>
      </c>
    </row>
    <row r="303" spans="1:10" x14ac:dyDescent="0.45">
      <c r="B303" s="273" t="s">
        <v>267</v>
      </c>
    </row>
    <row r="304" spans="1:10" x14ac:dyDescent="0.45">
      <c r="C304" s="273" t="s">
        <v>229</v>
      </c>
      <c r="E304" s="277">
        <v>0.8</v>
      </c>
    </row>
    <row r="305" spans="1:10" x14ac:dyDescent="0.45">
      <c r="C305" s="273" t="s">
        <v>230</v>
      </c>
      <c r="E305" s="277">
        <v>1.2</v>
      </c>
    </row>
    <row r="306" spans="1:10" x14ac:dyDescent="0.45">
      <c r="E306" s="276"/>
    </row>
    <row r="307" spans="1:10" x14ac:dyDescent="0.45">
      <c r="E307" s="276"/>
    </row>
    <row r="311" spans="1:10" x14ac:dyDescent="0.45">
      <c r="A311" s="279" t="s">
        <v>276</v>
      </c>
      <c r="B311" s="279"/>
      <c r="C311" s="279"/>
      <c r="D311" s="279"/>
      <c r="E311" s="279"/>
      <c r="F311" s="280"/>
      <c r="G311" s="279"/>
      <c r="H311" s="279"/>
      <c r="I311" s="279"/>
      <c r="J311" s="278" t="s">
        <v>277</v>
      </c>
    </row>
    <row r="313" spans="1:10" x14ac:dyDescent="0.45">
      <c r="B313" s="273" t="s">
        <v>267</v>
      </c>
    </row>
    <row r="314" spans="1:10" x14ac:dyDescent="0.45">
      <c r="C314" s="273" t="s">
        <v>229</v>
      </c>
      <c r="E314" s="281">
        <v>2022</v>
      </c>
    </row>
    <row r="315" spans="1:10" x14ac:dyDescent="0.45">
      <c r="C315" s="273" t="s">
        <v>230</v>
      </c>
      <c r="E315" s="281">
        <v>2026</v>
      </c>
    </row>
    <row r="316" spans="1:10" x14ac:dyDescent="0.45">
      <c r="E316" s="276"/>
    </row>
    <row r="317" spans="1:10" x14ac:dyDescent="0.45">
      <c r="E317" s="276"/>
    </row>
    <row r="321" spans="1:1" x14ac:dyDescent="0.45">
      <c r="A321" s="273" t="s">
        <v>278</v>
      </c>
    </row>
  </sheetData>
  <printOptions gridLinesSet="0"/>
  <pageMargins left="0.75" right="0.75" top="1" bottom="1" header="0.5" footer="0.5"/>
  <pageSetup orientation="portrait" r:id="rId1"/>
  <headerFooter alignWithMargins="0">
    <oddHeader>&amp;f</oddHeader>
    <oddFooter>Page &amp;p</oddFooter>
  </headerFooter>
  <rowBreaks count="11" manualBreakCount="11">
    <brk id="23" max="16383" man="1"/>
    <brk id="56" max="16383" man="1"/>
    <brk id="87" max="16383" man="1"/>
    <brk id="129" max="16383" man="1"/>
    <brk id="144" max="16383" man="1"/>
    <brk id="184" max="16383" man="1"/>
    <brk id="199" max="16383" man="1"/>
    <brk id="239" max="16383" man="1"/>
    <brk id="255" max="16383" man="1"/>
    <brk id="299" max="16383" man="1"/>
    <brk id="321" max="16383" man="1"/>
  </rowBreaks>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5E7E4-3C4A-4714-9A06-B5EDBE8B978B}">
  <sheetPr>
    <tabColor rgb="FFB4C6E7"/>
  </sheetPr>
  <dimension ref="A1:M69"/>
  <sheetViews>
    <sheetView topLeftCell="A52" zoomScaleNormal="100" workbookViewId="0">
      <selection activeCell="E75" sqref="E75"/>
    </sheetView>
  </sheetViews>
  <sheetFormatPr defaultColWidth="9.15625" defaultRowHeight="13.8" x14ac:dyDescent="0.45"/>
  <cols>
    <col min="1" max="1" width="9.15625" style="30"/>
    <col min="2" max="2" width="22.15625" style="30" customWidth="1"/>
    <col min="3" max="3" width="17" style="30" customWidth="1"/>
    <col min="4" max="4" width="17.83984375" style="30" customWidth="1"/>
    <col min="5" max="5" width="9.15625" style="30"/>
    <col min="6" max="6" width="12.83984375" style="30" customWidth="1"/>
    <col min="7" max="8" width="13.15625" style="30" bestFit="1" customWidth="1"/>
    <col min="9" max="16384" width="9.15625" style="30"/>
  </cols>
  <sheetData>
    <row r="1" spans="1:13" s="29" customFormat="1" x14ac:dyDescent="0.45">
      <c r="B1" s="127"/>
      <c r="C1" s="122"/>
      <c r="D1" s="122"/>
      <c r="E1" s="123"/>
      <c r="F1" s="123"/>
      <c r="G1" s="123"/>
      <c r="H1" s="123"/>
      <c r="I1" s="123"/>
      <c r="J1" s="123"/>
      <c r="L1" s="121"/>
    </row>
    <row r="2" spans="1:13" s="118" customFormat="1" ht="20.100000000000001" x14ac:dyDescent="0.7">
      <c r="A2" s="117"/>
      <c r="B2" s="31" t="s">
        <v>0</v>
      </c>
      <c r="C2" s="124"/>
      <c r="D2" s="124"/>
      <c r="E2" s="124"/>
      <c r="F2" s="124"/>
      <c r="G2" s="124"/>
      <c r="H2" s="124"/>
      <c r="I2" s="124"/>
      <c r="J2" s="124"/>
      <c r="K2" s="117"/>
      <c r="L2" s="117"/>
    </row>
    <row r="3" spans="1:13" s="118" customFormat="1" ht="21.6" customHeight="1" x14ac:dyDescent="0.6">
      <c r="A3" s="117"/>
      <c r="B3" s="32" t="s">
        <v>1</v>
      </c>
      <c r="C3" s="124"/>
      <c r="D3" s="124"/>
      <c r="E3" s="124"/>
      <c r="F3" s="124"/>
      <c r="G3" s="124"/>
      <c r="H3" s="124"/>
      <c r="I3" s="124"/>
      <c r="J3" s="124"/>
      <c r="K3" s="117"/>
    </row>
    <row r="4" spans="1:13" s="118" customFormat="1" ht="20.100000000000001" x14ac:dyDescent="0.7">
      <c r="A4" s="117"/>
      <c r="B4" s="31"/>
      <c r="C4" s="124"/>
      <c r="D4" s="124"/>
      <c r="E4" s="124"/>
      <c r="F4" s="124"/>
      <c r="G4" s="124"/>
      <c r="H4" s="124"/>
      <c r="I4" s="124"/>
      <c r="J4" s="124"/>
      <c r="K4" s="117"/>
      <c r="L4" s="117"/>
    </row>
    <row r="5" spans="1:13" s="118" customFormat="1" ht="17.7" x14ac:dyDescent="0.6">
      <c r="A5" s="117"/>
      <c r="B5" s="34" t="s">
        <v>279</v>
      </c>
      <c r="C5" s="124"/>
      <c r="D5" s="124"/>
      <c r="E5" s="124"/>
      <c r="F5" s="124"/>
      <c r="G5" s="124"/>
      <c r="H5" s="124"/>
      <c r="I5" s="124"/>
      <c r="J5" s="124"/>
      <c r="K5" s="117"/>
    </row>
    <row r="6" spans="1:13" s="118" customFormat="1" ht="30.75" customHeight="1" x14ac:dyDescent="0.5">
      <c r="B6" s="693" t="s">
        <v>18</v>
      </c>
      <c r="C6" s="693"/>
      <c r="D6" s="693"/>
      <c r="E6" s="693"/>
      <c r="F6" s="693"/>
      <c r="G6" s="693"/>
      <c r="H6" s="693"/>
      <c r="I6" s="693"/>
      <c r="J6" s="693"/>
      <c r="K6" s="693"/>
      <c r="L6" s="693"/>
      <c r="M6" s="693"/>
    </row>
    <row r="7" spans="1:13" s="118" customFormat="1" ht="15" x14ac:dyDescent="0.5">
      <c r="A7" s="140" t="s">
        <v>35</v>
      </c>
      <c r="B7" s="35"/>
      <c r="C7" s="125"/>
      <c r="D7" s="125"/>
      <c r="E7" s="126"/>
      <c r="F7" s="126"/>
      <c r="G7" s="126"/>
      <c r="H7" s="126"/>
      <c r="I7" s="126"/>
      <c r="J7" s="126"/>
    </row>
    <row r="8" spans="1:13" s="118" customFormat="1" ht="15.3" thickBot="1" x14ac:dyDescent="0.55000000000000004">
      <c r="A8" s="140"/>
      <c r="B8" s="695" t="s">
        <v>280</v>
      </c>
      <c r="C8" s="695"/>
      <c r="D8" s="695"/>
      <c r="E8" s="126"/>
      <c r="F8" s="126"/>
      <c r="G8" s="126"/>
      <c r="H8" s="126"/>
      <c r="I8" s="126"/>
      <c r="J8" s="126"/>
    </row>
    <row r="9" spans="1:13" ht="42.3" x14ac:dyDescent="0.5">
      <c r="A9" s="221" t="s">
        <v>281</v>
      </c>
      <c r="B9" s="324" t="s">
        <v>282</v>
      </c>
      <c r="C9" s="325" t="s">
        <v>283</v>
      </c>
      <c r="D9" s="599" t="s">
        <v>284</v>
      </c>
    </row>
    <row r="10" spans="1:13" ht="15" customHeight="1" x14ac:dyDescent="0.45">
      <c r="B10" s="311" t="s">
        <v>285</v>
      </c>
      <c r="C10" s="233">
        <v>200</v>
      </c>
      <c r="D10" s="217">
        <f>C10*'CBA Model'!$D$25</f>
        <v>180</v>
      </c>
    </row>
    <row r="11" spans="1:13" x14ac:dyDescent="0.45">
      <c r="B11" s="301" t="s">
        <v>286</v>
      </c>
      <c r="C11" s="216">
        <v>795.83333333333337</v>
      </c>
      <c r="D11" s="217">
        <f>C11*'CBA Model'!$D$25</f>
        <v>716.25</v>
      </c>
    </row>
    <row r="12" spans="1:13" x14ac:dyDescent="0.45">
      <c r="B12" s="301" t="s">
        <v>287</v>
      </c>
      <c r="C12" s="229">
        <v>39.29</v>
      </c>
      <c r="D12" s="230">
        <f>C12*'CBA Model'!$D$25</f>
        <v>35.360999999999997</v>
      </c>
    </row>
    <row r="13" spans="1:13" x14ac:dyDescent="0.45">
      <c r="B13" s="302" t="s">
        <v>288</v>
      </c>
      <c r="C13" s="231">
        <v>301.57894736842104</v>
      </c>
      <c r="D13" s="232">
        <f>C13*'CBA Model'!$D$25</f>
        <v>271.42105263157896</v>
      </c>
    </row>
    <row r="14" spans="1:13" x14ac:dyDescent="0.45">
      <c r="B14" s="301" t="s">
        <v>289</v>
      </c>
      <c r="C14" s="216">
        <v>228.28057553956836</v>
      </c>
      <c r="D14" s="217">
        <f>C14*'CBA Model'!$D$25</f>
        <v>205.45251798561154</v>
      </c>
    </row>
    <row r="15" spans="1:13" x14ac:dyDescent="0.45">
      <c r="B15" s="301" t="s">
        <v>290</v>
      </c>
      <c r="C15" s="216">
        <v>0</v>
      </c>
      <c r="D15" s="217">
        <f>C15*'CBA Model'!$D$25</f>
        <v>0</v>
      </c>
    </row>
    <row r="16" spans="1:13" x14ac:dyDescent="0.45">
      <c r="B16" s="301" t="s">
        <v>291</v>
      </c>
      <c r="C16" s="229">
        <v>189.2</v>
      </c>
      <c r="D16" s="230">
        <f>C16*'CBA Model'!$D$25</f>
        <v>170.28</v>
      </c>
    </row>
    <row r="17" spans="2:4" x14ac:dyDescent="0.45">
      <c r="B17" s="302" t="s">
        <v>292</v>
      </c>
      <c r="C17" s="231">
        <v>250</v>
      </c>
      <c r="D17" s="232">
        <f>C17*'CBA Model'!$D$25</f>
        <v>225</v>
      </c>
    </row>
    <row r="18" spans="2:4" x14ac:dyDescent="0.45">
      <c r="B18" s="301" t="s">
        <v>293</v>
      </c>
      <c r="C18" s="216">
        <v>631.25</v>
      </c>
      <c r="D18" s="217">
        <f>C18*'CBA Model'!$D$25</f>
        <v>568.125</v>
      </c>
    </row>
    <row r="19" spans="2:4" x14ac:dyDescent="0.45">
      <c r="B19" s="301" t="s">
        <v>294</v>
      </c>
      <c r="C19" s="216">
        <v>368.97058823529414</v>
      </c>
      <c r="D19" s="217">
        <f>C19*'CBA Model'!$D$25</f>
        <v>332.07352941176475</v>
      </c>
    </row>
    <row r="20" spans="2:4" x14ac:dyDescent="0.45">
      <c r="B20" s="301" t="s">
        <v>295</v>
      </c>
      <c r="C20" s="229">
        <v>387.27272727272725</v>
      </c>
      <c r="D20" s="230">
        <f>C20*'CBA Model'!$D$25</f>
        <v>348.54545454545456</v>
      </c>
    </row>
    <row r="21" spans="2:4" x14ac:dyDescent="0.45">
      <c r="B21" s="302" t="s">
        <v>296</v>
      </c>
      <c r="C21" s="231">
        <v>1247.0588235294117</v>
      </c>
      <c r="D21" s="232">
        <f>C21*'CBA Model'!$D$25</f>
        <v>1122.3529411764705</v>
      </c>
    </row>
    <row r="22" spans="2:4" x14ac:dyDescent="0.45">
      <c r="B22" s="301" t="s">
        <v>297</v>
      </c>
      <c r="C22" s="216">
        <v>766.66666666666663</v>
      </c>
      <c r="D22" s="217">
        <f>C22*'CBA Model'!$D$25</f>
        <v>690</v>
      </c>
    </row>
    <row r="23" spans="2:4" x14ac:dyDescent="0.45">
      <c r="B23" s="301" t="s">
        <v>298</v>
      </c>
      <c r="C23" s="216">
        <v>5000</v>
      </c>
      <c r="D23" s="217">
        <f>C23*'CBA Model'!$D$25</f>
        <v>4500</v>
      </c>
    </row>
    <row r="24" spans="2:4" x14ac:dyDescent="0.45">
      <c r="B24" s="301" t="s">
        <v>299</v>
      </c>
      <c r="C24" s="229">
        <v>275</v>
      </c>
      <c r="D24" s="230">
        <f>C24*'CBA Model'!$D$25</f>
        <v>247.5</v>
      </c>
    </row>
    <row r="25" spans="2:4" x14ac:dyDescent="0.45">
      <c r="B25" s="302" t="s">
        <v>300</v>
      </c>
      <c r="C25" s="231">
        <v>280</v>
      </c>
      <c r="D25" s="232">
        <f>C25*'CBA Model'!$D$25</f>
        <v>252</v>
      </c>
    </row>
    <row r="26" spans="2:4" x14ac:dyDescent="0.45">
      <c r="B26" s="301" t="s">
        <v>301</v>
      </c>
      <c r="C26" s="216">
        <v>191.81818181818181</v>
      </c>
      <c r="D26" s="217">
        <f>C26*'CBA Model'!$D$25</f>
        <v>172.63636363636363</v>
      </c>
    </row>
    <row r="27" spans="2:4" x14ac:dyDescent="0.45">
      <c r="B27" s="301" t="s">
        <v>302</v>
      </c>
      <c r="C27" s="216">
        <v>97.142857142857139</v>
      </c>
      <c r="D27" s="217">
        <f>C27*'CBA Model'!$D$25</f>
        <v>87.428571428571431</v>
      </c>
    </row>
    <row r="28" spans="2:4" x14ac:dyDescent="0.45">
      <c r="B28" s="301" t="s">
        <v>303</v>
      </c>
      <c r="C28" s="229">
        <v>186.11111111111111</v>
      </c>
      <c r="D28" s="230">
        <f>C28*'CBA Model'!$D$25</f>
        <v>167.5</v>
      </c>
    </row>
    <row r="29" spans="2:4" x14ac:dyDescent="0.45">
      <c r="B29" s="302" t="s">
        <v>304</v>
      </c>
      <c r="C29" s="231">
        <v>25</v>
      </c>
      <c r="D29" s="232">
        <f>C29*'CBA Model'!$D$25</f>
        <v>22.5</v>
      </c>
    </row>
    <row r="30" spans="2:4" x14ac:dyDescent="0.45">
      <c r="B30" s="301" t="s">
        <v>305</v>
      </c>
      <c r="C30" s="216">
        <v>400</v>
      </c>
      <c r="D30" s="217">
        <f>C30*'CBA Model'!$D$25</f>
        <v>360</v>
      </c>
    </row>
    <row r="31" spans="2:4" x14ac:dyDescent="0.45">
      <c r="B31" s="301" t="s">
        <v>306</v>
      </c>
      <c r="C31" s="216">
        <v>847.39999999999975</v>
      </c>
      <c r="D31" s="217">
        <f>C31*'CBA Model'!$D$25</f>
        <v>762.65999999999974</v>
      </c>
    </row>
    <row r="32" spans="2:4" x14ac:dyDescent="0.45">
      <c r="B32" s="301" t="s">
        <v>307</v>
      </c>
      <c r="C32" s="229">
        <v>1800</v>
      </c>
      <c r="D32" s="230">
        <f>C32*'CBA Model'!$D$25</f>
        <v>1620</v>
      </c>
    </row>
    <row r="33" spans="1:4" x14ac:dyDescent="0.45">
      <c r="B33" s="302" t="s">
        <v>308</v>
      </c>
      <c r="C33" s="231">
        <v>152.99999999999997</v>
      </c>
      <c r="D33" s="232">
        <f>C33*'CBA Model'!$D$25</f>
        <v>137.69999999999999</v>
      </c>
    </row>
    <row r="34" spans="1:4" ht="14.1" thickBot="1" x14ac:dyDescent="0.5">
      <c r="B34" s="303" t="s">
        <v>309</v>
      </c>
      <c r="C34" s="218">
        <v>300</v>
      </c>
      <c r="D34" s="219">
        <f>C34*'CBA Model'!$D$25</f>
        <v>270</v>
      </c>
    </row>
    <row r="35" spans="1:4" x14ac:dyDescent="0.45">
      <c r="B35" s="156"/>
      <c r="C35" s="200"/>
      <c r="D35" s="200"/>
    </row>
    <row r="36" spans="1:4" ht="17.5" customHeight="1" x14ac:dyDescent="0.5">
      <c r="B36" s="695" t="s">
        <v>310</v>
      </c>
      <c r="C36" s="695"/>
      <c r="D36" s="695"/>
    </row>
    <row r="37" spans="1:4" ht="14.1" x14ac:dyDescent="0.5">
      <c r="A37" s="221">
        <v>3</v>
      </c>
      <c r="B37" s="327" t="s">
        <v>282</v>
      </c>
      <c r="C37" s="328" t="s">
        <v>311</v>
      </c>
      <c r="D37" s="600" t="s">
        <v>312</v>
      </c>
    </row>
    <row r="38" spans="1:4" ht="15" customHeight="1" x14ac:dyDescent="0.45">
      <c r="B38" s="326" t="s">
        <v>285</v>
      </c>
      <c r="C38" s="233">
        <v>0</v>
      </c>
      <c r="D38" s="217">
        <v>12075</v>
      </c>
    </row>
    <row r="39" spans="1:4" x14ac:dyDescent="0.45">
      <c r="B39" s="194" t="s">
        <v>286</v>
      </c>
      <c r="C39" s="216">
        <v>4305</v>
      </c>
      <c r="D39" s="217">
        <v>3564.9999999999995</v>
      </c>
    </row>
    <row r="40" spans="1:4" x14ac:dyDescent="0.45">
      <c r="B40" s="194" t="s">
        <v>287</v>
      </c>
      <c r="C40" s="229">
        <v>9071.8333333333339</v>
      </c>
      <c r="D40" s="230">
        <v>13300</v>
      </c>
    </row>
    <row r="41" spans="1:4" x14ac:dyDescent="0.45">
      <c r="B41" s="195" t="s">
        <v>288</v>
      </c>
      <c r="C41" s="231">
        <v>2585.625</v>
      </c>
      <c r="D41" s="232">
        <v>2645.0588235294117</v>
      </c>
    </row>
    <row r="42" spans="1:4" x14ac:dyDescent="0.45">
      <c r="B42" s="194" t="s">
        <v>289</v>
      </c>
      <c r="C42" s="216">
        <v>3047.6823529411758</v>
      </c>
      <c r="D42" s="217">
        <v>2660.3111111111107</v>
      </c>
    </row>
    <row r="43" spans="1:4" x14ac:dyDescent="0.45">
      <c r="B43" s="194" t="s">
        <v>290</v>
      </c>
      <c r="C43" s="216">
        <v>0</v>
      </c>
      <c r="D43" s="217">
        <v>13400</v>
      </c>
    </row>
    <row r="44" spans="1:4" x14ac:dyDescent="0.45">
      <c r="B44" s="194" t="s">
        <v>291</v>
      </c>
      <c r="C44" s="229">
        <v>4150</v>
      </c>
      <c r="D44" s="230">
        <v>0</v>
      </c>
    </row>
    <row r="45" spans="1:4" x14ac:dyDescent="0.45">
      <c r="B45" s="195" t="s">
        <v>292</v>
      </c>
      <c r="C45" s="231">
        <v>6125</v>
      </c>
      <c r="D45" s="232">
        <v>0</v>
      </c>
    </row>
    <row r="46" spans="1:4" x14ac:dyDescent="0.45">
      <c r="B46" s="194" t="s">
        <v>293</v>
      </c>
      <c r="C46" s="216">
        <v>2300</v>
      </c>
      <c r="D46" s="217">
        <v>1355</v>
      </c>
    </row>
    <row r="47" spans="1:4" x14ac:dyDescent="0.45">
      <c r="B47" s="194" t="s">
        <v>294</v>
      </c>
      <c r="C47" s="216">
        <v>2111.7857142857142</v>
      </c>
      <c r="D47" s="217">
        <v>2417.1851851851861</v>
      </c>
    </row>
    <row r="48" spans="1:4" x14ac:dyDescent="0.45">
      <c r="B48" s="194" t="s">
        <v>295</v>
      </c>
      <c r="C48" s="229">
        <v>2400</v>
      </c>
      <c r="D48" s="230">
        <v>1807.5</v>
      </c>
    </row>
    <row r="49" spans="2:4" x14ac:dyDescent="0.45">
      <c r="B49" s="195" t="s">
        <v>296</v>
      </c>
      <c r="C49" s="231">
        <v>3000</v>
      </c>
      <c r="D49" s="232">
        <v>0</v>
      </c>
    </row>
    <row r="50" spans="2:4" x14ac:dyDescent="0.45">
      <c r="B50" s="194" t="s">
        <v>297</v>
      </c>
      <c r="C50" s="216">
        <v>2656.25</v>
      </c>
      <c r="D50" s="217">
        <v>0</v>
      </c>
    </row>
    <row r="51" spans="2:4" x14ac:dyDescent="0.45">
      <c r="B51" s="194" t="s">
        <v>298</v>
      </c>
      <c r="C51" s="216">
        <v>6872</v>
      </c>
      <c r="D51" s="217">
        <v>3990</v>
      </c>
    </row>
    <row r="52" spans="2:4" x14ac:dyDescent="0.45">
      <c r="B52" s="194" t="s">
        <v>299</v>
      </c>
      <c r="C52" s="229">
        <v>7000</v>
      </c>
      <c r="D52" s="230">
        <v>3450</v>
      </c>
    </row>
    <row r="53" spans="2:4" x14ac:dyDescent="0.45">
      <c r="B53" s="195" t="s">
        <v>300</v>
      </c>
      <c r="C53" s="231">
        <v>7425</v>
      </c>
      <c r="D53" s="232">
        <v>8960</v>
      </c>
    </row>
    <row r="54" spans="2:4" x14ac:dyDescent="0.45">
      <c r="B54" s="194" t="s">
        <v>301</v>
      </c>
      <c r="C54" s="216">
        <v>20423.636363636364</v>
      </c>
      <c r="D54" s="217">
        <v>0</v>
      </c>
    </row>
    <row r="55" spans="2:4" x14ac:dyDescent="0.45">
      <c r="B55" s="194" t="s">
        <v>302</v>
      </c>
      <c r="C55" s="216">
        <v>4763.75</v>
      </c>
      <c r="D55" s="217">
        <v>0</v>
      </c>
    </row>
    <row r="56" spans="2:4" x14ac:dyDescent="0.45">
      <c r="B56" s="194" t="s">
        <v>303</v>
      </c>
      <c r="C56" s="229">
        <v>2173.8461538461538</v>
      </c>
      <c r="D56" s="230">
        <v>1996.0344827586212</v>
      </c>
    </row>
    <row r="57" spans="2:4" x14ac:dyDescent="0.45">
      <c r="B57" s="195" t="s">
        <v>304</v>
      </c>
      <c r="C57" s="231">
        <v>2950</v>
      </c>
      <c r="D57" s="232">
        <v>2100</v>
      </c>
    </row>
    <row r="58" spans="2:4" x14ac:dyDescent="0.45">
      <c r="B58" s="194" t="s">
        <v>305</v>
      </c>
      <c r="C58" s="216">
        <v>0</v>
      </c>
      <c r="D58" s="217">
        <v>1820</v>
      </c>
    </row>
    <row r="59" spans="2:4" x14ac:dyDescent="0.45">
      <c r="B59" s="194" t="s">
        <v>306</v>
      </c>
      <c r="C59" s="216">
        <v>3398.3333333333339</v>
      </c>
      <c r="D59" s="217">
        <v>2735.8333333333339</v>
      </c>
    </row>
    <row r="60" spans="2:4" x14ac:dyDescent="0.45">
      <c r="B60" s="194" t="s">
        <v>307</v>
      </c>
      <c r="C60" s="229">
        <v>22600</v>
      </c>
      <c r="D60" s="230">
        <v>0</v>
      </c>
    </row>
    <row r="61" spans="2:4" x14ac:dyDescent="0.45">
      <c r="B61" s="195" t="s">
        <v>308</v>
      </c>
      <c r="C61" s="231">
        <v>11098.333333333334</v>
      </c>
      <c r="D61" s="232">
        <v>0</v>
      </c>
    </row>
    <row r="62" spans="2:4" ht="14.1" thickBot="1" x14ac:dyDescent="0.5">
      <c r="B62" s="196" t="s">
        <v>309</v>
      </c>
      <c r="C62" s="218">
        <v>0</v>
      </c>
      <c r="D62" s="219">
        <v>8225</v>
      </c>
    </row>
    <row r="63" spans="2:4" x14ac:dyDescent="0.45">
      <c r="B63" s="156"/>
      <c r="C63" s="200"/>
      <c r="D63" s="200"/>
    </row>
    <row r="64" spans="2:4" x14ac:dyDescent="0.45">
      <c r="B64" s="156"/>
      <c r="C64" s="200"/>
      <c r="D64" s="200"/>
    </row>
    <row r="66" spans="1:9" ht="14.1" thickBot="1" x14ac:dyDescent="0.5">
      <c r="A66" s="120" t="s">
        <v>35</v>
      </c>
      <c r="B66" s="128"/>
      <c r="C66" s="128"/>
      <c r="D66" s="128"/>
      <c r="E66" s="128"/>
      <c r="F66" s="128"/>
      <c r="G66" s="128"/>
      <c r="H66" s="128"/>
      <c r="I66" s="128"/>
    </row>
    <row r="67" spans="1:9" x14ac:dyDescent="0.45">
      <c r="A67" s="494">
        <v>1</v>
      </c>
      <c r="B67" s="694" t="s">
        <v>313</v>
      </c>
      <c r="C67" s="694"/>
      <c r="D67" s="694"/>
      <c r="E67" s="694"/>
      <c r="F67" s="694"/>
      <c r="G67" s="694"/>
      <c r="H67" s="694"/>
      <c r="I67" s="694"/>
    </row>
    <row r="68" spans="1:9" ht="28.15" customHeight="1" x14ac:dyDescent="0.45">
      <c r="A68" s="493">
        <v>2</v>
      </c>
      <c r="B68" s="691" t="s">
        <v>314</v>
      </c>
      <c r="C68" s="691"/>
      <c r="D68" s="691"/>
      <c r="E68" s="691"/>
      <c r="F68" s="691"/>
      <c r="G68" s="691"/>
      <c r="H68" s="691"/>
      <c r="I68" s="691"/>
    </row>
    <row r="69" spans="1:9" ht="15" customHeight="1" x14ac:dyDescent="0.45">
      <c r="A69" s="493">
        <v>3</v>
      </c>
      <c r="B69" s="692" t="s">
        <v>315</v>
      </c>
      <c r="C69" s="692"/>
      <c r="D69" s="692"/>
      <c r="E69" s="692"/>
      <c r="F69" s="692"/>
      <c r="G69" s="692"/>
      <c r="H69" s="692"/>
      <c r="I69" s="692"/>
    </row>
  </sheetData>
  <mergeCells count="6">
    <mergeCell ref="B68:I68"/>
    <mergeCell ref="B69:I69"/>
    <mergeCell ref="B6:M6"/>
    <mergeCell ref="B67:I67"/>
    <mergeCell ref="B8:D8"/>
    <mergeCell ref="B36:D3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66fd3c-8ac7-4f3c-b545-83db3bba6f98">
      <Terms xmlns="http://schemas.microsoft.com/office/infopath/2007/PartnerControls"/>
    </lcf76f155ced4ddcb4097134ff3c332f>
    <TaxCatchAll xmlns="a2bb61b0-54ea-42e6-b8e8-6d46812283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E0423E745EE14C8F9FD1C7A97BEDEC" ma:contentTypeVersion="15" ma:contentTypeDescription="Create a new document." ma:contentTypeScope="" ma:versionID="61cf681e60b629f56718fdc8aedf6d93">
  <xsd:schema xmlns:xsd="http://www.w3.org/2001/XMLSchema" xmlns:xs="http://www.w3.org/2001/XMLSchema" xmlns:p="http://schemas.microsoft.com/office/2006/metadata/properties" xmlns:ns2="a2bb61b0-54ea-42e6-b8e8-6d468122838b" xmlns:ns3="0e66fd3c-8ac7-4f3c-b545-83db3bba6f98" targetNamespace="http://schemas.microsoft.com/office/2006/metadata/properties" ma:root="true" ma:fieldsID="68864b6511509ee43ec005e091b616b0" ns2:_="" ns3:_="">
    <xsd:import namespace="a2bb61b0-54ea-42e6-b8e8-6d468122838b"/>
    <xsd:import namespace="0e66fd3c-8ac7-4f3c-b545-83db3bba6f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b61b0-54ea-42e6-b8e8-6d46812283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167ef1f-df72-4ffb-b22d-50e36557a1ab}" ma:internalName="TaxCatchAll" ma:showField="CatchAllData" ma:web="a2bb61b0-54ea-42e6-b8e8-6d46812283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66fd3c-8ac7-4f3c-b545-83db3bba6f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6d84c78-6055-464c-a680-8dd5e2470779"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7C8658-647A-4926-AA5D-173E0220F2BA}">
  <ds:schemaRefs>
    <ds:schemaRef ds:uri="http://schemas.microsoft.com/sharepoint/v3/contenttype/forms"/>
  </ds:schemaRefs>
</ds:datastoreItem>
</file>

<file path=customXml/itemProps2.xml><?xml version="1.0" encoding="utf-8"?>
<ds:datastoreItem xmlns:ds="http://schemas.openxmlformats.org/officeDocument/2006/customXml" ds:itemID="{7F4201C2-6873-4800-8922-79832B3855CD}">
  <ds:schemaRefs>
    <ds:schemaRef ds:uri="http://schemas.microsoft.com/office/infopath/2007/PartnerControls"/>
    <ds:schemaRef ds:uri="a2bb61b0-54ea-42e6-b8e8-6d468122838b"/>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0e66fd3c-8ac7-4f3c-b545-83db3bba6f9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DAE70FD-F115-46E2-BE20-B14E9BEC3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b61b0-54ea-42e6-b8e8-6d468122838b"/>
    <ds:schemaRef ds:uri="0e66fd3c-8ac7-4f3c-b545-83db3bba6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Table of Contents</vt:lpstr>
      <vt:lpstr>Summary of Results</vt:lpstr>
      <vt:lpstr>Intervention Description</vt:lpstr>
      <vt:lpstr>Cost-Benefit Summary</vt:lpstr>
      <vt:lpstr>CBA Model</vt:lpstr>
      <vt:lpstr>Sensitivity Analysis</vt:lpstr>
      <vt:lpstr>MCA Report</vt:lpstr>
      <vt:lpstr>Crop Prices &amp; Production Costs</vt:lpstr>
      <vt:lpstr>Crop Production</vt:lpstr>
      <vt:lpstr>By-Product Value</vt:lpstr>
      <vt:lpstr>Livestock &amp; Meat Production</vt:lpstr>
      <vt:lpstr>Cattle Prices</vt:lpstr>
      <vt:lpstr>Dairy Production</vt:lpstr>
      <vt:lpstr>Irrigation Equipment</vt:lpstr>
      <vt:lpstr>Inflation</vt:lpstr>
      <vt:lpstr>Exchange Rate</vt:lpstr>
      <vt:lpstr>Costs</vt:lpstr>
      <vt:lpstr>'CBA Model'!Print_Area</vt:lpstr>
      <vt:lpstr>'MCA Report'!Print_Area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Morocco II's Rural Land Activity – Revised</dc:title>
  <dc:subject/>
  <dc:creator>Millennium Challenge Corporation</dc:creator>
  <cp:keywords/>
  <dc:description/>
  <cp:lastModifiedBy>Khadr, Mona F (CPA/CS)</cp:lastModifiedBy>
  <cp:revision/>
  <dcterms:created xsi:type="dcterms:W3CDTF">2015-05-24T09:24:58Z</dcterms:created>
  <dcterms:modified xsi:type="dcterms:W3CDTF">2024-12-23T19:27:38Z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e9a81-9c38-4f91-9146-84cda847f359_Enabled">
    <vt:lpwstr>true</vt:lpwstr>
  </property>
  <property fmtid="{D5CDD505-2E9C-101B-9397-08002B2CF9AE}" pid="3" name="MSIP_Label_676e9a81-9c38-4f91-9146-84cda847f359_SetDate">
    <vt:lpwstr>2024-02-01T18:53:35Z</vt:lpwstr>
  </property>
  <property fmtid="{D5CDD505-2E9C-101B-9397-08002B2CF9AE}" pid="4" name="MSIP_Label_676e9a81-9c38-4f91-9146-84cda847f359_Method">
    <vt:lpwstr>Standard</vt:lpwstr>
  </property>
  <property fmtid="{D5CDD505-2E9C-101B-9397-08002B2CF9AE}" pid="5" name="MSIP_Label_676e9a81-9c38-4f91-9146-84cda847f359_Name">
    <vt:lpwstr>UNCLASSIFIED</vt:lpwstr>
  </property>
  <property fmtid="{D5CDD505-2E9C-101B-9397-08002B2CF9AE}" pid="6" name="MSIP_Label_676e9a81-9c38-4f91-9146-84cda847f359_SiteId">
    <vt:lpwstr>c12a9f27-505d-4fc6-9afa-a0fd65d9e984</vt:lpwstr>
  </property>
  <property fmtid="{D5CDD505-2E9C-101B-9397-08002B2CF9AE}" pid="7" name="MSIP_Label_676e9a81-9c38-4f91-9146-84cda847f359_ActionId">
    <vt:lpwstr>eeb2f8f6-0e83-4172-a7fa-07c39a4fd7fd</vt:lpwstr>
  </property>
  <property fmtid="{D5CDD505-2E9C-101B-9397-08002B2CF9AE}" pid="8" name="MSIP_Label_676e9a81-9c38-4f91-9146-84cda847f359_ContentBits">
    <vt:lpwstr>1</vt:lpwstr>
  </property>
  <property fmtid="{D5CDD505-2E9C-101B-9397-08002B2CF9AE}" pid="9" name="ContentTypeId">
    <vt:lpwstr>0x010100E0E0423E745EE14C8F9FD1C7A97BEDEC</vt:lpwstr>
  </property>
  <property fmtid="{D5CDD505-2E9C-101B-9397-08002B2CF9AE}" pid="10" name="MediaServiceImageTags">
    <vt:lpwstr/>
  </property>
</Properties>
</file>